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esearch\Grant proposals\NSF\Capacity proposal\NSF Capacity 2024 E Ehmke - 333000344\Annual reports\"/>
    </mc:Choice>
  </mc:AlternateContent>
  <xr:revisionPtr revIDLastSave="0" documentId="8_{B6CB96CF-2B3A-4F03-828C-D8EF0DDCA4A0}" xr6:coauthVersionLast="47" xr6:coauthVersionMax="47" xr10:uidLastSave="{00000000-0000-0000-0000-000000000000}"/>
  <bookViews>
    <workbookView xWindow="-110" yWindow="-110" windowWidth="19420" windowHeight="10300" xr2:uid="{E9C77493-DDAA-4E6F-9D61-AB17523FE2C8}"/>
  </bookViews>
  <sheets>
    <sheet name="SUMMARY" sheetId="2" r:id="rId1"/>
  </sheets>
  <externalReferences>
    <externalReference r:id="rId2"/>
  </externalReferences>
  <definedNames>
    <definedName name="Category">[1]Options!$M:$M</definedName>
    <definedName name="Circumstance">[1]Options!$B:$B</definedName>
    <definedName name="Collection_Type">[1]Options!$C:$C</definedName>
    <definedName name="gt_lt">[1]Options!$I:$I</definedName>
    <definedName name="Name">[1]Animal_List!$A:$A</definedName>
    <definedName name="Sample_Status">[1]Options!$K:$K</definedName>
    <definedName name="Sample_Type">[1]Options!$G:$G</definedName>
    <definedName name="Sex">[1]Options!$A:$A</definedName>
    <definedName name="Storage_Type">[1]Options!$E:$E</definedName>
    <definedName name="Symmetry">[1]Options!$F:$F</definedName>
    <definedName name="TOD_est">[1]Options!$D:$D</definedName>
    <definedName name="U_TubeType">[1]Options!$L:$L</definedName>
    <definedName name="UOM">[1]Options!$J:$J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N3" i="2"/>
  <c r="BO3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 s="1"/>
  <c r="BN4" i="2"/>
  <c r="BO4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 s="1"/>
  <c r="BN5" i="2"/>
  <c r="BP5" i="2" s="1"/>
  <c r="BO5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 s="1"/>
  <c r="BN6" i="2"/>
  <c r="BO6" i="2"/>
  <c r="BP6" i="2" s="1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N7" i="2"/>
  <c r="BO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N8" i="2"/>
  <c r="BO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 s="1"/>
  <c r="BN9" i="2"/>
  <c r="BO9" i="2"/>
  <c r="BP9" i="2" s="1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L10" i="2"/>
  <c r="AK10" i="2" s="1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 s="1"/>
  <c r="BN10" i="2"/>
  <c r="BO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N12" i="2"/>
  <c r="BO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 s="1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N14" i="2"/>
  <c r="BO14" i="2"/>
  <c r="BP14" i="2" s="1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 s="1"/>
  <c r="BN15" i="2"/>
  <c r="BO15" i="2"/>
  <c r="BP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 s="1"/>
  <c r="BN16" i="2"/>
  <c r="BO16" i="2"/>
  <c r="BP16" i="2" s="1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L17" i="2"/>
  <c r="AK17" i="2" s="1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 s="1"/>
  <c r="BN17" i="2"/>
  <c r="BO17" i="2"/>
  <c r="BP17" i="2" s="1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 s="1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M19" i="2" s="1"/>
  <c r="BL19" i="2"/>
  <c r="BN19" i="2"/>
  <c r="BO19" i="2"/>
  <c r="BP19" i="2" s="1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N20" i="2"/>
  <c r="BO20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 s="1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P23" i="2" s="1"/>
  <c r="BO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N24" i="2"/>
  <c r="BO24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N25" i="2"/>
  <c r="BO25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 s="1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 s="1"/>
  <c r="BN27" i="2"/>
  <c r="BO27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N28" i="2"/>
  <c r="BO28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L29" i="2"/>
  <c r="AK29" i="2" s="1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 s="1"/>
  <c r="BN29" i="2"/>
  <c r="BO29" i="2"/>
  <c r="BP29" i="2" s="1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N30" i="2"/>
  <c r="BO30" i="2"/>
  <c r="BP30" i="2" s="1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N31" i="2"/>
  <c r="BP31" i="2" s="1"/>
  <c r="BO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L32" i="2"/>
  <c r="AK32" i="2" s="1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BN32" i="2"/>
  <c r="BO32" i="2"/>
  <c r="BP32" i="2" s="1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 s="1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 s="1"/>
  <c r="BN34" i="2"/>
  <c r="BO34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 s="1"/>
  <c r="BN35" i="2"/>
  <c r="BO35" i="2"/>
  <c r="BP35" i="2" s="1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 s="1"/>
  <c r="BN36" i="2"/>
  <c r="BO36" i="2"/>
  <c r="BP36" i="2" s="1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L37" i="2"/>
  <c r="AK37" i="2" s="1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N37" i="2"/>
  <c r="BO37" i="2"/>
  <c r="BP37" i="2" s="1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L38" i="2"/>
  <c r="AK38" i="2" s="1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 s="1"/>
  <c r="BN38" i="2"/>
  <c r="BO38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L39" i="2"/>
  <c r="AK39" i="2" s="1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 s="1"/>
  <c r="BN39" i="2"/>
  <c r="BO39" i="2"/>
  <c r="BP39" i="2" s="1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N40" i="2"/>
  <c r="BO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N41" i="2"/>
  <c r="BO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I44" i="2" s="1"/>
  <c r="BJ42" i="2"/>
  <c r="BJ44" i="2" s="1"/>
  <c r="BK42" i="2"/>
  <c r="BM42" i="2" s="1"/>
  <c r="BL42" i="2"/>
  <c r="BN42" i="2"/>
  <c r="BP42" i="2" s="1"/>
  <c r="BO42" i="2"/>
  <c r="M44" i="2"/>
  <c r="AL44" i="2"/>
  <c r="AS44" i="2"/>
  <c r="AT44" i="2"/>
  <c r="AW44" i="2"/>
  <c r="AX44" i="2"/>
  <c r="BA44" i="2"/>
  <c r="BB44" i="2"/>
  <c r="BE44" i="2"/>
  <c r="BF44" i="2"/>
  <c r="BM12" i="2" l="1"/>
  <c r="BP20" i="2"/>
  <c r="BM30" i="2"/>
  <c r="BM7" i="2"/>
  <c r="BM31" i="2"/>
  <c r="BP34" i="2"/>
  <c r="AK28" i="2"/>
  <c r="AK25" i="2"/>
  <c r="AK40" i="2"/>
  <c r="AK3" i="2"/>
  <c r="BM8" i="2"/>
  <c r="AK11" i="2"/>
  <c r="BP11" i="2"/>
  <c r="BM28" i="2"/>
  <c r="BP28" i="2"/>
  <c r="AK33" i="2"/>
  <c r="BP10" i="2"/>
  <c r="BP12" i="2"/>
  <c r="AK20" i="2"/>
  <c r="BP27" i="2"/>
  <c r="AK35" i="2"/>
  <c r="BP41" i="2"/>
  <c r="BM3" i="2"/>
  <c r="BM20" i="2"/>
  <c r="BP22" i="2"/>
  <c r="AK14" i="2"/>
  <c r="AK31" i="2"/>
  <c r="AK27" i="2"/>
  <c r="BP38" i="2"/>
  <c r="AP44" i="2"/>
  <c r="BP3" i="2"/>
  <c r="AK4" i="2"/>
  <c r="BP8" i="2"/>
  <c r="AK9" i="2"/>
  <c r="AK23" i="2"/>
  <c r="AK6" i="2"/>
  <c r="AK18" i="2"/>
  <c r="AK22" i="2"/>
  <c r="AK24" i="2"/>
  <c r="AK30" i="2"/>
  <c r="BM37" i="2"/>
  <c r="AK5" i="2"/>
  <c r="AK7" i="2"/>
  <c r="BM14" i="2"/>
  <c r="AK15" i="2"/>
  <c r="BM25" i="2"/>
  <c r="BP25" i="2"/>
  <c r="AK26" i="2"/>
  <c r="AK34" i="2"/>
  <c r="AK36" i="2"/>
  <c r="BM40" i="2"/>
  <c r="BP40" i="2"/>
  <c r="AK41" i="2"/>
  <c r="BP4" i="2"/>
  <c r="AK12" i="2"/>
  <c r="AK19" i="2"/>
  <c r="AK8" i="2"/>
  <c r="AK13" i="2"/>
  <c r="AK16" i="2"/>
  <c r="BM41" i="2"/>
  <c r="BP7" i="2"/>
  <c r="AK21" i="2"/>
  <c r="BM24" i="2"/>
  <c r="BP24" i="2"/>
  <c r="AK42" i="2"/>
  <c r="BM44" i="2"/>
  <c r="BP44" i="2" l="1"/>
</calcChain>
</file>

<file path=xl/sharedStrings.xml><?xml version="1.0" encoding="utf-8"?>
<sst xmlns="http://schemas.openxmlformats.org/spreadsheetml/2006/main" count="129" uniqueCount="115">
  <si>
    <t>TOTAL</t>
  </si>
  <si>
    <t>V. variegata</t>
  </si>
  <si>
    <t>V. rubra</t>
  </si>
  <si>
    <t>Varecia sp.</t>
  </si>
  <si>
    <t>unknown</t>
  </si>
  <si>
    <t>T. syrichta</t>
  </si>
  <si>
    <t>T. bancanus</t>
  </si>
  <si>
    <t>Sang.Mid</t>
  </si>
  <si>
    <t>P. verreauxi</t>
  </si>
  <si>
    <t>P. tattersalli</t>
  </si>
  <si>
    <t>Propithecus sp.</t>
  </si>
  <si>
    <t>P. potto</t>
  </si>
  <si>
    <t>P. diadema</t>
  </si>
  <si>
    <t>P. coquereli</t>
  </si>
  <si>
    <t>O. monteiri</t>
  </si>
  <si>
    <t>O. m.argentatus</t>
  </si>
  <si>
    <t>O.g.garnettii</t>
  </si>
  <si>
    <t>O. crassicaudatus</t>
  </si>
  <si>
    <t>N. pygmaeus</t>
  </si>
  <si>
    <t>N. coucang</t>
  </si>
  <si>
    <t>M. zaza</t>
  </si>
  <si>
    <t>M. murinus</t>
  </si>
  <si>
    <t>L. tardigradus</t>
  </si>
  <si>
    <t>L. catta</t>
  </si>
  <si>
    <t>H. griseus</t>
  </si>
  <si>
    <t>G. moholi</t>
  </si>
  <si>
    <t>G. demidoff</t>
  </si>
  <si>
    <t>Eulemur sp.</t>
  </si>
  <si>
    <t>E. sanfordi</t>
  </si>
  <si>
    <t>E. rufus</t>
  </si>
  <si>
    <t>E. rubriventor</t>
  </si>
  <si>
    <t>E. mongoz</t>
  </si>
  <si>
    <t>E. macaco</t>
  </si>
  <si>
    <t>E. fulvus</t>
  </si>
  <si>
    <t>E. flavifrons</t>
  </si>
  <si>
    <t>E. coronatus</t>
  </si>
  <si>
    <t>E. collaris</t>
  </si>
  <si>
    <t>E. albifrons</t>
  </si>
  <si>
    <t>D. madagascariensis</t>
  </si>
  <si>
    <t>C. medius</t>
  </si>
  <si>
    <t>C. major</t>
  </si>
  <si>
    <t>Total Fecal swabs</t>
  </si>
  <si>
    <t>Female Fecal swabs</t>
  </si>
  <si>
    <t>Male Fecal swabs</t>
  </si>
  <si>
    <t>Total Fecal samples</t>
  </si>
  <si>
    <t>Female Fecal samples</t>
  </si>
  <si>
    <t xml:space="preserve">Male Fecal samples </t>
  </si>
  <si>
    <t>Total RBC Volme (ml)</t>
  </si>
  <si>
    <t>Total RBC samples (tubes)</t>
  </si>
  <si>
    <t>Female RBC samples (tubes) w/ at least 0.2ml</t>
  </si>
  <si>
    <t>Male RBC samples (tubes) w/ at least 0.2ml</t>
  </si>
  <si>
    <t>Total Plasma Volme (ml)</t>
  </si>
  <si>
    <t>Total Plasma samples (tubes)</t>
  </si>
  <si>
    <t>Female Plasma samples (tubes) w/ at least 0.2ml</t>
  </si>
  <si>
    <t>Male Plasma samples (tubes) w/ at least 0.2ml</t>
  </si>
  <si>
    <t>Total Serum Volme (ml)</t>
  </si>
  <si>
    <t>Total Serum samples (tubes)</t>
  </si>
  <si>
    <t>Female Serum samples (tubes) w/ at least 0.2ml</t>
  </si>
  <si>
    <t>Male Serum samples (tubes) w/ at least 0.2ml</t>
  </si>
  <si>
    <t>Total Whole Blood Volume (ml)</t>
  </si>
  <si>
    <t>Total Whole Blood samples (tubes)</t>
  </si>
  <si>
    <t>Female Whole Blood samples (tubes) w/ at least 0.2 ml</t>
  </si>
  <si>
    <t>Male Whole Blood samples (tubes) w/ at least 0.2ml</t>
  </si>
  <si>
    <r>
      <t xml:space="preserve">Total Urine Volume banked </t>
    </r>
    <r>
      <rPr>
        <b/>
        <sz val="9"/>
        <color theme="1"/>
        <rFont val="Aptos Narrow"/>
        <family val="2"/>
        <scheme val="minor"/>
      </rPr>
      <t>(ml)</t>
    </r>
    <r>
      <rPr>
        <b/>
        <sz val="11"/>
        <color theme="1"/>
        <rFont val="Aptos Narrow"/>
        <family val="2"/>
        <scheme val="minor"/>
      </rPr>
      <t xml:space="preserve">  </t>
    </r>
  </si>
  <si>
    <r>
      <t>Total Urine samples</t>
    </r>
    <r>
      <rPr>
        <b/>
        <sz val="9"/>
        <color theme="1"/>
        <rFont val="Aptos Narrow"/>
        <family val="2"/>
        <scheme val="minor"/>
      </rPr>
      <t xml:space="preserve"> (tubes)</t>
    </r>
  </si>
  <si>
    <r>
      <t xml:space="preserve">Female Urine samples </t>
    </r>
    <r>
      <rPr>
        <b/>
        <sz val="9"/>
        <color theme="1"/>
        <rFont val="Aptos Narrow"/>
        <family val="2"/>
        <scheme val="minor"/>
      </rPr>
      <t>(tubes)</t>
    </r>
    <r>
      <rPr>
        <b/>
        <sz val="11"/>
        <color theme="1"/>
        <rFont val="Aptos Narrow"/>
        <family val="2"/>
        <scheme val="minor"/>
      </rPr>
      <t xml:space="preserve"> w/ at least 0.5ml</t>
    </r>
  </si>
  <si>
    <r>
      <t xml:space="preserve">Male Urine samples </t>
    </r>
    <r>
      <rPr>
        <b/>
        <sz val="9"/>
        <color theme="1"/>
        <rFont val="Aptos Narrow"/>
        <family val="2"/>
        <scheme val="minor"/>
      </rPr>
      <t xml:space="preserve">(tubes) </t>
    </r>
    <r>
      <rPr>
        <b/>
        <sz val="11"/>
        <color theme="1"/>
        <rFont val="Aptos Narrow"/>
        <family val="2"/>
        <scheme val="minor"/>
      </rPr>
      <t>w/ at least 0.5ml</t>
    </r>
  </si>
  <si>
    <t xml:space="preserve">TOTAL Brain samples </t>
  </si>
  <si>
    <t>Frontal Cortex in RNAlater</t>
  </si>
  <si>
    <t>Partial Brain sample</t>
  </si>
  <si>
    <t>Fully Intact Brains</t>
  </si>
  <si>
    <t>TOTAL Tissue samples</t>
  </si>
  <si>
    <t>Other/ Miscellanious samples</t>
  </si>
  <si>
    <t>Tails</t>
  </si>
  <si>
    <t>Teeth</t>
  </si>
  <si>
    <t>Mass/ Tumor samples</t>
  </si>
  <si>
    <t>Lymph Node samples</t>
  </si>
  <si>
    <t>Fat samples</t>
  </si>
  <si>
    <t>Digit samples</t>
  </si>
  <si>
    <t>Muscle samples</t>
  </si>
  <si>
    <t>Skin samples</t>
  </si>
  <si>
    <t>Eye(s) samples</t>
  </si>
  <si>
    <t>Trachea samples</t>
  </si>
  <si>
    <t>Esophagus samples</t>
  </si>
  <si>
    <t>Thyroid samples</t>
  </si>
  <si>
    <t>Heart samples</t>
  </si>
  <si>
    <t>Lung samples</t>
  </si>
  <si>
    <t>GI samples</t>
  </si>
  <si>
    <t>Pancreas samples</t>
  </si>
  <si>
    <t>Gallbladder samples</t>
  </si>
  <si>
    <t>Liver samples</t>
  </si>
  <si>
    <t>Reproductive samples</t>
  </si>
  <si>
    <t>Bladder samples</t>
  </si>
  <si>
    <t>Spleen samples</t>
  </si>
  <si>
    <t>Kidney samples</t>
  </si>
  <si>
    <t>Adrenal samples</t>
  </si>
  <si>
    <t>Total Remaining Cadavers For Purcahse</t>
  </si>
  <si>
    <r>
      <t xml:space="preserve">ARK Specimens </t>
    </r>
    <r>
      <rPr>
        <b/>
        <sz val="10"/>
        <rFont val="Aptos Narrow"/>
        <family val="2"/>
        <scheme val="minor"/>
      </rPr>
      <t>(available for non-destructive work only)</t>
    </r>
  </si>
  <si>
    <t>CT Scanned In Morphosource</t>
  </si>
  <si>
    <t xml:space="preserve">Total Sent Out </t>
  </si>
  <si>
    <t>History of Samples Inventory</t>
  </si>
  <si>
    <t xml:space="preserve">Total Adults Available </t>
  </si>
  <si>
    <t>Female Adults</t>
  </si>
  <si>
    <t>Male Adults</t>
  </si>
  <si>
    <r>
      <t>Total Infants Available</t>
    </r>
    <r>
      <rPr>
        <b/>
        <sz val="10"/>
        <color theme="1"/>
        <rFont val="Aptos Narrow"/>
        <family val="2"/>
        <scheme val="minor"/>
      </rPr>
      <t xml:space="preserve"> </t>
    </r>
  </si>
  <si>
    <t>Undetermined Infants</t>
  </si>
  <si>
    <t>Female Infants</t>
  </si>
  <si>
    <t xml:space="preserve">Male Infants </t>
  </si>
  <si>
    <t>Species</t>
  </si>
  <si>
    <t>FECES</t>
  </si>
  <si>
    <t>BLOOD PRODUCTS</t>
  </si>
  <si>
    <t>URINE</t>
  </si>
  <si>
    <t>BRAINS</t>
  </si>
  <si>
    <t>TISSUES</t>
  </si>
  <si>
    <t>CADAVERS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</si>
</sst>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sz val="14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9D3BD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E5FF"/>
        <bgColor indexed="64"/>
      </patternFill>
    </fill>
    <fill>
      <patternFill patternType="solid">
        <fgColor rgb="FFEAFAF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6AD84"/>
        <bgColor indexed="64"/>
      </patternFill>
    </fill>
    <fill>
      <patternFill patternType="solid">
        <fgColor rgb="FFFFD1D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0B4E2"/>
        <bgColor indexed="64"/>
      </patternFill>
    </fill>
    <fill>
      <patternFill patternType="solid">
        <fgColor rgb="FFBDF2F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2" fillId="0" borderId="0" xfId="1"/>
    <xf numFmtId="0" fontId="3" fillId="0" borderId="0" xfId="1" applyFont="1"/>
    <xf numFmtId="2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2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4" fillId="0" borderId="0" xfId="1" applyFont="1" applyAlignment="1">
      <alignment horizontal="left"/>
    </xf>
    <xf numFmtId="1" fontId="3" fillId="2" borderId="0" xfId="1" applyNumberFormat="1" applyFont="1" applyFill="1" applyAlignment="1">
      <alignment horizontal="center" vertical="center"/>
    </xf>
    <xf numFmtId="2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2" fontId="3" fillId="2" borderId="0" xfId="1" applyNumberFormat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2" fontId="3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5" fillId="0" borderId="0" xfId="1" applyFont="1"/>
    <xf numFmtId="0" fontId="5" fillId="0" borderId="1" xfId="1" applyFont="1" applyBorder="1"/>
    <xf numFmtId="0" fontId="3" fillId="2" borderId="1" xfId="1" applyFon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" fillId="4" borderId="1" xfId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2" fillId="5" borderId="1" xfId="1" applyFill="1" applyBorder="1" applyAlignment="1">
      <alignment horizontal="center"/>
    </xf>
    <xf numFmtId="0" fontId="2" fillId="6" borderId="1" xfId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2" fillId="7" borderId="1" xfId="1" applyFill="1" applyBorder="1" applyAlignment="1">
      <alignment horizontal="center"/>
    </xf>
    <xf numFmtId="0" fontId="5" fillId="7" borderId="1" xfId="1" applyFont="1" applyFill="1" applyBorder="1" applyAlignment="1">
      <alignment horizontal="center"/>
    </xf>
    <xf numFmtId="0" fontId="2" fillId="8" borderId="1" xfId="1" applyFill="1" applyBorder="1" applyAlignment="1">
      <alignment horizontal="center"/>
    </xf>
    <xf numFmtId="0" fontId="2" fillId="2" borderId="1" xfId="1" applyFill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2" fillId="0" borderId="1" xfId="1" applyBorder="1"/>
    <xf numFmtId="0" fontId="9" fillId="0" borderId="1" xfId="1" applyFont="1" applyBorder="1" applyAlignment="1">
      <alignment horizontal="left"/>
    </xf>
    <xf numFmtId="0" fontId="2" fillId="0" borderId="1" xfId="1" applyBorder="1" applyAlignment="1">
      <alignment horizontal="center"/>
    </xf>
    <xf numFmtId="0" fontId="1" fillId="0" borderId="0" xfId="1" applyFont="1" applyAlignment="1">
      <alignment horizontal="center" vertical="center" wrapText="1"/>
    </xf>
    <xf numFmtId="0" fontId="10" fillId="0" borderId="0" xfId="1" applyFont="1"/>
    <xf numFmtId="0" fontId="1" fillId="9" borderId="2" xfId="1" applyFont="1" applyFill="1" applyBorder="1" applyAlignment="1">
      <alignment horizontal="center" vertical="center" wrapText="1"/>
    </xf>
    <xf numFmtId="0" fontId="1" fillId="10" borderId="2" xfId="1" applyFont="1" applyFill="1" applyBorder="1" applyAlignment="1">
      <alignment horizontal="center" vertical="center" wrapText="1"/>
    </xf>
    <xf numFmtId="2" fontId="1" fillId="9" borderId="2" xfId="1" applyNumberFormat="1" applyFont="1" applyFill="1" applyBorder="1" applyAlignment="1">
      <alignment horizontal="center" vertical="center" wrapText="1"/>
    </xf>
    <xf numFmtId="0" fontId="11" fillId="11" borderId="2" xfId="1" applyFont="1" applyFill="1" applyBorder="1" applyAlignment="1">
      <alignment horizontal="center" vertical="center" wrapText="1"/>
    </xf>
    <xf numFmtId="0" fontId="1" fillId="12" borderId="2" xfId="1" applyFont="1" applyFill="1" applyBorder="1" applyAlignment="1">
      <alignment horizontal="center" vertical="center" wrapText="1"/>
    </xf>
    <xf numFmtId="0" fontId="1" fillId="13" borderId="2" xfId="1" applyFont="1" applyFill="1" applyBorder="1" applyAlignment="1">
      <alignment horizontal="center" vertical="center" wrapText="1"/>
    </xf>
    <xf numFmtId="0" fontId="1" fillId="14" borderId="2" xfId="1" applyFont="1" applyFill="1" applyBorder="1" applyAlignment="1">
      <alignment horizontal="center" vertical="center" wrapText="1"/>
    </xf>
    <xf numFmtId="0" fontId="6" fillId="15" borderId="2" xfId="1" applyFont="1" applyFill="1" applyBorder="1" applyAlignment="1">
      <alignment horizontal="center" vertical="center" wrapText="1"/>
    </xf>
    <xf numFmtId="0" fontId="11" fillId="15" borderId="2" xfId="1" applyFont="1" applyFill="1" applyBorder="1" applyAlignment="1">
      <alignment horizontal="center" vertical="center" wrapText="1"/>
    </xf>
    <xf numFmtId="0" fontId="1" fillId="15" borderId="2" xfId="1" applyFont="1" applyFill="1" applyBorder="1" applyAlignment="1">
      <alignment horizontal="center" vertical="center" wrapText="1"/>
    </xf>
    <xf numFmtId="0" fontId="1" fillId="16" borderId="2" xfId="1" applyFont="1" applyFill="1" applyBorder="1" applyAlignment="1">
      <alignment horizontal="center" vertical="center" wrapText="1"/>
    </xf>
    <xf numFmtId="0" fontId="14" fillId="0" borderId="3" xfId="1" applyFont="1" applyBorder="1" applyAlignment="1">
      <alignment horizontal="center"/>
    </xf>
    <xf numFmtId="0" fontId="15" fillId="18" borderId="7" xfId="1" applyFont="1" applyFill="1" applyBorder="1" applyAlignment="1">
      <alignment horizontal="center" vertical="center"/>
    </xf>
    <xf numFmtId="0" fontId="15" fillId="18" borderId="6" xfId="1" applyFont="1" applyFill="1" applyBorder="1" applyAlignment="1">
      <alignment horizontal="center" vertical="center"/>
    </xf>
    <xf numFmtId="0" fontId="15" fillId="18" borderId="5" xfId="1" applyFont="1" applyFill="1" applyBorder="1" applyAlignment="1">
      <alignment horizontal="center" vertical="center"/>
    </xf>
    <xf numFmtId="0" fontId="14" fillId="0" borderId="4" xfId="1" applyFont="1" applyBorder="1" applyAlignment="1">
      <alignment horizontal="center"/>
    </xf>
    <xf numFmtId="0" fontId="15" fillId="17" borderId="3" xfId="1" applyFont="1" applyFill="1" applyBorder="1" applyAlignment="1">
      <alignment horizontal="center"/>
    </xf>
    <xf numFmtId="0" fontId="16" fillId="0" borderId="3" xfId="1" applyFont="1" applyBorder="1" applyAlignment="1">
      <alignment horizontal="center"/>
    </xf>
    <xf numFmtId="0" fontId="15" fillId="17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7F6FF122-745E-4AD9-93B7-3B6B425E4B3D}"/>
  </cellStyles>
  <dxfs count="12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BIOSAMPLES/BioSample%20Inventory%20ACTIVE.xlsx" TargetMode="External"/><Relationship Id="rId2" Type="http://schemas.openxmlformats.org/officeDocument/2006/relationships/externalLinkPath" Target="file:///G:\Research\BIOSAMPLES\BioSample%20Inventory%20ACTIVE.xlsx" TargetMode="External"/><Relationship Id="rId1" Type="http://schemas.openxmlformats.org/officeDocument/2006/relationships/externalLinkPath" Target="/Research/BIOSAMPLES/BioSample%20Inventory%20ACT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lood_Products"/>
      <sheetName val="Feces"/>
      <sheetName val="Urine"/>
      <sheetName val="Tissues"/>
      <sheetName val="Brains"/>
      <sheetName val="Cadavers"/>
      <sheetName val="SUMMARY"/>
      <sheetName val="Animal_List"/>
      <sheetName val="Options"/>
      <sheetName val="Admin"/>
      <sheetName val="Read Me"/>
      <sheetName val="Unidentified Samples"/>
    </sheetNames>
    <sheetDataSet>
      <sheetData sheetId="0">
        <row r="1">
          <cell r="A1" t="str">
            <v>Filter</v>
          </cell>
          <cell r="K1" t="str">
            <v>Species</v>
          </cell>
          <cell r="M1" t="str">
            <v>Sex</v>
          </cell>
          <cell r="AB1" t="str">
            <v>Sample Type</v>
          </cell>
          <cell r="AF1" t="str">
            <v>Amount</v>
          </cell>
        </row>
        <row r="2">
          <cell r="A2" t="str">
            <v>IS_alqt_plus</v>
          </cell>
          <cell r="K2" t="str">
            <v>DMAD</v>
          </cell>
          <cell r="M2" t="str">
            <v>M</v>
          </cell>
          <cell r="AB2" t="str">
            <v>serum</v>
          </cell>
          <cell r="AF2">
            <v>0.5</v>
          </cell>
        </row>
        <row r="3">
          <cell r="A3" t="str">
            <v>IS_alqt_plus</v>
          </cell>
          <cell r="K3" t="str">
            <v>VVV</v>
          </cell>
          <cell r="M3" t="str">
            <v>F</v>
          </cell>
          <cell r="AB3" t="str">
            <v>serum</v>
          </cell>
          <cell r="AF3">
            <v>0.5</v>
          </cell>
        </row>
        <row r="4">
          <cell r="A4" t="str">
            <v>IS_alqt_plus</v>
          </cell>
          <cell r="K4" t="str">
            <v>VVV</v>
          </cell>
          <cell r="M4" t="str">
            <v>M</v>
          </cell>
          <cell r="AB4" t="str">
            <v>serum</v>
          </cell>
          <cell r="AF4">
            <v>0.5</v>
          </cell>
        </row>
        <row r="5">
          <cell r="A5" t="str">
            <v>IS_alqt_plus</v>
          </cell>
          <cell r="K5" t="str">
            <v>VVV</v>
          </cell>
          <cell r="M5" t="str">
            <v>M</v>
          </cell>
          <cell r="AB5" t="str">
            <v>serum</v>
          </cell>
          <cell r="AF5">
            <v>0.5</v>
          </cell>
        </row>
        <row r="6">
          <cell r="A6" t="str">
            <v>IS_alqt_plus</v>
          </cell>
          <cell r="K6" t="str">
            <v>VVV</v>
          </cell>
          <cell r="M6" t="str">
            <v>M</v>
          </cell>
          <cell r="AB6" t="str">
            <v>serum</v>
          </cell>
          <cell r="AF6">
            <v>1.2</v>
          </cell>
        </row>
        <row r="7">
          <cell r="A7" t="str">
            <v>IS_alqt_plus</v>
          </cell>
          <cell r="K7" t="str">
            <v>VVV</v>
          </cell>
          <cell r="M7" t="str">
            <v>M</v>
          </cell>
          <cell r="AB7" t="str">
            <v>serum</v>
          </cell>
          <cell r="AF7">
            <v>1.3</v>
          </cell>
        </row>
        <row r="8">
          <cell r="A8" t="str">
            <v>IS_alqt_plus</v>
          </cell>
          <cell r="K8" t="str">
            <v>VVV</v>
          </cell>
          <cell r="M8" t="str">
            <v>M</v>
          </cell>
          <cell r="AB8" t="str">
            <v>serum</v>
          </cell>
          <cell r="AF8">
            <v>0.75</v>
          </cell>
        </row>
        <row r="9">
          <cell r="A9" t="str">
            <v>IS_alqt_plus</v>
          </cell>
          <cell r="K9" t="str">
            <v>VVV</v>
          </cell>
          <cell r="M9" t="str">
            <v>F</v>
          </cell>
          <cell r="AB9" t="str">
            <v>serum</v>
          </cell>
          <cell r="AF9">
            <v>0.45</v>
          </cell>
        </row>
        <row r="10">
          <cell r="A10" t="str">
            <v>IS_alqt_plus</v>
          </cell>
          <cell r="K10" t="str">
            <v>ECOL</v>
          </cell>
          <cell r="M10" t="str">
            <v>M</v>
          </cell>
          <cell r="AB10" t="str">
            <v>serum</v>
          </cell>
          <cell r="AF10">
            <v>0.25</v>
          </cell>
        </row>
        <row r="11">
          <cell r="A11" t="str">
            <v>IS_alqt_plus</v>
          </cell>
          <cell r="K11" t="str">
            <v>VVV</v>
          </cell>
          <cell r="M11" t="str">
            <v>F</v>
          </cell>
          <cell r="AB11" t="str">
            <v>serum</v>
          </cell>
          <cell r="AF11">
            <v>0.75</v>
          </cell>
        </row>
        <row r="12">
          <cell r="A12" t="str">
            <v>IS_alqt_plus</v>
          </cell>
          <cell r="K12" t="str">
            <v>VVV</v>
          </cell>
          <cell r="M12" t="str">
            <v>F</v>
          </cell>
          <cell r="AB12" t="str">
            <v>serum</v>
          </cell>
          <cell r="AF12">
            <v>0.75</v>
          </cell>
        </row>
        <row r="13">
          <cell r="A13" t="str">
            <v>IS_alqt_plus</v>
          </cell>
          <cell r="K13" t="str">
            <v>VVV</v>
          </cell>
          <cell r="M13" t="str">
            <v>F</v>
          </cell>
          <cell r="AB13" t="str">
            <v>serum</v>
          </cell>
          <cell r="AF13">
            <v>0.55000000000000004</v>
          </cell>
        </row>
        <row r="14">
          <cell r="A14" t="str">
            <v>IS_alqt_plus</v>
          </cell>
          <cell r="K14" t="str">
            <v>VVV</v>
          </cell>
          <cell r="M14" t="str">
            <v>M</v>
          </cell>
          <cell r="AB14" t="str">
            <v>serum</v>
          </cell>
          <cell r="AF14">
            <v>0.4</v>
          </cell>
        </row>
        <row r="15">
          <cell r="A15" t="str">
            <v>IS_alqt_plus</v>
          </cell>
          <cell r="K15" t="str">
            <v>EUL</v>
          </cell>
          <cell r="M15" t="str">
            <v>M</v>
          </cell>
          <cell r="AB15" t="str">
            <v>serum</v>
          </cell>
          <cell r="AF15">
            <v>1</v>
          </cell>
        </row>
        <row r="16">
          <cell r="A16" t="str">
            <v>IS_alqt_plus</v>
          </cell>
          <cell r="K16" t="str">
            <v>VVV</v>
          </cell>
          <cell r="M16" t="str">
            <v>F</v>
          </cell>
          <cell r="AB16" t="str">
            <v>serum</v>
          </cell>
          <cell r="AF16">
            <v>0.5</v>
          </cell>
        </row>
        <row r="17">
          <cell r="A17" t="str">
            <v>IS_alqt_plus</v>
          </cell>
          <cell r="K17" t="str">
            <v>EFUL</v>
          </cell>
          <cell r="M17" t="str">
            <v>M</v>
          </cell>
          <cell r="AB17" t="str">
            <v>serum</v>
          </cell>
          <cell r="AF17">
            <v>0.3</v>
          </cell>
        </row>
        <row r="18">
          <cell r="A18" t="str">
            <v>IS_alqt_plus</v>
          </cell>
          <cell r="K18" t="str">
            <v>LCAT</v>
          </cell>
          <cell r="M18" t="str">
            <v>M</v>
          </cell>
          <cell r="AB18" t="str">
            <v>serum</v>
          </cell>
          <cell r="AF18">
            <v>0.5</v>
          </cell>
        </row>
        <row r="19">
          <cell r="A19" t="str">
            <v>IS_alqt_plus</v>
          </cell>
          <cell r="K19" t="str">
            <v>VVV</v>
          </cell>
          <cell r="M19" t="str">
            <v>F</v>
          </cell>
          <cell r="AB19" t="str">
            <v>serum</v>
          </cell>
          <cell r="AF19">
            <v>1</v>
          </cell>
        </row>
        <row r="20">
          <cell r="A20" t="str">
            <v>IS_alqt_plus</v>
          </cell>
          <cell r="K20" t="str">
            <v>VVV</v>
          </cell>
          <cell r="M20" t="str">
            <v>F</v>
          </cell>
          <cell r="AB20" t="str">
            <v>serum</v>
          </cell>
          <cell r="AF20">
            <v>0.5</v>
          </cell>
        </row>
        <row r="21">
          <cell r="A21" t="str">
            <v>IS_alqt_plus</v>
          </cell>
          <cell r="K21" t="str">
            <v>VVV</v>
          </cell>
          <cell r="M21" t="str">
            <v>M</v>
          </cell>
          <cell r="AB21" t="str">
            <v>serum</v>
          </cell>
          <cell r="AF21">
            <v>0.75</v>
          </cell>
        </row>
        <row r="22">
          <cell r="A22" t="str">
            <v>IS_alqt_plus</v>
          </cell>
          <cell r="K22" t="str">
            <v>VVV</v>
          </cell>
          <cell r="M22" t="str">
            <v>M</v>
          </cell>
          <cell r="AB22" t="str">
            <v>serum</v>
          </cell>
          <cell r="AF22">
            <v>1</v>
          </cell>
        </row>
        <row r="23">
          <cell r="A23" t="str">
            <v>IS_alqt_plus</v>
          </cell>
          <cell r="K23" t="str">
            <v>VVV</v>
          </cell>
          <cell r="M23" t="str">
            <v>M</v>
          </cell>
          <cell r="AB23" t="str">
            <v>serum</v>
          </cell>
          <cell r="AF23">
            <v>1.25</v>
          </cell>
        </row>
        <row r="24">
          <cell r="A24" t="str">
            <v>IS_alqt_plus</v>
          </cell>
          <cell r="K24" t="str">
            <v>VVV</v>
          </cell>
          <cell r="M24" t="str">
            <v>M</v>
          </cell>
          <cell r="AB24" t="str">
            <v>serum</v>
          </cell>
          <cell r="AF24">
            <v>1.2</v>
          </cell>
        </row>
        <row r="25">
          <cell r="A25" t="str">
            <v>IS_alqt_plus</v>
          </cell>
          <cell r="K25" t="str">
            <v>VVV</v>
          </cell>
          <cell r="M25" t="str">
            <v>F</v>
          </cell>
          <cell r="AB25" t="str">
            <v>serum</v>
          </cell>
          <cell r="AF25">
            <v>1.2</v>
          </cell>
        </row>
        <row r="26">
          <cell r="A26" t="str">
            <v>IS_alqt_plus</v>
          </cell>
          <cell r="K26" t="str">
            <v>VVV</v>
          </cell>
          <cell r="M26" t="str">
            <v>F</v>
          </cell>
          <cell r="AB26" t="str">
            <v>serum</v>
          </cell>
          <cell r="AF26">
            <v>0.55000000000000004</v>
          </cell>
        </row>
        <row r="27">
          <cell r="A27" t="str">
            <v>IS_alqt_plus</v>
          </cell>
          <cell r="K27" t="str">
            <v>VVV</v>
          </cell>
          <cell r="M27" t="str">
            <v>M</v>
          </cell>
          <cell r="AB27" t="str">
            <v>serum</v>
          </cell>
          <cell r="AF27">
            <v>1</v>
          </cell>
        </row>
        <row r="28">
          <cell r="A28" t="str">
            <v>IS_alqt_plus</v>
          </cell>
          <cell r="K28" t="str">
            <v>VVV</v>
          </cell>
          <cell r="M28" t="str">
            <v>M</v>
          </cell>
          <cell r="AB28" t="str">
            <v>serum</v>
          </cell>
          <cell r="AF28">
            <v>0.75</v>
          </cell>
        </row>
        <row r="29">
          <cell r="A29" t="str">
            <v>IS_alqt_plus</v>
          </cell>
          <cell r="K29" t="str">
            <v>PDIA</v>
          </cell>
          <cell r="M29" t="str">
            <v>F</v>
          </cell>
          <cell r="AB29" t="str">
            <v>serum</v>
          </cell>
          <cell r="AF29">
            <v>0.6</v>
          </cell>
        </row>
        <row r="30">
          <cell r="A30" t="str">
            <v>IS_alqt_plus</v>
          </cell>
          <cell r="K30" t="str">
            <v>PDIA</v>
          </cell>
          <cell r="M30" t="str">
            <v>F</v>
          </cell>
          <cell r="AB30" t="str">
            <v>serum</v>
          </cell>
          <cell r="AF30">
            <v>0.8</v>
          </cell>
        </row>
        <row r="31">
          <cell r="A31" t="str">
            <v>IS_alqt_plus</v>
          </cell>
          <cell r="K31" t="str">
            <v>PDIA</v>
          </cell>
          <cell r="M31" t="str">
            <v>F</v>
          </cell>
          <cell r="AB31" t="str">
            <v>serum</v>
          </cell>
          <cell r="AF31">
            <v>0.6</v>
          </cell>
        </row>
        <row r="32">
          <cell r="A32" t="str">
            <v>IS_alqt_plus</v>
          </cell>
          <cell r="K32" t="str">
            <v>PDIA</v>
          </cell>
          <cell r="M32" t="str">
            <v>F</v>
          </cell>
          <cell r="AB32" t="str">
            <v>serum</v>
          </cell>
          <cell r="AF32">
            <v>1.2</v>
          </cell>
        </row>
        <row r="33">
          <cell r="A33" t="str">
            <v>IS_alqt_plus</v>
          </cell>
          <cell r="K33" t="str">
            <v>PDIA</v>
          </cell>
          <cell r="M33" t="str">
            <v>F</v>
          </cell>
          <cell r="AB33" t="str">
            <v>serum</v>
          </cell>
          <cell r="AF33">
            <v>1.2</v>
          </cell>
        </row>
        <row r="34">
          <cell r="A34" t="str">
            <v>IS_alqt_plus</v>
          </cell>
          <cell r="K34" t="str">
            <v>PDIA</v>
          </cell>
          <cell r="M34" t="str">
            <v>F</v>
          </cell>
          <cell r="AB34" t="str">
            <v>serum</v>
          </cell>
          <cell r="AF34">
            <v>0.6</v>
          </cell>
        </row>
        <row r="35">
          <cell r="A35" t="str">
            <v>IS_alqt_plus</v>
          </cell>
          <cell r="K35" t="str">
            <v>PDIA</v>
          </cell>
          <cell r="M35" t="str">
            <v>F</v>
          </cell>
          <cell r="AB35" t="str">
            <v>serum</v>
          </cell>
          <cell r="AF35">
            <v>1.2</v>
          </cell>
        </row>
        <row r="36">
          <cell r="A36" t="str">
            <v>IS_alqt_minus</v>
          </cell>
          <cell r="K36" t="str">
            <v>PDIA</v>
          </cell>
          <cell r="M36" t="str">
            <v>M</v>
          </cell>
          <cell r="AB36" t="str">
            <v>serum</v>
          </cell>
          <cell r="AF36">
            <v>0.06</v>
          </cell>
        </row>
        <row r="37">
          <cell r="A37" t="str">
            <v>IS_alqt_plus</v>
          </cell>
          <cell r="K37" t="str">
            <v>VVV</v>
          </cell>
          <cell r="M37" t="str">
            <v>F</v>
          </cell>
          <cell r="AB37" t="str">
            <v>serum</v>
          </cell>
          <cell r="AF37">
            <v>0.75</v>
          </cell>
        </row>
        <row r="38">
          <cell r="A38" t="str">
            <v>IS_alqt_plus</v>
          </cell>
          <cell r="K38" t="str">
            <v>VVV</v>
          </cell>
          <cell r="M38" t="str">
            <v>F</v>
          </cell>
          <cell r="AB38" t="str">
            <v>serum</v>
          </cell>
          <cell r="AF38">
            <v>2</v>
          </cell>
        </row>
        <row r="39">
          <cell r="A39" t="str">
            <v>IS_alqt_plus</v>
          </cell>
          <cell r="K39" t="str">
            <v>VVV</v>
          </cell>
          <cell r="M39" t="str">
            <v>M</v>
          </cell>
          <cell r="AB39" t="str">
            <v>serum</v>
          </cell>
          <cell r="AF39">
            <v>1.25</v>
          </cell>
        </row>
        <row r="40">
          <cell r="A40" t="str">
            <v>IS_alqt_plus</v>
          </cell>
          <cell r="K40" t="str">
            <v>VVV</v>
          </cell>
          <cell r="M40" t="str">
            <v>M</v>
          </cell>
          <cell r="AB40" t="str">
            <v>serum</v>
          </cell>
          <cell r="AF40">
            <v>1.5</v>
          </cell>
        </row>
        <row r="41">
          <cell r="A41" t="str">
            <v>IS_alqt_plus</v>
          </cell>
          <cell r="K41" t="str">
            <v>VVV</v>
          </cell>
          <cell r="M41" t="str">
            <v>M</v>
          </cell>
          <cell r="AB41" t="str">
            <v>serum</v>
          </cell>
          <cell r="AF41">
            <v>1</v>
          </cell>
        </row>
        <row r="42">
          <cell r="A42" t="str">
            <v>IS_alqt_plus</v>
          </cell>
          <cell r="K42" t="str">
            <v>VVV</v>
          </cell>
          <cell r="M42" t="str">
            <v>M</v>
          </cell>
          <cell r="AB42" t="str">
            <v>serum</v>
          </cell>
          <cell r="AF42">
            <v>1.5</v>
          </cell>
        </row>
        <row r="43">
          <cell r="A43" t="str">
            <v>IS_alqt_plus</v>
          </cell>
          <cell r="K43" t="str">
            <v>VVV</v>
          </cell>
          <cell r="M43" t="str">
            <v>M</v>
          </cell>
          <cell r="AB43" t="str">
            <v>serum</v>
          </cell>
          <cell r="AF43">
            <v>1.5</v>
          </cell>
        </row>
        <row r="44">
          <cell r="A44" t="str">
            <v>IS_alqt_plus</v>
          </cell>
          <cell r="K44" t="str">
            <v>VVV</v>
          </cell>
          <cell r="M44" t="str">
            <v>F</v>
          </cell>
          <cell r="AB44" t="str">
            <v>serum</v>
          </cell>
          <cell r="AF44">
            <v>1</v>
          </cell>
        </row>
        <row r="45">
          <cell r="A45" t="str">
            <v>IS_alqt_plus</v>
          </cell>
          <cell r="K45" t="str">
            <v>VVV</v>
          </cell>
          <cell r="M45" t="str">
            <v>M</v>
          </cell>
          <cell r="AB45" t="str">
            <v>serum</v>
          </cell>
          <cell r="AF45">
            <v>0.75</v>
          </cell>
        </row>
        <row r="46">
          <cell r="A46" t="str">
            <v>IS_alqt_plus</v>
          </cell>
          <cell r="K46" t="str">
            <v>VVV</v>
          </cell>
          <cell r="M46" t="str">
            <v>F</v>
          </cell>
          <cell r="AB46" t="str">
            <v>serum</v>
          </cell>
          <cell r="AF46">
            <v>1.5</v>
          </cell>
        </row>
        <row r="47">
          <cell r="A47" t="str">
            <v>unk</v>
          </cell>
          <cell r="K47" t="str">
            <v>EMON</v>
          </cell>
          <cell r="M47" t="str">
            <v>F</v>
          </cell>
          <cell r="AB47" t="str">
            <v>Serum</v>
          </cell>
          <cell r="AF47">
            <v>2</v>
          </cell>
        </row>
        <row r="48">
          <cell r="A48" t="str">
            <v>IS_alqt_plus</v>
          </cell>
          <cell r="K48" t="str">
            <v>VVV</v>
          </cell>
          <cell r="M48" t="str">
            <v>F</v>
          </cell>
          <cell r="AB48" t="str">
            <v>serum</v>
          </cell>
          <cell r="AF48">
            <v>1</v>
          </cell>
        </row>
        <row r="49">
          <cell r="A49" t="str">
            <v>IS_alqt_plus</v>
          </cell>
          <cell r="K49" t="str">
            <v>VVV</v>
          </cell>
          <cell r="M49" t="str">
            <v>M</v>
          </cell>
          <cell r="AB49" t="str">
            <v>serum</v>
          </cell>
          <cell r="AF49">
            <v>1</v>
          </cell>
        </row>
        <row r="50">
          <cell r="A50" t="str">
            <v>unk</v>
          </cell>
          <cell r="K50" t="str">
            <v>PDIA</v>
          </cell>
          <cell r="M50" t="str">
            <v>M</v>
          </cell>
          <cell r="AB50" t="str">
            <v>serum</v>
          </cell>
          <cell r="AF50">
            <v>5</v>
          </cell>
        </row>
        <row r="51">
          <cell r="A51" t="str">
            <v>unk</v>
          </cell>
          <cell r="K51" t="str">
            <v>PDIA</v>
          </cell>
          <cell r="M51" t="str">
            <v>M</v>
          </cell>
          <cell r="AB51" t="str">
            <v>serum</v>
          </cell>
          <cell r="AF51">
            <v>5</v>
          </cell>
        </row>
        <row r="52">
          <cell r="A52" t="str">
            <v>unk</v>
          </cell>
          <cell r="K52" t="str">
            <v>PDIA</v>
          </cell>
          <cell r="M52" t="str">
            <v>M</v>
          </cell>
          <cell r="AB52" t="str">
            <v>serum</v>
          </cell>
          <cell r="AF52">
            <v>5</v>
          </cell>
        </row>
        <row r="53">
          <cell r="A53" t="str">
            <v>unk</v>
          </cell>
          <cell r="K53" t="str">
            <v>PDIA</v>
          </cell>
          <cell r="M53" t="str">
            <v>M</v>
          </cell>
          <cell r="AB53" t="str">
            <v>serum</v>
          </cell>
          <cell r="AF53">
            <v>5</v>
          </cell>
        </row>
        <row r="54">
          <cell r="A54" t="str">
            <v>unk</v>
          </cell>
          <cell r="K54" t="str">
            <v>PDIA</v>
          </cell>
          <cell r="M54" t="str">
            <v>M</v>
          </cell>
          <cell r="AB54" t="str">
            <v>serum</v>
          </cell>
          <cell r="AF54">
            <v>5</v>
          </cell>
        </row>
        <row r="55">
          <cell r="A55" t="str">
            <v>unk</v>
          </cell>
          <cell r="K55" t="str">
            <v>PDIA</v>
          </cell>
          <cell r="M55" t="str">
            <v>M</v>
          </cell>
          <cell r="AB55" t="str">
            <v>serum</v>
          </cell>
          <cell r="AF55">
            <v>5</v>
          </cell>
        </row>
        <row r="56">
          <cell r="A56" t="str">
            <v>IS_alqt_plus</v>
          </cell>
          <cell r="K56" t="str">
            <v>HGG</v>
          </cell>
          <cell r="M56" t="str">
            <v>F</v>
          </cell>
          <cell r="AB56" t="str">
            <v>serum</v>
          </cell>
          <cell r="AF56">
            <v>1.5</v>
          </cell>
        </row>
        <row r="57">
          <cell r="A57" t="str">
            <v>IS_alqt_minus</v>
          </cell>
          <cell r="K57" t="str">
            <v>HGG</v>
          </cell>
          <cell r="M57" t="str">
            <v>M</v>
          </cell>
          <cell r="AB57" t="str">
            <v>serum</v>
          </cell>
          <cell r="AF57">
            <v>0.1</v>
          </cell>
        </row>
        <row r="58">
          <cell r="A58" t="str">
            <v>IS_alqt_plus</v>
          </cell>
          <cell r="K58" t="str">
            <v>DMAD</v>
          </cell>
          <cell r="M58" t="str">
            <v>F</v>
          </cell>
          <cell r="AB58" t="str">
            <v>serum</v>
          </cell>
          <cell r="AF58">
            <v>0.6</v>
          </cell>
        </row>
        <row r="59">
          <cell r="A59" t="str">
            <v>IS_alqt_plus</v>
          </cell>
          <cell r="K59" t="str">
            <v>HGG</v>
          </cell>
          <cell r="M59" t="str">
            <v>M</v>
          </cell>
          <cell r="AB59" t="str">
            <v>serum</v>
          </cell>
          <cell r="AF59">
            <v>1</v>
          </cell>
        </row>
        <row r="60">
          <cell r="A60" t="str">
            <v>IS_alqt_plus</v>
          </cell>
          <cell r="K60" t="str">
            <v>HGG</v>
          </cell>
          <cell r="M60" t="str">
            <v>M</v>
          </cell>
          <cell r="AB60" t="str">
            <v>serum</v>
          </cell>
          <cell r="AF60">
            <v>1.5</v>
          </cell>
        </row>
        <row r="61">
          <cell r="A61" t="str">
            <v>IS_alqt_plus</v>
          </cell>
          <cell r="K61" t="str">
            <v>HGG</v>
          </cell>
          <cell r="M61" t="str">
            <v>M</v>
          </cell>
          <cell r="AB61" t="str">
            <v>serum</v>
          </cell>
          <cell r="AF61">
            <v>1.5</v>
          </cell>
        </row>
        <row r="62">
          <cell r="A62" t="str">
            <v>IS_alqt_plus</v>
          </cell>
          <cell r="K62" t="str">
            <v>HGG</v>
          </cell>
          <cell r="M62" t="str">
            <v>M</v>
          </cell>
          <cell r="AB62" t="str">
            <v>serum</v>
          </cell>
          <cell r="AF62">
            <v>1.5</v>
          </cell>
        </row>
        <row r="63">
          <cell r="A63" t="str">
            <v>IS_alqt_plus</v>
          </cell>
          <cell r="K63" t="str">
            <v>HGG</v>
          </cell>
          <cell r="M63" t="str">
            <v>M</v>
          </cell>
          <cell r="AB63" t="str">
            <v>serum</v>
          </cell>
          <cell r="AF63">
            <v>1.5</v>
          </cell>
        </row>
        <row r="64">
          <cell r="A64" t="str">
            <v>IS_alqt_plus</v>
          </cell>
          <cell r="K64" t="str">
            <v>HGG</v>
          </cell>
          <cell r="M64" t="str">
            <v>M</v>
          </cell>
          <cell r="AB64" t="str">
            <v>serum</v>
          </cell>
          <cell r="AF64">
            <v>1.5</v>
          </cell>
        </row>
        <row r="65">
          <cell r="A65" t="str">
            <v>IS_alqt_plus</v>
          </cell>
          <cell r="K65" t="str">
            <v>HGG</v>
          </cell>
          <cell r="M65" t="str">
            <v>M</v>
          </cell>
          <cell r="AB65" t="str">
            <v>serum</v>
          </cell>
          <cell r="AF65">
            <v>1.5</v>
          </cell>
        </row>
        <row r="66">
          <cell r="A66" t="str">
            <v>IS_alqt_plus</v>
          </cell>
          <cell r="K66" t="str">
            <v>HGG</v>
          </cell>
          <cell r="M66" t="str">
            <v>M</v>
          </cell>
          <cell r="AB66" t="str">
            <v>serum</v>
          </cell>
          <cell r="AF66">
            <v>1.5</v>
          </cell>
        </row>
        <row r="67">
          <cell r="A67" t="str">
            <v>IS_alqt_plus</v>
          </cell>
          <cell r="K67" t="str">
            <v>HGG</v>
          </cell>
          <cell r="M67" t="str">
            <v>M</v>
          </cell>
          <cell r="AB67" t="str">
            <v>serum</v>
          </cell>
          <cell r="AF67">
            <v>1.5</v>
          </cell>
        </row>
        <row r="68">
          <cell r="A68" t="str">
            <v>IS_alqt_plus</v>
          </cell>
          <cell r="K68" t="str">
            <v>ECOL</v>
          </cell>
          <cell r="M68" t="str">
            <v>F</v>
          </cell>
          <cell r="AB68" t="str">
            <v>serum</v>
          </cell>
          <cell r="AF68">
            <v>1.5</v>
          </cell>
        </row>
        <row r="69">
          <cell r="A69" t="str">
            <v>IS_alqt_plus</v>
          </cell>
          <cell r="K69" t="str">
            <v>ECOL</v>
          </cell>
          <cell r="M69" t="str">
            <v>F</v>
          </cell>
          <cell r="AB69" t="str">
            <v>serum</v>
          </cell>
          <cell r="AF69">
            <v>1.5</v>
          </cell>
        </row>
        <row r="70">
          <cell r="A70" t="str">
            <v>IS_alqt_plus</v>
          </cell>
          <cell r="K70" t="str">
            <v>ECOL</v>
          </cell>
          <cell r="M70" t="str">
            <v>F</v>
          </cell>
          <cell r="AB70" t="str">
            <v>serum</v>
          </cell>
          <cell r="AF70">
            <v>1.5</v>
          </cell>
        </row>
        <row r="71">
          <cell r="A71" t="str">
            <v>IS_alqt_plus</v>
          </cell>
          <cell r="K71" t="str">
            <v>ECOL</v>
          </cell>
          <cell r="M71" t="str">
            <v>F</v>
          </cell>
          <cell r="AB71" t="str">
            <v>serum</v>
          </cell>
          <cell r="AF71">
            <v>1.5</v>
          </cell>
        </row>
        <row r="72">
          <cell r="A72" t="str">
            <v>IS_alqt_plus</v>
          </cell>
          <cell r="K72" t="str">
            <v>ECOL</v>
          </cell>
          <cell r="M72" t="str">
            <v>F</v>
          </cell>
          <cell r="AB72" t="str">
            <v>serum</v>
          </cell>
          <cell r="AF72">
            <v>1.5</v>
          </cell>
        </row>
        <row r="73">
          <cell r="A73" t="str">
            <v>IS_alqt_plus</v>
          </cell>
          <cell r="K73" t="str">
            <v>ECOL</v>
          </cell>
          <cell r="M73" t="str">
            <v>F</v>
          </cell>
          <cell r="AB73" t="str">
            <v>serum</v>
          </cell>
          <cell r="AF73">
            <v>1.5</v>
          </cell>
        </row>
        <row r="74">
          <cell r="A74" t="str">
            <v>IS_alqt_plus</v>
          </cell>
          <cell r="K74" t="str">
            <v>ECOL</v>
          </cell>
          <cell r="M74" t="str">
            <v>F</v>
          </cell>
          <cell r="AB74" t="str">
            <v>serum</v>
          </cell>
          <cell r="AF74">
            <v>1.5</v>
          </cell>
        </row>
        <row r="75">
          <cell r="A75" t="str">
            <v>IS_alqt_plus</v>
          </cell>
          <cell r="K75" t="str">
            <v>ECOL</v>
          </cell>
          <cell r="M75" t="str">
            <v>F</v>
          </cell>
          <cell r="AB75" t="str">
            <v>serum</v>
          </cell>
          <cell r="AF75">
            <v>1.5</v>
          </cell>
        </row>
        <row r="76">
          <cell r="A76" t="str">
            <v>IS_alqt_plus</v>
          </cell>
          <cell r="K76" t="str">
            <v>ECOL</v>
          </cell>
          <cell r="M76" t="str">
            <v>F</v>
          </cell>
          <cell r="AB76" t="str">
            <v>serum</v>
          </cell>
          <cell r="AF76">
            <v>1.5</v>
          </cell>
        </row>
        <row r="77">
          <cell r="A77" t="str">
            <v>IS_alqt_plus</v>
          </cell>
          <cell r="K77" t="str">
            <v>ECOL</v>
          </cell>
          <cell r="M77" t="str">
            <v>F</v>
          </cell>
          <cell r="AB77" t="str">
            <v>serum</v>
          </cell>
          <cell r="AF77">
            <v>1.5</v>
          </cell>
        </row>
        <row r="78">
          <cell r="A78" t="str">
            <v>IS_alqt_plus</v>
          </cell>
          <cell r="K78" t="str">
            <v>ECOL</v>
          </cell>
          <cell r="M78" t="str">
            <v>F</v>
          </cell>
          <cell r="AB78" t="str">
            <v>serum</v>
          </cell>
          <cell r="AF78">
            <v>1.5</v>
          </cell>
        </row>
        <row r="79">
          <cell r="A79" t="str">
            <v>IS_alqt_plus</v>
          </cell>
          <cell r="K79" t="str">
            <v>ECOL</v>
          </cell>
          <cell r="M79" t="str">
            <v>F</v>
          </cell>
          <cell r="AB79" t="str">
            <v>serum</v>
          </cell>
          <cell r="AF79">
            <v>1.5</v>
          </cell>
        </row>
        <row r="80">
          <cell r="A80" t="str">
            <v>IS_alqt_plus</v>
          </cell>
          <cell r="K80" t="str">
            <v>ECOL</v>
          </cell>
          <cell r="M80" t="str">
            <v>F</v>
          </cell>
          <cell r="AB80" t="str">
            <v>serum</v>
          </cell>
          <cell r="AF80">
            <v>1.5</v>
          </cell>
        </row>
        <row r="81">
          <cell r="A81" t="str">
            <v>IS_alqt_plus</v>
          </cell>
          <cell r="K81" t="str">
            <v>ECOL</v>
          </cell>
          <cell r="M81" t="str">
            <v>F</v>
          </cell>
          <cell r="AB81" t="str">
            <v>serum</v>
          </cell>
          <cell r="AF81">
            <v>1.5</v>
          </cell>
        </row>
        <row r="82">
          <cell r="A82" t="str">
            <v>IS_alqt_plus</v>
          </cell>
          <cell r="K82" t="str">
            <v>ECOL</v>
          </cell>
          <cell r="M82" t="str">
            <v>F</v>
          </cell>
          <cell r="AB82" t="str">
            <v>serum</v>
          </cell>
          <cell r="AF82">
            <v>1.5</v>
          </cell>
        </row>
        <row r="83">
          <cell r="A83" t="str">
            <v>IS_alqt_plus</v>
          </cell>
          <cell r="K83" t="str">
            <v>ECOL</v>
          </cell>
          <cell r="M83" t="str">
            <v>F</v>
          </cell>
          <cell r="AB83" t="str">
            <v>serum</v>
          </cell>
          <cell r="AF83">
            <v>1</v>
          </cell>
        </row>
        <row r="84">
          <cell r="A84" t="str">
            <v>IS_alqt_plus</v>
          </cell>
          <cell r="K84" t="str">
            <v>DMAD</v>
          </cell>
          <cell r="M84" t="str">
            <v>F</v>
          </cell>
          <cell r="AB84" t="str">
            <v>serum</v>
          </cell>
          <cell r="AF84">
            <v>1.2</v>
          </cell>
        </row>
        <row r="85">
          <cell r="A85" t="str">
            <v>IS_alqt_plus</v>
          </cell>
          <cell r="K85" t="str">
            <v>DMAD</v>
          </cell>
          <cell r="M85" t="str">
            <v>F</v>
          </cell>
          <cell r="AB85" t="str">
            <v>serum</v>
          </cell>
          <cell r="AF85">
            <v>1.2</v>
          </cell>
        </row>
        <row r="86">
          <cell r="A86" t="str">
            <v>IS_alqt_plus</v>
          </cell>
          <cell r="K86" t="str">
            <v>DMAD</v>
          </cell>
          <cell r="M86" t="str">
            <v>F</v>
          </cell>
          <cell r="AB86" t="str">
            <v>serum</v>
          </cell>
          <cell r="AF86">
            <v>1</v>
          </cell>
        </row>
        <row r="87">
          <cell r="A87" t="str">
            <v>IS_alqt_plus</v>
          </cell>
          <cell r="K87" t="str">
            <v>DMAD</v>
          </cell>
          <cell r="M87" t="str">
            <v>F</v>
          </cell>
          <cell r="AB87" t="str">
            <v>serum</v>
          </cell>
          <cell r="AF87">
            <v>1.3</v>
          </cell>
        </row>
        <row r="88">
          <cell r="A88" t="str">
            <v>IS_alqt_plus</v>
          </cell>
          <cell r="K88" t="str">
            <v>DMAD</v>
          </cell>
          <cell r="M88" t="str">
            <v>F</v>
          </cell>
          <cell r="AB88" t="str">
            <v>serum</v>
          </cell>
          <cell r="AF88">
            <v>0.4</v>
          </cell>
        </row>
        <row r="89">
          <cell r="A89" t="str">
            <v>IS_alqt_plus</v>
          </cell>
          <cell r="K89" t="str">
            <v>DMAD</v>
          </cell>
          <cell r="M89" t="str">
            <v>F</v>
          </cell>
          <cell r="AB89" t="str">
            <v>serum</v>
          </cell>
          <cell r="AF89">
            <v>1.2</v>
          </cell>
        </row>
        <row r="90">
          <cell r="A90" t="str">
            <v>gone</v>
          </cell>
          <cell r="K90" t="str">
            <v>DMAD</v>
          </cell>
          <cell r="M90" t="str">
            <v>F</v>
          </cell>
          <cell r="AB90" t="str">
            <v>serum</v>
          </cell>
          <cell r="AF90">
            <v>0</v>
          </cell>
        </row>
        <row r="91">
          <cell r="A91" t="str">
            <v>IS_alqt_plus</v>
          </cell>
          <cell r="K91" t="str">
            <v>PPOT</v>
          </cell>
          <cell r="M91" t="str">
            <v>F</v>
          </cell>
          <cell r="AB91" t="str">
            <v>serum</v>
          </cell>
          <cell r="AF91">
            <v>0.7</v>
          </cell>
        </row>
        <row r="92">
          <cell r="A92" t="str">
            <v>IS_alqt_plus</v>
          </cell>
          <cell r="K92" t="str">
            <v>PPOT</v>
          </cell>
          <cell r="M92" t="str">
            <v>F</v>
          </cell>
          <cell r="AB92" t="str">
            <v>serum</v>
          </cell>
          <cell r="AF92">
            <v>1</v>
          </cell>
        </row>
        <row r="93">
          <cell r="A93" t="str">
            <v>IS_alqt_plus</v>
          </cell>
          <cell r="K93" t="str">
            <v>PPOT</v>
          </cell>
          <cell r="M93" t="str">
            <v>F</v>
          </cell>
          <cell r="AB93" t="str">
            <v>serum</v>
          </cell>
          <cell r="AF93">
            <v>1</v>
          </cell>
        </row>
        <row r="94">
          <cell r="A94" t="str">
            <v>IS_alqt_plus</v>
          </cell>
          <cell r="K94" t="str">
            <v>LCAT</v>
          </cell>
          <cell r="M94" t="str">
            <v>M</v>
          </cell>
          <cell r="AB94" t="str">
            <v>serum</v>
          </cell>
          <cell r="AF94">
            <v>1.5</v>
          </cell>
        </row>
        <row r="95">
          <cell r="A95" t="str">
            <v>IS_alqt_plus</v>
          </cell>
          <cell r="K95" t="str">
            <v>LCAT</v>
          </cell>
          <cell r="M95" t="str">
            <v>M</v>
          </cell>
          <cell r="AB95" t="str">
            <v>serum</v>
          </cell>
          <cell r="AF95">
            <v>2</v>
          </cell>
        </row>
        <row r="96">
          <cell r="A96" t="str">
            <v>IS_alqt_plus</v>
          </cell>
          <cell r="K96" t="str">
            <v>LCAT</v>
          </cell>
          <cell r="M96" t="str">
            <v>M</v>
          </cell>
          <cell r="AB96" t="str">
            <v>serum</v>
          </cell>
          <cell r="AF96">
            <v>2</v>
          </cell>
        </row>
        <row r="97">
          <cell r="A97" t="str">
            <v>IS_alqt_plus</v>
          </cell>
          <cell r="K97" t="str">
            <v>LCAT</v>
          </cell>
          <cell r="M97" t="str">
            <v>M</v>
          </cell>
          <cell r="AB97" t="str">
            <v>serum</v>
          </cell>
          <cell r="AF97">
            <v>1.5</v>
          </cell>
        </row>
        <row r="98">
          <cell r="A98" t="str">
            <v>IS_alqt_plus</v>
          </cell>
          <cell r="K98" t="str">
            <v>LCAT</v>
          </cell>
          <cell r="M98" t="str">
            <v>M</v>
          </cell>
          <cell r="AB98" t="str">
            <v>serum</v>
          </cell>
          <cell r="AF98">
            <v>1.5</v>
          </cell>
        </row>
        <row r="99">
          <cell r="A99" t="str">
            <v>IS_alqt_plus</v>
          </cell>
          <cell r="K99" t="str">
            <v>LCAT</v>
          </cell>
          <cell r="M99" t="str">
            <v>M</v>
          </cell>
          <cell r="AB99" t="str">
            <v>serum</v>
          </cell>
          <cell r="AF99">
            <v>2</v>
          </cell>
        </row>
        <row r="100">
          <cell r="A100" t="str">
            <v>IS_alqt_plus</v>
          </cell>
          <cell r="K100" t="str">
            <v>LCAT</v>
          </cell>
          <cell r="M100" t="str">
            <v>M</v>
          </cell>
          <cell r="AB100" t="str">
            <v>serum</v>
          </cell>
          <cell r="AF100">
            <v>2</v>
          </cell>
        </row>
        <row r="101">
          <cell r="A101" t="str">
            <v>IS_alqt_plus</v>
          </cell>
          <cell r="K101" t="str">
            <v>LCAT</v>
          </cell>
          <cell r="M101" t="str">
            <v>M</v>
          </cell>
          <cell r="AB101" t="str">
            <v>serum</v>
          </cell>
          <cell r="AF101">
            <v>2</v>
          </cell>
        </row>
        <row r="102">
          <cell r="A102" t="str">
            <v>IS_alqt_plus</v>
          </cell>
          <cell r="K102" t="str">
            <v>LCAT</v>
          </cell>
          <cell r="M102" t="str">
            <v>M</v>
          </cell>
          <cell r="AB102" t="str">
            <v>serum</v>
          </cell>
          <cell r="AF102">
            <v>1.5</v>
          </cell>
        </row>
        <row r="103">
          <cell r="A103" t="str">
            <v>IS_alqt_plus</v>
          </cell>
          <cell r="K103" t="str">
            <v>LCAT</v>
          </cell>
          <cell r="M103" t="str">
            <v>M</v>
          </cell>
          <cell r="AB103" t="str">
            <v>serum</v>
          </cell>
          <cell r="AF103">
            <v>1.5</v>
          </cell>
        </row>
        <row r="104">
          <cell r="A104" t="str">
            <v>IS_alqt_plus</v>
          </cell>
          <cell r="K104" t="str">
            <v>VVV</v>
          </cell>
          <cell r="M104" t="str">
            <v>M</v>
          </cell>
          <cell r="AB104" t="str">
            <v>serum</v>
          </cell>
          <cell r="AF104">
            <v>0.6</v>
          </cell>
        </row>
        <row r="105">
          <cell r="A105" t="str">
            <v>IS_alqt_plus</v>
          </cell>
          <cell r="K105" t="str">
            <v>VVV</v>
          </cell>
          <cell r="M105" t="str">
            <v>M</v>
          </cell>
          <cell r="AB105" t="str">
            <v>serum</v>
          </cell>
          <cell r="AF105">
            <v>0.5</v>
          </cell>
        </row>
        <row r="106">
          <cell r="A106" t="str">
            <v>IS_alqt_plus</v>
          </cell>
          <cell r="K106" t="str">
            <v>ECOR</v>
          </cell>
          <cell r="M106" t="str">
            <v>F</v>
          </cell>
          <cell r="AB106" t="str">
            <v>WB</v>
          </cell>
          <cell r="AF106">
            <v>1</v>
          </cell>
        </row>
        <row r="107">
          <cell r="A107" t="str">
            <v>IS_alqt_plus</v>
          </cell>
          <cell r="K107" t="str">
            <v>VVV</v>
          </cell>
          <cell r="M107" t="str">
            <v>F</v>
          </cell>
          <cell r="AB107" t="str">
            <v>serum</v>
          </cell>
          <cell r="AF107">
            <v>0.5</v>
          </cell>
        </row>
        <row r="108">
          <cell r="A108" t="str">
            <v>IS_alqt_plus</v>
          </cell>
          <cell r="K108" t="str">
            <v>HGG</v>
          </cell>
          <cell r="M108" t="str">
            <v>M</v>
          </cell>
          <cell r="AB108" t="str">
            <v>serum</v>
          </cell>
          <cell r="AF108">
            <v>0.3</v>
          </cell>
        </row>
        <row r="109">
          <cell r="A109" t="str">
            <v>IS_alqt_plus</v>
          </cell>
          <cell r="K109" t="str">
            <v>HGG</v>
          </cell>
          <cell r="M109" t="str">
            <v>M</v>
          </cell>
          <cell r="AB109" t="str">
            <v>serum</v>
          </cell>
          <cell r="AF109">
            <v>0.6</v>
          </cell>
        </row>
        <row r="110">
          <cell r="A110" t="str">
            <v>IS_alqt_plus</v>
          </cell>
          <cell r="K110" t="str">
            <v>HGG</v>
          </cell>
          <cell r="M110" t="str">
            <v>M</v>
          </cell>
          <cell r="AB110" t="str">
            <v>serum</v>
          </cell>
          <cell r="AF110">
            <v>1</v>
          </cell>
        </row>
        <row r="111">
          <cell r="A111" t="str">
            <v>IS_alqt_plus</v>
          </cell>
          <cell r="K111" t="str">
            <v>HGG</v>
          </cell>
          <cell r="M111" t="str">
            <v>M</v>
          </cell>
          <cell r="AB111" t="str">
            <v>serum</v>
          </cell>
          <cell r="AF111">
            <v>1</v>
          </cell>
        </row>
        <row r="112">
          <cell r="A112" t="str">
            <v>IS_alqt_plus</v>
          </cell>
          <cell r="K112" t="str">
            <v>HGG</v>
          </cell>
          <cell r="M112" t="str">
            <v>M</v>
          </cell>
          <cell r="AB112" t="str">
            <v>serum</v>
          </cell>
          <cell r="AF112">
            <v>0.8</v>
          </cell>
        </row>
        <row r="113">
          <cell r="A113" t="str">
            <v>IS_alqt_plus</v>
          </cell>
          <cell r="K113" t="str">
            <v>HGG</v>
          </cell>
          <cell r="M113" t="str">
            <v>M</v>
          </cell>
          <cell r="AB113" t="str">
            <v>serum</v>
          </cell>
          <cell r="AF113">
            <v>1</v>
          </cell>
        </row>
        <row r="114">
          <cell r="A114" t="str">
            <v>IS_alqt_plus</v>
          </cell>
          <cell r="K114" t="str">
            <v>HGG</v>
          </cell>
          <cell r="M114" t="str">
            <v>M</v>
          </cell>
          <cell r="AB114" t="str">
            <v>serum</v>
          </cell>
          <cell r="AF114">
            <v>1.5</v>
          </cell>
        </row>
        <row r="115">
          <cell r="A115" t="str">
            <v>IS_alqt_plus</v>
          </cell>
          <cell r="K115" t="str">
            <v>EMON</v>
          </cell>
          <cell r="M115" t="str">
            <v>M</v>
          </cell>
          <cell r="AB115" t="str">
            <v>serum</v>
          </cell>
          <cell r="AF115">
            <v>0.5</v>
          </cell>
        </row>
        <row r="116">
          <cell r="A116" t="str">
            <v>IS_alqt_plus</v>
          </cell>
          <cell r="K116" t="str">
            <v>LCAT</v>
          </cell>
          <cell r="M116" t="str">
            <v>M</v>
          </cell>
          <cell r="AB116" t="str">
            <v>serum</v>
          </cell>
          <cell r="AF116">
            <v>1</v>
          </cell>
        </row>
        <row r="117">
          <cell r="A117" t="str">
            <v>IS_alqt_plus</v>
          </cell>
          <cell r="K117" t="str">
            <v>VRUB</v>
          </cell>
          <cell r="M117" t="str">
            <v>M</v>
          </cell>
          <cell r="AB117" t="str">
            <v>serum</v>
          </cell>
          <cell r="AF117">
            <v>0.7</v>
          </cell>
        </row>
        <row r="118">
          <cell r="A118" t="str">
            <v>IS_alqt_plus</v>
          </cell>
          <cell r="K118" t="str">
            <v>VVV</v>
          </cell>
          <cell r="M118" t="str">
            <v>M</v>
          </cell>
          <cell r="AB118" t="str">
            <v>serum</v>
          </cell>
          <cell r="AF118">
            <v>0.75</v>
          </cell>
        </row>
        <row r="119">
          <cell r="A119" t="str">
            <v>IS_alqt_plus</v>
          </cell>
          <cell r="K119" t="str">
            <v>ECOL</v>
          </cell>
          <cell r="M119" t="str">
            <v>M</v>
          </cell>
          <cell r="AB119" t="str">
            <v>serum</v>
          </cell>
          <cell r="AF119">
            <v>0.5</v>
          </cell>
        </row>
        <row r="120">
          <cell r="A120" t="str">
            <v>IS_alqt_plus</v>
          </cell>
          <cell r="K120" t="str">
            <v>ECOL</v>
          </cell>
          <cell r="M120" t="str">
            <v>M</v>
          </cell>
          <cell r="AB120" t="str">
            <v>serum</v>
          </cell>
          <cell r="AF120">
            <v>1.5</v>
          </cell>
        </row>
        <row r="121">
          <cell r="A121" t="str">
            <v>IS_alqt_plus</v>
          </cell>
          <cell r="K121" t="str">
            <v>ECOL</v>
          </cell>
          <cell r="M121" t="str">
            <v>M</v>
          </cell>
          <cell r="AB121" t="str">
            <v>serum</v>
          </cell>
          <cell r="AF121">
            <v>1.5</v>
          </cell>
        </row>
        <row r="122">
          <cell r="A122" t="str">
            <v>IS_alqt_plus</v>
          </cell>
          <cell r="K122" t="str">
            <v>ECOL</v>
          </cell>
          <cell r="M122" t="str">
            <v>M</v>
          </cell>
          <cell r="AB122" t="str">
            <v>serum</v>
          </cell>
          <cell r="AF122">
            <v>1.2</v>
          </cell>
        </row>
        <row r="123">
          <cell r="A123" t="str">
            <v>IS_alqt_plus</v>
          </cell>
          <cell r="K123" t="str">
            <v>ECOL</v>
          </cell>
          <cell r="M123" t="str">
            <v>M</v>
          </cell>
          <cell r="AB123" t="str">
            <v>serum</v>
          </cell>
          <cell r="AF123">
            <v>1.25</v>
          </cell>
        </row>
        <row r="124">
          <cell r="A124" t="str">
            <v>IS_alqt_plus</v>
          </cell>
          <cell r="K124" t="str">
            <v>ECOL</v>
          </cell>
          <cell r="M124" t="str">
            <v>M</v>
          </cell>
          <cell r="AB124" t="str">
            <v>serum</v>
          </cell>
          <cell r="AF124">
            <v>1.25</v>
          </cell>
        </row>
        <row r="125">
          <cell r="A125" t="str">
            <v>IS_alqt_plus</v>
          </cell>
          <cell r="K125" t="str">
            <v>ECOL</v>
          </cell>
          <cell r="M125" t="str">
            <v>M</v>
          </cell>
          <cell r="AB125" t="str">
            <v>serum</v>
          </cell>
          <cell r="AF125">
            <v>1.25</v>
          </cell>
        </row>
        <row r="126">
          <cell r="A126" t="str">
            <v>IS_alqt_plus</v>
          </cell>
          <cell r="K126" t="str">
            <v>ECOL</v>
          </cell>
          <cell r="M126" t="str">
            <v>M</v>
          </cell>
          <cell r="AB126" t="str">
            <v>serum</v>
          </cell>
          <cell r="AF126">
            <v>1</v>
          </cell>
        </row>
        <row r="127">
          <cell r="A127" t="str">
            <v>IS_alqt_plus</v>
          </cell>
          <cell r="K127" t="str">
            <v>ECOL</v>
          </cell>
          <cell r="M127" t="str">
            <v>M</v>
          </cell>
          <cell r="AB127" t="str">
            <v>serum</v>
          </cell>
          <cell r="AF127">
            <v>1.2</v>
          </cell>
        </row>
        <row r="128">
          <cell r="A128" t="str">
            <v>IS_alqt_plus</v>
          </cell>
          <cell r="K128" t="str">
            <v>ECOL</v>
          </cell>
          <cell r="M128" t="str">
            <v>M</v>
          </cell>
          <cell r="AB128" t="str">
            <v>serum</v>
          </cell>
          <cell r="AF128">
            <v>1.5</v>
          </cell>
        </row>
        <row r="129">
          <cell r="A129" t="str">
            <v>IS_alqt_plus</v>
          </cell>
          <cell r="K129" t="str">
            <v>ECOL</v>
          </cell>
          <cell r="M129" t="str">
            <v>M</v>
          </cell>
          <cell r="AB129" t="str">
            <v>serum</v>
          </cell>
          <cell r="AF129">
            <v>1.5</v>
          </cell>
        </row>
        <row r="130">
          <cell r="A130" t="str">
            <v>IS_alqt_plus</v>
          </cell>
          <cell r="K130" t="str">
            <v>ECOL</v>
          </cell>
          <cell r="M130" t="str">
            <v>M</v>
          </cell>
          <cell r="AB130" t="str">
            <v>serum</v>
          </cell>
          <cell r="AF130">
            <v>1.5</v>
          </cell>
        </row>
        <row r="131">
          <cell r="A131" t="str">
            <v>IS_alqt_plus</v>
          </cell>
          <cell r="K131" t="str">
            <v>ECOL</v>
          </cell>
          <cell r="M131" t="str">
            <v>M</v>
          </cell>
          <cell r="AB131" t="str">
            <v>serum</v>
          </cell>
          <cell r="AF131">
            <v>1.5</v>
          </cell>
        </row>
        <row r="132">
          <cell r="A132" t="str">
            <v>IS_alqt_plus</v>
          </cell>
          <cell r="K132" t="str">
            <v>ECOL</v>
          </cell>
          <cell r="M132" t="str">
            <v>M</v>
          </cell>
          <cell r="AB132" t="str">
            <v>serum</v>
          </cell>
          <cell r="AF132">
            <v>0.25</v>
          </cell>
        </row>
        <row r="133">
          <cell r="A133" t="str">
            <v>IS_alqt_plus</v>
          </cell>
          <cell r="K133" t="str">
            <v>VRUB</v>
          </cell>
          <cell r="M133" t="str">
            <v>M</v>
          </cell>
          <cell r="AB133" t="str">
            <v>serum</v>
          </cell>
          <cell r="AF133">
            <v>0.75</v>
          </cell>
        </row>
        <row r="134">
          <cell r="A134" t="str">
            <v>IS_alqt_plus</v>
          </cell>
          <cell r="K134" t="str">
            <v>VVV</v>
          </cell>
          <cell r="M134" t="str">
            <v>M</v>
          </cell>
          <cell r="AB134" t="str">
            <v>serum</v>
          </cell>
          <cell r="AF134">
            <v>0.5</v>
          </cell>
        </row>
        <row r="135">
          <cell r="A135" t="str">
            <v>IS_alqt_plus</v>
          </cell>
          <cell r="K135" t="str">
            <v>VRUB</v>
          </cell>
          <cell r="M135" t="str">
            <v>M</v>
          </cell>
          <cell r="AB135" t="str">
            <v>serum</v>
          </cell>
          <cell r="AF135">
            <v>0.8</v>
          </cell>
        </row>
        <row r="136">
          <cell r="A136" t="str">
            <v>IS_alqt_plus</v>
          </cell>
          <cell r="K136" t="str">
            <v>HALA</v>
          </cell>
          <cell r="M136" t="str">
            <v>F</v>
          </cell>
          <cell r="AB136" t="str">
            <v>serum</v>
          </cell>
          <cell r="AF136">
            <v>0.4</v>
          </cell>
        </row>
        <row r="137">
          <cell r="A137" t="str">
            <v>IS_alqt_plus</v>
          </cell>
          <cell r="K137" t="str">
            <v>HALA</v>
          </cell>
          <cell r="M137" t="str">
            <v>F</v>
          </cell>
          <cell r="AB137" t="str">
            <v>serum</v>
          </cell>
          <cell r="AF137">
            <v>1</v>
          </cell>
        </row>
        <row r="138">
          <cell r="A138" t="str">
            <v>IS_alqt_plus</v>
          </cell>
          <cell r="K138" t="str">
            <v>HALA</v>
          </cell>
          <cell r="M138" t="str">
            <v>F</v>
          </cell>
          <cell r="AB138" t="str">
            <v>serum</v>
          </cell>
          <cell r="AF138">
            <v>1.2</v>
          </cell>
        </row>
        <row r="139">
          <cell r="A139" t="str">
            <v>IS_alqt_plus</v>
          </cell>
          <cell r="K139" t="str">
            <v>VRUB</v>
          </cell>
          <cell r="M139" t="str">
            <v>M</v>
          </cell>
          <cell r="AB139" t="str">
            <v>serum</v>
          </cell>
          <cell r="AF139">
            <v>0.75</v>
          </cell>
        </row>
        <row r="140">
          <cell r="A140" t="str">
            <v>IS_alqt_plus</v>
          </cell>
          <cell r="K140" t="str">
            <v>LCAT</v>
          </cell>
          <cell r="M140" t="str">
            <v>M</v>
          </cell>
          <cell r="AB140" t="str">
            <v>serum</v>
          </cell>
          <cell r="AF140">
            <v>1.5</v>
          </cell>
        </row>
        <row r="141">
          <cell r="A141" t="str">
            <v>IS_alqt_plus</v>
          </cell>
          <cell r="K141" t="str">
            <v>LCAT</v>
          </cell>
          <cell r="M141" t="str">
            <v>M</v>
          </cell>
          <cell r="AB141" t="str">
            <v>serum</v>
          </cell>
          <cell r="AF141">
            <v>0.5</v>
          </cell>
        </row>
        <row r="142">
          <cell r="A142" t="str">
            <v>IS_alqt_plus</v>
          </cell>
          <cell r="K142" t="str">
            <v>LCAT</v>
          </cell>
          <cell r="M142" t="str">
            <v>M</v>
          </cell>
          <cell r="AB142" t="str">
            <v>serum</v>
          </cell>
          <cell r="AF142">
            <v>0.5</v>
          </cell>
        </row>
        <row r="143">
          <cell r="A143" t="str">
            <v>IS_alqt_plus</v>
          </cell>
          <cell r="K143" t="str">
            <v>ESAN</v>
          </cell>
          <cell r="M143" t="str">
            <v>F</v>
          </cell>
          <cell r="AB143" t="str">
            <v>serum</v>
          </cell>
          <cell r="AF143">
            <v>0.8</v>
          </cell>
        </row>
        <row r="144">
          <cell r="A144" t="str">
            <v>IS_alqt_plus</v>
          </cell>
          <cell r="K144" t="str">
            <v>VRUB</v>
          </cell>
          <cell r="M144" t="str">
            <v>F</v>
          </cell>
          <cell r="AB144" t="str">
            <v>serum</v>
          </cell>
          <cell r="AF144">
            <v>1</v>
          </cell>
        </row>
        <row r="145">
          <cell r="A145" t="str">
            <v>IS_alqt_plus</v>
          </cell>
          <cell r="K145" t="str">
            <v>VRUB</v>
          </cell>
          <cell r="M145" t="str">
            <v>F</v>
          </cell>
          <cell r="AB145" t="str">
            <v>serum</v>
          </cell>
          <cell r="AF145">
            <v>1</v>
          </cell>
        </row>
        <row r="146">
          <cell r="A146" t="str">
            <v>IS_alqt_plus</v>
          </cell>
          <cell r="K146" t="str">
            <v>VRUB</v>
          </cell>
          <cell r="M146" t="str">
            <v>F</v>
          </cell>
          <cell r="AB146" t="str">
            <v>serum</v>
          </cell>
          <cell r="AF146">
            <v>1.5</v>
          </cell>
        </row>
        <row r="147">
          <cell r="A147" t="str">
            <v>IS_alqt_plus</v>
          </cell>
          <cell r="K147" t="str">
            <v>LCAT</v>
          </cell>
          <cell r="M147" t="str">
            <v>F</v>
          </cell>
          <cell r="AB147" t="str">
            <v>serum</v>
          </cell>
          <cell r="AF147">
            <v>1</v>
          </cell>
        </row>
        <row r="148">
          <cell r="A148" t="str">
            <v>IS_alqt_plus</v>
          </cell>
          <cell r="K148" t="str">
            <v>LCAT</v>
          </cell>
          <cell r="M148" t="str">
            <v>F</v>
          </cell>
          <cell r="AB148" t="str">
            <v>serum</v>
          </cell>
          <cell r="AF148">
            <v>1.5</v>
          </cell>
        </row>
        <row r="149">
          <cell r="A149" t="str">
            <v>IS_alqt_plus</v>
          </cell>
          <cell r="K149" t="str">
            <v>LCAT</v>
          </cell>
          <cell r="M149" t="str">
            <v>F</v>
          </cell>
          <cell r="AB149" t="str">
            <v>serum</v>
          </cell>
          <cell r="AF149">
            <v>1.2</v>
          </cell>
        </row>
        <row r="150">
          <cell r="A150" t="str">
            <v>IS_alqt_plus</v>
          </cell>
          <cell r="K150" t="str">
            <v>LCAT</v>
          </cell>
          <cell r="M150" t="str">
            <v>F</v>
          </cell>
          <cell r="AB150" t="str">
            <v>serum</v>
          </cell>
          <cell r="AF150">
            <v>1</v>
          </cell>
        </row>
        <row r="151">
          <cell r="A151" t="str">
            <v>IS_alqt_plus</v>
          </cell>
          <cell r="K151" t="str">
            <v>LCAT</v>
          </cell>
          <cell r="M151" t="str">
            <v>F</v>
          </cell>
          <cell r="AB151" t="str">
            <v>serum</v>
          </cell>
          <cell r="AF151">
            <v>1</v>
          </cell>
        </row>
        <row r="152">
          <cell r="A152" t="str">
            <v>IS_alqt_plus</v>
          </cell>
          <cell r="K152" t="str">
            <v>EMAC</v>
          </cell>
          <cell r="M152" t="str">
            <v>F</v>
          </cell>
          <cell r="AB152" t="str">
            <v>serum</v>
          </cell>
          <cell r="AF152">
            <v>1.5</v>
          </cell>
        </row>
        <row r="153">
          <cell r="A153" t="str">
            <v>IS_alqt_plus</v>
          </cell>
          <cell r="K153" t="str">
            <v>EMAC</v>
          </cell>
          <cell r="M153" t="str">
            <v>F</v>
          </cell>
          <cell r="AB153" t="str">
            <v>serum</v>
          </cell>
          <cell r="AF153">
            <v>1.5</v>
          </cell>
        </row>
        <row r="154">
          <cell r="A154" t="str">
            <v>IS_alqt_plus</v>
          </cell>
          <cell r="K154" t="str">
            <v>EMAC</v>
          </cell>
          <cell r="M154" t="str">
            <v>F</v>
          </cell>
          <cell r="AB154" t="str">
            <v>serum</v>
          </cell>
          <cell r="AF154">
            <v>1.5</v>
          </cell>
        </row>
        <row r="155">
          <cell r="A155" t="str">
            <v>IS_alqt_plus</v>
          </cell>
          <cell r="K155" t="str">
            <v>EMAC</v>
          </cell>
          <cell r="M155" t="str">
            <v>F</v>
          </cell>
          <cell r="AB155" t="str">
            <v>serum</v>
          </cell>
          <cell r="AF155">
            <v>1.2</v>
          </cell>
        </row>
        <row r="156">
          <cell r="A156" t="str">
            <v>IS_alqt_plus</v>
          </cell>
          <cell r="K156" t="str">
            <v>EMAC</v>
          </cell>
          <cell r="M156" t="str">
            <v>F</v>
          </cell>
          <cell r="AB156" t="str">
            <v>serum</v>
          </cell>
          <cell r="AF156">
            <v>1.5</v>
          </cell>
        </row>
        <row r="157">
          <cell r="A157" t="str">
            <v>IS_alqt_plus</v>
          </cell>
          <cell r="K157" t="str">
            <v>EMAC</v>
          </cell>
          <cell r="M157" t="str">
            <v>F</v>
          </cell>
          <cell r="AB157" t="str">
            <v>serum</v>
          </cell>
          <cell r="AF157">
            <v>1.5</v>
          </cell>
        </row>
        <row r="158">
          <cell r="A158" t="str">
            <v>IS_alqt_plus</v>
          </cell>
          <cell r="K158" t="str">
            <v>EMAC</v>
          </cell>
          <cell r="M158" t="str">
            <v>F</v>
          </cell>
          <cell r="AB158" t="str">
            <v>serum</v>
          </cell>
          <cell r="AF158">
            <v>1.5</v>
          </cell>
        </row>
        <row r="159">
          <cell r="A159" t="str">
            <v>IS_alqt_plus</v>
          </cell>
          <cell r="K159" t="str">
            <v>EMAC</v>
          </cell>
          <cell r="M159" t="str">
            <v>F</v>
          </cell>
          <cell r="AB159" t="str">
            <v>serum</v>
          </cell>
          <cell r="AF159">
            <v>1.2</v>
          </cell>
        </row>
        <row r="160">
          <cell r="A160" t="str">
            <v>IS_alqt_plus</v>
          </cell>
          <cell r="K160" t="str">
            <v>EMAC</v>
          </cell>
          <cell r="M160" t="str">
            <v>F</v>
          </cell>
          <cell r="AB160" t="str">
            <v>serum</v>
          </cell>
          <cell r="AF160">
            <v>1.2</v>
          </cell>
        </row>
        <row r="161">
          <cell r="A161" t="str">
            <v>IS_alqt_plus</v>
          </cell>
          <cell r="K161" t="str">
            <v>EMON</v>
          </cell>
          <cell r="M161" t="str">
            <v>M</v>
          </cell>
          <cell r="AB161" t="str">
            <v>WB</v>
          </cell>
          <cell r="AF161">
            <v>0.25</v>
          </cell>
        </row>
        <row r="162">
          <cell r="A162" t="str">
            <v>IS_alqt_plus</v>
          </cell>
          <cell r="K162" t="str">
            <v>ECOL</v>
          </cell>
          <cell r="M162" t="str">
            <v>F</v>
          </cell>
          <cell r="AB162" t="str">
            <v>serum</v>
          </cell>
          <cell r="AF162">
            <v>0.6</v>
          </cell>
        </row>
        <row r="163">
          <cell r="A163" t="str">
            <v>unk</v>
          </cell>
          <cell r="K163" t="str">
            <v>EMAC</v>
          </cell>
          <cell r="M163" t="str">
            <v>M</v>
          </cell>
          <cell r="AB163" t="str">
            <v>unk</v>
          </cell>
          <cell r="AF163">
            <v>0.8</v>
          </cell>
        </row>
        <row r="164">
          <cell r="A164" t="str">
            <v>IS_alqt_plus</v>
          </cell>
          <cell r="K164" t="str">
            <v>LCAT</v>
          </cell>
          <cell r="M164" t="str">
            <v>M</v>
          </cell>
          <cell r="AB164" t="str">
            <v>serum</v>
          </cell>
          <cell r="AF164">
            <v>1</v>
          </cell>
        </row>
        <row r="165">
          <cell r="A165" t="str">
            <v>IS_alqt_plus</v>
          </cell>
          <cell r="K165" t="str">
            <v>LCAT</v>
          </cell>
          <cell r="M165" t="str">
            <v>M</v>
          </cell>
          <cell r="AB165" t="str">
            <v>serum</v>
          </cell>
          <cell r="AF165">
            <v>0.5</v>
          </cell>
        </row>
        <row r="166">
          <cell r="A166" t="str">
            <v>IS_alqt_plus</v>
          </cell>
          <cell r="K166" t="str">
            <v>LCAT</v>
          </cell>
          <cell r="M166" t="str">
            <v>M</v>
          </cell>
          <cell r="AB166" t="str">
            <v>serum</v>
          </cell>
          <cell r="AF166">
            <v>0.6</v>
          </cell>
        </row>
        <row r="167">
          <cell r="A167" t="str">
            <v>IS_alqt_plus</v>
          </cell>
          <cell r="K167" t="str">
            <v>VVV</v>
          </cell>
          <cell r="M167" t="str">
            <v>M</v>
          </cell>
          <cell r="AB167" t="str">
            <v>serum</v>
          </cell>
          <cell r="AF167">
            <v>1</v>
          </cell>
        </row>
        <row r="168">
          <cell r="A168" t="str">
            <v>IS_alqt_plus</v>
          </cell>
          <cell r="K168" t="str">
            <v>PTAT</v>
          </cell>
          <cell r="M168" t="str">
            <v>M</v>
          </cell>
          <cell r="AB168" t="str">
            <v>serum</v>
          </cell>
          <cell r="AF168">
            <v>1.5</v>
          </cell>
        </row>
        <row r="169">
          <cell r="A169" t="str">
            <v>IS_alqt_plus</v>
          </cell>
          <cell r="K169" t="str">
            <v>HGG</v>
          </cell>
          <cell r="M169" t="str">
            <v>F</v>
          </cell>
          <cell r="AB169" t="str">
            <v>serum</v>
          </cell>
          <cell r="AF169">
            <v>0.5</v>
          </cell>
        </row>
        <row r="170">
          <cell r="A170" t="str">
            <v>IS_alqt_plus</v>
          </cell>
          <cell r="K170" t="str">
            <v>HGG</v>
          </cell>
          <cell r="M170" t="str">
            <v>F</v>
          </cell>
          <cell r="AB170" t="str">
            <v>serum</v>
          </cell>
          <cell r="AF170">
            <v>1</v>
          </cell>
        </row>
        <row r="171">
          <cell r="A171" t="str">
            <v>IS_alqt_plus</v>
          </cell>
          <cell r="K171" t="str">
            <v>HGG</v>
          </cell>
          <cell r="M171" t="str">
            <v>F</v>
          </cell>
          <cell r="AB171" t="str">
            <v>serum</v>
          </cell>
          <cell r="AF171">
            <v>1.5</v>
          </cell>
        </row>
        <row r="172">
          <cell r="A172" t="str">
            <v>IS_alqt_plus</v>
          </cell>
          <cell r="K172" t="str">
            <v>VVV</v>
          </cell>
          <cell r="M172" t="str">
            <v>F</v>
          </cell>
          <cell r="AB172" t="str">
            <v>serum</v>
          </cell>
          <cell r="AF172">
            <v>0.8</v>
          </cell>
        </row>
        <row r="173">
          <cell r="A173" t="str">
            <v>IS_alqt_plus</v>
          </cell>
          <cell r="K173" t="str">
            <v>ECOR</v>
          </cell>
          <cell r="M173" t="str">
            <v>F</v>
          </cell>
          <cell r="AB173" t="str">
            <v>serum</v>
          </cell>
          <cell r="AF173">
            <v>1</v>
          </cell>
        </row>
        <row r="174">
          <cell r="A174" t="str">
            <v>IS_alqt_plus</v>
          </cell>
          <cell r="K174" t="str">
            <v>ECOR</v>
          </cell>
          <cell r="M174" t="str">
            <v>F</v>
          </cell>
          <cell r="AB174" t="str">
            <v>serum</v>
          </cell>
          <cell r="AF174">
            <v>0.5</v>
          </cell>
        </row>
        <row r="175">
          <cell r="A175" t="str">
            <v>IS_alqt_plus</v>
          </cell>
          <cell r="K175" t="str">
            <v>EMON</v>
          </cell>
          <cell r="M175" t="str">
            <v>F</v>
          </cell>
          <cell r="AB175" t="str">
            <v>serum</v>
          </cell>
          <cell r="AF175">
            <v>1.5</v>
          </cell>
        </row>
        <row r="176">
          <cell r="A176" t="str">
            <v>IS_alqt_plus</v>
          </cell>
          <cell r="K176" t="str">
            <v>EMON</v>
          </cell>
          <cell r="M176" t="str">
            <v>F</v>
          </cell>
          <cell r="AB176" t="str">
            <v>serum</v>
          </cell>
          <cell r="AF176">
            <v>1.5</v>
          </cell>
        </row>
        <row r="177">
          <cell r="A177" t="str">
            <v>IS_alqt_plus</v>
          </cell>
          <cell r="K177" t="str">
            <v>EMON</v>
          </cell>
          <cell r="M177" t="str">
            <v>F</v>
          </cell>
          <cell r="AB177" t="str">
            <v>serum</v>
          </cell>
          <cell r="AF177">
            <v>1</v>
          </cell>
        </row>
        <row r="178">
          <cell r="A178" t="str">
            <v>IS_alqt_plus</v>
          </cell>
          <cell r="K178" t="str">
            <v>EMON</v>
          </cell>
          <cell r="M178" t="str">
            <v>F</v>
          </cell>
          <cell r="AB178" t="str">
            <v>serum</v>
          </cell>
          <cell r="AF178">
            <v>1.5</v>
          </cell>
        </row>
        <row r="179">
          <cell r="A179" t="str">
            <v>IS_alqt_plus</v>
          </cell>
          <cell r="K179" t="str">
            <v>EMON</v>
          </cell>
          <cell r="M179" t="str">
            <v>F</v>
          </cell>
          <cell r="AB179" t="str">
            <v>serum</v>
          </cell>
          <cell r="AF179">
            <v>1.5</v>
          </cell>
        </row>
        <row r="180">
          <cell r="A180" t="str">
            <v>IS_alqt_plus</v>
          </cell>
          <cell r="K180" t="str">
            <v>EMON</v>
          </cell>
          <cell r="M180" t="str">
            <v>F</v>
          </cell>
          <cell r="AB180" t="str">
            <v>serum</v>
          </cell>
          <cell r="AF180">
            <v>1</v>
          </cell>
        </row>
        <row r="181">
          <cell r="A181" t="str">
            <v>IS_alqt_plus</v>
          </cell>
          <cell r="K181" t="str">
            <v>EMON</v>
          </cell>
          <cell r="M181" t="str">
            <v>F</v>
          </cell>
          <cell r="AB181" t="str">
            <v>serum</v>
          </cell>
          <cell r="AF181">
            <v>1.5</v>
          </cell>
        </row>
        <row r="182">
          <cell r="A182" t="str">
            <v>IS_alqt_plus</v>
          </cell>
          <cell r="K182" t="str">
            <v>EMON</v>
          </cell>
          <cell r="M182" t="str">
            <v>F</v>
          </cell>
          <cell r="AB182" t="str">
            <v>serum</v>
          </cell>
          <cell r="AF182">
            <v>1</v>
          </cell>
        </row>
        <row r="183">
          <cell r="A183" t="str">
            <v>IS_alqt_plus</v>
          </cell>
          <cell r="K183" t="str">
            <v>EMON</v>
          </cell>
          <cell r="M183" t="str">
            <v>F</v>
          </cell>
          <cell r="AB183" t="str">
            <v>serum</v>
          </cell>
          <cell r="AF183">
            <v>1</v>
          </cell>
        </row>
        <row r="184">
          <cell r="A184" t="str">
            <v>IS_alqt_plus</v>
          </cell>
          <cell r="K184" t="str">
            <v>EMON</v>
          </cell>
          <cell r="M184" t="str">
            <v>F</v>
          </cell>
          <cell r="AB184" t="str">
            <v>serum</v>
          </cell>
          <cell r="AF184">
            <v>1</v>
          </cell>
        </row>
        <row r="185">
          <cell r="A185" t="str">
            <v>IS_alqt_plus</v>
          </cell>
          <cell r="K185" t="str">
            <v>EMON</v>
          </cell>
          <cell r="M185" t="str">
            <v>F</v>
          </cell>
          <cell r="AB185" t="str">
            <v>serum</v>
          </cell>
          <cell r="AF185">
            <v>1</v>
          </cell>
        </row>
        <row r="186">
          <cell r="A186" t="str">
            <v>IS_alqt_plus</v>
          </cell>
          <cell r="K186" t="str">
            <v>EMON</v>
          </cell>
          <cell r="M186" t="str">
            <v>F</v>
          </cell>
          <cell r="AB186" t="str">
            <v>serum</v>
          </cell>
          <cell r="AF186">
            <v>0.3</v>
          </cell>
        </row>
        <row r="187">
          <cell r="A187" t="str">
            <v>IS_alqt_plus</v>
          </cell>
          <cell r="K187" t="str">
            <v>ECOL</v>
          </cell>
          <cell r="M187" t="str">
            <v>F</v>
          </cell>
          <cell r="AB187" t="str">
            <v>serum</v>
          </cell>
          <cell r="AF187">
            <v>0.3</v>
          </cell>
        </row>
        <row r="188">
          <cell r="A188" t="str">
            <v>IS_alqt_plus</v>
          </cell>
          <cell r="K188" t="str">
            <v>EUL</v>
          </cell>
          <cell r="M188" t="str">
            <v>F</v>
          </cell>
          <cell r="AB188" t="str">
            <v>serum</v>
          </cell>
          <cell r="AF188">
            <v>0.6</v>
          </cell>
        </row>
        <row r="189">
          <cell r="A189" t="str">
            <v>IS_alqt_plus</v>
          </cell>
          <cell r="K189" t="str">
            <v>HGG</v>
          </cell>
          <cell r="M189" t="str">
            <v>F</v>
          </cell>
          <cell r="AB189" t="str">
            <v>serum</v>
          </cell>
          <cell r="AF189">
            <v>0.4</v>
          </cell>
        </row>
        <row r="190">
          <cell r="A190" t="str">
            <v>IS_alqt_plus</v>
          </cell>
          <cell r="K190" t="str">
            <v>HGG</v>
          </cell>
          <cell r="M190" t="str">
            <v>F</v>
          </cell>
          <cell r="AB190" t="str">
            <v>serum</v>
          </cell>
          <cell r="AF190">
            <v>0.2</v>
          </cell>
        </row>
        <row r="191">
          <cell r="A191" t="str">
            <v>IS_alqt_plus</v>
          </cell>
          <cell r="K191" t="str">
            <v>ECOR</v>
          </cell>
          <cell r="M191" t="str">
            <v>M</v>
          </cell>
          <cell r="AB191" t="str">
            <v>serum</v>
          </cell>
          <cell r="AF191">
            <v>0.5</v>
          </cell>
        </row>
        <row r="192">
          <cell r="A192" t="str">
            <v>IS_alqt_minus</v>
          </cell>
          <cell r="K192" t="str">
            <v>EFLA</v>
          </cell>
          <cell r="M192" t="str">
            <v>F</v>
          </cell>
          <cell r="AB192" t="str">
            <v>serum</v>
          </cell>
          <cell r="AF192">
            <v>0.1</v>
          </cell>
        </row>
        <row r="193">
          <cell r="A193" t="str">
            <v>IS_alqt_plus</v>
          </cell>
          <cell r="K193" t="str">
            <v>HGG</v>
          </cell>
          <cell r="M193" t="str">
            <v>M</v>
          </cell>
          <cell r="AB193" t="str">
            <v>serum</v>
          </cell>
          <cell r="AF193">
            <v>0.25</v>
          </cell>
        </row>
        <row r="194">
          <cell r="A194" t="str">
            <v>IS_alqt_plus</v>
          </cell>
          <cell r="K194" t="str">
            <v>LCAT</v>
          </cell>
          <cell r="M194" t="str">
            <v>M</v>
          </cell>
          <cell r="AB194" t="str">
            <v>serum</v>
          </cell>
          <cell r="AF194">
            <v>0.3</v>
          </cell>
        </row>
        <row r="195">
          <cell r="A195" t="str">
            <v>IS_alqt_minus</v>
          </cell>
          <cell r="K195" t="str">
            <v>ECOL</v>
          </cell>
          <cell r="M195" t="str">
            <v>F</v>
          </cell>
          <cell r="AB195" t="str">
            <v>serum</v>
          </cell>
          <cell r="AF195">
            <v>0.1</v>
          </cell>
        </row>
        <row r="196">
          <cell r="A196" t="str">
            <v>IS_alqt_plus</v>
          </cell>
          <cell r="K196" t="str">
            <v>VVV</v>
          </cell>
          <cell r="M196" t="str">
            <v>M</v>
          </cell>
          <cell r="AB196" t="str">
            <v>serum</v>
          </cell>
          <cell r="AF196">
            <v>0.2</v>
          </cell>
        </row>
        <row r="197">
          <cell r="A197" t="str">
            <v>IS_alqt_plus</v>
          </cell>
          <cell r="K197" t="str">
            <v>PCOQ</v>
          </cell>
          <cell r="M197" t="str">
            <v>F</v>
          </cell>
          <cell r="AB197" t="str">
            <v>serum</v>
          </cell>
          <cell r="AF197">
            <v>0.2</v>
          </cell>
        </row>
        <row r="198">
          <cell r="A198" t="str">
            <v>IS_alqt_plus</v>
          </cell>
          <cell r="K198" t="str">
            <v>ERUB</v>
          </cell>
          <cell r="M198" t="str">
            <v>F</v>
          </cell>
          <cell r="AB198" t="str">
            <v>serum</v>
          </cell>
          <cell r="AF198">
            <v>0.4</v>
          </cell>
        </row>
        <row r="199">
          <cell r="A199" t="str">
            <v>IS_alqt_plus</v>
          </cell>
          <cell r="K199" t="str">
            <v>ERUB</v>
          </cell>
          <cell r="M199" t="str">
            <v>F</v>
          </cell>
          <cell r="AB199" t="str">
            <v>serum</v>
          </cell>
          <cell r="AF199">
            <v>0.2</v>
          </cell>
        </row>
        <row r="200">
          <cell r="A200" t="str">
            <v>IS_alqt_plus</v>
          </cell>
          <cell r="K200" t="str">
            <v>ERUB</v>
          </cell>
          <cell r="M200" t="str">
            <v>F</v>
          </cell>
          <cell r="AB200" t="str">
            <v>serum</v>
          </cell>
          <cell r="AF200">
            <v>0.3</v>
          </cell>
        </row>
        <row r="201">
          <cell r="A201" t="str">
            <v>IS_alqt_plus</v>
          </cell>
          <cell r="K201" t="str">
            <v>PCOQ</v>
          </cell>
          <cell r="M201" t="str">
            <v>M</v>
          </cell>
          <cell r="AB201" t="str">
            <v>serum</v>
          </cell>
          <cell r="AF201">
            <v>0.2</v>
          </cell>
        </row>
        <row r="202">
          <cell r="A202" t="str">
            <v>IS_alqt_plus</v>
          </cell>
          <cell r="K202" t="str">
            <v>PPOT</v>
          </cell>
          <cell r="M202" t="str">
            <v>M</v>
          </cell>
          <cell r="AB202" t="str">
            <v>serum</v>
          </cell>
          <cell r="AF202">
            <v>0.5</v>
          </cell>
        </row>
        <row r="203">
          <cell r="A203" t="str">
            <v>IS_alqt_minus</v>
          </cell>
          <cell r="K203" t="str">
            <v>PPOT</v>
          </cell>
          <cell r="M203" t="str">
            <v>M</v>
          </cell>
          <cell r="AB203" t="str">
            <v>serum</v>
          </cell>
          <cell r="AF203">
            <v>0.1</v>
          </cell>
        </row>
        <row r="204">
          <cell r="A204" t="str">
            <v>IS_alqt_plus</v>
          </cell>
          <cell r="K204" t="str">
            <v>PDIA</v>
          </cell>
          <cell r="M204" t="str">
            <v>M</v>
          </cell>
          <cell r="AB204" t="str">
            <v>serum</v>
          </cell>
          <cell r="AF204">
            <v>0.75</v>
          </cell>
        </row>
        <row r="205">
          <cell r="A205" t="str">
            <v>IS_alqt_plus</v>
          </cell>
          <cell r="K205" t="str">
            <v>PDIA</v>
          </cell>
          <cell r="M205" t="str">
            <v>M</v>
          </cell>
          <cell r="AB205" t="str">
            <v>serum</v>
          </cell>
          <cell r="AF205">
            <v>0.25</v>
          </cell>
        </row>
        <row r="206">
          <cell r="A206" t="str">
            <v>IS_alqt_plus</v>
          </cell>
          <cell r="K206" t="str">
            <v>PTAT</v>
          </cell>
          <cell r="M206" t="str">
            <v>M</v>
          </cell>
          <cell r="AB206" t="str">
            <v>serum</v>
          </cell>
          <cell r="AF206">
            <v>0.6</v>
          </cell>
        </row>
        <row r="207">
          <cell r="A207" t="str">
            <v>IS_alqt_plus</v>
          </cell>
          <cell r="K207" t="str">
            <v>HGRI</v>
          </cell>
          <cell r="M207" t="str">
            <v>F</v>
          </cell>
          <cell r="AB207" t="str">
            <v>serum</v>
          </cell>
          <cell r="AF207">
            <v>0.2</v>
          </cell>
        </row>
        <row r="208">
          <cell r="A208" t="str">
            <v>IS_alqt_plus</v>
          </cell>
          <cell r="K208" t="str">
            <v>PPOT</v>
          </cell>
          <cell r="M208" t="str">
            <v>M</v>
          </cell>
          <cell r="AB208" t="str">
            <v>serum</v>
          </cell>
          <cell r="AF208">
            <v>0.5</v>
          </cell>
        </row>
        <row r="209">
          <cell r="A209" t="str">
            <v>IS_alqt_minus</v>
          </cell>
          <cell r="K209" t="str">
            <v>PPOT</v>
          </cell>
          <cell r="M209" t="str">
            <v>M</v>
          </cell>
          <cell r="AB209" t="str">
            <v>serum</v>
          </cell>
          <cell r="AF209">
            <v>0.1</v>
          </cell>
        </row>
        <row r="210">
          <cell r="A210" t="str">
            <v>IS_alqt_plus</v>
          </cell>
          <cell r="K210" t="str">
            <v>VRUB</v>
          </cell>
          <cell r="M210" t="str">
            <v>F</v>
          </cell>
          <cell r="AB210" t="str">
            <v>serum</v>
          </cell>
          <cell r="AF210">
            <v>0.4</v>
          </cell>
        </row>
        <row r="211">
          <cell r="A211" t="str">
            <v>IS_alqt_plus</v>
          </cell>
          <cell r="K211" t="str">
            <v>VVV</v>
          </cell>
          <cell r="M211" t="str">
            <v>M</v>
          </cell>
          <cell r="AB211" t="str">
            <v>serum</v>
          </cell>
          <cell r="AF211">
            <v>0.9</v>
          </cell>
        </row>
        <row r="212">
          <cell r="A212" t="str">
            <v>IS_alqt_plus</v>
          </cell>
          <cell r="K212" t="str">
            <v>VVV</v>
          </cell>
          <cell r="M212" t="str">
            <v>F</v>
          </cell>
          <cell r="AB212" t="str">
            <v>serum</v>
          </cell>
          <cell r="AF212">
            <v>0.75</v>
          </cell>
        </row>
        <row r="213">
          <cell r="A213" t="str">
            <v>IS_alqt_plus</v>
          </cell>
          <cell r="K213" t="str">
            <v>VVV</v>
          </cell>
          <cell r="M213" t="str">
            <v>F</v>
          </cell>
          <cell r="AB213" t="str">
            <v>serum</v>
          </cell>
          <cell r="AF213">
            <v>0.6</v>
          </cell>
        </row>
        <row r="214">
          <cell r="A214" t="str">
            <v>IS_alqt_plus</v>
          </cell>
          <cell r="K214" t="str">
            <v>NCOU</v>
          </cell>
          <cell r="M214" t="str">
            <v>M</v>
          </cell>
          <cell r="AB214" t="str">
            <v>serum</v>
          </cell>
          <cell r="AF214">
            <v>0.2</v>
          </cell>
        </row>
        <row r="215">
          <cell r="A215" t="str">
            <v>IS_alqt_plus</v>
          </cell>
          <cell r="K215" t="str">
            <v>HGG</v>
          </cell>
          <cell r="M215" t="str">
            <v>F</v>
          </cell>
          <cell r="AB215" t="str">
            <v>serum</v>
          </cell>
          <cell r="AF215">
            <v>0.2</v>
          </cell>
        </row>
        <row r="216">
          <cell r="A216" t="str">
            <v>IS_alqt_plus</v>
          </cell>
          <cell r="K216" t="str">
            <v>HGG</v>
          </cell>
          <cell r="M216" t="str">
            <v>F</v>
          </cell>
          <cell r="AB216" t="str">
            <v>serum</v>
          </cell>
          <cell r="AF216">
            <v>0.2</v>
          </cell>
        </row>
        <row r="217">
          <cell r="A217" t="str">
            <v>IS_alqt_plus</v>
          </cell>
          <cell r="K217" t="str">
            <v>HGG</v>
          </cell>
          <cell r="M217" t="str">
            <v>F</v>
          </cell>
          <cell r="AB217" t="str">
            <v>serum</v>
          </cell>
          <cell r="AF217">
            <v>1.5</v>
          </cell>
        </row>
        <row r="218">
          <cell r="A218" t="str">
            <v>IS_alqt_minus</v>
          </cell>
          <cell r="K218" t="str">
            <v>GMOH</v>
          </cell>
          <cell r="M218" t="str">
            <v>M</v>
          </cell>
          <cell r="AB218" t="str">
            <v>serum</v>
          </cell>
          <cell r="AF218">
            <v>0.1</v>
          </cell>
        </row>
        <row r="219">
          <cell r="A219" t="str">
            <v>IS_alqt_plus</v>
          </cell>
          <cell r="K219" t="str">
            <v>GMOH</v>
          </cell>
          <cell r="M219" t="str">
            <v>M</v>
          </cell>
          <cell r="AB219" t="str">
            <v>serum</v>
          </cell>
          <cell r="AF219">
            <v>0.3</v>
          </cell>
        </row>
        <row r="220">
          <cell r="A220" t="str">
            <v>IS_alqt_plus</v>
          </cell>
          <cell r="K220" t="str">
            <v>ERUF</v>
          </cell>
          <cell r="M220" t="str">
            <v>M</v>
          </cell>
          <cell r="AB220" t="str">
            <v>serum</v>
          </cell>
          <cell r="AF220">
            <v>0.7</v>
          </cell>
        </row>
        <row r="221">
          <cell r="A221" t="str">
            <v>IS_alqt_plus</v>
          </cell>
          <cell r="K221" t="str">
            <v>DMAD</v>
          </cell>
          <cell r="M221" t="str">
            <v>M</v>
          </cell>
          <cell r="AB221" t="str">
            <v>serum</v>
          </cell>
          <cell r="AF221">
            <v>1.3</v>
          </cell>
        </row>
        <row r="222">
          <cell r="A222" t="str">
            <v>IS_alqt_plus</v>
          </cell>
          <cell r="K222" t="str">
            <v>DMAD</v>
          </cell>
          <cell r="M222" t="str">
            <v>F</v>
          </cell>
          <cell r="AB222" t="str">
            <v>serum</v>
          </cell>
          <cell r="AF222">
            <v>1.2</v>
          </cell>
        </row>
        <row r="223">
          <cell r="A223" t="str">
            <v>IS_alqt_plus</v>
          </cell>
          <cell r="K223" t="str">
            <v>MMUR</v>
          </cell>
          <cell r="M223" t="str">
            <v>F</v>
          </cell>
          <cell r="AB223" t="str">
            <v>serum</v>
          </cell>
          <cell r="AF223">
            <v>0.4</v>
          </cell>
        </row>
        <row r="224">
          <cell r="A224" t="str">
            <v>IS_alqt_plus</v>
          </cell>
          <cell r="K224" t="str">
            <v>MMUR</v>
          </cell>
          <cell r="M224" t="str">
            <v>F</v>
          </cell>
          <cell r="AB224" t="str">
            <v>serum</v>
          </cell>
          <cell r="AF224">
            <v>0.3</v>
          </cell>
        </row>
        <row r="225">
          <cell r="A225" t="str">
            <v>IS_alqt_plus</v>
          </cell>
          <cell r="K225" t="str">
            <v>ECOL</v>
          </cell>
          <cell r="M225" t="str">
            <v>M</v>
          </cell>
          <cell r="AB225" t="str">
            <v>serum</v>
          </cell>
          <cell r="AF225">
            <v>1.5</v>
          </cell>
        </row>
        <row r="226">
          <cell r="A226" t="str">
            <v>IS_alqt_plus</v>
          </cell>
          <cell r="K226" t="str">
            <v>ECOL</v>
          </cell>
          <cell r="M226" t="str">
            <v>M</v>
          </cell>
          <cell r="AB226" t="str">
            <v>serum</v>
          </cell>
          <cell r="AF226">
            <v>0.2</v>
          </cell>
        </row>
        <row r="227">
          <cell r="A227" t="str">
            <v>IS_alqt_plus</v>
          </cell>
          <cell r="K227" t="str">
            <v>ECOL</v>
          </cell>
          <cell r="M227" t="str">
            <v>M</v>
          </cell>
          <cell r="AB227" t="str">
            <v>serum</v>
          </cell>
          <cell r="AF227">
            <v>1.5</v>
          </cell>
        </row>
        <row r="228">
          <cell r="A228" t="str">
            <v>IS_alqt_plus</v>
          </cell>
          <cell r="K228" t="str">
            <v>ECOL</v>
          </cell>
          <cell r="M228" t="str">
            <v>M</v>
          </cell>
          <cell r="AB228" t="str">
            <v>serum</v>
          </cell>
          <cell r="AF228">
            <v>0.2</v>
          </cell>
        </row>
        <row r="229">
          <cell r="A229" t="str">
            <v>IS_alqt_plus</v>
          </cell>
          <cell r="K229" t="str">
            <v>ECOL</v>
          </cell>
          <cell r="M229" t="str">
            <v>M</v>
          </cell>
          <cell r="AB229" t="str">
            <v>serum</v>
          </cell>
          <cell r="AF229">
            <v>0.2</v>
          </cell>
        </row>
        <row r="230">
          <cell r="A230" t="str">
            <v>IS_alqt_plus</v>
          </cell>
          <cell r="K230" t="str">
            <v>ECOL</v>
          </cell>
          <cell r="M230" t="str">
            <v>M</v>
          </cell>
          <cell r="AB230" t="str">
            <v>serum</v>
          </cell>
          <cell r="AF230">
            <v>0.2</v>
          </cell>
        </row>
        <row r="231">
          <cell r="A231" t="str">
            <v>IS_alqt_plus</v>
          </cell>
          <cell r="K231" t="str">
            <v>ECOL</v>
          </cell>
          <cell r="M231" t="str">
            <v>M</v>
          </cell>
          <cell r="AB231" t="str">
            <v>serum</v>
          </cell>
          <cell r="AF231">
            <v>0.3</v>
          </cell>
        </row>
        <row r="232">
          <cell r="A232" t="str">
            <v>IS_alqt_plus</v>
          </cell>
          <cell r="K232" t="str">
            <v>ECOL</v>
          </cell>
          <cell r="M232" t="str">
            <v>M</v>
          </cell>
          <cell r="AB232" t="str">
            <v>serum</v>
          </cell>
          <cell r="AF232">
            <v>0.3</v>
          </cell>
        </row>
        <row r="233">
          <cell r="A233" t="str">
            <v>IS_alqt_plus</v>
          </cell>
          <cell r="K233" t="str">
            <v>ECOL</v>
          </cell>
          <cell r="M233" t="str">
            <v>M</v>
          </cell>
          <cell r="AB233" t="str">
            <v>serum</v>
          </cell>
          <cell r="AF233">
            <v>0.3</v>
          </cell>
        </row>
        <row r="234">
          <cell r="A234" t="str">
            <v>IS_alqt_plus</v>
          </cell>
          <cell r="K234" t="str">
            <v>ECOL</v>
          </cell>
          <cell r="M234" t="str">
            <v>F</v>
          </cell>
          <cell r="AB234" t="str">
            <v>serum</v>
          </cell>
          <cell r="AF234">
            <v>0.3</v>
          </cell>
        </row>
        <row r="235">
          <cell r="A235" t="str">
            <v>IS_alqt_minus</v>
          </cell>
          <cell r="K235" t="str">
            <v>ECOL</v>
          </cell>
          <cell r="M235" t="str">
            <v>F</v>
          </cell>
          <cell r="AB235" t="str">
            <v>serum</v>
          </cell>
          <cell r="AF235">
            <v>0.1</v>
          </cell>
        </row>
        <row r="236">
          <cell r="A236" t="str">
            <v>IS_alqt_plus</v>
          </cell>
          <cell r="K236" t="str">
            <v>LCAT</v>
          </cell>
          <cell r="M236" t="str">
            <v>F</v>
          </cell>
          <cell r="AB236" t="str">
            <v>serum</v>
          </cell>
          <cell r="AF236">
            <v>0.5</v>
          </cell>
        </row>
        <row r="237">
          <cell r="A237" t="str">
            <v>IS_alqt_plus</v>
          </cell>
          <cell r="K237" t="str">
            <v>ECOR</v>
          </cell>
          <cell r="M237" t="str">
            <v>M</v>
          </cell>
          <cell r="AB237" t="str">
            <v>serum</v>
          </cell>
          <cell r="AF237">
            <v>1</v>
          </cell>
        </row>
        <row r="238">
          <cell r="A238" t="str">
            <v>IS_alqt_plus</v>
          </cell>
          <cell r="K238" t="str">
            <v>ECOR</v>
          </cell>
          <cell r="M238" t="str">
            <v>M</v>
          </cell>
          <cell r="AB238" t="str">
            <v>serum</v>
          </cell>
          <cell r="AF238">
            <v>0.8</v>
          </cell>
        </row>
        <row r="239">
          <cell r="A239" t="str">
            <v>IS_alqt_plus</v>
          </cell>
          <cell r="K239" t="str">
            <v>ECOR</v>
          </cell>
          <cell r="M239" t="str">
            <v>F</v>
          </cell>
          <cell r="AB239" t="str">
            <v>serum</v>
          </cell>
          <cell r="AF239">
            <v>0.8</v>
          </cell>
        </row>
        <row r="240">
          <cell r="A240" t="str">
            <v>IS_alqt_plus</v>
          </cell>
          <cell r="K240" t="str">
            <v>EMAC</v>
          </cell>
          <cell r="M240" t="str">
            <v>M</v>
          </cell>
          <cell r="AB240" t="str">
            <v>serum</v>
          </cell>
          <cell r="AF240">
            <v>0.3</v>
          </cell>
        </row>
        <row r="241">
          <cell r="A241" t="str">
            <v>IS_alqt_plus</v>
          </cell>
          <cell r="K241" t="str">
            <v>EALB</v>
          </cell>
          <cell r="M241" t="str">
            <v>M</v>
          </cell>
          <cell r="AB241" t="str">
            <v>serum</v>
          </cell>
          <cell r="AF241">
            <v>1.5</v>
          </cell>
        </row>
        <row r="242">
          <cell r="A242" t="str">
            <v>IS_alqt_plus</v>
          </cell>
          <cell r="K242" t="str">
            <v>EFLA</v>
          </cell>
          <cell r="M242" t="str">
            <v>F</v>
          </cell>
          <cell r="AB242" t="str">
            <v>serum</v>
          </cell>
          <cell r="AF242">
            <v>0.25</v>
          </cell>
        </row>
        <row r="243">
          <cell r="A243" t="str">
            <v>IS_alqt_plus</v>
          </cell>
          <cell r="K243" t="str">
            <v>EFLA</v>
          </cell>
          <cell r="M243" t="str">
            <v>F</v>
          </cell>
          <cell r="AB243" t="str">
            <v>serum</v>
          </cell>
          <cell r="AF243">
            <v>0.2</v>
          </cell>
        </row>
        <row r="244">
          <cell r="A244" t="str">
            <v>IS_alqt_plus</v>
          </cell>
          <cell r="K244" t="str">
            <v>EFLA</v>
          </cell>
          <cell r="M244" t="str">
            <v>F</v>
          </cell>
          <cell r="AB244" t="str">
            <v>serum</v>
          </cell>
          <cell r="AF244">
            <v>0.2</v>
          </cell>
        </row>
        <row r="245">
          <cell r="A245" t="str">
            <v>gone</v>
          </cell>
          <cell r="K245" t="str">
            <v>EFLA</v>
          </cell>
          <cell r="M245" t="str">
            <v>M</v>
          </cell>
          <cell r="AB245" t="str">
            <v>serum</v>
          </cell>
          <cell r="AF245">
            <v>0</v>
          </cell>
        </row>
        <row r="246">
          <cell r="A246" t="str">
            <v>IS_alqt_plus</v>
          </cell>
          <cell r="K246" t="str">
            <v>EFLA</v>
          </cell>
          <cell r="M246" t="str">
            <v>F</v>
          </cell>
          <cell r="AB246" t="str">
            <v>serum</v>
          </cell>
          <cell r="AF246">
            <v>0.3</v>
          </cell>
        </row>
        <row r="247">
          <cell r="A247" t="str">
            <v>IS_alqt_plus</v>
          </cell>
          <cell r="K247" t="str">
            <v>EFLA</v>
          </cell>
          <cell r="M247" t="str">
            <v>M</v>
          </cell>
          <cell r="AB247" t="str">
            <v>serum</v>
          </cell>
          <cell r="AF247">
            <v>0.3</v>
          </cell>
        </row>
        <row r="248">
          <cell r="A248" t="str">
            <v>IS_alqt_plus</v>
          </cell>
          <cell r="K248" t="str">
            <v>EFLA</v>
          </cell>
          <cell r="M248" t="str">
            <v>M</v>
          </cell>
          <cell r="AB248" t="str">
            <v>serum</v>
          </cell>
          <cell r="AF248">
            <v>0.4</v>
          </cell>
        </row>
        <row r="249">
          <cell r="A249" t="str">
            <v>IS_alqt_plus</v>
          </cell>
          <cell r="K249" t="str">
            <v>ERUF</v>
          </cell>
          <cell r="M249" t="str">
            <v>M</v>
          </cell>
          <cell r="AB249" t="str">
            <v>serum</v>
          </cell>
          <cell r="AF249">
            <v>1.5</v>
          </cell>
        </row>
        <row r="250">
          <cell r="A250" t="str">
            <v>IS_alqt_plus</v>
          </cell>
          <cell r="K250" t="str">
            <v>HGG</v>
          </cell>
          <cell r="M250" t="str">
            <v>M</v>
          </cell>
          <cell r="AB250" t="str">
            <v>serum</v>
          </cell>
          <cell r="AF250">
            <v>0.7</v>
          </cell>
        </row>
        <row r="251">
          <cell r="A251" t="str">
            <v>IS_alqt_plus</v>
          </cell>
          <cell r="K251" t="str">
            <v>PTAT</v>
          </cell>
          <cell r="M251" t="str">
            <v>M</v>
          </cell>
          <cell r="AB251" t="str">
            <v>serum</v>
          </cell>
          <cell r="AF251">
            <v>0.5</v>
          </cell>
        </row>
        <row r="252">
          <cell r="A252" t="str">
            <v>IS_alqt_plus</v>
          </cell>
          <cell r="K252" t="str">
            <v>PTAT</v>
          </cell>
          <cell r="M252" t="str">
            <v>M</v>
          </cell>
          <cell r="AB252" t="str">
            <v>serum</v>
          </cell>
          <cell r="AF252">
            <v>0.25</v>
          </cell>
        </row>
        <row r="253">
          <cell r="A253" t="str">
            <v>IS_alqt_plus</v>
          </cell>
          <cell r="K253" t="str">
            <v>PCOQ</v>
          </cell>
          <cell r="M253" t="str">
            <v>M</v>
          </cell>
          <cell r="AB253" t="str">
            <v>serum</v>
          </cell>
          <cell r="AF253">
            <v>0.3</v>
          </cell>
        </row>
        <row r="254">
          <cell r="A254" t="str">
            <v>IS_alqt_plus</v>
          </cell>
          <cell r="K254" t="str">
            <v>PCOQ</v>
          </cell>
          <cell r="M254" t="str">
            <v>M</v>
          </cell>
          <cell r="AB254" t="str">
            <v>serum</v>
          </cell>
          <cell r="AF254">
            <v>0.2</v>
          </cell>
        </row>
        <row r="255">
          <cell r="A255" t="str">
            <v>IS_alqt_plus</v>
          </cell>
          <cell r="K255" t="str">
            <v>OGG</v>
          </cell>
          <cell r="M255" t="str">
            <v>F</v>
          </cell>
          <cell r="AB255" t="str">
            <v>serum</v>
          </cell>
          <cell r="AF255">
            <v>1.5</v>
          </cell>
        </row>
        <row r="256">
          <cell r="A256" t="str">
            <v>IS_alqt_plus</v>
          </cell>
          <cell r="K256" t="str">
            <v>OGG</v>
          </cell>
          <cell r="M256" t="str">
            <v>F</v>
          </cell>
          <cell r="AB256" t="str">
            <v>serum</v>
          </cell>
          <cell r="AF256">
            <v>0.5</v>
          </cell>
        </row>
        <row r="257">
          <cell r="A257" t="str">
            <v>IS_alqt_plus</v>
          </cell>
          <cell r="K257" t="str">
            <v>OGG</v>
          </cell>
          <cell r="M257" t="str">
            <v>F</v>
          </cell>
          <cell r="AB257" t="str">
            <v>serum</v>
          </cell>
          <cell r="AF257">
            <v>0.4</v>
          </cell>
        </row>
        <row r="258">
          <cell r="A258" t="str">
            <v>IS_alqt_plus</v>
          </cell>
          <cell r="K258" t="str">
            <v>PCOQ</v>
          </cell>
          <cell r="M258" t="str">
            <v>F</v>
          </cell>
          <cell r="AB258" t="str">
            <v>serum</v>
          </cell>
          <cell r="AF258">
            <v>0.75</v>
          </cell>
        </row>
        <row r="259">
          <cell r="A259" t="str">
            <v>IS_alqt_plus</v>
          </cell>
          <cell r="K259" t="str">
            <v>OGG</v>
          </cell>
          <cell r="M259" t="str">
            <v>M</v>
          </cell>
          <cell r="AB259" t="str">
            <v>serum</v>
          </cell>
          <cell r="AF259">
            <v>0.2</v>
          </cell>
        </row>
        <row r="260">
          <cell r="A260" t="str">
            <v>IS_alqt_plus</v>
          </cell>
          <cell r="K260" t="str">
            <v>OGG</v>
          </cell>
          <cell r="M260" t="str">
            <v>M</v>
          </cell>
          <cell r="AB260" t="str">
            <v>serum</v>
          </cell>
          <cell r="AF260">
            <v>0.75</v>
          </cell>
        </row>
        <row r="261">
          <cell r="A261" t="str">
            <v>IS_alqt_plus</v>
          </cell>
          <cell r="K261" t="str">
            <v>OGG</v>
          </cell>
          <cell r="M261" t="str">
            <v>M</v>
          </cell>
          <cell r="AB261" t="str">
            <v>serum</v>
          </cell>
          <cell r="AF261">
            <v>0.3</v>
          </cell>
        </row>
        <row r="262">
          <cell r="A262" t="str">
            <v>IS_alqt_plus</v>
          </cell>
          <cell r="K262" t="str">
            <v>OGG</v>
          </cell>
          <cell r="M262" t="str">
            <v>F</v>
          </cell>
          <cell r="AB262" t="str">
            <v>serum</v>
          </cell>
          <cell r="AF262">
            <v>0.6</v>
          </cell>
        </row>
        <row r="263">
          <cell r="A263" t="str">
            <v>IS_alqt_plus</v>
          </cell>
          <cell r="K263" t="str">
            <v>OGG</v>
          </cell>
          <cell r="M263" t="str">
            <v>F</v>
          </cell>
          <cell r="AB263" t="str">
            <v>serum</v>
          </cell>
          <cell r="AF263">
            <v>1</v>
          </cell>
        </row>
        <row r="264">
          <cell r="A264" t="str">
            <v>IS_alqt_plus</v>
          </cell>
          <cell r="K264" t="str">
            <v>OGG</v>
          </cell>
          <cell r="M264" t="str">
            <v>F</v>
          </cell>
          <cell r="AB264" t="str">
            <v>serum</v>
          </cell>
          <cell r="AF264">
            <v>1</v>
          </cell>
        </row>
        <row r="265">
          <cell r="A265" t="str">
            <v>IS_alqt_minus</v>
          </cell>
          <cell r="K265" t="str">
            <v>OGG</v>
          </cell>
          <cell r="M265" t="str">
            <v>M</v>
          </cell>
          <cell r="AB265" t="str">
            <v>serum</v>
          </cell>
          <cell r="AF265">
            <v>0.15</v>
          </cell>
        </row>
        <row r="266">
          <cell r="A266" t="str">
            <v>IS_alqt_plus</v>
          </cell>
          <cell r="K266" t="str">
            <v>OGG</v>
          </cell>
          <cell r="M266" t="str">
            <v>F</v>
          </cell>
          <cell r="AB266" t="str">
            <v>serum</v>
          </cell>
          <cell r="AF266">
            <v>0.5</v>
          </cell>
        </row>
        <row r="267">
          <cell r="A267" t="str">
            <v>IS_alqt_plus</v>
          </cell>
          <cell r="K267" t="str">
            <v>OGG</v>
          </cell>
          <cell r="M267" t="str">
            <v>F</v>
          </cell>
          <cell r="AB267" t="str">
            <v>serum</v>
          </cell>
          <cell r="AF267">
            <v>0.3</v>
          </cell>
        </row>
        <row r="268">
          <cell r="A268" t="str">
            <v>IS_alqt_plus</v>
          </cell>
          <cell r="K268" t="str">
            <v>OGG</v>
          </cell>
          <cell r="M268" t="str">
            <v>F</v>
          </cell>
          <cell r="AB268" t="str">
            <v>serum</v>
          </cell>
          <cell r="AF268">
            <v>1</v>
          </cell>
        </row>
        <row r="269">
          <cell r="A269" t="str">
            <v>IS_alqt_minus</v>
          </cell>
          <cell r="K269" t="str">
            <v>OGG</v>
          </cell>
          <cell r="M269" t="str">
            <v>M</v>
          </cell>
          <cell r="AB269" t="str">
            <v>serum</v>
          </cell>
          <cell r="AF269">
            <v>0.1</v>
          </cell>
        </row>
        <row r="270">
          <cell r="A270" t="str">
            <v>IS_alqt_minus</v>
          </cell>
          <cell r="K270" t="str">
            <v>OGG</v>
          </cell>
          <cell r="M270" t="str">
            <v>M</v>
          </cell>
          <cell r="AB270" t="str">
            <v>serum</v>
          </cell>
          <cell r="AF270">
            <v>0.1</v>
          </cell>
        </row>
        <row r="271">
          <cell r="A271" t="str">
            <v>IS_alqt_plus</v>
          </cell>
          <cell r="K271" t="str">
            <v>OGG</v>
          </cell>
          <cell r="M271" t="str">
            <v>F</v>
          </cell>
          <cell r="AB271" t="str">
            <v>serum</v>
          </cell>
          <cell r="AF271">
            <v>0.5</v>
          </cell>
        </row>
        <row r="272">
          <cell r="A272" t="str">
            <v>IS_alqt_plus</v>
          </cell>
          <cell r="K272" t="str">
            <v>VRUB</v>
          </cell>
          <cell r="M272" t="str">
            <v>M</v>
          </cell>
          <cell r="AB272" t="str">
            <v>unk</v>
          </cell>
          <cell r="AF272">
            <v>0.9</v>
          </cell>
        </row>
        <row r="273">
          <cell r="A273" t="str">
            <v>IS_alqt_plus</v>
          </cell>
          <cell r="K273" t="str">
            <v>EALB</v>
          </cell>
          <cell r="M273" t="str">
            <v>M</v>
          </cell>
          <cell r="AB273" t="str">
            <v>serum</v>
          </cell>
          <cell r="AF273">
            <v>1.5</v>
          </cell>
        </row>
        <row r="274">
          <cell r="A274" t="str">
            <v>IS_alqt_plus</v>
          </cell>
          <cell r="K274" t="str">
            <v>ERUF</v>
          </cell>
          <cell r="M274" t="str">
            <v>F</v>
          </cell>
          <cell r="AB274" t="str">
            <v>serum</v>
          </cell>
          <cell r="AF274">
            <v>1</v>
          </cell>
        </row>
        <row r="275">
          <cell r="A275" t="str">
            <v>IS_alqt_plus</v>
          </cell>
          <cell r="K275" t="str">
            <v>EMAC</v>
          </cell>
          <cell r="M275" t="str">
            <v>F</v>
          </cell>
          <cell r="AB275" t="str">
            <v>serum</v>
          </cell>
          <cell r="AF275">
            <v>1.5</v>
          </cell>
        </row>
        <row r="276">
          <cell r="A276" t="str">
            <v>IS_alqt_plus</v>
          </cell>
          <cell r="K276" t="str">
            <v>EMAC</v>
          </cell>
          <cell r="M276" t="str">
            <v>F</v>
          </cell>
          <cell r="AB276" t="str">
            <v>serum</v>
          </cell>
          <cell r="AF276">
            <v>0.5</v>
          </cell>
        </row>
        <row r="277">
          <cell r="A277" t="str">
            <v>IS_alqt_plus</v>
          </cell>
          <cell r="K277" t="str">
            <v>ESAN</v>
          </cell>
          <cell r="M277" t="str">
            <v>F</v>
          </cell>
          <cell r="AB277" t="str">
            <v>serum</v>
          </cell>
          <cell r="AF277">
            <v>1.5</v>
          </cell>
        </row>
        <row r="278">
          <cell r="A278" t="str">
            <v>IS_alqt_plus</v>
          </cell>
          <cell r="K278" t="str">
            <v>ESAN</v>
          </cell>
          <cell r="M278" t="str">
            <v>M</v>
          </cell>
          <cell r="AB278" t="str">
            <v>serum</v>
          </cell>
          <cell r="AF278">
            <v>0.4</v>
          </cell>
        </row>
        <row r="279">
          <cell r="A279" t="str">
            <v>unk</v>
          </cell>
          <cell r="K279" t="str">
            <v>ESAN</v>
          </cell>
          <cell r="M279" t="str">
            <v>M</v>
          </cell>
          <cell r="AB279" t="str">
            <v>serum</v>
          </cell>
          <cell r="AF279" t="str">
            <v>.</v>
          </cell>
        </row>
        <row r="280">
          <cell r="A280" t="str">
            <v>IS_alqt_plus</v>
          </cell>
          <cell r="K280" t="str">
            <v>PCOQ</v>
          </cell>
          <cell r="M280" t="str">
            <v>F</v>
          </cell>
          <cell r="AB280" t="str">
            <v>serum</v>
          </cell>
          <cell r="AF280">
            <v>0.4</v>
          </cell>
        </row>
        <row r="281">
          <cell r="A281" t="str">
            <v>IS_alqt_plus</v>
          </cell>
          <cell r="K281" t="str">
            <v>PCOQ</v>
          </cell>
          <cell r="M281" t="str">
            <v>F</v>
          </cell>
          <cell r="AB281" t="str">
            <v>serum</v>
          </cell>
          <cell r="AF281">
            <v>0.2</v>
          </cell>
        </row>
        <row r="282">
          <cell r="A282" t="str">
            <v>IS_alqt_plus</v>
          </cell>
          <cell r="K282" t="str">
            <v>PCOQ</v>
          </cell>
          <cell r="M282" t="str">
            <v>F</v>
          </cell>
          <cell r="AB282" t="str">
            <v>serum</v>
          </cell>
          <cell r="AF282">
            <v>0.2</v>
          </cell>
        </row>
        <row r="283">
          <cell r="A283" t="str">
            <v>IS_alqt_plus</v>
          </cell>
          <cell r="K283" t="str">
            <v>PCOQ</v>
          </cell>
          <cell r="M283" t="str">
            <v>M</v>
          </cell>
          <cell r="AB283" t="str">
            <v>serum</v>
          </cell>
          <cell r="AF283">
            <v>0.25</v>
          </cell>
        </row>
        <row r="284">
          <cell r="A284" t="str">
            <v>gone</v>
          </cell>
          <cell r="K284" t="str">
            <v>OGG</v>
          </cell>
          <cell r="M284" t="str">
            <v>M</v>
          </cell>
          <cell r="AB284" t="str">
            <v>serum</v>
          </cell>
          <cell r="AF284">
            <v>0</v>
          </cell>
        </row>
        <row r="285">
          <cell r="A285" t="str">
            <v>IS_alqt_plus</v>
          </cell>
          <cell r="K285" t="str">
            <v>EFLA</v>
          </cell>
          <cell r="M285" t="str">
            <v>M</v>
          </cell>
          <cell r="AB285" t="str">
            <v>serum</v>
          </cell>
          <cell r="AF285">
            <v>1.2</v>
          </cell>
        </row>
        <row r="286">
          <cell r="A286" t="str">
            <v>IS_alqt_plus</v>
          </cell>
          <cell r="K286" t="str">
            <v>EFLA</v>
          </cell>
          <cell r="M286" t="str">
            <v>M</v>
          </cell>
          <cell r="AB286" t="str">
            <v>serum</v>
          </cell>
          <cell r="AF286">
            <v>1.5</v>
          </cell>
        </row>
        <row r="287">
          <cell r="A287" t="str">
            <v>IS_alqt_plus</v>
          </cell>
          <cell r="K287" t="str">
            <v>EFLA</v>
          </cell>
          <cell r="M287" t="str">
            <v>M</v>
          </cell>
          <cell r="AB287" t="str">
            <v>serum</v>
          </cell>
          <cell r="AF287">
            <v>1.5</v>
          </cell>
        </row>
        <row r="288">
          <cell r="A288" t="str">
            <v>IS_alqt_plus</v>
          </cell>
          <cell r="K288" t="str">
            <v>EFLA</v>
          </cell>
          <cell r="M288" t="str">
            <v>M</v>
          </cell>
          <cell r="AB288" t="str">
            <v>serum</v>
          </cell>
          <cell r="AF288">
            <v>1.5</v>
          </cell>
        </row>
        <row r="289">
          <cell r="A289" t="str">
            <v>IS_alqt_plus</v>
          </cell>
          <cell r="K289" t="str">
            <v>EFLA</v>
          </cell>
          <cell r="M289" t="str">
            <v>M</v>
          </cell>
          <cell r="AB289" t="str">
            <v>serum</v>
          </cell>
          <cell r="AF289">
            <v>1.5</v>
          </cell>
        </row>
        <row r="290">
          <cell r="A290" t="str">
            <v>IS_alqt_plus</v>
          </cell>
          <cell r="K290" t="str">
            <v>EFLA</v>
          </cell>
          <cell r="M290" t="str">
            <v>M</v>
          </cell>
          <cell r="AB290" t="str">
            <v>serum</v>
          </cell>
          <cell r="AF290">
            <v>1.5</v>
          </cell>
        </row>
        <row r="291">
          <cell r="A291" t="str">
            <v>IS_alqt_plus</v>
          </cell>
          <cell r="K291" t="str">
            <v>EFLA</v>
          </cell>
          <cell r="M291" t="str">
            <v>M</v>
          </cell>
          <cell r="AB291" t="str">
            <v>serum</v>
          </cell>
          <cell r="AF291">
            <v>1.5</v>
          </cell>
        </row>
        <row r="292">
          <cell r="A292" t="str">
            <v>IS_alqt_plus</v>
          </cell>
          <cell r="K292" t="str">
            <v>EFLA</v>
          </cell>
          <cell r="M292" t="str">
            <v>M</v>
          </cell>
          <cell r="AB292" t="str">
            <v>serum</v>
          </cell>
          <cell r="AF292">
            <v>0.25</v>
          </cell>
        </row>
        <row r="293">
          <cell r="A293" t="str">
            <v>IS_alqt_plus</v>
          </cell>
          <cell r="K293" t="str">
            <v>EFLA</v>
          </cell>
          <cell r="M293" t="str">
            <v>M</v>
          </cell>
          <cell r="AB293" t="str">
            <v>serum</v>
          </cell>
          <cell r="AF293">
            <v>0.25</v>
          </cell>
        </row>
        <row r="294">
          <cell r="A294" t="str">
            <v>IS_alqt_plus</v>
          </cell>
          <cell r="K294" t="str">
            <v>EUL</v>
          </cell>
          <cell r="M294" t="str">
            <v>M</v>
          </cell>
          <cell r="AB294" t="str">
            <v>serum</v>
          </cell>
          <cell r="AF294">
            <v>0.8</v>
          </cell>
        </row>
        <row r="295">
          <cell r="A295" t="str">
            <v>IS_alqt_plus</v>
          </cell>
          <cell r="K295" t="str">
            <v>OGG</v>
          </cell>
          <cell r="M295" t="str">
            <v>F</v>
          </cell>
          <cell r="AB295" t="str">
            <v>serum</v>
          </cell>
          <cell r="AF295">
            <v>0.35</v>
          </cell>
        </row>
        <row r="296">
          <cell r="A296" t="str">
            <v>IS_alqt_plus</v>
          </cell>
          <cell r="K296" t="str">
            <v>VVV</v>
          </cell>
          <cell r="M296" t="str">
            <v>M</v>
          </cell>
          <cell r="AB296" t="str">
            <v>serum</v>
          </cell>
          <cell r="AF296">
            <v>0.5</v>
          </cell>
        </row>
        <row r="297">
          <cell r="A297" t="str">
            <v>IS_alqt_plus</v>
          </cell>
          <cell r="K297" t="str">
            <v>VVV</v>
          </cell>
          <cell r="M297" t="str">
            <v>M</v>
          </cell>
          <cell r="AB297" t="str">
            <v>serum</v>
          </cell>
          <cell r="AF297">
            <v>0.25</v>
          </cell>
        </row>
        <row r="298">
          <cell r="A298" t="str">
            <v>IS_alqt_plus</v>
          </cell>
          <cell r="K298" t="str">
            <v>LCAT</v>
          </cell>
          <cell r="M298" t="str">
            <v>M</v>
          </cell>
          <cell r="AB298" t="str">
            <v>serum</v>
          </cell>
          <cell r="AF298">
            <v>1</v>
          </cell>
        </row>
        <row r="299">
          <cell r="A299" t="str">
            <v>IS_alqt_plus</v>
          </cell>
          <cell r="K299" t="str">
            <v>LCAT</v>
          </cell>
          <cell r="M299" t="str">
            <v>M</v>
          </cell>
          <cell r="AB299" t="str">
            <v>serum</v>
          </cell>
          <cell r="AF299">
            <v>1</v>
          </cell>
        </row>
        <row r="300">
          <cell r="A300" t="str">
            <v>IS_alqt_plus</v>
          </cell>
          <cell r="K300" t="str">
            <v>LCAT</v>
          </cell>
          <cell r="M300" t="str">
            <v>M</v>
          </cell>
          <cell r="AB300" t="str">
            <v>serum</v>
          </cell>
          <cell r="AF300">
            <v>1</v>
          </cell>
        </row>
        <row r="301">
          <cell r="A301" t="str">
            <v>IS_alqt_plus</v>
          </cell>
          <cell r="K301" t="str">
            <v>LCAT</v>
          </cell>
          <cell r="M301" t="str">
            <v>M</v>
          </cell>
          <cell r="AB301" t="str">
            <v>serum</v>
          </cell>
          <cell r="AF301">
            <v>1</v>
          </cell>
        </row>
        <row r="302">
          <cell r="A302" t="str">
            <v>IS_alqt_plus</v>
          </cell>
          <cell r="K302" t="str">
            <v>LTAR</v>
          </cell>
          <cell r="M302" t="str">
            <v>F</v>
          </cell>
          <cell r="AB302" t="str">
            <v>serum</v>
          </cell>
          <cell r="AF302">
            <v>1.25</v>
          </cell>
        </row>
        <row r="303">
          <cell r="A303" t="str">
            <v>IS_alqt_plus</v>
          </cell>
          <cell r="K303" t="str">
            <v>ERUF</v>
          </cell>
          <cell r="M303" t="str">
            <v>F</v>
          </cell>
          <cell r="AB303" t="str">
            <v>serum</v>
          </cell>
          <cell r="AF303">
            <v>1</v>
          </cell>
        </row>
        <row r="304">
          <cell r="A304" t="str">
            <v>IS_alqt_plus</v>
          </cell>
          <cell r="K304" t="str">
            <v>ERUF</v>
          </cell>
          <cell r="M304" t="str">
            <v>F</v>
          </cell>
          <cell r="AB304" t="str">
            <v>serum</v>
          </cell>
          <cell r="AF304">
            <v>0.5</v>
          </cell>
        </row>
        <row r="305">
          <cell r="A305" t="str">
            <v>IS_alqt_plus</v>
          </cell>
          <cell r="K305" t="str">
            <v>ERUF</v>
          </cell>
          <cell r="M305" t="str">
            <v>F</v>
          </cell>
          <cell r="AB305" t="str">
            <v>serum</v>
          </cell>
          <cell r="AF305">
            <v>1.5</v>
          </cell>
        </row>
        <row r="306">
          <cell r="A306" t="str">
            <v>IS_alqt_plus</v>
          </cell>
          <cell r="K306" t="str">
            <v>ERUF</v>
          </cell>
          <cell r="M306" t="str">
            <v>F</v>
          </cell>
          <cell r="AB306" t="str">
            <v>serum</v>
          </cell>
          <cell r="AF306">
            <v>1.5</v>
          </cell>
        </row>
        <row r="307">
          <cell r="A307" t="str">
            <v>IS_alqt_plus</v>
          </cell>
          <cell r="K307" t="str">
            <v>ERUF</v>
          </cell>
          <cell r="M307" t="str">
            <v>F</v>
          </cell>
          <cell r="AB307" t="str">
            <v>serum</v>
          </cell>
          <cell r="AF307">
            <v>1</v>
          </cell>
        </row>
        <row r="308">
          <cell r="A308" t="str">
            <v>IS_alqt_plus</v>
          </cell>
          <cell r="K308" t="str">
            <v>LCAT</v>
          </cell>
          <cell r="M308" t="str">
            <v>M</v>
          </cell>
          <cell r="AB308" t="str">
            <v>serum</v>
          </cell>
          <cell r="AF308">
            <v>0.5</v>
          </cell>
        </row>
        <row r="309">
          <cell r="A309" t="str">
            <v>gone</v>
          </cell>
          <cell r="K309" t="str">
            <v>PCOQ</v>
          </cell>
          <cell r="M309" t="str">
            <v>M</v>
          </cell>
          <cell r="AB309" t="str">
            <v>serum</v>
          </cell>
          <cell r="AF309">
            <v>0</v>
          </cell>
        </row>
        <row r="310">
          <cell r="A310" t="str">
            <v>IS_alqt_plus</v>
          </cell>
          <cell r="K310" t="str">
            <v>PCOQ</v>
          </cell>
          <cell r="M310" t="str">
            <v>M</v>
          </cell>
          <cell r="AB310" t="str">
            <v>serum</v>
          </cell>
          <cell r="AF310">
            <v>1.5</v>
          </cell>
        </row>
        <row r="311">
          <cell r="A311" t="str">
            <v>IS_alqt_plus</v>
          </cell>
          <cell r="K311" t="str">
            <v>PCOQ</v>
          </cell>
          <cell r="M311" t="str">
            <v>M</v>
          </cell>
          <cell r="AB311" t="str">
            <v>serum</v>
          </cell>
          <cell r="AF311">
            <v>1.5</v>
          </cell>
        </row>
        <row r="312">
          <cell r="A312" t="str">
            <v>IS_alqt_plus</v>
          </cell>
          <cell r="K312" t="str">
            <v>PCOQ</v>
          </cell>
          <cell r="M312" t="str">
            <v>M</v>
          </cell>
          <cell r="AB312" t="str">
            <v>serum</v>
          </cell>
          <cell r="AF312">
            <v>0.75</v>
          </cell>
        </row>
        <row r="313">
          <cell r="A313" t="str">
            <v>IS_alqt_plus</v>
          </cell>
          <cell r="K313" t="str">
            <v>MZAZ</v>
          </cell>
          <cell r="M313" t="str">
            <v>F</v>
          </cell>
          <cell r="AB313" t="str">
            <v>serum</v>
          </cell>
          <cell r="AF313">
            <v>0.3</v>
          </cell>
        </row>
        <row r="314">
          <cell r="A314" t="str">
            <v>IS_alqt_plus</v>
          </cell>
          <cell r="K314" t="str">
            <v>MZAZ</v>
          </cell>
          <cell r="M314" t="str">
            <v>F</v>
          </cell>
          <cell r="AB314" t="str">
            <v>serum</v>
          </cell>
          <cell r="AF314">
            <v>0.45</v>
          </cell>
        </row>
        <row r="315">
          <cell r="A315" t="str">
            <v>IS_alqt_plus</v>
          </cell>
          <cell r="K315" t="str">
            <v>ECOR</v>
          </cell>
          <cell r="M315" t="str">
            <v>M</v>
          </cell>
          <cell r="AB315" t="str">
            <v>serum</v>
          </cell>
          <cell r="AF315">
            <v>1</v>
          </cell>
        </row>
        <row r="316">
          <cell r="A316" t="str">
            <v>IS_alqt_plus</v>
          </cell>
          <cell r="K316" t="str">
            <v>ECOR</v>
          </cell>
          <cell r="M316" t="str">
            <v>F</v>
          </cell>
          <cell r="AB316" t="str">
            <v>serum</v>
          </cell>
          <cell r="AF316">
            <v>1</v>
          </cell>
        </row>
        <row r="317">
          <cell r="A317" t="str">
            <v>IS_alqt_plus</v>
          </cell>
          <cell r="K317" t="str">
            <v>ECOR</v>
          </cell>
          <cell r="M317" t="str">
            <v>F</v>
          </cell>
          <cell r="AB317" t="str">
            <v>serum</v>
          </cell>
          <cell r="AF317">
            <v>0.7</v>
          </cell>
        </row>
        <row r="318">
          <cell r="A318" t="str">
            <v>IS_alqt_plus</v>
          </cell>
          <cell r="K318" t="str">
            <v>ECOR</v>
          </cell>
          <cell r="M318" t="str">
            <v>F</v>
          </cell>
          <cell r="AB318" t="str">
            <v>serum</v>
          </cell>
          <cell r="AF318">
            <v>1</v>
          </cell>
        </row>
        <row r="319">
          <cell r="A319" t="str">
            <v>IS_alqt_plus</v>
          </cell>
          <cell r="K319" t="str">
            <v>LCAT</v>
          </cell>
          <cell r="M319" t="str">
            <v>F</v>
          </cell>
          <cell r="AB319" t="str">
            <v>serum</v>
          </cell>
          <cell r="AF319">
            <v>0.3</v>
          </cell>
        </row>
        <row r="320">
          <cell r="A320" t="str">
            <v>IS_alqt_plus</v>
          </cell>
          <cell r="K320" t="str">
            <v>LCAT</v>
          </cell>
          <cell r="M320" t="str">
            <v>M</v>
          </cell>
          <cell r="AB320" t="str">
            <v>serum</v>
          </cell>
          <cell r="AF320">
            <v>1.2</v>
          </cell>
        </row>
        <row r="321">
          <cell r="A321" t="str">
            <v>IS_alqt_minus</v>
          </cell>
          <cell r="K321" t="str">
            <v>PCOQ</v>
          </cell>
          <cell r="M321" t="str">
            <v>M</v>
          </cell>
          <cell r="AB321" t="str">
            <v>serum</v>
          </cell>
          <cell r="AF321">
            <v>0.1</v>
          </cell>
        </row>
        <row r="322">
          <cell r="A322" t="str">
            <v>IS_alqt_plus</v>
          </cell>
          <cell r="K322" t="str">
            <v>PCOQ</v>
          </cell>
          <cell r="M322" t="str">
            <v>M</v>
          </cell>
          <cell r="AB322" t="str">
            <v>serum</v>
          </cell>
          <cell r="AF322">
            <v>0.5</v>
          </cell>
        </row>
        <row r="323">
          <cell r="A323" t="str">
            <v>IS_alqt_plus</v>
          </cell>
          <cell r="K323" t="str">
            <v>PCOQ</v>
          </cell>
          <cell r="M323" t="str">
            <v>M</v>
          </cell>
          <cell r="AB323" t="str">
            <v>serum</v>
          </cell>
          <cell r="AF323">
            <v>0.5</v>
          </cell>
        </row>
        <row r="324">
          <cell r="A324" t="str">
            <v>unk</v>
          </cell>
          <cell r="K324" t="str">
            <v>PCOQ</v>
          </cell>
          <cell r="M324" t="str">
            <v>M</v>
          </cell>
          <cell r="AB324" t="str">
            <v>serum</v>
          </cell>
          <cell r="AF324" t="str">
            <v>.</v>
          </cell>
        </row>
        <row r="325">
          <cell r="A325" t="str">
            <v>unk</v>
          </cell>
          <cell r="K325" t="str">
            <v>PCOQ</v>
          </cell>
          <cell r="M325" t="str">
            <v>M</v>
          </cell>
          <cell r="AB325" t="str">
            <v>serum</v>
          </cell>
          <cell r="AF325" t="str">
            <v>.</v>
          </cell>
        </row>
        <row r="326">
          <cell r="A326" t="str">
            <v>gone</v>
          </cell>
          <cell r="K326" t="str">
            <v>PCOQ</v>
          </cell>
          <cell r="M326" t="str">
            <v>M</v>
          </cell>
          <cell r="AB326" t="str">
            <v>serum</v>
          </cell>
          <cell r="AF326">
            <v>0</v>
          </cell>
        </row>
        <row r="327">
          <cell r="A327" t="str">
            <v>IS_alqt_plus</v>
          </cell>
          <cell r="K327" t="str">
            <v>PCOQ</v>
          </cell>
          <cell r="M327" t="str">
            <v>M</v>
          </cell>
          <cell r="AB327" t="str">
            <v>serum</v>
          </cell>
          <cell r="AF327">
            <v>0.3</v>
          </cell>
        </row>
        <row r="328">
          <cell r="A328" t="str">
            <v>IS_alqt_plus</v>
          </cell>
          <cell r="K328" t="str">
            <v>PCOQ</v>
          </cell>
          <cell r="M328" t="str">
            <v>M</v>
          </cell>
          <cell r="AB328" t="str">
            <v>serum</v>
          </cell>
          <cell r="AF328">
            <v>0.3</v>
          </cell>
        </row>
        <row r="329">
          <cell r="A329" t="str">
            <v>IS_alqt_plus</v>
          </cell>
          <cell r="K329" t="str">
            <v>ECOR</v>
          </cell>
          <cell r="M329" t="str">
            <v>M</v>
          </cell>
          <cell r="AB329" t="str">
            <v>serum</v>
          </cell>
          <cell r="AF329">
            <v>1.2</v>
          </cell>
        </row>
        <row r="330">
          <cell r="A330" t="str">
            <v>IS_alqt_plus</v>
          </cell>
          <cell r="K330" t="str">
            <v>LCAT</v>
          </cell>
          <cell r="M330" t="str">
            <v>F</v>
          </cell>
          <cell r="AB330" t="str">
            <v>serum</v>
          </cell>
          <cell r="AF330">
            <v>0.5</v>
          </cell>
        </row>
        <row r="331">
          <cell r="A331" t="str">
            <v>IS_alqt_plus</v>
          </cell>
          <cell r="K331" t="str">
            <v>VRUB</v>
          </cell>
          <cell r="M331" t="str">
            <v>M</v>
          </cell>
          <cell r="AB331" t="str">
            <v>serum</v>
          </cell>
          <cell r="AF331">
            <v>0.2</v>
          </cell>
        </row>
        <row r="332">
          <cell r="A332" t="str">
            <v>IS_alqt_plus</v>
          </cell>
          <cell r="K332" t="str">
            <v>VRUB</v>
          </cell>
          <cell r="M332" t="str">
            <v>M</v>
          </cell>
          <cell r="AB332" t="str">
            <v>serum</v>
          </cell>
          <cell r="AF332">
            <v>0.4</v>
          </cell>
        </row>
        <row r="333">
          <cell r="A333" t="str">
            <v>IS_alqt_plus</v>
          </cell>
          <cell r="K333" t="str">
            <v>VRUB</v>
          </cell>
          <cell r="M333" t="str">
            <v>M</v>
          </cell>
          <cell r="AB333" t="str">
            <v>serum</v>
          </cell>
          <cell r="AF333">
            <v>0.5</v>
          </cell>
        </row>
        <row r="334">
          <cell r="A334" t="str">
            <v>IS_alqt_plus</v>
          </cell>
          <cell r="K334" t="str">
            <v>VRUB</v>
          </cell>
          <cell r="M334" t="str">
            <v>F</v>
          </cell>
          <cell r="AB334" t="str">
            <v>serum</v>
          </cell>
          <cell r="AF334">
            <v>0.5</v>
          </cell>
        </row>
        <row r="335">
          <cell r="A335" t="str">
            <v>IS_alqt_plus</v>
          </cell>
          <cell r="K335" t="str">
            <v>VRUB</v>
          </cell>
          <cell r="M335" t="str">
            <v>F</v>
          </cell>
          <cell r="AB335" t="str">
            <v>serum</v>
          </cell>
          <cell r="AF335">
            <v>0.5</v>
          </cell>
        </row>
        <row r="336">
          <cell r="A336" t="str">
            <v>IS_alqt_plus</v>
          </cell>
          <cell r="K336" t="str">
            <v>ECOL</v>
          </cell>
          <cell r="M336" t="str">
            <v>F</v>
          </cell>
          <cell r="AB336" t="str">
            <v>serum</v>
          </cell>
          <cell r="AF336">
            <v>0.5</v>
          </cell>
        </row>
        <row r="337">
          <cell r="A337" t="str">
            <v>IS_alqt_plus</v>
          </cell>
          <cell r="K337" t="str">
            <v>ECOL</v>
          </cell>
          <cell r="M337" t="str">
            <v>M</v>
          </cell>
          <cell r="AB337" t="str">
            <v>serum</v>
          </cell>
          <cell r="AF337">
            <v>1</v>
          </cell>
        </row>
        <row r="338">
          <cell r="A338" t="str">
            <v>IS_alqt_plus</v>
          </cell>
          <cell r="K338" t="str">
            <v>ECOL</v>
          </cell>
          <cell r="M338" t="str">
            <v>M</v>
          </cell>
          <cell r="AB338" t="str">
            <v>serum</v>
          </cell>
          <cell r="AF338">
            <v>1.5</v>
          </cell>
        </row>
        <row r="339">
          <cell r="A339" t="str">
            <v>gone</v>
          </cell>
          <cell r="K339" t="str">
            <v>PCOQ</v>
          </cell>
          <cell r="M339" t="str">
            <v>F</v>
          </cell>
          <cell r="AB339" t="str">
            <v>serum</v>
          </cell>
          <cell r="AF339">
            <v>0</v>
          </cell>
        </row>
        <row r="340">
          <cell r="A340" t="str">
            <v>IS_alqt_plus</v>
          </cell>
          <cell r="K340" t="str">
            <v>PCOQ</v>
          </cell>
          <cell r="M340" t="str">
            <v>F</v>
          </cell>
          <cell r="AB340" t="str">
            <v>serum</v>
          </cell>
          <cell r="AF340">
            <v>1.5</v>
          </cell>
        </row>
        <row r="341">
          <cell r="A341" t="str">
            <v>IS_alqt_plus</v>
          </cell>
          <cell r="K341" t="str">
            <v>PCOQ</v>
          </cell>
          <cell r="M341" t="str">
            <v>F</v>
          </cell>
          <cell r="AB341" t="str">
            <v>serum</v>
          </cell>
          <cell r="AF341">
            <v>1.5</v>
          </cell>
        </row>
        <row r="342">
          <cell r="A342" t="str">
            <v>IS_alqt_plus</v>
          </cell>
          <cell r="K342" t="str">
            <v>PCOQ</v>
          </cell>
          <cell r="M342" t="str">
            <v>F</v>
          </cell>
          <cell r="AB342" t="str">
            <v>serum</v>
          </cell>
          <cell r="AF342">
            <v>1.5</v>
          </cell>
        </row>
        <row r="343">
          <cell r="A343" t="str">
            <v>IS_alqt_plus</v>
          </cell>
          <cell r="K343" t="str">
            <v>PCOQ</v>
          </cell>
          <cell r="M343" t="str">
            <v>F</v>
          </cell>
          <cell r="AB343" t="str">
            <v>serum</v>
          </cell>
          <cell r="AF343">
            <v>1</v>
          </cell>
        </row>
        <row r="344">
          <cell r="A344" t="str">
            <v>IS_alqt_plus</v>
          </cell>
          <cell r="K344" t="str">
            <v>PCOQ</v>
          </cell>
          <cell r="M344" t="str">
            <v>F</v>
          </cell>
          <cell r="AB344" t="str">
            <v>serum</v>
          </cell>
          <cell r="AF344">
            <v>1.3</v>
          </cell>
        </row>
        <row r="345">
          <cell r="A345" t="str">
            <v>IS_alqt_plus</v>
          </cell>
          <cell r="K345" t="str">
            <v>EMAC</v>
          </cell>
          <cell r="M345" t="str">
            <v>F</v>
          </cell>
          <cell r="AB345" t="str">
            <v>serum</v>
          </cell>
          <cell r="AF345">
            <v>1</v>
          </cell>
        </row>
        <row r="346">
          <cell r="A346" t="str">
            <v>IS_alqt_plus</v>
          </cell>
          <cell r="K346" t="str">
            <v>PCOQ</v>
          </cell>
          <cell r="M346" t="str">
            <v>F</v>
          </cell>
          <cell r="AB346" t="str">
            <v>serum</v>
          </cell>
          <cell r="AF346">
            <v>0.4</v>
          </cell>
        </row>
        <row r="347">
          <cell r="A347" t="str">
            <v>IS_alqt_plus</v>
          </cell>
          <cell r="K347" t="str">
            <v>PCOQ</v>
          </cell>
          <cell r="M347" t="str">
            <v>F</v>
          </cell>
          <cell r="AB347" t="str">
            <v>serum</v>
          </cell>
          <cell r="AF347">
            <v>1</v>
          </cell>
        </row>
        <row r="348">
          <cell r="A348" t="str">
            <v>IS_alqt_plus</v>
          </cell>
          <cell r="K348" t="str">
            <v>EMON</v>
          </cell>
          <cell r="M348" t="str">
            <v>M</v>
          </cell>
          <cell r="AB348" t="str">
            <v>serum</v>
          </cell>
          <cell r="AF348">
            <v>0.2</v>
          </cell>
        </row>
        <row r="349">
          <cell r="A349" t="str">
            <v>gone</v>
          </cell>
          <cell r="K349" t="str">
            <v>PCOQ</v>
          </cell>
          <cell r="M349" t="str">
            <v>F</v>
          </cell>
          <cell r="AB349" t="str">
            <v>serum</v>
          </cell>
          <cell r="AF349">
            <v>0</v>
          </cell>
        </row>
        <row r="350">
          <cell r="A350" t="str">
            <v>IS_alqt_plus</v>
          </cell>
          <cell r="K350" t="str">
            <v>PCOQ</v>
          </cell>
          <cell r="M350" t="str">
            <v>M</v>
          </cell>
          <cell r="AB350" t="str">
            <v>serum</v>
          </cell>
          <cell r="AF350">
            <v>0.5</v>
          </cell>
        </row>
        <row r="351">
          <cell r="A351" t="str">
            <v>IS_alqt_plus</v>
          </cell>
          <cell r="K351" t="str">
            <v>PCOQ</v>
          </cell>
          <cell r="M351" t="str">
            <v>M</v>
          </cell>
          <cell r="AB351" t="str">
            <v>serum</v>
          </cell>
          <cell r="AF351">
            <v>0.2</v>
          </cell>
        </row>
        <row r="352">
          <cell r="A352" t="str">
            <v>IS_alqt_plus</v>
          </cell>
          <cell r="K352" t="str">
            <v>PCOQ</v>
          </cell>
          <cell r="M352" t="str">
            <v>M</v>
          </cell>
          <cell r="AB352" t="str">
            <v>serum</v>
          </cell>
          <cell r="AF352">
            <v>0.3</v>
          </cell>
        </row>
        <row r="353">
          <cell r="A353" t="str">
            <v>IS_alqt_plus</v>
          </cell>
          <cell r="K353" t="str">
            <v>PCOQ</v>
          </cell>
          <cell r="M353" t="str">
            <v>F</v>
          </cell>
          <cell r="AB353" t="str">
            <v>serum</v>
          </cell>
          <cell r="AF353">
            <v>0.7</v>
          </cell>
        </row>
        <row r="354">
          <cell r="A354" t="str">
            <v>IS_alqt_plus</v>
          </cell>
          <cell r="K354" t="str">
            <v>PCOQ</v>
          </cell>
          <cell r="M354" t="str">
            <v>M</v>
          </cell>
          <cell r="AB354" t="str">
            <v>serum</v>
          </cell>
          <cell r="AF354">
            <v>0.3</v>
          </cell>
        </row>
        <row r="355">
          <cell r="A355" t="str">
            <v>IS_alqt_plus</v>
          </cell>
          <cell r="K355" t="str">
            <v>HGRI</v>
          </cell>
          <cell r="M355" t="str">
            <v>M</v>
          </cell>
          <cell r="AB355" t="str">
            <v>serum</v>
          </cell>
          <cell r="AF355">
            <v>0.3</v>
          </cell>
        </row>
        <row r="356">
          <cell r="A356" t="str">
            <v>IS_alqt_plus</v>
          </cell>
          <cell r="K356" t="str">
            <v>HGRI</v>
          </cell>
          <cell r="M356" t="str">
            <v>M</v>
          </cell>
          <cell r="AB356" t="str">
            <v>serum</v>
          </cell>
          <cell r="AF356">
            <v>0.4</v>
          </cell>
        </row>
        <row r="357">
          <cell r="A357" t="str">
            <v>IS_alqt_plus</v>
          </cell>
          <cell r="K357" t="str">
            <v>ERUF</v>
          </cell>
          <cell r="M357" t="str">
            <v>F</v>
          </cell>
          <cell r="AB357" t="str">
            <v>serum</v>
          </cell>
          <cell r="AF357">
            <v>1</v>
          </cell>
        </row>
        <row r="358">
          <cell r="A358" t="str">
            <v>IS_alqt_plus</v>
          </cell>
          <cell r="K358" t="str">
            <v>ERUF</v>
          </cell>
          <cell r="M358" t="str">
            <v>F</v>
          </cell>
          <cell r="AB358" t="str">
            <v>serum</v>
          </cell>
          <cell r="AF358">
            <v>1</v>
          </cell>
        </row>
        <row r="359">
          <cell r="A359" t="str">
            <v>IS_alqt_plus</v>
          </cell>
          <cell r="K359" t="str">
            <v>ERUF</v>
          </cell>
          <cell r="M359" t="str">
            <v>M</v>
          </cell>
          <cell r="AB359" t="str">
            <v>serum</v>
          </cell>
          <cell r="AF359">
            <v>1</v>
          </cell>
        </row>
        <row r="360">
          <cell r="A360" t="str">
            <v>IS_alqt_plus</v>
          </cell>
          <cell r="K360" t="str">
            <v>ERUF</v>
          </cell>
          <cell r="M360" t="str">
            <v>F</v>
          </cell>
          <cell r="AB360" t="str">
            <v>serum</v>
          </cell>
          <cell r="AF360">
            <v>0.5</v>
          </cell>
        </row>
        <row r="361">
          <cell r="A361" t="str">
            <v>IS_alqt_plus</v>
          </cell>
          <cell r="K361" t="str">
            <v>ERUF</v>
          </cell>
          <cell r="M361" t="str">
            <v>M</v>
          </cell>
          <cell r="AB361" t="str">
            <v>serum</v>
          </cell>
          <cell r="AF361">
            <v>1</v>
          </cell>
        </row>
        <row r="362">
          <cell r="A362" t="str">
            <v>IS_alqt_plus</v>
          </cell>
          <cell r="K362" t="str">
            <v>LCAT</v>
          </cell>
          <cell r="M362" t="str">
            <v>F</v>
          </cell>
          <cell r="AB362" t="str">
            <v>serum</v>
          </cell>
          <cell r="AF362">
            <v>0.7</v>
          </cell>
        </row>
        <row r="363">
          <cell r="A363" t="str">
            <v>IS_alqt_plus</v>
          </cell>
          <cell r="K363" t="str">
            <v>LCAT</v>
          </cell>
          <cell r="M363" t="str">
            <v>F</v>
          </cell>
          <cell r="AB363" t="str">
            <v>serum</v>
          </cell>
          <cell r="AF363">
            <v>0.3</v>
          </cell>
        </row>
        <row r="364">
          <cell r="A364" t="str">
            <v>IS_alqt_minus</v>
          </cell>
          <cell r="K364" t="str">
            <v>LCAT</v>
          </cell>
          <cell r="M364" t="str">
            <v>M</v>
          </cell>
          <cell r="AB364" t="str">
            <v>serum</v>
          </cell>
          <cell r="AF364">
            <v>0.1</v>
          </cell>
        </row>
        <row r="365">
          <cell r="A365" t="str">
            <v>IS_alqt_plus</v>
          </cell>
          <cell r="K365" t="str">
            <v>MZAZ</v>
          </cell>
          <cell r="M365" t="str">
            <v>F</v>
          </cell>
          <cell r="AB365" t="str">
            <v>serum</v>
          </cell>
          <cell r="AF365">
            <v>0.25</v>
          </cell>
        </row>
        <row r="366">
          <cell r="A366" t="str">
            <v>IS_alqt_plus</v>
          </cell>
          <cell r="K366" t="str">
            <v>ECOL</v>
          </cell>
          <cell r="M366" t="str">
            <v>M</v>
          </cell>
          <cell r="AB366" t="str">
            <v>serum</v>
          </cell>
          <cell r="AF366">
            <v>0.2</v>
          </cell>
        </row>
        <row r="367">
          <cell r="A367" t="str">
            <v>IS_alqt_plus</v>
          </cell>
          <cell r="K367" t="str">
            <v>MZAZ</v>
          </cell>
          <cell r="M367" t="str">
            <v>M</v>
          </cell>
          <cell r="AB367" t="str">
            <v>serum</v>
          </cell>
          <cell r="AF367">
            <v>0.4</v>
          </cell>
        </row>
        <row r="368">
          <cell r="A368" t="str">
            <v>IS_alqt_plus</v>
          </cell>
          <cell r="K368" t="str">
            <v>PDIA</v>
          </cell>
          <cell r="M368" t="str">
            <v>M</v>
          </cell>
          <cell r="AB368" t="str">
            <v>serum</v>
          </cell>
          <cell r="AF368">
            <v>1.2</v>
          </cell>
        </row>
        <row r="369">
          <cell r="A369" t="str">
            <v>IS_alqt_plus</v>
          </cell>
          <cell r="K369" t="str">
            <v>PTAT</v>
          </cell>
          <cell r="M369" t="str">
            <v>M</v>
          </cell>
          <cell r="AB369" t="str">
            <v>serum</v>
          </cell>
          <cell r="AF369">
            <v>0.5</v>
          </cell>
        </row>
        <row r="370">
          <cell r="A370" t="str">
            <v>IS_alqt_plus</v>
          </cell>
          <cell r="K370" t="str">
            <v>EUL</v>
          </cell>
          <cell r="M370" t="str">
            <v>F</v>
          </cell>
          <cell r="AB370" t="str">
            <v>serum</v>
          </cell>
          <cell r="AF370">
            <v>1.2</v>
          </cell>
        </row>
        <row r="371">
          <cell r="A371" t="str">
            <v>IS_alqt_plus</v>
          </cell>
          <cell r="K371" t="str">
            <v>EUL</v>
          </cell>
          <cell r="M371" t="str">
            <v>F</v>
          </cell>
          <cell r="AB371" t="str">
            <v>serum</v>
          </cell>
          <cell r="AF371">
            <v>1.2</v>
          </cell>
        </row>
        <row r="372">
          <cell r="A372" t="str">
            <v>IS_alqt_plus</v>
          </cell>
          <cell r="K372" t="str">
            <v>EUL</v>
          </cell>
          <cell r="M372" t="str">
            <v>F</v>
          </cell>
          <cell r="AB372" t="str">
            <v>serum</v>
          </cell>
          <cell r="AF372">
            <v>1.2</v>
          </cell>
        </row>
        <row r="373">
          <cell r="A373" t="str">
            <v>IS_alqt_plus</v>
          </cell>
          <cell r="K373" t="str">
            <v>EUL</v>
          </cell>
          <cell r="M373" t="str">
            <v>F</v>
          </cell>
          <cell r="AB373" t="str">
            <v>serum</v>
          </cell>
          <cell r="AF373">
            <v>1.2</v>
          </cell>
        </row>
        <row r="374">
          <cell r="A374" t="str">
            <v>IS_alqt_plus</v>
          </cell>
          <cell r="K374" t="str">
            <v>EUL</v>
          </cell>
          <cell r="M374" t="str">
            <v>F</v>
          </cell>
          <cell r="AB374" t="str">
            <v>serum</v>
          </cell>
          <cell r="AF374">
            <v>1</v>
          </cell>
        </row>
        <row r="375">
          <cell r="A375" t="str">
            <v>IS_alqt_plus</v>
          </cell>
          <cell r="K375" t="str">
            <v>EUL</v>
          </cell>
          <cell r="M375" t="str">
            <v>F</v>
          </cell>
          <cell r="AB375" t="str">
            <v>serum</v>
          </cell>
          <cell r="AF375">
            <v>1</v>
          </cell>
        </row>
        <row r="376">
          <cell r="A376" t="str">
            <v>IS_alqt_plus</v>
          </cell>
          <cell r="K376" t="str">
            <v>EUL</v>
          </cell>
          <cell r="M376" t="str">
            <v>F</v>
          </cell>
          <cell r="AB376" t="str">
            <v>serum</v>
          </cell>
          <cell r="AF376">
            <v>1.2</v>
          </cell>
        </row>
        <row r="377">
          <cell r="A377" t="str">
            <v>IS_alqt_plus</v>
          </cell>
          <cell r="K377" t="str">
            <v>DMAD</v>
          </cell>
          <cell r="M377" t="str">
            <v>F</v>
          </cell>
          <cell r="AB377" t="str">
            <v>serum</v>
          </cell>
          <cell r="AF377">
            <v>0.5</v>
          </cell>
        </row>
        <row r="378">
          <cell r="A378" t="str">
            <v>IS_alqt_plus</v>
          </cell>
          <cell r="K378" t="str">
            <v>DMAD</v>
          </cell>
          <cell r="M378" t="str">
            <v>M</v>
          </cell>
          <cell r="AB378" t="str">
            <v>serum</v>
          </cell>
          <cell r="AF378">
            <v>1.2</v>
          </cell>
        </row>
        <row r="379">
          <cell r="A379" t="str">
            <v>IS_alqt_plus</v>
          </cell>
          <cell r="K379" t="str">
            <v>CMED</v>
          </cell>
          <cell r="M379" t="str">
            <v>F</v>
          </cell>
          <cell r="AB379" t="str">
            <v>serum</v>
          </cell>
          <cell r="AF379">
            <v>0.35</v>
          </cell>
        </row>
        <row r="380">
          <cell r="A380" t="str">
            <v>IS_alqt_plus</v>
          </cell>
          <cell r="K380" t="str">
            <v>CMED</v>
          </cell>
          <cell r="M380" t="str">
            <v>M</v>
          </cell>
          <cell r="AB380" t="str">
            <v>serum</v>
          </cell>
          <cell r="AF380">
            <v>0.3</v>
          </cell>
        </row>
        <row r="381">
          <cell r="A381" t="str">
            <v>IS_alqt_plus</v>
          </cell>
          <cell r="K381" t="str">
            <v>DMAD</v>
          </cell>
          <cell r="M381" t="str">
            <v>M</v>
          </cell>
          <cell r="AB381" t="str">
            <v>serum</v>
          </cell>
          <cell r="AF381">
            <v>0.75</v>
          </cell>
        </row>
        <row r="382">
          <cell r="A382" t="str">
            <v>IS_alqt_plus</v>
          </cell>
          <cell r="K382" t="str">
            <v>DMAD</v>
          </cell>
          <cell r="M382" t="str">
            <v>F</v>
          </cell>
          <cell r="AB382" t="str">
            <v>serum</v>
          </cell>
          <cell r="AF382">
            <v>1.75</v>
          </cell>
        </row>
        <row r="383">
          <cell r="A383" t="str">
            <v>IS_alqt_plus</v>
          </cell>
          <cell r="K383" t="str">
            <v>DMAD</v>
          </cell>
          <cell r="M383" t="str">
            <v>M</v>
          </cell>
          <cell r="AB383" t="str">
            <v>serum</v>
          </cell>
          <cell r="AF383">
            <v>0.75</v>
          </cell>
        </row>
        <row r="384">
          <cell r="A384" t="str">
            <v>IS_alqt_plus</v>
          </cell>
          <cell r="K384" t="str">
            <v>CMED</v>
          </cell>
          <cell r="M384" t="str">
            <v>F</v>
          </cell>
          <cell r="AB384" t="str">
            <v>serum</v>
          </cell>
          <cell r="AF384">
            <v>0.2</v>
          </cell>
        </row>
        <row r="385">
          <cell r="A385" t="str">
            <v>IS_alqt_plus</v>
          </cell>
          <cell r="K385" t="str">
            <v>CMED</v>
          </cell>
          <cell r="M385" t="str">
            <v>M</v>
          </cell>
          <cell r="AB385" t="str">
            <v>serum</v>
          </cell>
          <cell r="AF385">
            <v>0.25</v>
          </cell>
        </row>
        <row r="386">
          <cell r="A386" t="str">
            <v>IS_alqt_plus</v>
          </cell>
          <cell r="K386" t="str">
            <v>PCOQ</v>
          </cell>
          <cell r="M386" t="str">
            <v>M</v>
          </cell>
          <cell r="AB386" t="str">
            <v>serum</v>
          </cell>
          <cell r="AF386">
            <v>0.5</v>
          </cell>
        </row>
        <row r="387">
          <cell r="A387" t="str">
            <v>IS_alqt_plus</v>
          </cell>
          <cell r="K387" t="str">
            <v>VRUB</v>
          </cell>
          <cell r="M387" t="str">
            <v>F</v>
          </cell>
          <cell r="AB387" t="str">
            <v>serum</v>
          </cell>
          <cell r="AF387">
            <v>1.1000000000000001</v>
          </cell>
        </row>
        <row r="388">
          <cell r="A388" t="str">
            <v>IS_alqt_plus</v>
          </cell>
          <cell r="K388" t="str">
            <v>MZAZ</v>
          </cell>
          <cell r="M388" t="str">
            <v>M</v>
          </cell>
          <cell r="AB388" t="str">
            <v>WB</v>
          </cell>
          <cell r="AF388">
            <v>0.5</v>
          </cell>
        </row>
        <row r="389">
          <cell r="A389" t="str">
            <v>IS_alqt_plus</v>
          </cell>
          <cell r="K389" t="str">
            <v>CMED</v>
          </cell>
          <cell r="M389" t="str">
            <v>F</v>
          </cell>
          <cell r="AB389" t="str">
            <v>serum</v>
          </cell>
          <cell r="AF389">
            <v>0.2</v>
          </cell>
        </row>
        <row r="390">
          <cell r="A390" t="str">
            <v>IS_alqt_plus</v>
          </cell>
          <cell r="K390" t="str">
            <v>ECOL</v>
          </cell>
          <cell r="M390" t="str">
            <v>F</v>
          </cell>
          <cell r="AB390" t="str">
            <v>serum</v>
          </cell>
          <cell r="AF390">
            <v>1.5</v>
          </cell>
        </row>
        <row r="391">
          <cell r="A391" t="str">
            <v>IS_alqt_plus</v>
          </cell>
          <cell r="K391" t="str">
            <v>DMAD</v>
          </cell>
          <cell r="M391" t="str">
            <v>M</v>
          </cell>
          <cell r="AB391" t="str">
            <v>serum</v>
          </cell>
          <cell r="AF391">
            <v>1</v>
          </cell>
        </row>
        <row r="392">
          <cell r="A392" t="str">
            <v>IS_alqt_plus</v>
          </cell>
          <cell r="K392" t="str">
            <v>EUL</v>
          </cell>
          <cell r="M392" t="str">
            <v>M</v>
          </cell>
          <cell r="AB392" t="str">
            <v>serum</v>
          </cell>
          <cell r="AF392">
            <v>1.2</v>
          </cell>
        </row>
        <row r="393">
          <cell r="A393" t="str">
            <v>unk</v>
          </cell>
          <cell r="K393" t="str">
            <v>NCOU</v>
          </cell>
          <cell r="M393" t="str">
            <v>F</v>
          </cell>
          <cell r="AB393" t="str">
            <v>serum</v>
          </cell>
          <cell r="AF393">
            <v>0.4</v>
          </cell>
        </row>
        <row r="394">
          <cell r="A394" t="str">
            <v>IS_alqt_plus</v>
          </cell>
          <cell r="K394" t="str">
            <v>PCOQ</v>
          </cell>
          <cell r="M394" t="str">
            <v>M</v>
          </cell>
          <cell r="AB394" t="str">
            <v>serum</v>
          </cell>
          <cell r="AF394">
            <v>0.2</v>
          </cell>
        </row>
        <row r="395">
          <cell r="A395" t="str">
            <v>IS_alqt_plus</v>
          </cell>
          <cell r="K395" t="str">
            <v>EMON</v>
          </cell>
          <cell r="M395" t="str">
            <v>F</v>
          </cell>
          <cell r="AB395" t="str">
            <v>serum</v>
          </cell>
          <cell r="AF395">
            <v>1</v>
          </cell>
        </row>
        <row r="396">
          <cell r="A396" t="str">
            <v>IS_alqt_minus</v>
          </cell>
          <cell r="K396" t="str">
            <v>VVV</v>
          </cell>
          <cell r="M396" t="str">
            <v>F</v>
          </cell>
          <cell r="AB396" t="str">
            <v>serum</v>
          </cell>
          <cell r="AF396">
            <v>0.1</v>
          </cell>
        </row>
        <row r="397">
          <cell r="A397" t="str">
            <v>IS_alqt_minus</v>
          </cell>
          <cell r="K397" t="str">
            <v>CMED</v>
          </cell>
          <cell r="M397" t="str">
            <v>M</v>
          </cell>
          <cell r="AB397" t="str">
            <v>serum</v>
          </cell>
          <cell r="AF397">
            <v>0.1</v>
          </cell>
        </row>
        <row r="398">
          <cell r="A398" t="str">
            <v>IS_alqt_plus</v>
          </cell>
          <cell r="K398" t="str">
            <v>NCOU</v>
          </cell>
          <cell r="M398" t="str">
            <v>M</v>
          </cell>
          <cell r="AB398" t="str">
            <v>serum</v>
          </cell>
          <cell r="AF398">
            <v>0.24</v>
          </cell>
        </row>
        <row r="399">
          <cell r="A399" t="str">
            <v>IS_alqt_plus</v>
          </cell>
          <cell r="K399" t="str">
            <v>LTAR</v>
          </cell>
          <cell r="M399" t="str">
            <v>M</v>
          </cell>
          <cell r="AB399" t="str">
            <v>serum</v>
          </cell>
          <cell r="AF399">
            <v>0.25</v>
          </cell>
        </row>
        <row r="400">
          <cell r="A400" t="str">
            <v>IS_alqt_minus</v>
          </cell>
          <cell r="K400" t="str">
            <v>NCOU</v>
          </cell>
          <cell r="M400" t="str">
            <v>F</v>
          </cell>
          <cell r="AB400" t="str">
            <v>serum</v>
          </cell>
          <cell r="AF400">
            <v>0.1</v>
          </cell>
        </row>
        <row r="401">
          <cell r="A401" t="str">
            <v>IS_alqt_plus</v>
          </cell>
          <cell r="K401" t="str">
            <v>LTAR</v>
          </cell>
          <cell r="M401" t="str">
            <v>M</v>
          </cell>
          <cell r="AB401" t="str">
            <v>serum</v>
          </cell>
          <cell r="AF401">
            <v>0.2</v>
          </cell>
        </row>
        <row r="402">
          <cell r="A402" t="str">
            <v>IS_alqt_plus</v>
          </cell>
          <cell r="K402" t="str">
            <v>LTAR</v>
          </cell>
          <cell r="M402" t="str">
            <v>M</v>
          </cell>
          <cell r="AB402" t="str">
            <v>serum</v>
          </cell>
          <cell r="AF402">
            <v>0.4</v>
          </cell>
        </row>
        <row r="403">
          <cell r="A403" t="str">
            <v>IS_alqt_plus</v>
          </cell>
          <cell r="K403" t="str">
            <v>LTAR</v>
          </cell>
          <cell r="M403" t="str">
            <v>M</v>
          </cell>
          <cell r="AB403" t="str">
            <v>serum</v>
          </cell>
          <cell r="AF403">
            <v>1</v>
          </cell>
        </row>
        <row r="404">
          <cell r="A404" t="str">
            <v>IS_alqt_plus</v>
          </cell>
          <cell r="K404" t="str">
            <v>LTAR</v>
          </cell>
          <cell r="M404" t="str">
            <v>M</v>
          </cell>
          <cell r="AB404" t="str">
            <v>serum</v>
          </cell>
          <cell r="AF404">
            <v>1</v>
          </cell>
        </row>
        <row r="405">
          <cell r="A405" t="str">
            <v>IS_alqt_plus</v>
          </cell>
          <cell r="K405" t="str">
            <v>LTAR</v>
          </cell>
          <cell r="M405" t="str">
            <v>M</v>
          </cell>
          <cell r="AB405" t="str">
            <v>serum</v>
          </cell>
          <cell r="AF405">
            <v>1</v>
          </cell>
        </row>
        <row r="406">
          <cell r="A406" t="str">
            <v>IS_alqt_plus</v>
          </cell>
          <cell r="K406" t="str">
            <v>VVV</v>
          </cell>
          <cell r="M406" t="str">
            <v>M</v>
          </cell>
          <cell r="AB406" t="str">
            <v>serum</v>
          </cell>
          <cell r="AF406">
            <v>1.5</v>
          </cell>
        </row>
        <row r="407">
          <cell r="A407" t="str">
            <v>IS_alqt_plus</v>
          </cell>
          <cell r="K407" t="str">
            <v>MZAZ</v>
          </cell>
          <cell r="M407" t="str">
            <v>M</v>
          </cell>
          <cell r="AB407" t="str">
            <v>serum</v>
          </cell>
          <cell r="AF407">
            <v>0.25</v>
          </cell>
        </row>
        <row r="408">
          <cell r="A408" t="str">
            <v>IS_alqt_plus</v>
          </cell>
          <cell r="K408" t="str">
            <v>PCOQ</v>
          </cell>
          <cell r="M408" t="str">
            <v>F</v>
          </cell>
          <cell r="AB408" t="str">
            <v>serum</v>
          </cell>
          <cell r="AF408">
            <v>1.6</v>
          </cell>
        </row>
        <row r="409">
          <cell r="A409" t="str">
            <v>unk</v>
          </cell>
          <cell r="K409" t="str">
            <v>NCOU</v>
          </cell>
          <cell r="M409" t="str">
            <v>M</v>
          </cell>
          <cell r="AB409" t="str">
            <v>serum</v>
          </cell>
          <cell r="AF409">
            <v>0.1</v>
          </cell>
        </row>
        <row r="410">
          <cell r="A410" t="str">
            <v>IS_alqt_plus</v>
          </cell>
          <cell r="K410" t="str">
            <v>NCOU</v>
          </cell>
          <cell r="M410" t="str">
            <v>F</v>
          </cell>
          <cell r="AB410" t="str">
            <v>serum</v>
          </cell>
          <cell r="AF410">
            <v>0.25</v>
          </cell>
        </row>
        <row r="411">
          <cell r="A411" t="str">
            <v>IS_alqt_plus</v>
          </cell>
          <cell r="K411" t="str">
            <v>VVV</v>
          </cell>
          <cell r="M411" t="str">
            <v>M</v>
          </cell>
          <cell r="AB411" t="str">
            <v>WB</v>
          </cell>
          <cell r="AF411">
            <v>1.5</v>
          </cell>
        </row>
        <row r="412">
          <cell r="A412" t="str">
            <v>IS_alqt_plus</v>
          </cell>
          <cell r="K412" t="str">
            <v>VVV</v>
          </cell>
          <cell r="M412" t="str">
            <v>M</v>
          </cell>
          <cell r="AB412" t="str">
            <v>WB</v>
          </cell>
          <cell r="AF412">
            <v>0.6</v>
          </cell>
        </row>
        <row r="413">
          <cell r="A413" t="str">
            <v>IS_alqt_plus</v>
          </cell>
          <cell r="K413" t="str">
            <v>PTAT</v>
          </cell>
          <cell r="M413" t="str">
            <v>M</v>
          </cell>
          <cell r="AB413" t="str">
            <v>WB</v>
          </cell>
          <cell r="AF413">
            <v>1</v>
          </cell>
        </row>
        <row r="414">
          <cell r="A414" t="str">
            <v>IS_alqt_plus</v>
          </cell>
          <cell r="K414" t="str">
            <v>PCOQ</v>
          </cell>
          <cell r="M414" t="str">
            <v>F</v>
          </cell>
          <cell r="AB414" t="str">
            <v>serum</v>
          </cell>
          <cell r="AF414">
            <v>0.75</v>
          </cell>
        </row>
        <row r="415">
          <cell r="A415" t="str">
            <v>IS_alqt_plus</v>
          </cell>
          <cell r="K415" t="str">
            <v>LCAT</v>
          </cell>
          <cell r="M415" t="str">
            <v>F</v>
          </cell>
          <cell r="AB415" t="str">
            <v>WB</v>
          </cell>
          <cell r="AF415">
            <v>0.5</v>
          </cell>
        </row>
        <row r="416">
          <cell r="A416" t="str">
            <v>IS_alqt_plus</v>
          </cell>
          <cell r="K416" t="str">
            <v>PCOQ</v>
          </cell>
          <cell r="M416" t="str">
            <v>F</v>
          </cell>
          <cell r="AB416" t="str">
            <v>serum</v>
          </cell>
          <cell r="AF416">
            <v>1</v>
          </cell>
        </row>
        <row r="417">
          <cell r="A417" t="str">
            <v>IS_alqt_plus</v>
          </cell>
          <cell r="K417" t="str">
            <v>PCOQ</v>
          </cell>
          <cell r="M417" t="str">
            <v>F</v>
          </cell>
          <cell r="AB417" t="str">
            <v>serum</v>
          </cell>
          <cell r="AF417">
            <v>1.8</v>
          </cell>
        </row>
        <row r="418">
          <cell r="A418" t="str">
            <v>IS_alqt_plus</v>
          </cell>
          <cell r="K418" t="str">
            <v>PCOQ</v>
          </cell>
          <cell r="M418" t="str">
            <v>F</v>
          </cell>
          <cell r="AB418" t="str">
            <v>serum</v>
          </cell>
          <cell r="AF418">
            <v>0.2</v>
          </cell>
        </row>
        <row r="419">
          <cell r="A419" t="str">
            <v>IS_alqt_plus</v>
          </cell>
          <cell r="K419" t="str">
            <v>NCOU</v>
          </cell>
          <cell r="M419" t="str">
            <v>F</v>
          </cell>
          <cell r="AB419" t="str">
            <v>serum</v>
          </cell>
          <cell r="AF419">
            <v>1.8</v>
          </cell>
        </row>
        <row r="420">
          <cell r="A420" t="str">
            <v>IS_alqt_plus</v>
          </cell>
          <cell r="K420" t="str">
            <v>NCOU</v>
          </cell>
          <cell r="M420" t="str">
            <v>F</v>
          </cell>
          <cell r="AB420" t="str">
            <v>serum</v>
          </cell>
          <cell r="AF420">
            <v>1.5</v>
          </cell>
        </row>
        <row r="421">
          <cell r="A421" t="str">
            <v>IS_alqt_plus</v>
          </cell>
          <cell r="K421" t="str">
            <v>NCOU</v>
          </cell>
          <cell r="M421" t="str">
            <v>F</v>
          </cell>
          <cell r="AB421" t="str">
            <v>serum</v>
          </cell>
          <cell r="AF421">
            <v>1.8</v>
          </cell>
        </row>
        <row r="422">
          <cell r="A422" t="str">
            <v>IS_alqt_plus</v>
          </cell>
          <cell r="K422" t="str">
            <v>NCOU</v>
          </cell>
          <cell r="M422" t="str">
            <v>F</v>
          </cell>
          <cell r="AB422" t="str">
            <v>serum</v>
          </cell>
          <cell r="AF422">
            <v>1.8</v>
          </cell>
        </row>
        <row r="423">
          <cell r="A423" t="str">
            <v>IS_alqt_plus</v>
          </cell>
          <cell r="K423" t="str">
            <v>NCOU</v>
          </cell>
          <cell r="M423" t="str">
            <v>F</v>
          </cell>
          <cell r="AB423" t="str">
            <v>serum</v>
          </cell>
          <cell r="AF423">
            <v>1.2</v>
          </cell>
        </row>
        <row r="424">
          <cell r="A424" t="str">
            <v>IS_alqt_plus</v>
          </cell>
          <cell r="K424" t="str">
            <v>VVV</v>
          </cell>
          <cell r="M424" t="str">
            <v>M</v>
          </cell>
          <cell r="AB424" t="str">
            <v>WB</v>
          </cell>
          <cell r="AF424">
            <v>0.2</v>
          </cell>
        </row>
        <row r="425">
          <cell r="A425" t="str">
            <v>IS_alqt_plus</v>
          </cell>
          <cell r="K425" t="str">
            <v>VVV</v>
          </cell>
          <cell r="M425" t="str">
            <v>M</v>
          </cell>
          <cell r="AB425" t="str">
            <v>WB</v>
          </cell>
          <cell r="AF425">
            <v>1</v>
          </cell>
        </row>
        <row r="426">
          <cell r="A426" t="str">
            <v>IS_alqt_plus</v>
          </cell>
          <cell r="K426" t="str">
            <v>VVV</v>
          </cell>
          <cell r="M426" t="str">
            <v>M</v>
          </cell>
          <cell r="AB426" t="str">
            <v>WB</v>
          </cell>
          <cell r="AF426">
            <v>1.5</v>
          </cell>
        </row>
        <row r="427">
          <cell r="A427" t="str">
            <v>IS_alqt_plus</v>
          </cell>
          <cell r="K427" t="str">
            <v>VVV</v>
          </cell>
          <cell r="M427" t="str">
            <v>M</v>
          </cell>
          <cell r="AB427" t="str">
            <v>serum</v>
          </cell>
          <cell r="AF427">
            <v>1.8</v>
          </cell>
        </row>
        <row r="428">
          <cell r="A428" t="str">
            <v>IS_alqt_plus</v>
          </cell>
          <cell r="K428" t="str">
            <v>VVV</v>
          </cell>
          <cell r="M428" t="str">
            <v>M</v>
          </cell>
          <cell r="AB428" t="str">
            <v>serum</v>
          </cell>
          <cell r="AF428">
            <v>1</v>
          </cell>
        </row>
        <row r="429">
          <cell r="A429" t="str">
            <v>IS_alqt_plus</v>
          </cell>
          <cell r="K429" t="str">
            <v>VVV</v>
          </cell>
          <cell r="M429" t="str">
            <v>M</v>
          </cell>
          <cell r="AB429" t="str">
            <v>serum</v>
          </cell>
          <cell r="AF429">
            <v>1.5</v>
          </cell>
        </row>
        <row r="430">
          <cell r="A430" t="str">
            <v>IS_alqt_plus</v>
          </cell>
          <cell r="K430" t="str">
            <v>VVV</v>
          </cell>
          <cell r="M430" t="str">
            <v>M</v>
          </cell>
          <cell r="AB430" t="str">
            <v>serum</v>
          </cell>
          <cell r="AF430">
            <v>1.8</v>
          </cell>
        </row>
        <row r="431">
          <cell r="A431" t="str">
            <v>IS_alqt_plus</v>
          </cell>
          <cell r="K431" t="str">
            <v>EALB</v>
          </cell>
          <cell r="M431" t="str">
            <v>M</v>
          </cell>
          <cell r="AB431" t="str">
            <v>serum</v>
          </cell>
          <cell r="AF431">
            <v>1.2</v>
          </cell>
        </row>
        <row r="432">
          <cell r="A432" t="str">
            <v>IS_alqt_plus</v>
          </cell>
          <cell r="K432" t="str">
            <v>EMON</v>
          </cell>
          <cell r="M432" t="str">
            <v>M</v>
          </cell>
          <cell r="AB432" t="str">
            <v>serum</v>
          </cell>
          <cell r="AF432">
            <v>1.9</v>
          </cell>
        </row>
        <row r="433">
          <cell r="A433" t="str">
            <v>IS_alqt_plus</v>
          </cell>
          <cell r="K433" t="str">
            <v>EMON</v>
          </cell>
          <cell r="M433" t="str">
            <v>F</v>
          </cell>
          <cell r="AB433" t="str">
            <v>serum</v>
          </cell>
          <cell r="AF433">
            <v>1.3</v>
          </cell>
        </row>
        <row r="434">
          <cell r="A434" t="str">
            <v>IS_alqt_plus</v>
          </cell>
          <cell r="K434" t="str">
            <v>ESAN</v>
          </cell>
          <cell r="M434" t="str">
            <v>M</v>
          </cell>
          <cell r="AB434" t="str">
            <v>serum</v>
          </cell>
          <cell r="AF434">
            <v>2</v>
          </cell>
        </row>
        <row r="435">
          <cell r="A435" t="str">
            <v>IS_alqt_plus</v>
          </cell>
          <cell r="K435" t="str">
            <v>VVV</v>
          </cell>
          <cell r="M435" t="str">
            <v>F</v>
          </cell>
          <cell r="AB435" t="str">
            <v>serum</v>
          </cell>
          <cell r="AF435">
            <v>0.5</v>
          </cell>
        </row>
        <row r="436">
          <cell r="A436" t="str">
            <v>IS_alqt_plus</v>
          </cell>
          <cell r="K436" t="str">
            <v>VVV</v>
          </cell>
          <cell r="M436" t="str">
            <v>M</v>
          </cell>
          <cell r="AB436" t="str">
            <v>serum</v>
          </cell>
          <cell r="AF436">
            <v>0.25</v>
          </cell>
        </row>
        <row r="437">
          <cell r="A437" t="str">
            <v>IS_alqt_plus</v>
          </cell>
          <cell r="K437" t="str">
            <v>ESAN</v>
          </cell>
          <cell r="M437" t="str">
            <v>F</v>
          </cell>
          <cell r="AB437" t="str">
            <v>serum</v>
          </cell>
          <cell r="AF437">
            <v>2</v>
          </cell>
        </row>
        <row r="438">
          <cell r="A438" t="str">
            <v>IS_alqt_plus</v>
          </cell>
          <cell r="K438" t="str">
            <v>PCOQ</v>
          </cell>
          <cell r="M438" t="str">
            <v>F</v>
          </cell>
          <cell r="AB438" t="str">
            <v>serum</v>
          </cell>
          <cell r="AF438">
            <v>1</v>
          </cell>
        </row>
        <row r="439">
          <cell r="A439" t="str">
            <v>IS_alqt_plus</v>
          </cell>
          <cell r="K439" t="str">
            <v>PCOQ</v>
          </cell>
          <cell r="M439" t="str">
            <v>M</v>
          </cell>
          <cell r="AB439" t="str">
            <v>serum</v>
          </cell>
          <cell r="AF439">
            <v>1</v>
          </cell>
        </row>
        <row r="440">
          <cell r="A440" t="str">
            <v>IS_alqt_plus</v>
          </cell>
          <cell r="K440" t="str">
            <v>ERUB</v>
          </cell>
          <cell r="M440" t="str">
            <v>F</v>
          </cell>
          <cell r="AB440" t="str">
            <v>serum</v>
          </cell>
          <cell r="AF440">
            <v>0.3</v>
          </cell>
        </row>
        <row r="441">
          <cell r="A441" t="str">
            <v>IS_alqt_plus</v>
          </cell>
          <cell r="K441" t="str">
            <v>ERUB</v>
          </cell>
          <cell r="M441" t="str">
            <v>F</v>
          </cell>
          <cell r="AB441" t="str">
            <v>serum</v>
          </cell>
          <cell r="AF441">
            <v>1.2</v>
          </cell>
        </row>
        <row r="442">
          <cell r="A442" t="str">
            <v>IS_alqt_plus</v>
          </cell>
          <cell r="K442" t="str">
            <v>PCOQ</v>
          </cell>
          <cell r="M442" t="str">
            <v>F</v>
          </cell>
          <cell r="AB442" t="str">
            <v>serum</v>
          </cell>
          <cell r="AF442">
            <v>0.3</v>
          </cell>
        </row>
        <row r="443">
          <cell r="A443" t="str">
            <v>IS_alqt_plus</v>
          </cell>
          <cell r="K443" t="str">
            <v>PTAT</v>
          </cell>
          <cell r="M443" t="str">
            <v>M</v>
          </cell>
          <cell r="AB443" t="str">
            <v>serum</v>
          </cell>
          <cell r="AF443">
            <v>1.6</v>
          </cell>
        </row>
        <row r="444">
          <cell r="A444" t="str">
            <v>IS_alqt_plus</v>
          </cell>
          <cell r="K444" t="str">
            <v>EALB</v>
          </cell>
          <cell r="M444" t="str">
            <v>F</v>
          </cell>
          <cell r="AB444" t="str">
            <v>serum</v>
          </cell>
          <cell r="AF444">
            <v>0.5</v>
          </cell>
        </row>
        <row r="445">
          <cell r="A445" t="str">
            <v>IS_alqt_plus</v>
          </cell>
          <cell r="K445" t="str">
            <v>LCAT</v>
          </cell>
          <cell r="M445" t="str">
            <v>M</v>
          </cell>
          <cell r="AB445" t="str">
            <v>serum</v>
          </cell>
          <cell r="AF445">
            <v>1.7</v>
          </cell>
        </row>
        <row r="446">
          <cell r="A446" t="str">
            <v>IS_alqt_plus</v>
          </cell>
          <cell r="K446" t="str">
            <v>ERUB</v>
          </cell>
          <cell r="M446" t="str">
            <v>F</v>
          </cell>
          <cell r="AB446" t="str">
            <v>serum</v>
          </cell>
          <cell r="AF446">
            <v>0.9</v>
          </cell>
        </row>
        <row r="447">
          <cell r="A447" t="str">
            <v>IS_alqt_plus</v>
          </cell>
          <cell r="K447" t="str">
            <v>ERUB</v>
          </cell>
          <cell r="M447" t="str">
            <v>F</v>
          </cell>
          <cell r="AB447" t="str">
            <v>serum</v>
          </cell>
          <cell r="AF447">
            <v>1</v>
          </cell>
        </row>
        <row r="448">
          <cell r="A448" t="str">
            <v>IS_alqt_plus</v>
          </cell>
          <cell r="K448" t="str">
            <v>VRUB</v>
          </cell>
          <cell r="M448" t="str">
            <v>M</v>
          </cell>
          <cell r="AB448" t="str">
            <v>serum</v>
          </cell>
          <cell r="AF448">
            <v>1.2</v>
          </cell>
        </row>
        <row r="449">
          <cell r="A449" t="str">
            <v>IS_alqt_plus</v>
          </cell>
          <cell r="K449" t="str">
            <v>MZAZ</v>
          </cell>
          <cell r="M449" t="str">
            <v>M</v>
          </cell>
          <cell r="AB449" t="str">
            <v>serum</v>
          </cell>
          <cell r="AF449">
            <v>0.3</v>
          </cell>
        </row>
        <row r="450">
          <cell r="A450" t="str">
            <v>IS_alqt_plus</v>
          </cell>
          <cell r="K450" t="str">
            <v>NCOU</v>
          </cell>
          <cell r="M450" t="str">
            <v>F</v>
          </cell>
          <cell r="AB450" t="str">
            <v>serum</v>
          </cell>
          <cell r="AF450">
            <v>0.4</v>
          </cell>
        </row>
        <row r="451">
          <cell r="A451" t="str">
            <v>IS_alqt_plus</v>
          </cell>
          <cell r="K451" t="str">
            <v>PCOQ</v>
          </cell>
          <cell r="M451" t="str">
            <v>M</v>
          </cell>
          <cell r="AB451" t="str">
            <v>serum</v>
          </cell>
          <cell r="AF451">
            <v>0.2</v>
          </cell>
        </row>
        <row r="452">
          <cell r="A452" t="str">
            <v>IS_alqt_plus</v>
          </cell>
          <cell r="K452" t="str">
            <v>VVV</v>
          </cell>
          <cell r="M452" t="str">
            <v>M</v>
          </cell>
          <cell r="AB452" t="str">
            <v>serum</v>
          </cell>
          <cell r="AF452">
            <v>0.5</v>
          </cell>
        </row>
        <row r="453">
          <cell r="A453" t="str">
            <v>IS_alqt_plus</v>
          </cell>
          <cell r="K453" t="str">
            <v>EFLA</v>
          </cell>
          <cell r="M453" t="str">
            <v>M</v>
          </cell>
          <cell r="AB453" t="str">
            <v>serum</v>
          </cell>
          <cell r="AF453">
            <v>1</v>
          </cell>
        </row>
        <row r="454">
          <cell r="A454" t="str">
            <v>IS_alqt_plus</v>
          </cell>
          <cell r="K454" t="str">
            <v>GMOH</v>
          </cell>
          <cell r="M454" t="str">
            <v>M</v>
          </cell>
          <cell r="AB454" t="str">
            <v>serum</v>
          </cell>
          <cell r="AF454">
            <v>0.5</v>
          </cell>
        </row>
        <row r="455">
          <cell r="A455" t="str">
            <v>IS_alqt_plus</v>
          </cell>
          <cell r="K455" t="str">
            <v>EMAC</v>
          </cell>
          <cell r="M455" t="str">
            <v>F</v>
          </cell>
          <cell r="AB455" t="str">
            <v>WB</v>
          </cell>
          <cell r="AF455">
            <v>0.25</v>
          </cell>
        </row>
        <row r="456">
          <cell r="A456" t="str">
            <v>IS_alqt_plus</v>
          </cell>
          <cell r="K456" t="str">
            <v>EMAC</v>
          </cell>
          <cell r="M456" t="str">
            <v>F</v>
          </cell>
          <cell r="AB456" t="str">
            <v>WB</v>
          </cell>
          <cell r="AF456">
            <v>1.25</v>
          </cell>
        </row>
        <row r="457">
          <cell r="A457" t="str">
            <v>IS_alqt_plus</v>
          </cell>
          <cell r="K457" t="str">
            <v>EMAC</v>
          </cell>
          <cell r="M457" t="str">
            <v>F</v>
          </cell>
          <cell r="AB457" t="str">
            <v>WB</v>
          </cell>
          <cell r="AF457">
            <v>1.25</v>
          </cell>
        </row>
        <row r="458">
          <cell r="A458" t="str">
            <v>IS_alqt_plus</v>
          </cell>
          <cell r="K458" t="str">
            <v>EMAC</v>
          </cell>
          <cell r="M458" t="str">
            <v>F</v>
          </cell>
          <cell r="AB458" t="str">
            <v>serum</v>
          </cell>
          <cell r="AF458">
            <v>0.4</v>
          </cell>
        </row>
        <row r="459">
          <cell r="A459" t="str">
            <v>IS_alqt_plus</v>
          </cell>
          <cell r="K459" t="str">
            <v>EMAC</v>
          </cell>
          <cell r="M459" t="str">
            <v>F</v>
          </cell>
          <cell r="AB459" t="str">
            <v>serum</v>
          </cell>
          <cell r="AF459">
            <v>1.5</v>
          </cell>
        </row>
        <row r="460">
          <cell r="A460" t="str">
            <v>IS_alqt_plus</v>
          </cell>
          <cell r="K460" t="str">
            <v>VVV</v>
          </cell>
          <cell r="M460" t="str">
            <v>F</v>
          </cell>
          <cell r="AB460" t="str">
            <v>serum</v>
          </cell>
          <cell r="AF460">
            <v>1</v>
          </cell>
        </row>
        <row r="461">
          <cell r="A461" t="str">
            <v>IS_alqt_plus</v>
          </cell>
          <cell r="K461" t="str">
            <v>EFLA</v>
          </cell>
          <cell r="M461" t="str">
            <v>F</v>
          </cell>
          <cell r="AB461" t="str">
            <v>serum</v>
          </cell>
          <cell r="AF461">
            <v>0.2</v>
          </cell>
        </row>
        <row r="462">
          <cell r="A462" t="str">
            <v>IS_alqt_plus</v>
          </cell>
          <cell r="K462" t="str">
            <v>EFLA</v>
          </cell>
          <cell r="M462" t="str">
            <v>F</v>
          </cell>
          <cell r="AB462" t="str">
            <v>serum</v>
          </cell>
          <cell r="AF462">
            <v>0.2</v>
          </cell>
        </row>
        <row r="463">
          <cell r="A463" t="str">
            <v>IS_alqt_plus</v>
          </cell>
          <cell r="K463" t="str">
            <v>EFLA</v>
          </cell>
          <cell r="M463" t="str">
            <v>F</v>
          </cell>
          <cell r="AB463" t="str">
            <v>serum</v>
          </cell>
          <cell r="AF463">
            <v>0.2</v>
          </cell>
        </row>
        <row r="464">
          <cell r="A464" t="str">
            <v>IS_alqt_plus</v>
          </cell>
          <cell r="K464" t="str">
            <v>EFLA</v>
          </cell>
          <cell r="M464" t="str">
            <v>F</v>
          </cell>
          <cell r="AB464" t="str">
            <v>serum</v>
          </cell>
          <cell r="AF464">
            <v>0.2</v>
          </cell>
        </row>
        <row r="465">
          <cell r="A465" t="str">
            <v>IS_alqt_plus</v>
          </cell>
          <cell r="K465" t="str">
            <v>EFLA</v>
          </cell>
          <cell r="M465" t="str">
            <v>F</v>
          </cell>
          <cell r="AB465" t="str">
            <v>serum</v>
          </cell>
          <cell r="AF465">
            <v>0.2</v>
          </cell>
        </row>
        <row r="466">
          <cell r="A466" t="str">
            <v>IS_alqt_plus</v>
          </cell>
          <cell r="K466" t="str">
            <v>EFLA</v>
          </cell>
          <cell r="M466" t="str">
            <v>F</v>
          </cell>
          <cell r="AB466" t="str">
            <v>serum</v>
          </cell>
          <cell r="AF466">
            <v>0.2</v>
          </cell>
        </row>
        <row r="467">
          <cell r="A467" t="str">
            <v>IS_alqt_plus</v>
          </cell>
          <cell r="K467" t="str">
            <v>EFLA</v>
          </cell>
          <cell r="M467" t="str">
            <v>F</v>
          </cell>
          <cell r="AB467" t="str">
            <v>serum</v>
          </cell>
          <cell r="AF467">
            <v>0.2</v>
          </cell>
        </row>
        <row r="468">
          <cell r="A468" t="str">
            <v>IS_alqt_plus</v>
          </cell>
          <cell r="K468" t="str">
            <v>EFLA</v>
          </cell>
          <cell r="M468" t="str">
            <v>F</v>
          </cell>
          <cell r="AB468" t="str">
            <v>serum</v>
          </cell>
          <cell r="AF468">
            <v>0.2</v>
          </cell>
        </row>
        <row r="469">
          <cell r="A469" t="str">
            <v>IS_alqt_plus</v>
          </cell>
          <cell r="K469" t="str">
            <v>EFLA</v>
          </cell>
          <cell r="M469" t="str">
            <v>M</v>
          </cell>
          <cell r="AB469" t="str">
            <v>serum</v>
          </cell>
          <cell r="AF469">
            <v>0.2</v>
          </cell>
        </row>
        <row r="470">
          <cell r="A470" t="str">
            <v>IS_alqt_plus</v>
          </cell>
          <cell r="K470" t="str">
            <v>EFLA</v>
          </cell>
          <cell r="M470" t="str">
            <v>M</v>
          </cell>
          <cell r="AB470" t="str">
            <v>serum</v>
          </cell>
          <cell r="AF470">
            <v>0.2</v>
          </cell>
        </row>
        <row r="471">
          <cell r="A471" t="str">
            <v>IS_alqt_plus</v>
          </cell>
          <cell r="K471" t="str">
            <v>EFLA</v>
          </cell>
          <cell r="M471" t="str">
            <v>M</v>
          </cell>
          <cell r="AB471" t="str">
            <v>serum</v>
          </cell>
          <cell r="AF471">
            <v>0.2</v>
          </cell>
        </row>
        <row r="472">
          <cell r="A472" t="str">
            <v>IS_alqt_plus</v>
          </cell>
          <cell r="K472" t="str">
            <v>EFLA</v>
          </cell>
          <cell r="M472" t="str">
            <v>M</v>
          </cell>
          <cell r="AB472" t="str">
            <v>serum</v>
          </cell>
          <cell r="AF472">
            <v>0.2</v>
          </cell>
        </row>
        <row r="473">
          <cell r="A473" t="str">
            <v>IS_alqt_plus</v>
          </cell>
          <cell r="K473" t="str">
            <v>VRUB</v>
          </cell>
          <cell r="M473" t="str">
            <v>F</v>
          </cell>
          <cell r="AB473" t="str">
            <v>serum</v>
          </cell>
          <cell r="AF473">
            <v>1</v>
          </cell>
        </row>
        <row r="474">
          <cell r="A474" t="str">
            <v>IS_alqt_plus</v>
          </cell>
          <cell r="K474" t="str">
            <v>VRUB</v>
          </cell>
          <cell r="M474" t="str">
            <v>F</v>
          </cell>
          <cell r="AB474" t="str">
            <v>serum</v>
          </cell>
          <cell r="AF474">
            <v>0.75</v>
          </cell>
        </row>
        <row r="475">
          <cell r="A475" t="str">
            <v>IS_alqt_plus</v>
          </cell>
          <cell r="K475" t="str">
            <v>VRUB</v>
          </cell>
          <cell r="M475" t="str">
            <v>F</v>
          </cell>
          <cell r="AB475" t="str">
            <v>serum</v>
          </cell>
          <cell r="AF475">
            <v>0.5</v>
          </cell>
        </row>
        <row r="476">
          <cell r="A476" t="str">
            <v>IS_alqt_plus</v>
          </cell>
          <cell r="K476" t="str">
            <v>VRUB</v>
          </cell>
          <cell r="M476" t="str">
            <v>F</v>
          </cell>
          <cell r="AB476" t="str">
            <v>serum</v>
          </cell>
          <cell r="AF476">
            <v>0.75</v>
          </cell>
        </row>
        <row r="477">
          <cell r="A477" t="str">
            <v>IS_alqt_plus</v>
          </cell>
          <cell r="K477" t="str">
            <v>VRUB</v>
          </cell>
          <cell r="M477" t="str">
            <v>F</v>
          </cell>
          <cell r="AB477" t="str">
            <v>serum</v>
          </cell>
          <cell r="AF477">
            <v>0.5</v>
          </cell>
        </row>
        <row r="478">
          <cell r="A478" t="str">
            <v>IS_alqt_plus</v>
          </cell>
          <cell r="K478" t="str">
            <v>EUL</v>
          </cell>
          <cell r="M478" t="str">
            <v>M</v>
          </cell>
          <cell r="AB478" t="str">
            <v>serum</v>
          </cell>
          <cell r="AF478">
            <v>1.1000000000000001</v>
          </cell>
        </row>
        <row r="479">
          <cell r="A479" t="str">
            <v>IS_alqt_plus</v>
          </cell>
          <cell r="K479" t="str">
            <v>DMAD</v>
          </cell>
          <cell r="M479" t="str">
            <v>F</v>
          </cell>
          <cell r="AB479" t="str">
            <v>serum</v>
          </cell>
          <cell r="AF479">
            <v>0.75</v>
          </cell>
        </row>
        <row r="480">
          <cell r="A480" t="str">
            <v>IS_alqt_plus</v>
          </cell>
          <cell r="K480" t="str">
            <v>PCOQ</v>
          </cell>
          <cell r="M480" t="str">
            <v>M</v>
          </cell>
          <cell r="AB480" t="str">
            <v>serum</v>
          </cell>
          <cell r="AF480">
            <v>0.5</v>
          </cell>
        </row>
        <row r="481">
          <cell r="A481" t="str">
            <v>IS_alqt_plus</v>
          </cell>
          <cell r="K481" t="str">
            <v>ECOL</v>
          </cell>
          <cell r="M481" t="str">
            <v>F</v>
          </cell>
          <cell r="AB481" t="str">
            <v>serum</v>
          </cell>
          <cell r="AF481">
            <v>1.8</v>
          </cell>
        </row>
        <row r="482">
          <cell r="A482" t="str">
            <v>IS_alqt_minus</v>
          </cell>
          <cell r="K482" t="str">
            <v>GMOH</v>
          </cell>
          <cell r="M482" t="str">
            <v>F</v>
          </cell>
          <cell r="AB482" t="str">
            <v>serum</v>
          </cell>
          <cell r="AF482">
            <v>0.1</v>
          </cell>
        </row>
        <row r="483">
          <cell r="A483" t="str">
            <v>IS_alqt_plus</v>
          </cell>
          <cell r="K483" t="str">
            <v>PCOQ</v>
          </cell>
          <cell r="M483" t="str">
            <v>M</v>
          </cell>
          <cell r="AB483" t="str">
            <v>serum</v>
          </cell>
          <cell r="AF483">
            <v>1.5</v>
          </cell>
        </row>
        <row r="484">
          <cell r="A484" t="str">
            <v>IS_alqt_plus</v>
          </cell>
          <cell r="K484" t="str">
            <v>PCOQ</v>
          </cell>
          <cell r="M484" t="str">
            <v>M</v>
          </cell>
          <cell r="AB484" t="str">
            <v>serum</v>
          </cell>
          <cell r="AF484">
            <v>0.85</v>
          </cell>
        </row>
        <row r="485">
          <cell r="A485" t="str">
            <v>IS_alqt_plus</v>
          </cell>
          <cell r="K485" t="str">
            <v>PCOQ</v>
          </cell>
          <cell r="M485" t="str">
            <v>F</v>
          </cell>
          <cell r="AB485" t="str">
            <v>serum</v>
          </cell>
          <cell r="AF485">
            <v>0.9</v>
          </cell>
        </row>
        <row r="486">
          <cell r="A486" t="str">
            <v>IS_alqt_plus</v>
          </cell>
          <cell r="K486" t="str">
            <v>PDIA</v>
          </cell>
          <cell r="M486" t="str">
            <v>M</v>
          </cell>
          <cell r="AB486" t="str">
            <v>serum</v>
          </cell>
          <cell r="AF486">
            <v>0.9</v>
          </cell>
        </row>
        <row r="487">
          <cell r="A487" t="str">
            <v>IS_alqt_plus</v>
          </cell>
          <cell r="K487" t="str">
            <v>PTAT</v>
          </cell>
          <cell r="M487" t="str">
            <v>M</v>
          </cell>
          <cell r="AB487" t="str">
            <v>serum</v>
          </cell>
          <cell r="AF487">
            <v>1.4</v>
          </cell>
        </row>
        <row r="488">
          <cell r="A488" t="str">
            <v>IS_alqt_plus</v>
          </cell>
          <cell r="K488" t="str">
            <v>EMON</v>
          </cell>
          <cell r="M488" t="str">
            <v>M</v>
          </cell>
          <cell r="AB488" t="str">
            <v>serum</v>
          </cell>
          <cell r="AF488">
            <v>1.5</v>
          </cell>
        </row>
        <row r="489">
          <cell r="A489" t="str">
            <v>IS_alqt_plus</v>
          </cell>
          <cell r="K489" t="str">
            <v>EMON</v>
          </cell>
          <cell r="M489" t="str">
            <v>F</v>
          </cell>
          <cell r="AB489" t="str">
            <v>serum</v>
          </cell>
          <cell r="AF489">
            <v>1.3</v>
          </cell>
        </row>
        <row r="490">
          <cell r="A490" t="str">
            <v>IS_alqt_plus</v>
          </cell>
          <cell r="K490" t="str">
            <v>EMON</v>
          </cell>
          <cell r="M490" t="str">
            <v>M</v>
          </cell>
          <cell r="AB490" t="str">
            <v>serum</v>
          </cell>
          <cell r="AF490">
            <v>2</v>
          </cell>
        </row>
        <row r="491">
          <cell r="A491" t="str">
            <v>IS_alqt_plus</v>
          </cell>
          <cell r="K491" t="str">
            <v>EMON</v>
          </cell>
          <cell r="M491" t="str">
            <v>F</v>
          </cell>
          <cell r="AB491" t="str">
            <v>serum</v>
          </cell>
          <cell r="AF491">
            <v>0.5</v>
          </cell>
        </row>
        <row r="492">
          <cell r="A492" t="str">
            <v>IS_alqt_plus</v>
          </cell>
          <cell r="K492" t="str">
            <v>VVV</v>
          </cell>
          <cell r="M492" t="str">
            <v>F</v>
          </cell>
          <cell r="AB492" t="str">
            <v>serum</v>
          </cell>
          <cell r="AF492">
            <v>1.8</v>
          </cell>
        </row>
        <row r="493">
          <cell r="A493" t="str">
            <v>IS_alqt_plus</v>
          </cell>
          <cell r="K493" t="str">
            <v>VVV</v>
          </cell>
          <cell r="M493" t="str">
            <v>M</v>
          </cell>
          <cell r="AB493" t="str">
            <v>serum</v>
          </cell>
          <cell r="AF493">
            <v>1.5</v>
          </cell>
        </row>
        <row r="494">
          <cell r="A494" t="str">
            <v>IS_alqt_plus</v>
          </cell>
          <cell r="K494" t="str">
            <v>LCAT</v>
          </cell>
          <cell r="M494" t="str">
            <v>M</v>
          </cell>
          <cell r="AB494" t="str">
            <v>serum</v>
          </cell>
          <cell r="AF494">
            <v>1.2</v>
          </cell>
        </row>
        <row r="495">
          <cell r="A495" t="str">
            <v>gone</v>
          </cell>
          <cell r="K495" t="str">
            <v>LCAT</v>
          </cell>
          <cell r="M495" t="str">
            <v>M</v>
          </cell>
          <cell r="AB495" t="str">
            <v>serum</v>
          </cell>
          <cell r="AF495">
            <v>0</v>
          </cell>
        </row>
        <row r="496">
          <cell r="A496" t="str">
            <v>IS_alqt_plus</v>
          </cell>
          <cell r="K496" t="str">
            <v>LCAT</v>
          </cell>
          <cell r="M496" t="str">
            <v>M</v>
          </cell>
          <cell r="AB496" t="str">
            <v>serum</v>
          </cell>
          <cell r="AF496">
            <v>1.4</v>
          </cell>
        </row>
        <row r="497">
          <cell r="A497" t="str">
            <v>IS_alqt_plus</v>
          </cell>
          <cell r="K497" t="str">
            <v>LCAT</v>
          </cell>
          <cell r="M497" t="str">
            <v>M</v>
          </cell>
          <cell r="AB497" t="str">
            <v>serum</v>
          </cell>
          <cell r="AF497">
            <v>0.5</v>
          </cell>
        </row>
        <row r="498">
          <cell r="A498" t="str">
            <v>IS_alqt_plus</v>
          </cell>
          <cell r="K498" t="str">
            <v>LCAT</v>
          </cell>
          <cell r="M498" t="str">
            <v>M</v>
          </cell>
          <cell r="AB498" t="str">
            <v>serum</v>
          </cell>
          <cell r="AF498">
            <v>1.3</v>
          </cell>
        </row>
        <row r="499">
          <cell r="A499" t="str">
            <v>IS_alqt_plus</v>
          </cell>
          <cell r="K499" t="str">
            <v>LCAT</v>
          </cell>
          <cell r="M499" t="str">
            <v>M</v>
          </cell>
          <cell r="AB499" t="str">
            <v>serum</v>
          </cell>
          <cell r="AF499">
            <v>1.3</v>
          </cell>
        </row>
        <row r="500">
          <cell r="A500" t="str">
            <v>IS_alqt_plus</v>
          </cell>
          <cell r="K500" t="str">
            <v>EFLA</v>
          </cell>
          <cell r="M500" t="str">
            <v>F</v>
          </cell>
          <cell r="AB500" t="str">
            <v>serum</v>
          </cell>
          <cell r="AF500">
            <v>0.2</v>
          </cell>
        </row>
        <row r="501">
          <cell r="A501" t="str">
            <v>IS_alqt_plus</v>
          </cell>
          <cell r="K501" t="str">
            <v>EFLA</v>
          </cell>
          <cell r="M501" t="str">
            <v>F</v>
          </cell>
          <cell r="AB501" t="str">
            <v>serum</v>
          </cell>
          <cell r="AF501">
            <v>0.2</v>
          </cell>
        </row>
        <row r="502">
          <cell r="A502" t="str">
            <v>IS_alqt_plus</v>
          </cell>
          <cell r="K502" t="str">
            <v>EFLA</v>
          </cell>
          <cell r="M502" t="str">
            <v>F</v>
          </cell>
          <cell r="AB502" t="str">
            <v>serum</v>
          </cell>
          <cell r="AF502">
            <v>0.2</v>
          </cell>
        </row>
        <row r="503">
          <cell r="A503" t="str">
            <v>IS_alqt_plus</v>
          </cell>
          <cell r="K503" t="str">
            <v>EFLA</v>
          </cell>
          <cell r="M503" t="str">
            <v>F</v>
          </cell>
          <cell r="AB503" t="str">
            <v>serum</v>
          </cell>
          <cell r="AF503">
            <v>0.2</v>
          </cell>
        </row>
        <row r="504">
          <cell r="A504" t="str">
            <v>IS_alqt_plus</v>
          </cell>
          <cell r="K504" t="str">
            <v>EFLA</v>
          </cell>
          <cell r="M504" t="str">
            <v>F</v>
          </cell>
          <cell r="AB504" t="str">
            <v>serum</v>
          </cell>
          <cell r="AF504">
            <v>0.2</v>
          </cell>
        </row>
        <row r="505">
          <cell r="A505" t="str">
            <v>IS_alqt_plus</v>
          </cell>
          <cell r="K505" t="str">
            <v>EFLA</v>
          </cell>
          <cell r="M505" t="str">
            <v>M</v>
          </cell>
          <cell r="AB505" t="str">
            <v>serum</v>
          </cell>
          <cell r="AF505">
            <v>1</v>
          </cell>
        </row>
        <row r="506">
          <cell r="A506" t="str">
            <v>IS_alqt_plus</v>
          </cell>
          <cell r="K506" t="str">
            <v>EMON</v>
          </cell>
          <cell r="M506" t="str">
            <v>M</v>
          </cell>
          <cell r="AB506" t="str">
            <v>serum</v>
          </cell>
          <cell r="AF506">
            <v>1.5</v>
          </cell>
        </row>
        <row r="507">
          <cell r="A507" t="str">
            <v>IS_alqt_plus</v>
          </cell>
          <cell r="K507" t="str">
            <v>EFLA</v>
          </cell>
          <cell r="M507" t="str">
            <v>F</v>
          </cell>
          <cell r="AB507" t="str">
            <v>serum</v>
          </cell>
          <cell r="AF507">
            <v>1.4</v>
          </cell>
        </row>
        <row r="508">
          <cell r="A508" t="str">
            <v>IS_alqt_plus</v>
          </cell>
          <cell r="K508" t="str">
            <v>ECOR</v>
          </cell>
          <cell r="M508" t="str">
            <v>M</v>
          </cell>
          <cell r="AB508" t="str">
            <v>serum</v>
          </cell>
          <cell r="AF508">
            <v>1.5</v>
          </cell>
        </row>
        <row r="509">
          <cell r="A509" t="str">
            <v>IS_alqt_plus</v>
          </cell>
          <cell r="K509" t="str">
            <v>ECOR</v>
          </cell>
          <cell r="M509" t="str">
            <v>M</v>
          </cell>
          <cell r="AB509" t="str">
            <v>serum</v>
          </cell>
          <cell r="AF509">
            <v>1.8</v>
          </cell>
        </row>
        <row r="510">
          <cell r="A510" t="str">
            <v>IS_alqt_plus</v>
          </cell>
          <cell r="K510" t="str">
            <v>ECOR</v>
          </cell>
          <cell r="M510" t="str">
            <v>M</v>
          </cell>
          <cell r="AB510" t="str">
            <v>serum</v>
          </cell>
          <cell r="AF510">
            <v>1.3</v>
          </cell>
        </row>
        <row r="511">
          <cell r="A511" t="str">
            <v>IS_alqt_plus</v>
          </cell>
          <cell r="K511" t="str">
            <v>ECOR</v>
          </cell>
          <cell r="M511" t="str">
            <v>F</v>
          </cell>
          <cell r="AB511" t="str">
            <v>serum</v>
          </cell>
          <cell r="AF511">
            <v>1.4</v>
          </cell>
        </row>
        <row r="512">
          <cell r="A512" t="str">
            <v>IS_alqt_plus</v>
          </cell>
          <cell r="K512" t="str">
            <v>ECOR</v>
          </cell>
          <cell r="M512" t="str">
            <v>M</v>
          </cell>
          <cell r="AB512" t="str">
            <v>serum</v>
          </cell>
          <cell r="AF512">
            <v>1.4</v>
          </cell>
        </row>
        <row r="513">
          <cell r="A513" t="str">
            <v>IS_alqt_plus</v>
          </cell>
          <cell r="K513" t="str">
            <v>ECOR</v>
          </cell>
          <cell r="M513" t="str">
            <v>F</v>
          </cell>
          <cell r="AB513" t="str">
            <v>serum</v>
          </cell>
          <cell r="AF513">
            <v>1.4</v>
          </cell>
        </row>
        <row r="514">
          <cell r="A514" t="str">
            <v>IS_alqt_plus</v>
          </cell>
          <cell r="K514" t="str">
            <v>ECOR</v>
          </cell>
          <cell r="M514" t="str">
            <v>F</v>
          </cell>
          <cell r="AB514" t="str">
            <v>serum</v>
          </cell>
          <cell r="AF514">
            <v>1.5</v>
          </cell>
        </row>
        <row r="515">
          <cell r="A515" t="str">
            <v>IS_alqt_plus</v>
          </cell>
          <cell r="K515" t="str">
            <v>EMON</v>
          </cell>
          <cell r="M515" t="str">
            <v>F</v>
          </cell>
          <cell r="AB515" t="str">
            <v>serum</v>
          </cell>
          <cell r="AF515">
            <v>1.6</v>
          </cell>
        </row>
        <row r="516">
          <cell r="A516" t="str">
            <v>IS_alqt_plus</v>
          </cell>
          <cell r="K516" t="str">
            <v>EMON</v>
          </cell>
          <cell r="M516" t="str">
            <v>M</v>
          </cell>
          <cell r="AB516" t="str">
            <v>serum</v>
          </cell>
          <cell r="AF516">
            <v>1.5</v>
          </cell>
        </row>
        <row r="517">
          <cell r="A517" t="str">
            <v>IS_alqt_plus</v>
          </cell>
          <cell r="K517" t="str">
            <v>LCAT</v>
          </cell>
          <cell r="M517" t="str">
            <v>F</v>
          </cell>
          <cell r="AB517" t="str">
            <v>serum</v>
          </cell>
          <cell r="AF517">
            <v>1.8</v>
          </cell>
        </row>
        <row r="518">
          <cell r="A518" t="str">
            <v>IS_alqt_plus</v>
          </cell>
          <cell r="K518" t="str">
            <v>LCAT</v>
          </cell>
          <cell r="M518" t="str">
            <v>F</v>
          </cell>
          <cell r="AB518" t="str">
            <v>serum</v>
          </cell>
          <cell r="AF518">
            <v>1.5</v>
          </cell>
        </row>
        <row r="519">
          <cell r="A519" t="str">
            <v>IS_alqt_plus</v>
          </cell>
          <cell r="K519" t="str">
            <v>LCAT</v>
          </cell>
          <cell r="M519" t="str">
            <v>F</v>
          </cell>
          <cell r="AB519" t="str">
            <v>serum</v>
          </cell>
          <cell r="AF519">
            <v>2</v>
          </cell>
        </row>
        <row r="520">
          <cell r="A520" t="str">
            <v>IS_alqt_plus</v>
          </cell>
          <cell r="K520" t="str">
            <v>LCAT</v>
          </cell>
          <cell r="M520" t="str">
            <v>F</v>
          </cell>
          <cell r="AB520" t="str">
            <v>serum</v>
          </cell>
          <cell r="AF520">
            <v>2</v>
          </cell>
        </row>
        <row r="521">
          <cell r="A521" t="str">
            <v>IS_alqt_plus</v>
          </cell>
          <cell r="K521" t="str">
            <v>LCAT</v>
          </cell>
          <cell r="M521" t="str">
            <v>F</v>
          </cell>
          <cell r="AB521" t="str">
            <v>serum</v>
          </cell>
          <cell r="AF521">
            <v>2</v>
          </cell>
        </row>
        <row r="522">
          <cell r="A522" t="str">
            <v>IS_alqt_plus</v>
          </cell>
          <cell r="K522" t="str">
            <v>VVV</v>
          </cell>
          <cell r="M522" t="str">
            <v>F</v>
          </cell>
          <cell r="AB522" t="str">
            <v>serum</v>
          </cell>
          <cell r="AF522">
            <v>1</v>
          </cell>
        </row>
        <row r="523">
          <cell r="A523" t="str">
            <v>IS_alqt_plus</v>
          </cell>
          <cell r="K523" t="str">
            <v>VVV</v>
          </cell>
          <cell r="M523" t="str">
            <v>M</v>
          </cell>
          <cell r="AB523" t="str">
            <v>serum</v>
          </cell>
          <cell r="AF523">
            <v>0.8</v>
          </cell>
        </row>
        <row r="524">
          <cell r="A524" t="str">
            <v>IS_alqt_plus</v>
          </cell>
          <cell r="K524" t="str">
            <v>VVV</v>
          </cell>
          <cell r="M524" t="str">
            <v>M</v>
          </cell>
          <cell r="AB524" t="str">
            <v>serum</v>
          </cell>
          <cell r="AF524">
            <v>0.8</v>
          </cell>
        </row>
        <row r="525">
          <cell r="A525" t="str">
            <v>IS_alqt_plus</v>
          </cell>
          <cell r="K525" t="str">
            <v>VVV</v>
          </cell>
          <cell r="M525" t="str">
            <v>M</v>
          </cell>
          <cell r="AB525" t="str">
            <v>serum</v>
          </cell>
          <cell r="AF525">
            <v>1</v>
          </cell>
        </row>
        <row r="526">
          <cell r="A526" t="str">
            <v>IS_alqt_plus</v>
          </cell>
          <cell r="K526" t="str">
            <v>EUL</v>
          </cell>
          <cell r="M526" t="str">
            <v>F</v>
          </cell>
          <cell r="AB526" t="str">
            <v>serum</v>
          </cell>
          <cell r="AF526">
            <v>1.5</v>
          </cell>
        </row>
        <row r="527">
          <cell r="A527" t="str">
            <v>IS_alqt_plus</v>
          </cell>
          <cell r="K527" t="str">
            <v>ECOL</v>
          </cell>
          <cell r="M527" t="str">
            <v>F</v>
          </cell>
          <cell r="AB527" t="str">
            <v>serum</v>
          </cell>
          <cell r="AF527">
            <v>1</v>
          </cell>
        </row>
        <row r="528">
          <cell r="A528" t="str">
            <v>IS_alqt_plus</v>
          </cell>
          <cell r="K528" t="str">
            <v>ECOL</v>
          </cell>
          <cell r="M528" t="str">
            <v>M</v>
          </cell>
          <cell r="AB528" t="str">
            <v>serum</v>
          </cell>
          <cell r="AF528">
            <v>1</v>
          </cell>
        </row>
        <row r="529">
          <cell r="A529" t="str">
            <v>IS_alqt_plus</v>
          </cell>
          <cell r="K529" t="str">
            <v>EMON</v>
          </cell>
          <cell r="M529" t="str">
            <v>F</v>
          </cell>
          <cell r="AB529" t="str">
            <v>serum</v>
          </cell>
          <cell r="AF529">
            <v>1.4</v>
          </cell>
        </row>
        <row r="530">
          <cell r="A530" t="str">
            <v>IS_alqt_plus</v>
          </cell>
          <cell r="K530" t="str">
            <v>VVV</v>
          </cell>
          <cell r="M530" t="str">
            <v>F</v>
          </cell>
          <cell r="AB530" t="str">
            <v>serum</v>
          </cell>
          <cell r="AF530">
            <v>1.5</v>
          </cell>
        </row>
        <row r="531">
          <cell r="A531" t="str">
            <v>IS_alqt_plus</v>
          </cell>
          <cell r="K531" t="str">
            <v>EMON</v>
          </cell>
          <cell r="M531" t="str">
            <v>F</v>
          </cell>
          <cell r="AB531" t="str">
            <v>serum</v>
          </cell>
          <cell r="AF531">
            <v>1.5</v>
          </cell>
        </row>
        <row r="532">
          <cell r="A532" t="str">
            <v>IS_alqt_plus</v>
          </cell>
          <cell r="K532" t="str">
            <v>EMON</v>
          </cell>
          <cell r="M532" t="str">
            <v>M</v>
          </cell>
          <cell r="AB532" t="str">
            <v>serum</v>
          </cell>
          <cell r="AF532">
            <v>0.6</v>
          </cell>
        </row>
        <row r="533">
          <cell r="A533" t="str">
            <v>IS_alqt_minus</v>
          </cell>
          <cell r="K533" t="str">
            <v>EMON</v>
          </cell>
          <cell r="M533" t="str">
            <v>M</v>
          </cell>
          <cell r="AB533" t="str">
            <v>serum</v>
          </cell>
          <cell r="AF533">
            <v>0.02</v>
          </cell>
        </row>
        <row r="534">
          <cell r="A534" t="str">
            <v>IS_alqt_plus</v>
          </cell>
          <cell r="K534" t="str">
            <v>EFLA</v>
          </cell>
          <cell r="M534" t="str">
            <v>F</v>
          </cell>
          <cell r="AB534" t="str">
            <v>serum</v>
          </cell>
          <cell r="AF534">
            <v>0.5</v>
          </cell>
        </row>
        <row r="535">
          <cell r="A535" t="str">
            <v>IS_alqt_plus</v>
          </cell>
          <cell r="K535" t="str">
            <v>VRUB</v>
          </cell>
          <cell r="M535" t="str">
            <v>M</v>
          </cell>
          <cell r="AB535" t="str">
            <v>serum</v>
          </cell>
          <cell r="AF535">
            <v>0.2</v>
          </cell>
        </row>
        <row r="536">
          <cell r="A536" t="str">
            <v>IS_alqt_minus</v>
          </cell>
          <cell r="K536" t="str">
            <v>OGG</v>
          </cell>
          <cell r="M536" t="str">
            <v>M</v>
          </cell>
          <cell r="AB536" t="str">
            <v>serum</v>
          </cell>
          <cell r="AF536">
            <v>0.1</v>
          </cell>
        </row>
        <row r="537">
          <cell r="A537" t="str">
            <v>IS_alqt_plus</v>
          </cell>
          <cell r="K537" t="str">
            <v>EFLA</v>
          </cell>
          <cell r="M537" t="str">
            <v>M</v>
          </cell>
          <cell r="AB537" t="str">
            <v>serum</v>
          </cell>
          <cell r="AF537">
            <v>0.2</v>
          </cell>
        </row>
        <row r="538">
          <cell r="A538" t="str">
            <v>IS_alqt_plus</v>
          </cell>
          <cell r="K538" t="str">
            <v>EFLA</v>
          </cell>
          <cell r="M538" t="str">
            <v>M</v>
          </cell>
          <cell r="AB538" t="str">
            <v>serum</v>
          </cell>
          <cell r="AF538">
            <v>0.2</v>
          </cell>
        </row>
        <row r="539">
          <cell r="A539" t="str">
            <v>IS_alqt_plus</v>
          </cell>
          <cell r="K539" t="str">
            <v>PCOQ</v>
          </cell>
          <cell r="M539" t="str">
            <v>M</v>
          </cell>
          <cell r="AB539" t="str">
            <v>serum</v>
          </cell>
          <cell r="AF539">
            <v>2</v>
          </cell>
        </row>
        <row r="540">
          <cell r="A540" t="str">
            <v>IS_alqt_plus</v>
          </cell>
          <cell r="K540" t="str">
            <v>PCOQ</v>
          </cell>
          <cell r="M540" t="str">
            <v>M</v>
          </cell>
          <cell r="AB540" t="str">
            <v>serum</v>
          </cell>
          <cell r="AF540">
            <v>1.4</v>
          </cell>
        </row>
        <row r="541">
          <cell r="A541" t="str">
            <v>IS_alqt_plus</v>
          </cell>
          <cell r="K541" t="str">
            <v>EFLA</v>
          </cell>
          <cell r="M541" t="str">
            <v>M</v>
          </cell>
          <cell r="AB541" t="str">
            <v>serum</v>
          </cell>
          <cell r="AF541">
            <v>1.5</v>
          </cell>
        </row>
        <row r="542">
          <cell r="A542" t="str">
            <v>IS_alqt_plus</v>
          </cell>
          <cell r="K542" t="str">
            <v>EMON</v>
          </cell>
          <cell r="M542" t="str">
            <v>M</v>
          </cell>
          <cell r="AB542" t="str">
            <v>serum</v>
          </cell>
          <cell r="AF542">
            <v>0.5</v>
          </cell>
        </row>
        <row r="543">
          <cell r="A543" t="str">
            <v>IS_alqt_plus</v>
          </cell>
          <cell r="K543" t="str">
            <v>PCOQ</v>
          </cell>
          <cell r="M543" t="str">
            <v>F</v>
          </cell>
          <cell r="AB543" t="str">
            <v>serum</v>
          </cell>
          <cell r="AF543">
            <v>1.2</v>
          </cell>
        </row>
        <row r="544">
          <cell r="A544" t="str">
            <v>IS_alqt_plus</v>
          </cell>
          <cell r="K544" t="str">
            <v>EMON</v>
          </cell>
          <cell r="M544" t="str">
            <v>M</v>
          </cell>
          <cell r="AB544" t="str">
            <v>serum</v>
          </cell>
          <cell r="AF544">
            <v>0.25</v>
          </cell>
        </row>
        <row r="545">
          <cell r="A545" t="str">
            <v>IS_alqt_plus</v>
          </cell>
          <cell r="K545" t="str">
            <v>EMON</v>
          </cell>
          <cell r="M545" t="str">
            <v>F</v>
          </cell>
          <cell r="AB545" t="str">
            <v>serum</v>
          </cell>
          <cell r="AF545">
            <v>1</v>
          </cell>
        </row>
        <row r="546">
          <cell r="A546" t="str">
            <v>IS_alqt_plus</v>
          </cell>
          <cell r="K546" t="str">
            <v>HGRI</v>
          </cell>
          <cell r="M546" t="str">
            <v>M</v>
          </cell>
          <cell r="AB546" t="str">
            <v>serum</v>
          </cell>
          <cell r="AF546">
            <v>0.8</v>
          </cell>
        </row>
        <row r="547">
          <cell r="A547" t="str">
            <v>IS_alqt_plus</v>
          </cell>
          <cell r="K547" t="str">
            <v>LCAT</v>
          </cell>
          <cell r="M547" t="str">
            <v>F</v>
          </cell>
          <cell r="AB547" t="str">
            <v>serum</v>
          </cell>
          <cell r="AF547">
            <v>1</v>
          </cell>
        </row>
        <row r="548">
          <cell r="A548" t="str">
            <v>IS_alqt_plus</v>
          </cell>
          <cell r="K548" t="str">
            <v>PCOQ</v>
          </cell>
          <cell r="M548" t="str">
            <v>F</v>
          </cell>
          <cell r="AB548" t="str">
            <v>serum</v>
          </cell>
          <cell r="AF548">
            <v>1.25</v>
          </cell>
        </row>
        <row r="549">
          <cell r="A549" t="str">
            <v>IS_alqt_plus</v>
          </cell>
          <cell r="K549" t="str">
            <v>LCAT</v>
          </cell>
          <cell r="M549" t="str">
            <v>M</v>
          </cell>
          <cell r="AB549" t="str">
            <v>serum</v>
          </cell>
          <cell r="AF549">
            <v>0.5</v>
          </cell>
        </row>
        <row r="550">
          <cell r="A550" t="str">
            <v>IS_alqt_plus</v>
          </cell>
          <cell r="K550" t="str">
            <v>ERUF</v>
          </cell>
          <cell r="M550" t="str">
            <v>F</v>
          </cell>
          <cell r="AB550" t="str">
            <v>serum</v>
          </cell>
          <cell r="AF550">
            <v>0.5</v>
          </cell>
        </row>
        <row r="551">
          <cell r="A551" t="str">
            <v>IS_alqt_plus</v>
          </cell>
          <cell r="K551" t="str">
            <v>ERUF</v>
          </cell>
          <cell r="M551" t="str">
            <v>F</v>
          </cell>
          <cell r="AB551" t="str">
            <v>serum</v>
          </cell>
          <cell r="AF551">
            <v>1.5</v>
          </cell>
        </row>
        <row r="552">
          <cell r="A552" t="str">
            <v>IS_alqt_plus</v>
          </cell>
          <cell r="K552" t="str">
            <v>GMOH</v>
          </cell>
          <cell r="M552" t="str">
            <v>F</v>
          </cell>
          <cell r="AB552" t="str">
            <v>serum</v>
          </cell>
          <cell r="AF552">
            <v>1.2</v>
          </cell>
        </row>
        <row r="553">
          <cell r="A553" t="str">
            <v>IS_alqt_plus</v>
          </cell>
          <cell r="K553" t="str">
            <v>EMON</v>
          </cell>
          <cell r="M553" t="str">
            <v>F</v>
          </cell>
          <cell r="AB553" t="str">
            <v>serum</v>
          </cell>
          <cell r="AF553">
            <v>1.3</v>
          </cell>
        </row>
        <row r="554">
          <cell r="A554" t="str">
            <v>IS_alqt_minus</v>
          </cell>
          <cell r="K554" t="str">
            <v>EMON</v>
          </cell>
          <cell r="M554" t="str">
            <v>M</v>
          </cell>
          <cell r="AB554" t="str">
            <v>serum</v>
          </cell>
          <cell r="AF554">
            <v>0.1</v>
          </cell>
        </row>
        <row r="555">
          <cell r="A555" t="str">
            <v>IS_alqt_plus</v>
          </cell>
          <cell r="K555" t="str">
            <v>EMON</v>
          </cell>
          <cell r="M555" t="str">
            <v>M</v>
          </cell>
          <cell r="AB555" t="str">
            <v>serum</v>
          </cell>
          <cell r="AF555">
            <v>0.2</v>
          </cell>
        </row>
        <row r="556">
          <cell r="A556" t="str">
            <v>IS_alqt_minus</v>
          </cell>
          <cell r="K556" t="str">
            <v>ESAN</v>
          </cell>
          <cell r="M556" t="str">
            <v>F</v>
          </cell>
          <cell r="AB556" t="str">
            <v>serum</v>
          </cell>
          <cell r="AF556">
            <v>0.1</v>
          </cell>
        </row>
        <row r="557">
          <cell r="A557" t="str">
            <v>IS_alqt_plus</v>
          </cell>
          <cell r="K557" t="str">
            <v>ECOL</v>
          </cell>
          <cell r="M557" t="str">
            <v>M</v>
          </cell>
          <cell r="AB557" t="str">
            <v>serum</v>
          </cell>
          <cell r="AF557">
            <v>1.3</v>
          </cell>
        </row>
        <row r="558">
          <cell r="A558" t="str">
            <v>IS_alqt_plus</v>
          </cell>
          <cell r="K558" t="str">
            <v>EMON</v>
          </cell>
          <cell r="M558" t="str">
            <v>M</v>
          </cell>
          <cell r="AB558" t="str">
            <v>serum</v>
          </cell>
          <cell r="AF558">
            <v>1.8</v>
          </cell>
        </row>
        <row r="559">
          <cell r="A559" t="str">
            <v>IS_alqt_plus</v>
          </cell>
          <cell r="K559" t="str">
            <v>ESAN</v>
          </cell>
          <cell r="M559" t="str">
            <v>M</v>
          </cell>
          <cell r="AB559" t="str">
            <v>serum</v>
          </cell>
          <cell r="AF559">
            <v>1</v>
          </cell>
        </row>
        <row r="560">
          <cell r="A560" t="str">
            <v>IS_alqt_plus</v>
          </cell>
          <cell r="K560" t="str">
            <v>ESAN</v>
          </cell>
          <cell r="M560" t="str">
            <v>M</v>
          </cell>
          <cell r="AB560" t="str">
            <v>serum</v>
          </cell>
          <cell r="AF560">
            <v>0.3</v>
          </cell>
        </row>
        <row r="561">
          <cell r="A561" t="str">
            <v>IS_alqt_plus</v>
          </cell>
          <cell r="K561" t="str">
            <v>ECOL</v>
          </cell>
          <cell r="M561" t="str">
            <v>F</v>
          </cell>
          <cell r="AB561" t="str">
            <v>serum</v>
          </cell>
          <cell r="AF561">
            <v>1.5</v>
          </cell>
        </row>
        <row r="562">
          <cell r="A562" t="str">
            <v>IS_alqt_plus</v>
          </cell>
          <cell r="K562" t="str">
            <v>ECOR</v>
          </cell>
          <cell r="M562" t="str">
            <v>M</v>
          </cell>
          <cell r="AB562" t="str">
            <v>serum</v>
          </cell>
          <cell r="AF562">
            <v>1.8</v>
          </cell>
        </row>
        <row r="563">
          <cell r="A563" t="str">
            <v>IS_alqt_plus</v>
          </cell>
          <cell r="K563" t="str">
            <v>ECOR</v>
          </cell>
          <cell r="M563" t="str">
            <v>M</v>
          </cell>
          <cell r="AB563" t="str">
            <v>serum</v>
          </cell>
          <cell r="AF563">
            <v>1.8</v>
          </cell>
        </row>
        <row r="564">
          <cell r="A564" t="str">
            <v>IS_alqt_plus</v>
          </cell>
          <cell r="K564" t="str">
            <v>ECOR</v>
          </cell>
          <cell r="M564" t="str">
            <v>M</v>
          </cell>
          <cell r="AB564" t="str">
            <v>serum</v>
          </cell>
          <cell r="AF564">
            <v>0.5</v>
          </cell>
        </row>
        <row r="565">
          <cell r="A565" t="str">
            <v>IS_alqt_plus</v>
          </cell>
          <cell r="K565" t="str">
            <v>ECOR</v>
          </cell>
          <cell r="M565" t="str">
            <v>M</v>
          </cell>
          <cell r="AB565" t="str">
            <v>serum</v>
          </cell>
          <cell r="AF565">
            <v>1.8</v>
          </cell>
        </row>
        <row r="566">
          <cell r="A566" t="str">
            <v>IS_alqt_plus</v>
          </cell>
          <cell r="K566" t="str">
            <v>ECOR</v>
          </cell>
          <cell r="M566" t="str">
            <v>M</v>
          </cell>
          <cell r="AB566" t="str">
            <v>serum</v>
          </cell>
          <cell r="AF566">
            <v>1.8</v>
          </cell>
        </row>
        <row r="567">
          <cell r="A567" t="str">
            <v>IS_alqt_plus</v>
          </cell>
          <cell r="K567" t="str">
            <v>ECOR</v>
          </cell>
          <cell r="M567" t="str">
            <v>M</v>
          </cell>
          <cell r="AB567" t="str">
            <v>serum</v>
          </cell>
          <cell r="AF567">
            <v>1.8</v>
          </cell>
        </row>
        <row r="568">
          <cell r="A568" t="str">
            <v>IS_alqt_plus</v>
          </cell>
          <cell r="K568" t="str">
            <v>ECOR</v>
          </cell>
          <cell r="M568" t="str">
            <v>M</v>
          </cell>
          <cell r="AB568" t="str">
            <v>serum</v>
          </cell>
          <cell r="AF568">
            <v>1.8</v>
          </cell>
        </row>
        <row r="569">
          <cell r="A569" t="str">
            <v>IS_alqt_plus</v>
          </cell>
          <cell r="K569" t="str">
            <v>ECOR</v>
          </cell>
          <cell r="M569" t="str">
            <v>M</v>
          </cell>
          <cell r="AB569" t="str">
            <v>serum</v>
          </cell>
          <cell r="AF569">
            <v>1.8</v>
          </cell>
        </row>
        <row r="570">
          <cell r="A570" t="str">
            <v>IS_alqt_plus</v>
          </cell>
          <cell r="K570" t="str">
            <v>ECOL</v>
          </cell>
          <cell r="M570" t="str">
            <v>M</v>
          </cell>
          <cell r="AB570" t="str">
            <v>serum</v>
          </cell>
          <cell r="AF570">
            <v>1.8</v>
          </cell>
        </row>
        <row r="571">
          <cell r="A571" t="str">
            <v>IS_alqt_plus</v>
          </cell>
          <cell r="K571" t="str">
            <v>ERUB</v>
          </cell>
          <cell r="M571" t="str">
            <v>M</v>
          </cell>
          <cell r="AB571" t="str">
            <v>serum</v>
          </cell>
          <cell r="AF571">
            <v>1.2</v>
          </cell>
        </row>
        <row r="572">
          <cell r="A572" t="str">
            <v>IS_alqt_plus</v>
          </cell>
          <cell r="K572" t="str">
            <v>ERUF</v>
          </cell>
          <cell r="M572" t="str">
            <v>M</v>
          </cell>
          <cell r="AB572" t="str">
            <v>serum</v>
          </cell>
          <cell r="AF572">
            <v>1.5</v>
          </cell>
        </row>
        <row r="573">
          <cell r="A573" t="str">
            <v>IS_alqt_plus</v>
          </cell>
          <cell r="K573" t="str">
            <v>VVV</v>
          </cell>
          <cell r="M573" t="str">
            <v>M</v>
          </cell>
          <cell r="AB573" t="str">
            <v>serum</v>
          </cell>
          <cell r="AF573">
            <v>0.9</v>
          </cell>
        </row>
        <row r="574">
          <cell r="A574" t="str">
            <v>IS_alqt_plus</v>
          </cell>
          <cell r="K574" t="str">
            <v>LCAT</v>
          </cell>
          <cell r="M574" t="str">
            <v>M</v>
          </cell>
          <cell r="AB574" t="str">
            <v>serum</v>
          </cell>
          <cell r="AF574">
            <v>1.3</v>
          </cell>
        </row>
        <row r="575">
          <cell r="A575" t="str">
            <v>IS_alqt_plus</v>
          </cell>
          <cell r="K575" t="str">
            <v>LCAT</v>
          </cell>
          <cell r="M575" t="str">
            <v>M</v>
          </cell>
          <cell r="AB575" t="str">
            <v>serum</v>
          </cell>
          <cell r="AF575">
            <v>1</v>
          </cell>
        </row>
        <row r="576">
          <cell r="A576" t="str">
            <v>IS_alqt_plus</v>
          </cell>
          <cell r="K576" t="str">
            <v>LCAT</v>
          </cell>
          <cell r="M576" t="str">
            <v>M</v>
          </cell>
          <cell r="AB576" t="str">
            <v>serum</v>
          </cell>
          <cell r="AF576">
            <v>1.3</v>
          </cell>
        </row>
        <row r="577">
          <cell r="A577" t="str">
            <v>IS_alqt_plus</v>
          </cell>
          <cell r="K577" t="str">
            <v>LCAT</v>
          </cell>
          <cell r="M577" t="str">
            <v>M</v>
          </cell>
          <cell r="AB577" t="str">
            <v>serum</v>
          </cell>
          <cell r="AF577">
            <v>1</v>
          </cell>
        </row>
        <row r="578">
          <cell r="A578" t="str">
            <v>IS_alqt_plus</v>
          </cell>
          <cell r="K578" t="str">
            <v>ECOR</v>
          </cell>
          <cell r="M578" t="str">
            <v>F</v>
          </cell>
          <cell r="AB578" t="str">
            <v>serum</v>
          </cell>
          <cell r="AF578">
            <v>1</v>
          </cell>
        </row>
        <row r="579">
          <cell r="A579" t="str">
            <v>IS_alqt_plus</v>
          </cell>
          <cell r="K579" t="str">
            <v>ECOR</v>
          </cell>
          <cell r="M579" t="str">
            <v>M</v>
          </cell>
          <cell r="AB579" t="str">
            <v>serum</v>
          </cell>
          <cell r="AF579">
            <v>1.2</v>
          </cell>
        </row>
        <row r="580">
          <cell r="A580" t="str">
            <v>IS_alqt_plus</v>
          </cell>
          <cell r="K580" t="str">
            <v>EMON</v>
          </cell>
          <cell r="M580" t="str">
            <v>F</v>
          </cell>
          <cell r="AB580" t="str">
            <v>serum</v>
          </cell>
          <cell r="AF580">
            <v>0.6</v>
          </cell>
        </row>
        <row r="581">
          <cell r="A581" t="str">
            <v>IS_alqt_plus</v>
          </cell>
          <cell r="K581" t="str">
            <v>ECOL</v>
          </cell>
          <cell r="M581" t="str">
            <v>M</v>
          </cell>
          <cell r="AB581" t="str">
            <v>serum</v>
          </cell>
          <cell r="AF581">
            <v>2</v>
          </cell>
        </row>
        <row r="582">
          <cell r="A582" t="str">
            <v>IS_alqt_plus</v>
          </cell>
          <cell r="K582" t="str">
            <v>ECOL</v>
          </cell>
          <cell r="M582" t="str">
            <v>M</v>
          </cell>
          <cell r="AB582" t="str">
            <v>serum</v>
          </cell>
          <cell r="AF582">
            <v>1.5</v>
          </cell>
        </row>
        <row r="583">
          <cell r="A583" t="str">
            <v>IS_alqt_plus</v>
          </cell>
          <cell r="K583" t="str">
            <v>VVV</v>
          </cell>
          <cell r="M583" t="str">
            <v>M</v>
          </cell>
          <cell r="AB583" t="str">
            <v>serum</v>
          </cell>
          <cell r="AF583">
            <v>1.25</v>
          </cell>
        </row>
        <row r="584">
          <cell r="A584" t="str">
            <v>IS_alqt_plus</v>
          </cell>
          <cell r="K584" t="str">
            <v>ECOR</v>
          </cell>
          <cell r="M584" t="str">
            <v>M</v>
          </cell>
          <cell r="AB584" t="str">
            <v>serum</v>
          </cell>
          <cell r="AF584">
            <v>0.8</v>
          </cell>
        </row>
        <row r="585">
          <cell r="A585" t="str">
            <v>IS_alqt_plus</v>
          </cell>
          <cell r="K585" t="str">
            <v>EMON</v>
          </cell>
          <cell r="M585" t="str">
            <v>M</v>
          </cell>
          <cell r="AB585" t="str">
            <v>serum</v>
          </cell>
          <cell r="AF585">
            <v>1.5</v>
          </cell>
        </row>
        <row r="586">
          <cell r="A586" t="str">
            <v>IS_alqt_plus</v>
          </cell>
          <cell r="K586" t="str">
            <v>EMON</v>
          </cell>
          <cell r="M586" t="str">
            <v>F</v>
          </cell>
          <cell r="AB586" t="str">
            <v>serum</v>
          </cell>
          <cell r="AF586">
            <v>1.6</v>
          </cell>
        </row>
        <row r="587">
          <cell r="A587" t="str">
            <v>IS_alqt_plus</v>
          </cell>
          <cell r="K587" t="str">
            <v>VVV</v>
          </cell>
          <cell r="M587" t="str">
            <v>M</v>
          </cell>
          <cell r="AB587" t="str">
            <v>serum</v>
          </cell>
          <cell r="AF587">
            <v>2</v>
          </cell>
        </row>
        <row r="588">
          <cell r="A588" t="str">
            <v>IS_alqt_plus</v>
          </cell>
          <cell r="K588" t="str">
            <v>VVV</v>
          </cell>
          <cell r="M588" t="str">
            <v>M</v>
          </cell>
          <cell r="AB588" t="str">
            <v>serum</v>
          </cell>
          <cell r="AF588">
            <v>2</v>
          </cell>
        </row>
        <row r="589">
          <cell r="A589" t="str">
            <v>IS_alqt_plus</v>
          </cell>
          <cell r="K589" t="str">
            <v>VVV</v>
          </cell>
          <cell r="M589" t="str">
            <v>M</v>
          </cell>
          <cell r="AB589" t="str">
            <v>serum</v>
          </cell>
          <cell r="AF589">
            <v>0.85</v>
          </cell>
        </row>
        <row r="590">
          <cell r="A590" t="str">
            <v>IS_alqt_plus</v>
          </cell>
          <cell r="K590" t="str">
            <v>EMAC</v>
          </cell>
          <cell r="M590" t="str">
            <v>M</v>
          </cell>
          <cell r="AB590" t="str">
            <v>serum</v>
          </cell>
          <cell r="AF590">
            <v>0.8</v>
          </cell>
        </row>
        <row r="591">
          <cell r="A591" t="str">
            <v>IS_alqt_plus</v>
          </cell>
          <cell r="K591" t="str">
            <v>VRUB</v>
          </cell>
          <cell r="M591" t="str">
            <v>F</v>
          </cell>
          <cell r="AB591" t="str">
            <v>serum</v>
          </cell>
          <cell r="AF591">
            <v>1.8</v>
          </cell>
        </row>
        <row r="592">
          <cell r="A592" t="str">
            <v>IS_alqt_plus</v>
          </cell>
          <cell r="K592" t="str">
            <v>VRUB</v>
          </cell>
          <cell r="M592" t="str">
            <v>M</v>
          </cell>
          <cell r="AB592" t="str">
            <v>serum</v>
          </cell>
          <cell r="AF592">
            <v>1.8</v>
          </cell>
        </row>
        <row r="593">
          <cell r="A593" t="str">
            <v>IS_alqt_plus</v>
          </cell>
          <cell r="K593" t="str">
            <v>EMON</v>
          </cell>
          <cell r="M593" t="str">
            <v>M</v>
          </cell>
          <cell r="AB593" t="str">
            <v>serum</v>
          </cell>
          <cell r="AF593">
            <v>1</v>
          </cell>
        </row>
        <row r="594">
          <cell r="A594" t="str">
            <v>IS_alqt_plus</v>
          </cell>
          <cell r="K594" t="str">
            <v>EMON</v>
          </cell>
          <cell r="M594" t="str">
            <v>F</v>
          </cell>
          <cell r="AB594" t="str">
            <v>serum</v>
          </cell>
          <cell r="AF594">
            <v>2</v>
          </cell>
        </row>
        <row r="595">
          <cell r="A595" t="str">
            <v>IS_alqt_plus</v>
          </cell>
          <cell r="K595" t="str">
            <v>LCAT</v>
          </cell>
          <cell r="M595" t="str">
            <v>M</v>
          </cell>
          <cell r="AB595" t="str">
            <v>serum</v>
          </cell>
          <cell r="AF595">
            <v>2</v>
          </cell>
        </row>
        <row r="596">
          <cell r="A596" t="str">
            <v>IS_alqt_plus</v>
          </cell>
          <cell r="K596" t="str">
            <v>PCOQ</v>
          </cell>
          <cell r="M596" t="str">
            <v>M</v>
          </cell>
          <cell r="AB596" t="str">
            <v>serum</v>
          </cell>
          <cell r="AF596">
            <v>1.2</v>
          </cell>
        </row>
        <row r="597">
          <cell r="A597" t="str">
            <v>IS_alqt_plus</v>
          </cell>
          <cell r="K597" t="str">
            <v>PCOQ</v>
          </cell>
          <cell r="M597" t="str">
            <v>F</v>
          </cell>
          <cell r="AB597" t="str">
            <v>serum</v>
          </cell>
          <cell r="AF597">
            <v>0.2</v>
          </cell>
        </row>
        <row r="598">
          <cell r="A598" t="str">
            <v>IS_alqt_plus</v>
          </cell>
          <cell r="K598" t="str">
            <v>PCOQ</v>
          </cell>
          <cell r="M598" t="str">
            <v>F</v>
          </cell>
          <cell r="AB598" t="str">
            <v>serum</v>
          </cell>
          <cell r="AF598">
            <v>0.2</v>
          </cell>
        </row>
        <row r="599">
          <cell r="A599" t="str">
            <v>IS_alqt_plus</v>
          </cell>
          <cell r="K599" t="str">
            <v>PCOQ</v>
          </cell>
          <cell r="M599" t="str">
            <v>F</v>
          </cell>
          <cell r="AB599" t="str">
            <v>serum</v>
          </cell>
          <cell r="AF599">
            <v>0.2</v>
          </cell>
        </row>
        <row r="600">
          <cell r="A600" t="str">
            <v>IS_alqt_plus</v>
          </cell>
          <cell r="K600" t="str">
            <v>PCOQ</v>
          </cell>
          <cell r="M600" t="str">
            <v>M</v>
          </cell>
          <cell r="AB600" t="str">
            <v>serum</v>
          </cell>
          <cell r="AF600">
            <v>1.6</v>
          </cell>
        </row>
        <row r="601">
          <cell r="A601" t="str">
            <v>IS_alqt_plus</v>
          </cell>
          <cell r="K601" t="str">
            <v>PCOQ</v>
          </cell>
          <cell r="M601" t="str">
            <v>F</v>
          </cell>
          <cell r="AB601" t="str">
            <v>serum</v>
          </cell>
          <cell r="AF601">
            <v>1.5</v>
          </cell>
        </row>
        <row r="602">
          <cell r="A602" t="str">
            <v>IS_alqt_plus</v>
          </cell>
          <cell r="K602" t="str">
            <v>EMAC</v>
          </cell>
          <cell r="M602" t="str">
            <v>M</v>
          </cell>
          <cell r="AB602" t="str">
            <v>serum</v>
          </cell>
          <cell r="AF602">
            <v>1.2</v>
          </cell>
        </row>
        <row r="603">
          <cell r="A603" t="str">
            <v>IS_alqt_plus</v>
          </cell>
          <cell r="K603" t="str">
            <v>LTAR</v>
          </cell>
          <cell r="M603" t="str">
            <v>F</v>
          </cell>
          <cell r="AB603" t="str">
            <v>PRBC</v>
          </cell>
          <cell r="AF603">
            <v>0.25</v>
          </cell>
        </row>
        <row r="604">
          <cell r="A604" t="str">
            <v>IS_alqt_plus</v>
          </cell>
          <cell r="K604" t="str">
            <v>ECOR</v>
          </cell>
          <cell r="M604" t="str">
            <v>F</v>
          </cell>
          <cell r="AB604" t="str">
            <v>serum</v>
          </cell>
          <cell r="AF604">
            <v>0.5</v>
          </cell>
        </row>
        <row r="605">
          <cell r="A605" t="str">
            <v>IS_alqt_plus</v>
          </cell>
          <cell r="K605" t="str">
            <v>LCAT</v>
          </cell>
          <cell r="M605" t="str">
            <v>F</v>
          </cell>
          <cell r="AB605" t="str">
            <v>serum</v>
          </cell>
          <cell r="AF605">
            <v>1</v>
          </cell>
        </row>
        <row r="606">
          <cell r="A606" t="str">
            <v>IS_alqt_plus</v>
          </cell>
          <cell r="K606" t="str">
            <v>ERUF</v>
          </cell>
          <cell r="M606" t="str">
            <v>F</v>
          </cell>
          <cell r="AB606" t="str">
            <v>serum</v>
          </cell>
          <cell r="AF606">
            <v>0.2</v>
          </cell>
        </row>
        <row r="607">
          <cell r="A607" t="str">
            <v>IS_alqt_plus</v>
          </cell>
          <cell r="K607" t="str">
            <v>EUL</v>
          </cell>
          <cell r="M607" t="str">
            <v>F</v>
          </cell>
          <cell r="AB607" t="str">
            <v>serum</v>
          </cell>
          <cell r="AF607">
            <v>0.5</v>
          </cell>
        </row>
        <row r="608">
          <cell r="A608" t="str">
            <v>IS_alqt_plus</v>
          </cell>
          <cell r="K608" t="str">
            <v>LCAT</v>
          </cell>
          <cell r="M608" t="str">
            <v>F</v>
          </cell>
          <cell r="AB608" t="str">
            <v>WB</v>
          </cell>
          <cell r="AF608">
            <v>0.2</v>
          </cell>
        </row>
        <row r="609">
          <cell r="A609" t="str">
            <v>IS_alqt_plus</v>
          </cell>
          <cell r="K609" t="str">
            <v>LCAT</v>
          </cell>
          <cell r="M609" t="str">
            <v>F</v>
          </cell>
          <cell r="AB609" t="str">
            <v>WB</v>
          </cell>
          <cell r="AF609">
            <v>0.9</v>
          </cell>
        </row>
        <row r="610">
          <cell r="A610" t="str">
            <v>IS_alqt_plus</v>
          </cell>
          <cell r="K610" t="str">
            <v>LCAT</v>
          </cell>
          <cell r="M610" t="str">
            <v>M</v>
          </cell>
          <cell r="AB610" t="str">
            <v>WB</v>
          </cell>
          <cell r="AF610">
            <v>0.3</v>
          </cell>
        </row>
        <row r="611">
          <cell r="A611" t="str">
            <v>IS_alqt_plus</v>
          </cell>
          <cell r="K611" t="str">
            <v>LCAT</v>
          </cell>
          <cell r="M611" t="str">
            <v>F</v>
          </cell>
          <cell r="AB611" t="str">
            <v>serum</v>
          </cell>
          <cell r="AF611">
            <v>1</v>
          </cell>
        </row>
        <row r="612">
          <cell r="A612" t="str">
            <v>IS_alqt_plus</v>
          </cell>
          <cell r="K612" t="str">
            <v>LCAT</v>
          </cell>
          <cell r="M612" t="str">
            <v>M</v>
          </cell>
          <cell r="AB612" t="str">
            <v>serum</v>
          </cell>
          <cell r="AF612">
            <v>0.6</v>
          </cell>
        </row>
        <row r="613">
          <cell r="A613" t="str">
            <v>IS_alqt_plus</v>
          </cell>
          <cell r="K613" t="str">
            <v>LCAT</v>
          </cell>
          <cell r="M613" t="str">
            <v>M</v>
          </cell>
          <cell r="AB613" t="str">
            <v>serum</v>
          </cell>
          <cell r="AF613">
            <v>0.2</v>
          </cell>
        </row>
        <row r="614">
          <cell r="A614" t="str">
            <v>gone</v>
          </cell>
          <cell r="K614" t="str">
            <v>LCAT</v>
          </cell>
          <cell r="M614" t="str">
            <v>F</v>
          </cell>
          <cell r="AB614" t="str">
            <v>WB</v>
          </cell>
          <cell r="AF614">
            <v>0</v>
          </cell>
        </row>
        <row r="615">
          <cell r="A615" t="str">
            <v>IS_alqt_plus</v>
          </cell>
          <cell r="K615" t="str">
            <v>LCAT</v>
          </cell>
          <cell r="M615" t="str">
            <v>F</v>
          </cell>
          <cell r="AB615" t="str">
            <v>WB</v>
          </cell>
          <cell r="AF615">
            <v>0.25</v>
          </cell>
        </row>
        <row r="616">
          <cell r="A616" t="str">
            <v>IS_alqt_plus</v>
          </cell>
          <cell r="K616" t="str">
            <v>LCAT</v>
          </cell>
          <cell r="M616" t="str">
            <v>M</v>
          </cell>
          <cell r="AB616" t="str">
            <v>WB</v>
          </cell>
          <cell r="AF616">
            <v>0.5</v>
          </cell>
        </row>
        <row r="617">
          <cell r="A617" t="str">
            <v>IS_alqt_plus</v>
          </cell>
          <cell r="K617" t="str">
            <v>LCAT</v>
          </cell>
          <cell r="M617" t="str">
            <v>F</v>
          </cell>
          <cell r="AB617" t="str">
            <v>serum</v>
          </cell>
          <cell r="AF617">
            <v>0.7</v>
          </cell>
        </row>
        <row r="618">
          <cell r="A618" t="str">
            <v>IS_alqt_plus</v>
          </cell>
          <cell r="K618" t="str">
            <v>LCAT</v>
          </cell>
          <cell r="M618" t="str">
            <v>M</v>
          </cell>
          <cell r="AB618" t="str">
            <v>serum</v>
          </cell>
          <cell r="AF618">
            <v>1.5</v>
          </cell>
        </row>
        <row r="619">
          <cell r="A619" t="str">
            <v>IS_alqt_plus</v>
          </cell>
          <cell r="K619" t="str">
            <v>LCAT</v>
          </cell>
          <cell r="M619" t="str">
            <v>M</v>
          </cell>
          <cell r="AB619" t="str">
            <v>WB</v>
          </cell>
          <cell r="AF619">
            <v>0.3</v>
          </cell>
        </row>
        <row r="620">
          <cell r="A620" t="str">
            <v>IS_alqt_plus</v>
          </cell>
          <cell r="K620" t="str">
            <v>LCAT</v>
          </cell>
          <cell r="M620" t="str">
            <v>M</v>
          </cell>
          <cell r="AB620" t="str">
            <v>WB</v>
          </cell>
          <cell r="AF620">
            <v>0.5</v>
          </cell>
        </row>
        <row r="621">
          <cell r="A621" t="str">
            <v>IS_alqt_plus</v>
          </cell>
          <cell r="K621" t="str">
            <v>LCAT</v>
          </cell>
          <cell r="M621" t="str">
            <v>M</v>
          </cell>
          <cell r="AB621" t="str">
            <v>serum</v>
          </cell>
          <cell r="AF621">
            <v>1.4</v>
          </cell>
        </row>
        <row r="622">
          <cell r="A622" t="str">
            <v>gone</v>
          </cell>
          <cell r="K622" t="str">
            <v>LCAT</v>
          </cell>
          <cell r="M622" t="str">
            <v>F</v>
          </cell>
          <cell r="AB622" t="str">
            <v>WB</v>
          </cell>
          <cell r="AF622">
            <v>0</v>
          </cell>
        </row>
        <row r="623">
          <cell r="A623" t="str">
            <v>IS_alqt_plus</v>
          </cell>
          <cell r="K623" t="str">
            <v>LCAT</v>
          </cell>
          <cell r="M623" t="str">
            <v>M</v>
          </cell>
          <cell r="AB623" t="str">
            <v>WB</v>
          </cell>
          <cell r="AF623">
            <v>0.5</v>
          </cell>
        </row>
        <row r="624">
          <cell r="A624" t="str">
            <v>IS_alqt_plus</v>
          </cell>
          <cell r="K624" t="str">
            <v>LCAT</v>
          </cell>
          <cell r="M624" t="str">
            <v>M</v>
          </cell>
          <cell r="AB624" t="str">
            <v>WB</v>
          </cell>
          <cell r="AF624">
            <v>0.7</v>
          </cell>
        </row>
        <row r="625">
          <cell r="A625" t="str">
            <v>IS_alqt_plus</v>
          </cell>
          <cell r="K625" t="str">
            <v>LCAT</v>
          </cell>
          <cell r="M625" t="str">
            <v>F</v>
          </cell>
          <cell r="AB625" t="str">
            <v>serum</v>
          </cell>
          <cell r="AF625">
            <v>1.8</v>
          </cell>
        </row>
        <row r="626">
          <cell r="A626" t="str">
            <v>IS_alqt_plus</v>
          </cell>
          <cell r="K626" t="str">
            <v>LCAT</v>
          </cell>
          <cell r="M626" t="str">
            <v>M</v>
          </cell>
          <cell r="AB626" t="str">
            <v>serum</v>
          </cell>
          <cell r="AF626">
            <v>0.2</v>
          </cell>
        </row>
        <row r="627">
          <cell r="A627" t="str">
            <v>IS_alqt_plus</v>
          </cell>
          <cell r="K627" t="str">
            <v>VVV</v>
          </cell>
          <cell r="M627" t="str">
            <v>F</v>
          </cell>
          <cell r="AB627" t="str">
            <v>serum</v>
          </cell>
          <cell r="AF627">
            <v>1.3</v>
          </cell>
        </row>
        <row r="628">
          <cell r="A628" t="str">
            <v>IS_alqt_plus</v>
          </cell>
          <cell r="K628" t="str">
            <v>VVV</v>
          </cell>
          <cell r="M628" t="str">
            <v>F</v>
          </cell>
          <cell r="AB628" t="str">
            <v>serum</v>
          </cell>
          <cell r="AF628">
            <v>0.9</v>
          </cell>
        </row>
        <row r="629">
          <cell r="A629" t="str">
            <v>IS_alqt_plus</v>
          </cell>
          <cell r="K629" t="str">
            <v>VVV</v>
          </cell>
          <cell r="M629" t="str">
            <v>F</v>
          </cell>
          <cell r="AB629" t="str">
            <v>serum</v>
          </cell>
          <cell r="AF629">
            <v>0.5</v>
          </cell>
        </row>
        <row r="630">
          <cell r="A630" t="str">
            <v>IS_alqt_plus</v>
          </cell>
          <cell r="K630" t="str">
            <v>LCAT</v>
          </cell>
          <cell r="M630" t="str">
            <v>M</v>
          </cell>
          <cell r="AB630" t="str">
            <v>WB</v>
          </cell>
          <cell r="AF630">
            <v>0.5</v>
          </cell>
        </row>
        <row r="631">
          <cell r="A631" t="str">
            <v>IS_alqt_plus</v>
          </cell>
          <cell r="K631" t="str">
            <v>LCAT</v>
          </cell>
          <cell r="M631" t="str">
            <v>F</v>
          </cell>
          <cell r="AB631" t="str">
            <v>WB</v>
          </cell>
          <cell r="AF631">
            <v>0.3</v>
          </cell>
        </row>
        <row r="632">
          <cell r="A632" t="str">
            <v>IS_alqt_plus</v>
          </cell>
          <cell r="K632" t="str">
            <v>LCAT</v>
          </cell>
          <cell r="M632" t="str">
            <v>F</v>
          </cell>
          <cell r="AB632" t="str">
            <v>WB</v>
          </cell>
          <cell r="AF632">
            <v>0.25</v>
          </cell>
        </row>
        <row r="633">
          <cell r="A633" t="str">
            <v>IS_alqt_plus</v>
          </cell>
          <cell r="K633" t="str">
            <v>LCAT</v>
          </cell>
          <cell r="M633" t="str">
            <v>F</v>
          </cell>
          <cell r="AB633" t="str">
            <v>WB</v>
          </cell>
          <cell r="AF633">
            <v>0.3</v>
          </cell>
        </row>
        <row r="634">
          <cell r="A634" t="str">
            <v>IS_alqt_plus</v>
          </cell>
          <cell r="K634" t="str">
            <v>LCAT</v>
          </cell>
          <cell r="M634" t="str">
            <v>F</v>
          </cell>
          <cell r="AB634" t="str">
            <v>WB</v>
          </cell>
          <cell r="AF634">
            <v>0.75</v>
          </cell>
        </row>
        <row r="635">
          <cell r="A635" t="str">
            <v>IS_alqt_plus</v>
          </cell>
          <cell r="K635" t="str">
            <v>LCAT</v>
          </cell>
          <cell r="M635" t="str">
            <v>F</v>
          </cell>
          <cell r="AB635" t="str">
            <v>WB</v>
          </cell>
          <cell r="AF635">
            <v>0.9</v>
          </cell>
        </row>
        <row r="636">
          <cell r="A636" t="str">
            <v>IS_alqt_minus</v>
          </cell>
          <cell r="K636" t="str">
            <v>LCAT</v>
          </cell>
          <cell r="M636" t="str">
            <v>F</v>
          </cell>
          <cell r="AB636" t="str">
            <v>WB</v>
          </cell>
          <cell r="AF636">
            <v>0.05</v>
          </cell>
        </row>
        <row r="637">
          <cell r="A637" t="str">
            <v>IS_alqt_plus</v>
          </cell>
          <cell r="K637" t="str">
            <v>LCAT</v>
          </cell>
          <cell r="M637" t="str">
            <v>F</v>
          </cell>
          <cell r="AB637" t="str">
            <v>WB</v>
          </cell>
          <cell r="AF637">
            <v>0.4</v>
          </cell>
        </row>
        <row r="638">
          <cell r="A638" t="str">
            <v>IS_alqt_plus</v>
          </cell>
          <cell r="K638" t="str">
            <v>LCAT</v>
          </cell>
          <cell r="M638" t="str">
            <v>F</v>
          </cell>
          <cell r="AB638" t="str">
            <v>WB</v>
          </cell>
          <cell r="AF638">
            <v>0.5</v>
          </cell>
        </row>
        <row r="639">
          <cell r="A639" t="str">
            <v>IS_alqt_plus</v>
          </cell>
          <cell r="K639" t="str">
            <v>LCAT</v>
          </cell>
          <cell r="M639" t="str">
            <v>F</v>
          </cell>
          <cell r="AB639" t="str">
            <v>WB</v>
          </cell>
          <cell r="AF639">
            <v>0.9</v>
          </cell>
        </row>
        <row r="640">
          <cell r="A640" t="str">
            <v>IS_alqt_plus</v>
          </cell>
          <cell r="K640" t="str">
            <v>LCAT</v>
          </cell>
          <cell r="M640" t="str">
            <v>F</v>
          </cell>
          <cell r="AB640" t="str">
            <v>WB</v>
          </cell>
          <cell r="AF640">
            <v>0.65</v>
          </cell>
        </row>
        <row r="641">
          <cell r="A641" t="str">
            <v>IS_alqt_plus</v>
          </cell>
          <cell r="K641" t="str">
            <v>LCAT</v>
          </cell>
          <cell r="M641" t="str">
            <v>F</v>
          </cell>
          <cell r="AB641" t="str">
            <v>serum</v>
          </cell>
          <cell r="AF641">
            <v>1.3</v>
          </cell>
        </row>
        <row r="642">
          <cell r="A642" t="str">
            <v>IS_alqt_plus</v>
          </cell>
          <cell r="K642" t="str">
            <v>LCAT</v>
          </cell>
          <cell r="M642" t="str">
            <v>F</v>
          </cell>
          <cell r="AB642" t="str">
            <v>serum</v>
          </cell>
          <cell r="AF642">
            <v>1.9</v>
          </cell>
        </row>
        <row r="643">
          <cell r="A643" t="str">
            <v>IS_alqt_plus</v>
          </cell>
          <cell r="K643" t="str">
            <v>LCAT</v>
          </cell>
          <cell r="M643" t="str">
            <v>M</v>
          </cell>
          <cell r="AB643" t="str">
            <v>serum</v>
          </cell>
          <cell r="AF643">
            <v>1</v>
          </cell>
        </row>
        <row r="644">
          <cell r="A644" t="str">
            <v>IS_alqt_plus</v>
          </cell>
          <cell r="K644" t="str">
            <v>LCAT</v>
          </cell>
          <cell r="M644" t="str">
            <v>F</v>
          </cell>
          <cell r="AB644" t="str">
            <v>serum</v>
          </cell>
          <cell r="AF644">
            <v>1.9</v>
          </cell>
        </row>
        <row r="645">
          <cell r="A645" t="str">
            <v>IS_alqt_plus</v>
          </cell>
          <cell r="K645" t="str">
            <v>LCAT</v>
          </cell>
          <cell r="M645" t="str">
            <v>F</v>
          </cell>
          <cell r="AB645" t="str">
            <v>serum</v>
          </cell>
          <cell r="AF645">
            <v>1.8</v>
          </cell>
        </row>
        <row r="646">
          <cell r="A646" t="str">
            <v>gone</v>
          </cell>
          <cell r="K646" t="str">
            <v>LCAT</v>
          </cell>
          <cell r="M646" t="str">
            <v>M</v>
          </cell>
          <cell r="AB646" t="str">
            <v>serum</v>
          </cell>
          <cell r="AF646">
            <v>0</v>
          </cell>
        </row>
        <row r="647">
          <cell r="A647" t="str">
            <v>IS_alqt_plus</v>
          </cell>
          <cell r="K647" t="str">
            <v>EFLA</v>
          </cell>
          <cell r="M647" t="str">
            <v>M</v>
          </cell>
          <cell r="AB647" t="str">
            <v>serum</v>
          </cell>
          <cell r="AF647">
            <v>1.8</v>
          </cell>
        </row>
        <row r="648">
          <cell r="A648" t="str">
            <v>gone</v>
          </cell>
          <cell r="K648" t="str">
            <v>LCAT</v>
          </cell>
          <cell r="M648" t="str">
            <v>F</v>
          </cell>
          <cell r="AB648" t="str">
            <v>WB</v>
          </cell>
          <cell r="AF648">
            <v>0</v>
          </cell>
        </row>
        <row r="649">
          <cell r="A649" t="str">
            <v>IS_alqt_minus</v>
          </cell>
          <cell r="K649" t="str">
            <v>LCAT</v>
          </cell>
          <cell r="M649" t="str">
            <v>M</v>
          </cell>
          <cell r="AB649" t="str">
            <v>WB</v>
          </cell>
          <cell r="AF649">
            <v>0.15</v>
          </cell>
        </row>
        <row r="650">
          <cell r="A650" t="str">
            <v>IS_alqt_plus</v>
          </cell>
          <cell r="K650" t="str">
            <v>LCAT</v>
          </cell>
          <cell r="M650" t="str">
            <v>F</v>
          </cell>
          <cell r="AB650" t="str">
            <v>WB</v>
          </cell>
          <cell r="AF650">
            <v>0.4</v>
          </cell>
        </row>
        <row r="651">
          <cell r="A651" t="str">
            <v>IS_alqt_plus</v>
          </cell>
          <cell r="K651" t="str">
            <v>LCAT</v>
          </cell>
          <cell r="M651" t="str">
            <v>F</v>
          </cell>
          <cell r="AB651" t="str">
            <v>WB</v>
          </cell>
          <cell r="AF651">
            <v>0.4</v>
          </cell>
        </row>
        <row r="652">
          <cell r="A652" t="str">
            <v>IS_alqt_plus</v>
          </cell>
          <cell r="K652" t="str">
            <v>LCAT</v>
          </cell>
          <cell r="M652" t="str">
            <v>F</v>
          </cell>
          <cell r="AB652" t="str">
            <v>WB</v>
          </cell>
          <cell r="AF652">
            <v>0.75</v>
          </cell>
        </row>
        <row r="653">
          <cell r="A653" t="str">
            <v>IS_alqt_plus</v>
          </cell>
          <cell r="K653" t="str">
            <v>LCAT</v>
          </cell>
          <cell r="M653" t="str">
            <v>F</v>
          </cell>
          <cell r="AB653" t="str">
            <v>WB</v>
          </cell>
          <cell r="AF653">
            <v>0.8</v>
          </cell>
        </row>
        <row r="654">
          <cell r="A654" t="str">
            <v>IS_alqt_plus</v>
          </cell>
          <cell r="K654" t="str">
            <v>LCAT</v>
          </cell>
          <cell r="M654" t="str">
            <v>F</v>
          </cell>
          <cell r="AB654" t="str">
            <v>WB</v>
          </cell>
          <cell r="AF654">
            <v>0.85</v>
          </cell>
        </row>
        <row r="655">
          <cell r="A655" t="str">
            <v>IS_alqt_minus</v>
          </cell>
          <cell r="K655" t="str">
            <v>MMUR</v>
          </cell>
          <cell r="M655" t="str">
            <v>F</v>
          </cell>
          <cell r="AB655" t="str">
            <v>WB</v>
          </cell>
          <cell r="AF655">
            <v>0.05</v>
          </cell>
        </row>
        <row r="656">
          <cell r="A656" t="str">
            <v>gone</v>
          </cell>
          <cell r="K656" t="str">
            <v>LCAT</v>
          </cell>
          <cell r="M656" t="str">
            <v>M</v>
          </cell>
          <cell r="AB656" t="str">
            <v>WB</v>
          </cell>
          <cell r="AF656">
            <v>0</v>
          </cell>
        </row>
        <row r="657">
          <cell r="A657" t="str">
            <v>IS_alqt_plus</v>
          </cell>
          <cell r="K657" t="str">
            <v>LCAT</v>
          </cell>
          <cell r="M657" t="str">
            <v>M</v>
          </cell>
          <cell r="AB657" t="str">
            <v>WB</v>
          </cell>
          <cell r="AF657">
            <v>0.4</v>
          </cell>
        </row>
        <row r="658">
          <cell r="A658" t="str">
            <v>IS_alqt_minus</v>
          </cell>
          <cell r="K658" t="str">
            <v>LCAT</v>
          </cell>
          <cell r="M658" t="str">
            <v>F</v>
          </cell>
          <cell r="AB658" t="str">
            <v>WB</v>
          </cell>
          <cell r="AF658">
            <v>0.15</v>
          </cell>
        </row>
        <row r="659">
          <cell r="A659" t="str">
            <v>IS_alqt_plus</v>
          </cell>
          <cell r="K659" t="str">
            <v>LCAT</v>
          </cell>
          <cell r="M659" t="str">
            <v>M</v>
          </cell>
          <cell r="AB659" t="str">
            <v>serum</v>
          </cell>
          <cell r="AF659">
            <v>1.3</v>
          </cell>
        </row>
        <row r="660">
          <cell r="A660" t="str">
            <v>IS_alqt_plus</v>
          </cell>
          <cell r="K660" t="str">
            <v>LCAT</v>
          </cell>
          <cell r="M660" t="str">
            <v>F</v>
          </cell>
          <cell r="AB660" t="str">
            <v>serum</v>
          </cell>
          <cell r="AF660">
            <v>1.3</v>
          </cell>
        </row>
        <row r="661">
          <cell r="A661" t="str">
            <v>IS_alqt_plus</v>
          </cell>
          <cell r="K661" t="str">
            <v>LCAT</v>
          </cell>
          <cell r="M661" t="str">
            <v>F</v>
          </cell>
          <cell r="AB661" t="str">
            <v>serum</v>
          </cell>
          <cell r="AF661">
            <v>1.9</v>
          </cell>
        </row>
        <row r="662">
          <cell r="A662" t="str">
            <v>IS_alqt_plus</v>
          </cell>
          <cell r="K662" t="str">
            <v>LCAT</v>
          </cell>
          <cell r="M662" t="str">
            <v>F</v>
          </cell>
          <cell r="AB662" t="str">
            <v>serum</v>
          </cell>
          <cell r="AF662">
            <v>1.7</v>
          </cell>
        </row>
        <row r="663">
          <cell r="A663" t="str">
            <v>IS_alqt_plus</v>
          </cell>
          <cell r="K663" t="str">
            <v>LCAT</v>
          </cell>
          <cell r="M663" t="str">
            <v>M</v>
          </cell>
          <cell r="AB663" t="str">
            <v>serum</v>
          </cell>
          <cell r="AF663">
            <v>1.2</v>
          </cell>
        </row>
        <row r="664">
          <cell r="A664" t="str">
            <v>IS_alqt_plus</v>
          </cell>
          <cell r="K664" t="str">
            <v>LCAT</v>
          </cell>
          <cell r="M664" t="str">
            <v>F</v>
          </cell>
          <cell r="AB664" t="str">
            <v>serum</v>
          </cell>
          <cell r="AF664">
            <v>1.5</v>
          </cell>
        </row>
        <row r="665">
          <cell r="A665" t="str">
            <v>IS_alqt_plus</v>
          </cell>
          <cell r="K665" t="str">
            <v>LCAT</v>
          </cell>
          <cell r="M665" t="str">
            <v>F</v>
          </cell>
          <cell r="AB665" t="str">
            <v>serum</v>
          </cell>
          <cell r="AF665">
            <v>1.5</v>
          </cell>
        </row>
        <row r="666">
          <cell r="A666" t="str">
            <v>IS_alqt_plus</v>
          </cell>
          <cell r="K666" t="str">
            <v>LCAT</v>
          </cell>
          <cell r="M666" t="str">
            <v>F</v>
          </cell>
          <cell r="AB666" t="str">
            <v>serum</v>
          </cell>
          <cell r="AF666">
            <v>1</v>
          </cell>
        </row>
        <row r="667">
          <cell r="A667" t="str">
            <v>IS_alqt_plus</v>
          </cell>
          <cell r="K667" t="str">
            <v>LCAT</v>
          </cell>
          <cell r="M667" t="str">
            <v>M</v>
          </cell>
          <cell r="AB667" t="str">
            <v>serum</v>
          </cell>
          <cell r="AF667">
            <v>1.4</v>
          </cell>
        </row>
        <row r="668">
          <cell r="A668" t="str">
            <v>IS_alqt_minus</v>
          </cell>
          <cell r="K668" t="str">
            <v>LCAT</v>
          </cell>
          <cell r="M668" t="str">
            <v>M</v>
          </cell>
          <cell r="AB668" t="str">
            <v>serum</v>
          </cell>
          <cell r="AF668">
            <v>0.1</v>
          </cell>
        </row>
        <row r="669">
          <cell r="A669" t="str">
            <v>IS_alqt_plus</v>
          </cell>
          <cell r="K669" t="str">
            <v>LCAT</v>
          </cell>
          <cell r="M669" t="str">
            <v>M</v>
          </cell>
          <cell r="AB669" t="str">
            <v>serum</v>
          </cell>
          <cell r="AF669">
            <v>1.1000000000000001</v>
          </cell>
        </row>
        <row r="670">
          <cell r="A670" t="str">
            <v>gone</v>
          </cell>
          <cell r="K670" t="str">
            <v>LCAT</v>
          </cell>
          <cell r="M670" t="str">
            <v>F</v>
          </cell>
          <cell r="AB670" t="str">
            <v>serum</v>
          </cell>
          <cell r="AF670">
            <v>0</v>
          </cell>
        </row>
        <row r="671">
          <cell r="A671" t="str">
            <v>IS_alqt_plus</v>
          </cell>
          <cell r="K671" t="str">
            <v>EMAC</v>
          </cell>
          <cell r="M671" t="str">
            <v>M</v>
          </cell>
          <cell r="AB671" t="str">
            <v>serum</v>
          </cell>
          <cell r="AF671">
            <v>1</v>
          </cell>
        </row>
        <row r="672">
          <cell r="A672" t="str">
            <v>IS_alqt_plus</v>
          </cell>
          <cell r="K672" t="str">
            <v>EFLA</v>
          </cell>
          <cell r="M672" t="str">
            <v>M</v>
          </cell>
          <cell r="AB672" t="str">
            <v>serum</v>
          </cell>
          <cell r="AF672">
            <v>0.2</v>
          </cell>
        </row>
        <row r="673">
          <cell r="A673" t="str">
            <v>IS_alqt_plus</v>
          </cell>
          <cell r="K673" t="str">
            <v>EFLA</v>
          </cell>
          <cell r="M673" t="str">
            <v>M</v>
          </cell>
          <cell r="AB673" t="str">
            <v>serum</v>
          </cell>
          <cell r="AF673">
            <v>0.2</v>
          </cell>
        </row>
        <row r="674">
          <cell r="A674" t="str">
            <v>IS_alqt_plus</v>
          </cell>
          <cell r="K674" t="str">
            <v>EFLA</v>
          </cell>
          <cell r="M674" t="str">
            <v>M</v>
          </cell>
          <cell r="AB674" t="str">
            <v>serum</v>
          </cell>
          <cell r="AF674">
            <v>0.2</v>
          </cell>
        </row>
        <row r="675">
          <cell r="A675" t="str">
            <v>IS_alqt_plus</v>
          </cell>
          <cell r="K675" t="str">
            <v>EFLA</v>
          </cell>
          <cell r="M675" t="str">
            <v>M</v>
          </cell>
          <cell r="AB675" t="str">
            <v>serum</v>
          </cell>
          <cell r="AF675">
            <v>0.2</v>
          </cell>
        </row>
        <row r="676">
          <cell r="A676" t="str">
            <v>IS_alqt_plus</v>
          </cell>
          <cell r="K676" t="str">
            <v>EFLA</v>
          </cell>
          <cell r="M676" t="str">
            <v>M</v>
          </cell>
          <cell r="AB676" t="str">
            <v>serum</v>
          </cell>
          <cell r="AF676">
            <v>0.2</v>
          </cell>
        </row>
        <row r="677">
          <cell r="A677" t="str">
            <v>IS_alqt_plus</v>
          </cell>
          <cell r="K677" t="str">
            <v>PCOQ</v>
          </cell>
          <cell r="M677" t="str">
            <v>M</v>
          </cell>
          <cell r="AB677" t="str">
            <v>serum</v>
          </cell>
          <cell r="AF677">
            <v>0.5</v>
          </cell>
        </row>
        <row r="678">
          <cell r="A678" t="str">
            <v>IS_alqt_minus</v>
          </cell>
          <cell r="K678" t="str">
            <v>LCAT</v>
          </cell>
          <cell r="M678" t="str">
            <v>F</v>
          </cell>
          <cell r="AB678" t="str">
            <v>WB</v>
          </cell>
          <cell r="AF678">
            <v>0.15</v>
          </cell>
        </row>
        <row r="679">
          <cell r="A679" t="str">
            <v>IS_alqt_plus</v>
          </cell>
          <cell r="K679" t="str">
            <v>LCAT</v>
          </cell>
          <cell r="M679" t="str">
            <v>F</v>
          </cell>
          <cell r="AB679" t="str">
            <v>WB</v>
          </cell>
          <cell r="AF679">
            <v>1</v>
          </cell>
        </row>
        <row r="680">
          <cell r="A680" t="str">
            <v>IS_alqt_plus</v>
          </cell>
          <cell r="K680" t="str">
            <v>LCAT</v>
          </cell>
          <cell r="M680" t="str">
            <v>F</v>
          </cell>
          <cell r="AB680" t="str">
            <v>serum</v>
          </cell>
          <cell r="AF680">
            <v>0.9</v>
          </cell>
        </row>
        <row r="681">
          <cell r="A681" t="str">
            <v>IS_alqt_plus</v>
          </cell>
          <cell r="K681" t="str">
            <v>LCAT</v>
          </cell>
          <cell r="M681" t="str">
            <v>F</v>
          </cell>
          <cell r="AB681" t="str">
            <v>serum</v>
          </cell>
          <cell r="AF681">
            <v>1</v>
          </cell>
        </row>
        <row r="682">
          <cell r="A682" t="str">
            <v>IS_alqt_plus</v>
          </cell>
          <cell r="K682" t="str">
            <v>LCAT</v>
          </cell>
          <cell r="M682" t="str">
            <v>M</v>
          </cell>
          <cell r="AB682" t="str">
            <v>serum</v>
          </cell>
          <cell r="AF682">
            <v>1.5</v>
          </cell>
        </row>
        <row r="683">
          <cell r="A683" t="str">
            <v>IS_alqt_plus</v>
          </cell>
          <cell r="K683" t="str">
            <v>LCAT</v>
          </cell>
          <cell r="M683" t="str">
            <v>M</v>
          </cell>
          <cell r="AB683" t="str">
            <v>serum</v>
          </cell>
          <cell r="AF683">
            <v>0.7</v>
          </cell>
        </row>
        <row r="684">
          <cell r="A684" t="str">
            <v>IS_alqt_plus</v>
          </cell>
          <cell r="K684" t="str">
            <v>VRUB</v>
          </cell>
          <cell r="M684" t="str">
            <v>M</v>
          </cell>
          <cell r="AB684" t="str">
            <v>serum</v>
          </cell>
          <cell r="AF684">
            <v>1.8</v>
          </cell>
        </row>
        <row r="685">
          <cell r="A685" t="str">
            <v>IS_alqt_plus</v>
          </cell>
          <cell r="K685" t="str">
            <v>LCAT</v>
          </cell>
          <cell r="M685" t="str">
            <v>F</v>
          </cell>
          <cell r="AB685" t="str">
            <v>serum</v>
          </cell>
          <cell r="AF685">
            <v>2</v>
          </cell>
        </row>
        <row r="686">
          <cell r="A686" t="str">
            <v>IS_alqt_plus</v>
          </cell>
          <cell r="K686" t="str">
            <v>LCAT</v>
          </cell>
          <cell r="M686" t="str">
            <v>F</v>
          </cell>
          <cell r="AB686" t="str">
            <v>serum</v>
          </cell>
          <cell r="AF686">
            <v>2</v>
          </cell>
        </row>
        <row r="687">
          <cell r="A687" t="str">
            <v>IS_alqt_plus</v>
          </cell>
          <cell r="K687" t="str">
            <v>LCAT</v>
          </cell>
          <cell r="M687" t="str">
            <v>F</v>
          </cell>
          <cell r="AB687" t="str">
            <v>serum</v>
          </cell>
          <cell r="AF687">
            <v>1.5</v>
          </cell>
        </row>
        <row r="688">
          <cell r="A688" t="str">
            <v>IS_alqt_plus</v>
          </cell>
          <cell r="K688" t="str">
            <v>LCAT</v>
          </cell>
          <cell r="M688" t="str">
            <v>F</v>
          </cell>
          <cell r="AB688" t="str">
            <v>serum</v>
          </cell>
          <cell r="AF688">
            <v>1</v>
          </cell>
        </row>
        <row r="689">
          <cell r="A689" t="str">
            <v>IS_alqt_plus</v>
          </cell>
          <cell r="K689" t="str">
            <v>HGG</v>
          </cell>
          <cell r="M689" t="str">
            <v>M</v>
          </cell>
          <cell r="AB689" t="str">
            <v>serum</v>
          </cell>
          <cell r="AF689">
            <v>0.4</v>
          </cell>
        </row>
        <row r="690">
          <cell r="A690" t="str">
            <v>IS_alqt_plus</v>
          </cell>
          <cell r="K690" t="str">
            <v>VRUB</v>
          </cell>
          <cell r="M690" t="str">
            <v>M</v>
          </cell>
          <cell r="AB690" t="str">
            <v>serum</v>
          </cell>
          <cell r="AF690">
            <v>0.5</v>
          </cell>
        </row>
        <row r="691">
          <cell r="A691" t="str">
            <v>IS_alqt_plus</v>
          </cell>
          <cell r="K691" t="str">
            <v>HGG</v>
          </cell>
          <cell r="M691" t="str">
            <v>M</v>
          </cell>
          <cell r="AB691" t="str">
            <v>serum</v>
          </cell>
          <cell r="AF691">
            <v>0.4</v>
          </cell>
        </row>
        <row r="692">
          <cell r="A692" t="str">
            <v>IS_alqt_plus</v>
          </cell>
          <cell r="K692" t="str">
            <v>HGG</v>
          </cell>
          <cell r="M692" t="str">
            <v>M</v>
          </cell>
          <cell r="AB692" t="str">
            <v>serum</v>
          </cell>
          <cell r="AF692">
            <v>2</v>
          </cell>
        </row>
        <row r="693">
          <cell r="A693" t="str">
            <v>IS_alqt_plus</v>
          </cell>
          <cell r="K693" t="str">
            <v>PCOQ</v>
          </cell>
          <cell r="M693" t="str">
            <v>F</v>
          </cell>
          <cell r="AB693" t="str">
            <v>serum</v>
          </cell>
          <cell r="AF693">
            <v>1.5</v>
          </cell>
        </row>
        <row r="694">
          <cell r="A694" t="str">
            <v>IS_alqt_plus</v>
          </cell>
          <cell r="K694" t="str">
            <v>LCAT</v>
          </cell>
          <cell r="M694" t="str">
            <v>F</v>
          </cell>
          <cell r="AB694" t="str">
            <v>WB</v>
          </cell>
          <cell r="AF694">
            <v>1</v>
          </cell>
        </row>
        <row r="695">
          <cell r="A695" t="str">
            <v>gone</v>
          </cell>
          <cell r="K695" t="str">
            <v>PPOT</v>
          </cell>
          <cell r="M695" t="str">
            <v>M</v>
          </cell>
          <cell r="AB695" t="str">
            <v>WB</v>
          </cell>
          <cell r="AF695">
            <v>0</v>
          </cell>
        </row>
        <row r="696">
          <cell r="A696" t="str">
            <v>IS_alqt_plus</v>
          </cell>
          <cell r="K696" t="str">
            <v>LCAT</v>
          </cell>
          <cell r="M696" t="str">
            <v>F</v>
          </cell>
          <cell r="AB696" t="str">
            <v>WB</v>
          </cell>
          <cell r="AF696">
            <v>0.4</v>
          </cell>
        </row>
        <row r="697">
          <cell r="A697" t="str">
            <v>IS_alqt_plus</v>
          </cell>
          <cell r="K697" t="str">
            <v>LCAT</v>
          </cell>
          <cell r="M697" t="str">
            <v>F</v>
          </cell>
          <cell r="AB697" t="str">
            <v>WB</v>
          </cell>
          <cell r="AF697">
            <v>0.6</v>
          </cell>
        </row>
        <row r="698">
          <cell r="A698" t="str">
            <v>IS_alqt_plus</v>
          </cell>
          <cell r="K698" t="str">
            <v>LCAT</v>
          </cell>
          <cell r="M698" t="str">
            <v>F</v>
          </cell>
          <cell r="AB698" t="str">
            <v>WB</v>
          </cell>
          <cell r="AF698">
            <v>0.65</v>
          </cell>
        </row>
        <row r="699">
          <cell r="A699" t="str">
            <v>IS_alqt_plus</v>
          </cell>
          <cell r="K699" t="str">
            <v>LCAT</v>
          </cell>
          <cell r="M699" t="str">
            <v>F</v>
          </cell>
          <cell r="AB699" t="str">
            <v>WB</v>
          </cell>
          <cell r="AF699">
            <v>0.2</v>
          </cell>
        </row>
        <row r="700">
          <cell r="A700" t="str">
            <v>IS_alqt_plus</v>
          </cell>
          <cell r="K700" t="str">
            <v>LCAT</v>
          </cell>
          <cell r="M700" t="str">
            <v>F</v>
          </cell>
          <cell r="AB700" t="str">
            <v>WB</v>
          </cell>
          <cell r="AF700">
            <v>0.3</v>
          </cell>
        </row>
        <row r="701">
          <cell r="A701" t="str">
            <v>IS_alqt_plus</v>
          </cell>
          <cell r="K701" t="str">
            <v>LCAT</v>
          </cell>
          <cell r="M701" t="str">
            <v>M</v>
          </cell>
          <cell r="AB701" t="str">
            <v>WB</v>
          </cell>
          <cell r="AF701">
            <v>0.6</v>
          </cell>
        </row>
        <row r="702">
          <cell r="A702" t="str">
            <v>IS_alqt_plus</v>
          </cell>
          <cell r="K702" t="str">
            <v>PPOT</v>
          </cell>
          <cell r="M702" t="str">
            <v>F</v>
          </cell>
          <cell r="AB702" t="str">
            <v>serum</v>
          </cell>
          <cell r="AF702">
            <v>0.5</v>
          </cell>
        </row>
        <row r="703">
          <cell r="A703" t="str">
            <v>IS_alqt_plus</v>
          </cell>
          <cell r="K703" t="str">
            <v>EUL</v>
          </cell>
          <cell r="M703" t="str">
            <v>M</v>
          </cell>
          <cell r="AB703" t="str">
            <v>serum</v>
          </cell>
          <cell r="AF703">
            <v>1.5</v>
          </cell>
        </row>
        <row r="704">
          <cell r="A704" t="str">
            <v>IS_alqt_plus</v>
          </cell>
          <cell r="K704" t="str">
            <v>EUL</v>
          </cell>
          <cell r="M704" t="str">
            <v>M</v>
          </cell>
          <cell r="AB704" t="str">
            <v>serum</v>
          </cell>
          <cell r="AF704">
            <v>1.3</v>
          </cell>
        </row>
        <row r="705">
          <cell r="A705" t="str">
            <v>gone</v>
          </cell>
          <cell r="K705" t="str">
            <v>EFLA</v>
          </cell>
          <cell r="M705" t="str">
            <v>F</v>
          </cell>
          <cell r="AB705" t="str">
            <v>WB</v>
          </cell>
          <cell r="AF705">
            <v>0</v>
          </cell>
        </row>
        <row r="706">
          <cell r="A706" t="str">
            <v>IS_alqt_plus</v>
          </cell>
          <cell r="K706" t="str">
            <v>EFLA</v>
          </cell>
          <cell r="M706" t="str">
            <v>F</v>
          </cell>
          <cell r="AB706" t="str">
            <v>serum</v>
          </cell>
          <cell r="AF706">
            <v>0.4</v>
          </cell>
        </row>
        <row r="707">
          <cell r="A707" t="str">
            <v>IS_alqt_plus</v>
          </cell>
          <cell r="K707" t="str">
            <v>LCAT</v>
          </cell>
          <cell r="M707" t="str">
            <v>F</v>
          </cell>
          <cell r="AB707" t="str">
            <v>WB</v>
          </cell>
          <cell r="AF707">
            <v>0.3</v>
          </cell>
        </row>
        <row r="708">
          <cell r="A708" t="str">
            <v>IS_alqt_plus</v>
          </cell>
          <cell r="K708" t="str">
            <v>LCAT</v>
          </cell>
          <cell r="M708" t="str">
            <v>F</v>
          </cell>
          <cell r="AB708" t="str">
            <v>serum</v>
          </cell>
          <cell r="AF708">
            <v>1.1000000000000001</v>
          </cell>
        </row>
        <row r="709">
          <cell r="A709" t="str">
            <v>IS_alqt_plus</v>
          </cell>
          <cell r="K709" t="str">
            <v>PCOQ</v>
          </cell>
          <cell r="M709" t="str">
            <v>F</v>
          </cell>
          <cell r="AB709" t="str">
            <v>serum</v>
          </cell>
          <cell r="AF709">
            <v>1.8</v>
          </cell>
        </row>
        <row r="710">
          <cell r="A710" t="str">
            <v>IS_alqt_plus</v>
          </cell>
          <cell r="K710" t="str">
            <v>PCOQ</v>
          </cell>
          <cell r="M710" t="str">
            <v>F</v>
          </cell>
          <cell r="AB710" t="str">
            <v>serum</v>
          </cell>
          <cell r="AF710">
            <v>1.8</v>
          </cell>
        </row>
        <row r="711">
          <cell r="A711" t="str">
            <v>IS_alqt_plus</v>
          </cell>
          <cell r="K711" t="str">
            <v>LCAT</v>
          </cell>
          <cell r="M711" t="str">
            <v>F</v>
          </cell>
          <cell r="AB711" t="str">
            <v>WB</v>
          </cell>
          <cell r="AF711">
            <v>1.5</v>
          </cell>
        </row>
        <row r="712">
          <cell r="A712" t="str">
            <v>IS_alqt_plus</v>
          </cell>
          <cell r="K712" t="str">
            <v>LCAT</v>
          </cell>
          <cell r="M712" t="str">
            <v>F</v>
          </cell>
          <cell r="AB712" t="str">
            <v>serum</v>
          </cell>
          <cell r="AF712">
            <v>0.9</v>
          </cell>
        </row>
        <row r="713">
          <cell r="A713" t="str">
            <v>IS_alqt_plus</v>
          </cell>
          <cell r="K713" t="str">
            <v>LCAT</v>
          </cell>
          <cell r="M713" t="str">
            <v>M</v>
          </cell>
          <cell r="AB713" t="str">
            <v>serum</v>
          </cell>
          <cell r="AF713">
            <v>1</v>
          </cell>
        </row>
        <row r="714">
          <cell r="A714" t="str">
            <v>IS_alqt_plus</v>
          </cell>
          <cell r="K714" t="str">
            <v>LCAT</v>
          </cell>
          <cell r="M714" t="str">
            <v>M</v>
          </cell>
          <cell r="AB714" t="str">
            <v>serum</v>
          </cell>
          <cell r="AF714">
            <v>0.45</v>
          </cell>
        </row>
        <row r="715">
          <cell r="A715" t="str">
            <v>gone</v>
          </cell>
          <cell r="K715" t="str">
            <v>PCOQ</v>
          </cell>
          <cell r="M715" t="str">
            <v>M</v>
          </cell>
          <cell r="AB715" t="str">
            <v>serum</v>
          </cell>
          <cell r="AF715">
            <v>0</v>
          </cell>
        </row>
        <row r="716">
          <cell r="A716" t="str">
            <v>IS_alqt_plus</v>
          </cell>
          <cell r="K716" t="str">
            <v>LCAT</v>
          </cell>
          <cell r="M716" t="str">
            <v>F</v>
          </cell>
          <cell r="AB716" t="str">
            <v>WB</v>
          </cell>
          <cell r="AF716">
            <v>1.5</v>
          </cell>
        </row>
        <row r="717">
          <cell r="A717" t="str">
            <v>IS_alqt_plus</v>
          </cell>
          <cell r="K717" t="str">
            <v>ECOR</v>
          </cell>
          <cell r="M717" t="str">
            <v>F</v>
          </cell>
          <cell r="AB717" t="str">
            <v>serum</v>
          </cell>
          <cell r="AF717">
            <v>0.75</v>
          </cell>
        </row>
        <row r="718">
          <cell r="A718" t="str">
            <v>IS_alqt_plus</v>
          </cell>
          <cell r="K718" t="str">
            <v>ECOR</v>
          </cell>
          <cell r="M718" t="str">
            <v>F</v>
          </cell>
          <cell r="AB718" t="str">
            <v>serum</v>
          </cell>
          <cell r="AF718">
            <v>0.8</v>
          </cell>
        </row>
        <row r="719">
          <cell r="A719" t="str">
            <v>IS_alqt_plus</v>
          </cell>
          <cell r="K719" t="str">
            <v>ECOR</v>
          </cell>
          <cell r="M719" t="str">
            <v>M</v>
          </cell>
          <cell r="AB719" t="str">
            <v>serum</v>
          </cell>
          <cell r="AF719">
            <v>0.5</v>
          </cell>
        </row>
        <row r="720">
          <cell r="A720" t="str">
            <v>IS_alqt_plus</v>
          </cell>
          <cell r="K720" t="str">
            <v>EMON</v>
          </cell>
          <cell r="M720" t="str">
            <v>F</v>
          </cell>
          <cell r="AB720" t="str">
            <v>serum</v>
          </cell>
          <cell r="AF720">
            <v>1.2</v>
          </cell>
        </row>
        <row r="721">
          <cell r="A721" t="str">
            <v>IS_alqt_plus</v>
          </cell>
          <cell r="K721" t="str">
            <v>PCOQ</v>
          </cell>
          <cell r="M721" t="str">
            <v>M</v>
          </cell>
          <cell r="AB721" t="str">
            <v>serum</v>
          </cell>
          <cell r="AF721">
            <v>0.9</v>
          </cell>
        </row>
        <row r="722">
          <cell r="A722" t="str">
            <v>IS_alqt_plus</v>
          </cell>
          <cell r="K722" t="str">
            <v>EMON</v>
          </cell>
          <cell r="M722" t="str">
            <v>M</v>
          </cell>
          <cell r="AB722" t="str">
            <v>serum</v>
          </cell>
          <cell r="AF722">
            <v>1.7</v>
          </cell>
        </row>
        <row r="723">
          <cell r="A723" t="str">
            <v>IS_alqt_plus</v>
          </cell>
          <cell r="K723" t="str">
            <v>EMAC</v>
          </cell>
          <cell r="M723" t="str">
            <v>M</v>
          </cell>
          <cell r="AB723" t="str">
            <v>serum</v>
          </cell>
          <cell r="AF723">
            <v>0.5</v>
          </cell>
        </row>
        <row r="724">
          <cell r="A724" t="str">
            <v>IS_alqt_plus</v>
          </cell>
          <cell r="K724" t="str">
            <v>ERUF</v>
          </cell>
          <cell r="M724" t="str">
            <v>F</v>
          </cell>
          <cell r="AB724" t="str">
            <v>WB</v>
          </cell>
          <cell r="AF724">
            <v>1</v>
          </cell>
        </row>
        <row r="725">
          <cell r="A725" t="str">
            <v>IS_alqt_plus</v>
          </cell>
          <cell r="K725" t="str">
            <v>ERUF</v>
          </cell>
          <cell r="M725" t="str">
            <v>M</v>
          </cell>
          <cell r="AB725" t="str">
            <v>WB</v>
          </cell>
          <cell r="AF725">
            <v>0.2</v>
          </cell>
        </row>
        <row r="726">
          <cell r="A726" t="str">
            <v>IS_alqt_plus</v>
          </cell>
          <cell r="K726" t="str">
            <v>ERUF</v>
          </cell>
          <cell r="M726" t="str">
            <v>M</v>
          </cell>
          <cell r="AB726" t="str">
            <v>WB</v>
          </cell>
          <cell r="AF726">
            <v>0.2</v>
          </cell>
        </row>
        <row r="727">
          <cell r="A727" t="str">
            <v>IS_alqt_plus</v>
          </cell>
          <cell r="K727" t="str">
            <v>ERUF</v>
          </cell>
          <cell r="M727" t="str">
            <v>M</v>
          </cell>
          <cell r="AB727" t="str">
            <v>WB</v>
          </cell>
          <cell r="AF727">
            <v>0.2</v>
          </cell>
        </row>
        <row r="728">
          <cell r="A728" t="str">
            <v>IS_alqt_plus</v>
          </cell>
          <cell r="K728" t="str">
            <v>ERUF</v>
          </cell>
          <cell r="M728" t="str">
            <v>M</v>
          </cell>
          <cell r="AB728" t="str">
            <v>WB</v>
          </cell>
          <cell r="AF728">
            <v>0.2</v>
          </cell>
        </row>
        <row r="729">
          <cell r="A729" t="str">
            <v>IS_alqt_plus</v>
          </cell>
          <cell r="K729" t="str">
            <v>ERUF</v>
          </cell>
          <cell r="M729" t="str">
            <v>M</v>
          </cell>
          <cell r="AB729" t="str">
            <v>WB</v>
          </cell>
          <cell r="AF729">
            <v>0.2</v>
          </cell>
        </row>
        <row r="730">
          <cell r="A730" t="str">
            <v>IS_alqt_plus</v>
          </cell>
          <cell r="K730" t="str">
            <v>ERUF</v>
          </cell>
          <cell r="M730" t="str">
            <v>M</v>
          </cell>
          <cell r="AB730" t="str">
            <v>WB</v>
          </cell>
          <cell r="AF730">
            <v>0.2</v>
          </cell>
        </row>
        <row r="731">
          <cell r="A731" t="str">
            <v>IS_alqt_plus</v>
          </cell>
          <cell r="K731" t="str">
            <v>LCAT</v>
          </cell>
          <cell r="M731" t="str">
            <v>F</v>
          </cell>
          <cell r="AB731" t="str">
            <v>serum</v>
          </cell>
          <cell r="AF731">
            <v>1</v>
          </cell>
        </row>
        <row r="732">
          <cell r="A732" t="str">
            <v>IS_alqt_plus</v>
          </cell>
          <cell r="K732" t="str">
            <v>LCAT</v>
          </cell>
          <cell r="M732" t="str">
            <v>M</v>
          </cell>
          <cell r="AB732" t="str">
            <v>serum</v>
          </cell>
          <cell r="AF732">
            <v>1.3</v>
          </cell>
        </row>
        <row r="733">
          <cell r="A733" t="str">
            <v>IS_alqt_plus</v>
          </cell>
          <cell r="K733" t="str">
            <v>LCAT</v>
          </cell>
          <cell r="M733" t="str">
            <v>F</v>
          </cell>
          <cell r="AB733" t="str">
            <v>serum</v>
          </cell>
          <cell r="AF733">
            <v>0.8</v>
          </cell>
        </row>
        <row r="734">
          <cell r="A734" t="str">
            <v>IS_alqt_plus</v>
          </cell>
          <cell r="K734" t="str">
            <v>ERUF</v>
          </cell>
          <cell r="M734" t="str">
            <v>F</v>
          </cell>
          <cell r="AB734" t="str">
            <v>serum</v>
          </cell>
          <cell r="AF734">
            <v>1.2</v>
          </cell>
        </row>
        <row r="735">
          <cell r="A735" t="str">
            <v>IS_alqt_plus</v>
          </cell>
          <cell r="K735" t="str">
            <v>LCAT</v>
          </cell>
          <cell r="M735" t="str">
            <v>F</v>
          </cell>
          <cell r="AB735" t="str">
            <v>WB</v>
          </cell>
          <cell r="AF735">
            <v>1.5</v>
          </cell>
        </row>
        <row r="736">
          <cell r="A736" t="str">
            <v>IS_alqt_plus</v>
          </cell>
          <cell r="K736" t="str">
            <v>LCAT</v>
          </cell>
          <cell r="M736" t="str">
            <v>F</v>
          </cell>
          <cell r="AB736" t="str">
            <v>WB</v>
          </cell>
          <cell r="AF736">
            <v>1.3</v>
          </cell>
        </row>
        <row r="737">
          <cell r="A737" t="str">
            <v>IS_alqt_plus</v>
          </cell>
          <cell r="K737" t="str">
            <v>LCAT</v>
          </cell>
          <cell r="M737" t="str">
            <v>F</v>
          </cell>
          <cell r="AB737" t="str">
            <v>WB</v>
          </cell>
          <cell r="AF737">
            <v>1.5</v>
          </cell>
        </row>
        <row r="738">
          <cell r="A738" t="str">
            <v>IS_alqt_plus</v>
          </cell>
          <cell r="K738" t="str">
            <v>LCAT</v>
          </cell>
          <cell r="M738" t="str">
            <v>F</v>
          </cell>
          <cell r="AB738" t="str">
            <v>serum</v>
          </cell>
          <cell r="AF738">
            <v>0.7</v>
          </cell>
        </row>
        <row r="739">
          <cell r="A739" t="str">
            <v>IS_alqt_plus</v>
          </cell>
          <cell r="K739" t="str">
            <v>LCAT</v>
          </cell>
          <cell r="M739" t="str">
            <v>F</v>
          </cell>
          <cell r="AB739" t="str">
            <v>serum</v>
          </cell>
          <cell r="AF739">
            <v>1.2</v>
          </cell>
        </row>
        <row r="740">
          <cell r="A740" t="str">
            <v>IS_alqt_plus</v>
          </cell>
          <cell r="K740" t="str">
            <v>LCAT</v>
          </cell>
          <cell r="M740" t="str">
            <v>F</v>
          </cell>
          <cell r="AB740" t="str">
            <v>serum</v>
          </cell>
          <cell r="AF740">
            <v>0.7</v>
          </cell>
        </row>
        <row r="741">
          <cell r="A741" t="str">
            <v>IS_alqt_plus</v>
          </cell>
          <cell r="K741" t="str">
            <v>LCAT</v>
          </cell>
          <cell r="M741" t="str">
            <v>F</v>
          </cell>
          <cell r="AB741" t="str">
            <v>WB</v>
          </cell>
          <cell r="AF741">
            <v>1.3</v>
          </cell>
        </row>
        <row r="742">
          <cell r="A742" t="str">
            <v>IS_alqt_plus</v>
          </cell>
          <cell r="K742" t="str">
            <v>LCAT</v>
          </cell>
          <cell r="M742" t="str">
            <v>F</v>
          </cell>
          <cell r="AB742" t="str">
            <v>WB</v>
          </cell>
          <cell r="AF742">
            <v>1.5</v>
          </cell>
        </row>
        <row r="743">
          <cell r="A743" t="str">
            <v>IS_alqt_plus</v>
          </cell>
          <cell r="K743" t="str">
            <v>LCAT</v>
          </cell>
          <cell r="M743" t="str">
            <v>M</v>
          </cell>
          <cell r="AB743" t="str">
            <v>WB</v>
          </cell>
          <cell r="AF743">
            <v>0.7</v>
          </cell>
        </row>
        <row r="744">
          <cell r="A744" t="str">
            <v>IS_alqt_plus</v>
          </cell>
          <cell r="K744" t="str">
            <v>LCAT</v>
          </cell>
          <cell r="M744" t="str">
            <v>M</v>
          </cell>
          <cell r="AB744" t="str">
            <v>WB</v>
          </cell>
          <cell r="AF744">
            <v>0.5</v>
          </cell>
        </row>
        <row r="745">
          <cell r="A745" t="str">
            <v>unk</v>
          </cell>
          <cell r="K745" t="str">
            <v>PTAT</v>
          </cell>
          <cell r="M745" t="str">
            <v>M</v>
          </cell>
          <cell r="AB745" t="str">
            <v>WB</v>
          </cell>
          <cell r="AF745">
            <v>0.2</v>
          </cell>
        </row>
        <row r="746">
          <cell r="A746" t="str">
            <v>IS_alqt_plus</v>
          </cell>
          <cell r="K746" t="str">
            <v>PTAT</v>
          </cell>
          <cell r="M746" t="str">
            <v>M</v>
          </cell>
          <cell r="AB746" t="str">
            <v>WB</v>
          </cell>
          <cell r="AF746">
            <v>0.2</v>
          </cell>
        </row>
        <row r="747">
          <cell r="A747" t="str">
            <v>IS_alqt_plus</v>
          </cell>
          <cell r="K747" t="str">
            <v>PTAT</v>
          </cell>
          <cell r="M747" t="str">
            <v>M</v>
          </cell>
          <cell r="AB747" t="str">
            <v>WB</v>
          </cell>
          <cell r="AF747">
            <v>0.2</v>
          </cell>
        </row>
        <row r="748">
          <cell r="A748" t="str">
            <v>IS_alqt_plus</v>
          </cell>
          <cell r="K748" t="str">
            <v>PTAT</v>
          </cell>
          <cell r="M748" t="str">
            <v>M</v>
          </cell>
          <cell r="AB748" t="str">
            <v>WB</v>
          </cell>
          <cell r="AF748">
            <v>0.2</v>
          </cell>
        </row>
        <row r="749">
          <cell r="A749" t="str">
            <v>IS_alqt_plus</v>
          </cell>
          <cell r="K749" t="str">
            <v>PTAT</v>
          </cell>
          <cell r="M749" t="str">
            <v>M</v>
          </cell>
          <cell r="AB749" t="str">
            <v>WB</v>
          </cell>
          <cell r="AF749">
            <v>0.2</v>
          </cell>
        </row>
        <row r="750">
          <cell r="A750" t="str">
            <v>IS_alqt_plus</v>
          </cell>
          <cell r="K750" t="str">
            <v>PTAT</v>
          </cell>
          <cell r="M750" t="str">
            <v>M</v>
          </cell>
          <cell r="AB750" t="str">
            <v>WB</v>
          </cell>
          <cell r="AF750">
            <v>0.2</v>
          </cell>
        </row>
        <row r="751">
          <cell r="A751" t="str">
            <v>IS_alqt_plus</v>
          </cell>
          <cell r="K751" t="str">
            <v>PTAT</v>
          </cell>
          <cell r="M751" t="str">
            <v>M</v>
          </cell>
          <cell r="AB751" t="str">
            <v>WB</v>
          </cell>
          <cell r="AF751">
            <v>0.2</v>
          </cell>
        </row>
        <row r="752">
          <cell r="A752" t="str">
            <v>IS_alqt_plus</v>
          </cell>
          <cell r="K752" t="str">
            <v>PTAT</v>
          </cell>
          <cell r="M752" t="str">
            <v>M</v>
          </cell>
          <cell r="AB752" t="str">
            <v>WB</v>
          </cell>
          <cell r="AF752">
            <v>0.2</v>
          </cell>
        </row>
        <row r="753">
          <cell r="A753" t="str">
            <v>IS_alqt_plus</v>
          </cell>
          <cell r="K753" t="str">
            <v>PTAT</v>
          </cell>
          <cell r="M753" t="str">
            <v>M</v>
          </cell>
          <cell r="AB753" t="str">
            <v>WB</v>
          </cell>
          <cell r="AF753">
            <v>0.2</v>
          </cell>
        </row>
        <row r="754">
          <cell r="A754" t="str">
            <v>IS_alqt_plus</v>
          </cell>
          <cell r="K754" t="str">
            <v>PTAT</v>
          </cell>
          <cell r="M754" t="str">
            <v>M</v>
          </cell>
          <cell r="AB754" t="str">
            <v>WB</v>
          </cell>
          <cell r="AF754">
            <v>0.2</v>
          </cell>
        </row>
        <row r="755">
          <cell r="A755" t="str">
            <v>IS_alqt_plus</v>
          </cell>
          <cell r="K755" t="str">
            <v>PTAT</v>
          </cell>
          <cell r="M755" t="str">
            <v>M</v>
          </cell>
          <cell r="AB755" t="str">
            <v>serum</v>
          </cell>
          <cell r="AF755">
            <v>1.2</v>
          </cell>
        </row>
        <row r="756">
          <cell r="A756" t="str">
            <v>IS_alqt_plus</v>
          </cell>
          <cell r="K756" t="str">
            <v>EMON</v>
          </cell>
          <cell r="M756" t="str">
            <v>F</v>
          </cell>
          <cell r="AB756" t="str">
            <v>serum</v>
          </cell>
          <cell r="AF756">
            <v>0.8</v>
          </cell>
        </row>
        <row r="757">
          <cell r="A757" t="str">
            <v>IS_alqt_plus</v>
          </cell>
          <cell r="K757" t="str">
            <v>EUL</v>
          </cell>
          <cell r="M757" t="str">
            <v>M</v>
          </cell>
          <cell r="AB757" t="str">
            <v>serum</v>
          </cell>
          <cell r="AF757">
            <v>1.5</v>
          </cell>
        </row>
        <row r="758">
          <cell r="A758" t="str">
            <v>IS_alqt_plus</v>
          </cell>
          <cell r="K758" t="str">
            <v>ERUF</v>
          </cell>
          <cell r="M758" t="str">
            <v>F</v>
          </cell>
          <cell r="AB758" t="str">
            <v>WB</v>
          </cell>
          <cell r="AF758">
            <v>0.2</v>
          </cell>
        </row>
        <row r="759">
          <cell r="A759" t="str">
            <v>IS_alqt_plus</v>
          </cell>
          <cell r="K759" t="str">
            <v>ERUF</v>
          </cell>
          <cell r="M759" t="str">
            <v>F</v>
          </cell>
          <cell r="AB759" t="str">
            <v>WB</v>
          </cell>
          <cell r="AF759">
            <v>0.2</v>
          </cell>
        </row>
        <row r="760">
          <cell r="A760" t="str">
            <v>IS_alqt_plus</v>
          </cell>
          <cell r="K760" t="str">
            <v>ERUF</v>
          </cell>
          <cell r="M760" t="str">
            <v>F</v>
          </cell>
          <cell r="AB760" t="str">
            <v>WB</v>
          </cell>
          <cell r="AF760">
            <v>0.2</v>
          </cell>
        </row>
        <row r="761">
          <cell r="A761" t="str">
            <v>IS_alqt_plus</v>
          </cell>
          <cell r="K761" t="str">
            <v>ERUF</v>
          </cell>
          <cell r="M761" t="str">
            <v>F</v>
          </cell>
          <cell r="AB761" t="str">
            <v>WB</v>
          </cell>
          <cell r="AF761">
            <v>0.2</v>
          </cell>
        </row>
        <row r="762">
          <cell r="A762" t="str">
            <v>IS_alqt_plus</v>
          </cell>
          <cell r="K762" t="str">
            <v>ERUF</v>
          </cell>
          <cell r="M762" t="str">
            <v>F</v>
          </cell>
          <cell r="AB762" t="str">
            <v>WB</v>
          </cell>
          <cell r="AF762">
            <v>1</v>
          </cell>
        </row>
        <row r="763">
          <cell r="A763" t="str">
            <v>IS_alqt_plus</v>
          </cell>
          <cell r="K763" t="str">
            <v>ERUF</v>
          </cell>
          <cell r="M763" t="str">
            <v>M</v>
          </cell>
          <cell r="AB763" t="str">
            <v>serum</v>
          </cell>
          <cell r="AF763">
            <v>0.8</v>
          </cell>
        </row>
        <row r="764">
          <cell r="A764" t="str">
            <v>IS_alqt_plus</v>
          </cell>
          <cell r="K764" t="str">
            <v>ERUF</v>
          </cell>
          <cell r="M764" t="str">
            <v>F</v>
          </cell>
          <cell r="AB764" t="str">
            <v>serum</v>
          </cell>
          <cell r="AF764">
            <v>1</v>
          </cell>
        </row>
        <row r="765">
          <cell r="A765" t="str">
            <v>IS_alqt_plus</v>
          </cell>
          <cell r="K765" t="str">
            <v>DMAD</v>
          </cell>
          <cell r="M765" t="str">
            <v>M</v>
          </cell>
          <cell r="AB765" t="str">
            <v>serum</v>
          </cell>
          <cell r="AF765">
            <v>1</v>
          </cell>
        </row>
        <row r="766">
          <cell r="A766" t="str">
            <v>IS_alqt_plus</v>
          </cell>
          <cell r="K766" t="str">
            <v>LCAT</v>
          </cell>
          <cell r="M766" t="str">
            <v>M</v>
          </cell>
          <cell r="AB766" t="str">
            <v>serum</v>
          </cell>
          <cell r="AF766">
            <v>0.3</v>
          </cell>
        </row>
        <row r="767">
          <cell r="A767" t="str">
            <v>IS_alqt_plus</v>
          </cell>
          <cell r="K767" t="str">
            <v>NCOU</v>
          </cell>
          <cell r="M767" t="str">
            <v>M</v>
          </cell>
          <cell r="AB767" t="str">
            <v>serum</v>
          </cell>
          <cell r="AF767">
            <v>0.5</v>
          </cell>
        </row>
        <row r="768">
          <cell r="A768" t="str">
            <v>IS_alqt_plus</v>
          </cell>
          <cell r="K768" t="str">
            <v>EALB</v>
          </cell>
          <cell r="M768" t="str">
            <v>F</v>
          </cell>
          <cell r="AB768" t="str">
            <v>WB</v>
          </cell>
          <cell r="AF768">
            <v>1</v>
          </cell>
        </row>
        <row r="769">
          <cell r="A769" t="str">
            <v>IS_alqt_plus</v>
          </cell>
          <cell r="K769" t="str">
            <v>EALB</v>
          </cell>
          <cell r="M769" t="str">
            <v>M</v>
          </cell>
          <cell r="AB769" t="str">
            <v>WB</v>
          </cell>
          <cell r="AF769">
            <v>0.2</v>
          </cell>
        </row>
        <row r="770">
          <cell r="A770" t="str">
            <v>IS_alqt_plus</v>
          </cell>
          <cell r="K770" t="str">
            <v>EALB</v>
          </cell>
          <cell r="M770" t="str">
            <v>M</v>
          </cell>
          <cell r="AB770" t="str">
            <v>WB</v>
          </cell>
          <cell r="AF770">
            <v>0.2</v>
          </cell>
        </row>
        <row r="771">
          <cell r="A771" t="str">
            <v>IS_alqt_plus</v>
          </cell>
          <cell r="K771" t="str">
            <v>EALB</v>
          </cell>
          <cell r="M771" t="str">
            <v>M</v>
          </cell>
          <cell r="AB771" t="str">
            <v>WB</v>
          </cell>
          <cell r="AF771">
            <v>0.2</v>
          </cell>
        </row>
        <row r="772">
          <cell r="A772" t="str">
            <v>IS_alqt_plus</v>
          </cell>
          <cell r="K772" t="str">
            <v>EALB</v>
          </cell>
          <cell r="M772" t="str">
            <v>M</v>
          </cell>
          <cell r="AB772" t="str">
            <v>WB</v>
          </cell>
          <cell r="AF772">
            <v>0.2</v>
          </cell>
        </row>
        <row r="773">
          <cell r="A773" t="str">
            <v>unk</v>
          </cell>
          <cell r="K773" t="str">
            <v>EALB</v>
          </cell>
          <cell r="M773" t="str">
            <v>M</v>
          </cell>
          <cell r="AB773" t="str">
            <v>WB</v>
          </cell>
          <cell r="AF773">
            <v>0.2</v>
          </cell>
        </row>
        <row r="774">
          <cell r="A774" t="str">
            <v>unk</v>
          </cell>
          <cell r="K774" t="str">
            <v>EALB</v>
          </cell>
          <cell r="M774" t="str">
            <v>M</v>
          </cell>
          <cell r="AB774" t="str">
            <v>WB</v>
          </cell>
          <cell r="AF774">
            <v>0.15</v>
          </cell>
        </row>
        <row r="775">
          <cell r="A775" t="str">
            <v>IS_alqt_plus</v>
          </cell>
          <cell r="K775" t="str">
            <v>EALB</v>
          </cell>
          <cell r="M775" t="str">
            <v>F</v>
          </cell>
          <cell r="AB775" t="str">
            <v>serum</v>
          </cell>
          <cell r="AF775">
            <v>0.5</v>
          </cell>
        </row>
        <row r="776">
          <cell r="A776" t="str">
            <v>IS_alqt_plus</v>
          </cell>
          <cell r="K776" t="str">
            <v>EALB</v>
          </cell>
          <cell r="M776" t="str">
            <v>F</v>
          </cell>
          <cell r="AB776" t="str">
            <v>serum</v>
          </cell>
          <cell r="AF776">
            <v>0.5</v>
          </cell>
        </row>
        <row r="777">
          <cell r="A777" t="str">
            <v>IS_alqt_plus</v>
          </cell>
          <cell r="K777" t="str">
            <v>EALB</v>
          </cell>
          <cell r="M777" t="str">
            <v>M</v>
          </cell>
          <cell r="AB777" t="str">
            <v>serum</v>
          </cell>
          <cell r="AF777">
            <v>1</v>
          </cell>
        </row>
        <row r="778">
          <cell r="A778" t="str">
            <v>IS_alqt_plus</v>
          </cell>
          <cell r="K778" t="str">
            <v>LCAT</v>
          </cell>
          <cell r="M778" t="str">
            <v>M</v>
          </cell>
          <cell r="AB778" t="str">
            <v>serum</v>
          </cell>
          <cell r="AF778">
            <v>0.4</v>
          </cell>
        </row>
        <row r="779">
          <cell r="A779" t="str">
            <v>IS_alqt_plus</v>
          </cell>
          <cell r="K779" t="str">
            <v>VRUB</v>
          </cell>
          <cell r="M779" t="str">
            <v>M</v>
          </cell>
          <cell r="AB779" t="str">
            <v>serum</v>
          </cell>
          <cell r="AF779">
            <v>0.5</v>
          </cell>
        </row>
        <row r="780">
          <cell r="A780" t="str">
            <v>IS_alqt_plus</v>
          </cell>
          <cell r="K780" t="str">
            <v>VRUB</v>
          </cell>
          <cell r="M780" t="str">
            <v>F</v>
          </cell>
          <cell r="AB780" t="str">
            <v>serum</v>
          </cell>
          <cell r="AF780">
            <v>0.4</v>
          </cell>
        </row>
        <row r="781">
          <cell r="A781" t="str">
            <v>IS_alqt_plus</v>
          </cell>
          <cell r="K781" t="str">
            <v>PTAT</v>
          </cell>
          <cell r="M781" t="str">
            <v>M</v>
          </cell>
          <cell r="AB781" t="str">
            <v>WB</v>
          </cell>
          <cell r="AF781">
            <v>1.3</v>
          </cell>
        </row>
        <row r="782">
          <cell r="A782" t="str">
            <v>IS_alqt_plus</v>
          </cell>
          <cell r="K782" t="str">
            <v>PTAT</v>
          </cell>
          <cell r="M782" t="str">
            <v>M</v>
          </cell>
          <cell r="AB782" t="str">
            <v>serum</v>
          </cell>
          <cell r="AF782">
            <v>0.8</v>
          </cell>
        </row>
        <row r="783">
          <cell r="A783" t="str">
            <v>gone</v>
          </cell>
          <cell r="K783" t="str">
            <v>ECOR</v>
          </cell>
          <cell r="M783" t="str">
            <v>F</v>
          </cell>
          <cell r="AB783" t="str">
            <v>WB</v>
          </cell>
          <cell r="AF783">
            <v>0</v>
          </cell>
        </row>
        <row r="784">
          <cell r="A784" t="str">
            <v>IS_alqt_minus</v>
          </cell>
          <cell r="K784" t="str">
            <v>MZAZ</v>
          </cell>
          <cell r="M784" t="str">
            <v>M</v>
          </cell>
          <cell r="AB784" t="str">
            <v>serum</v>
          </cell>
          <cell r="AF784">
            <v>0.15</v>
          </cell>
        </row>
        <row r="785">
          <cell r="A785" t="str">
            <v>IS_alqt_plus</v>
          </cell>
          <cell r="K785" t="str">
            <v>MZAZ</v>
          </cell>
          <cell r="M785" t="str">
            <v>F</v>
          </cell>
          <cell r="AB785" t="str">
            <v>serum</v>
          </cell>
          <cell r="AF785">
            <v>0.2</v>
          </cell>
        </row>
        <row r="786">
          <cell r="A786" t="str">
            <v>IS_alqt_plus</v>
          </cell>
          <cell r="K786" t="str">
            <v>LCAT</v>
          </cell>
          <cell r="M786" t="str">
            <v>M</v>
          </cell>
          <cell r="AB786" t="str">
            <v>serum</v>
          </cell>
          <cell r="AF786">
            <v>0.7</v>
          </cell>
        </row>
        <row r="787">
          <cell r="A787" t="str">
            <v>IS_alqt_plus</v>
          </cell>
          <cell r="K787" t="str">
            <v>LCAT</v>
          </cell>
          <cell r="M787" t="str">
            <v>M</v>
          </cell>
          <cell r="AB787" t="str">
            <v>serum</v>
          </cell>
          <cell r="AF787">
            <v>1.3</v>
          </cell>
        </row>
        <row r="788">
          <cell r="A788" t="str">
            <v>IS_alqt_plus</v>
          </cell>
          <cell r="K788" t="str">
            <v>ESAN</v>
          </cell>
          <cell r="M788" t="str">
            <v>M</v>
          </cell>
          <cell r="AB788" t="str">
            <v>serum</v>
          </cell>
          <cell r="AF788">
            <v>1.5</v>
          </cell>
        </row>
        <row r="789">
          <cell r="A789" t="str">
            <v>IS_alqt_plus</v>
          </cell>
          <cell r="K789" t="str">
            <v>HGG</v>
          </cell>
          <cell r="M789" t="str">
            <v>M</v>
          </cell>
          <cell r="AB789" t="str">
            <v>serum</v>
          </cell>
          <cell r="AF789">
            <v>0.5</v>
          </cell>
        </row>
        <row r="790">
          <cell r="A790" t="str">
            <v>IS_alqt_plus</v>
          </cell>
          <cell r="K790" t="str">
            <v>HGG</v>
          </cell>
          <cell r="M790" t="str">
            <v>F</v>
          </cell>
          <cell r="AB790" t="str">
            <v>serum</v>
          </cell>
          <cell r="AF790">
            <v>0.5</v>
          </cell>
        </row>
        <row r="791">
          <cell r="A791" t="str">
            <v>IS_alqt_plus</v>
          </cell>
          <cell r="K791" t="str">
            <v>HGG</v>
          </cell>
          <cell r="M791" t="str">
            <v>F</v>
          </cell>
          <cell r="AB791" t="str">
            <v>serum</v>
          </cell>
          <cell r="AF791">
            <v>0.5</v>
          </cell>
        </row>
        <row r="792">
          <cell r="A792" t="str">
            <v>gone</v>
          </cell>
          <cell r="K792" t="str">
            <v>LCAT</v>
          </cell>
          <cell r="M792" t="str">
            <v>F</v>
          </cell>
          <cell r="AB792" t="str">
            <v>serum</v>
          </cell>
          <cell r="AF792">
            <v>0</v>
          </cell>
        </row>
        <row r="793">
          <cell r="A793" t="str">
            <v>gone</v>
          </cell>
          <cell r="K793" t="str">
            <v>ESAN</v>
          </cell>
          <cell r="M793" t="str">
            <v>M</v>
          </cell>
          <cell r="AB793" t="str">
            <v>WB</v>
          </cell>
          <cell r="AF793">
            <v>0</v>
          </cell>
        </row>
        <row r="794">
          <cell r="A794" t="str">
            <v>IS_alqt_plus</v>
          </cell>
          <cell r="K794" t="str">
            <v>ESAN</v>
          </cell>
          <cell r="M794" t="str">
            <v>M</v>
          </cell>
          <cell r="AB794" t="str">
            <v>serum</v>
          </cell>
          <cell r="AF794">
            <v>1.8</v>
          </cell>
        </row>
        <row r="795">
          <cell r="A795" t="str">
            <v>IS_alqt_plus</v>
          </cell>
          <cell r="K795" t="str">
            <v>ESAN</v>
          </cell>
          <cell r="M795" t="str">
            <v>F</v>
          </cell>
          <cell r="AB795" t="str">
            <v>serum</v>
          </cell>
          <cell r="AF795">
            <v>1</v>
          </cell>
        </row>
        <row r="796">
          <cell r="A796" t="str">
            <v>IS_alqt_plus</v>
          </cell>
          <cell r="K796" t="str">
            <v>VRUB</v>
          </cell>
          <cell r="M796" t="str">
            <v>F</v>
          </cell>
          <cell r="AB796" t="str">
            <v>WB</v>
          </cell>
          <cell r="AF796">
            <v>0.6</v>
          </cell>
        </row>
        <row r="797">
          <cell r="A797" t="str">
            <v>IS_alqt_plus</v>
          </cell>
          <cell r="K797" t="str">
            <v>VRUB</v>
          </cell>
          <cell r="M797" t="str">
            <v>M</v>
          </cell>
          <cell r="AB797" t="str">
            <v>WB</v>
          </cell>
          <cell r="AF797">
            <v>1</v>
          </cell>
        </row>
        <row r="798">
          <cell r="A798" t="str">
            <v>IS_alqt_plus</v>
          </cell>
          <cell r="K798" t="str">
            <v>VRUB</v>
          </cell>
          <cell r="M798" t="str">
            <v>M</v>
          </cell>
          <cell r="AB798" t="str">
            <v>serum</v>
          </cell>
          <cell r="AF798">
            <v>1.5</v>
          </cell>
        </row>
        <row r="799">
          <cell r="A799" t="str">
            <v>IS_alqt_minus</v>
          </cell>
          <cell r="K799" t="str">
            <v>EMON</v>
          </cell>
          <cell r="M799" t="str">
            <v>M</v>
          </cell>
          <cell r="AB799" t="str">
            <v>serum</v>
          </cell>
          <cell r="AF799">
            <v>0.1</v>
          </cell>
        </row>
        <row r="800">
          <cell r="A800" t="str">
            <v>IS_alqt_plus</v>
          </cell>
          <cell r="K800" t="str">
            <v>EMON</v>
          </cell>
          <cell r="M800" t="str">
            <v>M</v>
          </cell>
          <cell r="AB800" t="str">
            <v>serum</v>
          </cell>
          <cell r="AF800">
            <v>1</v>
          </cell>
        </row>
        <row r="801">
          <cell r="A801" t="str">
            <v>IS_alqt_plus</v>
          </cell>
          <cell r="K801" t="str">
            <v>EMON</v>
          </cell>
          <cell r="M801" t="str">
            <v>F</v>
          </cell>
          <cell r="AB801" t="str">
            <v>serum</v>
          </cell>
          <cell r="AF801">
            <v>1.6</v>
          </cell>
        </row>
        <row r="802">
          <cell r="A802" t="str">
            <v>IS_alqt_plus</v>
          </cell>
          <cell r="K802" t="str">
            <v>EFLA</v>
          </cell>
          <cell r="M802" t="str">
            <v>F</v>
          </cell>
          <cell r="AB802" t="str">
            <v>serum</v>
          </cell>
          <cell r="AF802">
            <v>0.2</v>
          </cell>
        </row>
        <row r="803">
          <cell r="A803" t="str">
            <v>IS_alqt_plus</v>
          </cell>
          <cell r="K803" t="str">
            <v>EMON</v>
          </cell>
          <cell r="M803" t="str">
            <v>F</v>
          </cell>
          <cell r="AB803" t="str">
            <v>serum</v>
          </cell>
          <cell r="AF803">
            <v>0.4</v>
          </cell>
        </row>
        <row r="804">
          <cell r="A804" t="str">
            <v>IS_alqt_plus</v>
          </cell>
          <cell r="K804" t="str">
            <v>MMUR</v>
          </cell>
          <cell r="M804" t="str">
            <v>M</v>
          </cell>
          <cell r="AB804" t="str">
            <v>serum</v>
          </cell>
          <cell r="AF804">
            <v>0.3</v>
          </cell>
        </row>
        <row r="805">
          <cell r="A805" t="str">
            <v>gone</v>
          </cell>
          <cell r="K805" t="str">
            <v>ECOL</v>
          </cell>
          <cell r="M805" t="str">
            <v>F</v>
          </cell>
          <cell r="AB805" t="str">
            <v>WB</v>
          </cell>
          <cell r="AF805">
            <v>0</v>
          </cell>
        </row>
        <row r="806">
          <cell r="A806" t="str">
            <v>gone</v>
          </cell>
          <cell r="K806" t="str">
            <v>ECOL</v>
          </cell>
          <cell r="M806" t="str">
            <v>M</v>
          </cell>
          <cell r="AB806" t="str">
            <v>WB</v>
          </cell>
          <cell r="AF806">
            <v>0</v>
          </cell>
        </row>
        <row r="807">
          <cell r="A807" t="str">
            <v>gone</v>
          </cell>
          <cell r="K807" t="str">
            <v>ERUB</v>
          </cell>
          <cell r="M807" t="str">
            <v>M</v>
          </cell>
          <cell r="AB807" t="str">
            <v>WB</v>
          </cell>
          <cell r="AF807">
            <v>0</v>
          </cell>
        </row>
        <row r="808">
          <cell r="A808" t="str">
            <v>gone</v>
          </cell>
          <cell r="K808" t="str">
            <v>ERUB</v>
          </cell>
          <cell r="M808" t="str">
            <v>F</v>
          </cell>
          <cell r="AB808" t="str">
            <v>WB</v>
          </cell>
          <cell r="AF808">
            <v>0</v>
          </cell>
        </row>
        <row r="809">
          <cell r="A809" t="str">
            <v>IS_alqt_plus</v>
          </cell>
          <cell r="K809" t="str">
            <v>ERUB</v>
          </cell>
          <cell r="M809" t="str">
            <v>F</v>
          </cell>
          <cell r="AB809" t="str">
            <v>WB</v>
          </cell>
          <cell r="AF809">
            <v>0.2</v>
          </cell>
        </row>
        <row r="810">
          <cell r="A810" t="str">
            <v>IS_alqt_plus</v>
          </cell>
          <cell r="K810" t="str">
            <v>ERUB</v>
          </cell>
          <cell r="M810" t="str">
            <v>F</v>
          </cell>
          <cell r="AB810" t="str">
            <v>WB</v>
          </cell>
          <cell r="AF810">
            <v>0.2</v>
          </cell>
        </row>
        <row r="811">
          <cell r="A811" t="str">
            <v>unk</v>
          </cell>
          <cell r="K811" t="str">
            <v>ERUB</v>
          </cell>
          <cell r="M811" t="str">
            <v>F</v>
          </cell>
          <cell r="AB811" t="str">
            <v>WB</v>
          </cell>
          <cell r="AF811">
            <v>0.2</v>
          </cell>
        </row>
        <row r="812">
          <cell r="A812" t="str">
            <v>IS_alqt_plus</v>
          </cell>
          <cell r="K812" t="str">
            <v>ERUB</v>
          </cell>
          <cell r="M812" t="str">
            <v>M</v>
          </cell>
          <cell r="AB812" t="str">
            <v>serum</v>
          </cell>
          <cell r="AF812">
            <v>0.6</v>
          </cell>
        </row>
        <row r="813">
          <cell r="A813" t="str">
            <v>IS_alqt_minus</v>
          </cell>
          <cell r="K813" t="str">
            <v>MZAZ</v>
          </cell>
          <cell r="M813" t="str">
            <v>M</v>
          </cell>
          <cell r="AB813" t="str">
            <v>serum</v>
          </cell>
          <cell r="AF813">
            <v>0.05</v>
          </cell>
        </row>
        <row r="814">
          <cell r="A814" t="str">
            <v>unk</v>
          </cell>
          <cell r="K814" t="str">
            <v>LCAT</v>
          </cell>
          <cell r="M814" t="str">
            <v>F</v>
          </cell>
          <cell r="AB814" t="str">
            <v>WB</v>
          </cell>
          <cell r="AF814">
            <v>1</v>
          </cell>
        </row>
        <row r="815">
          <cell r="A815" t="str">
            <v>unk</v>
          </cell>
          <cell r="K815" t="str">
            <v>LCAT</v>
          </cell>
          <cell r="M815" t="str">
            <v>M</v>
          </cell>
          <cell r="AB815" t="str">
            <v>WB</v>
          </cell>
          <cell r="AF815">
            <v>1</v>
          </cell>
        </row>
        <row r="816">
          <cell r="A816" t="str">
            <v>unk</v>
          </cell>
          <cell r="K816" t="str">
            <v>LCAT</v>
          </cell>
          <cell r="M816" t="str">
            <v>M</v>
          </cell>
          <cell r="AB816" t="str">
            <v>WB</v>
          </cell>
          <cell r="AF816">
            <v>0.5</v>
          </cell>
        </row>
        <row r="817">
          <cell r="A817" t="str">
            <v>IS_alqt_plus</v>
          </cell>
          <cell r="K817" t="str">
            <v>EMON</v>
          </cell>
          <cell r="M817" t="str">
            <v>M</v>
          </cell>
          <cell r="AB817" t="str">
            <v>serum</v>
          </cell>
          <cell r="AF817">
            <v>1.5</v>
          </cell>
        </row>
        <row r="818">
          <cell r="A818" t="str">
            <v>IS_alqt_plus</v>
          </cell>
          <cell r="K818" t="str">
            <v>LCAT</v>
          </cell>
          <cell r="M818" t="str">
            <v>F</v>
          </cell>
          <cell r="AB818" t="str">
            <v>serum</v>
          </cell>
          <cell r="AF818">
            <v>1.5</v>
          </cell>
        </row>
        <row r="819">
          <cell r="A819" t="str">
            <v>IS_alqt_plus</v>
          </cell>
          <cell r="K819" t="str">
            <v>EMON</v>
          </cell>
          <cell r="M819" t="str">
            <v>F</v>
          </cell>
          <cell r="AB819" t="str">
            <v>serum</v>
          </cell>
          <cell r="AF819">
            <v>1.6</v>
          </cell>
        </row>
        <row r="820">
          <cell r="A820" t="str">
            <v>IS_alqt_plus</v>
          </cell>
          <cell r="K820" t="str">
            <v>EFLA</v>
          </cell>
          <cell r="M820" t="str">
            <v>F</v>
          </cell>
          <cell r="AB820" t="str">
            <v>WB</v>
          </cell>
          <cell r="AF820">
            <v>1.4</v>
          </cell>
        </row>
        <row r="821">
          <cell r="A821" t="str">
            <v>IS_alqt_plus</v>
          </cell>
          <cell r="K821" t="str">
            <v>EFLA</v>
          </cell>
          <cell r="M821" t="str">
            <v>F</v>
          </cell>
          <cell r="AB821" t="str">
            <v>serum</v>
          </cell>
          <cell r="AF821">
            <v>0.8</v>
          </cell>
        </row>
        <row r="822">
          <cell r="A822" t="str">
            <v>IS_alqt_plus</v>
          </cell>
          <cell r="K822" t="str">
            <v>ESAN</v>
          </cell>
          <cell r="M822" t="str">
            <v>F</v>
          </cell>
          <cell r="AB822" t="str">
            <v>serum</v>
          </cell>
          <cell r="AF822">
            <v>1.2</v>
          </cell>
        </row>
        <row r="823">
          <cell r="A823" t="str">
            <v>IS_alqt_plus</v>
          </cell>
          <cell r="K823" t="str">
            <v>ESAN</v>
          </cell>
          <cell r="M823" t="str">
            <v>F</v>
          </cell>
          <cell r="AB823" t="str">
            <v>serum</v>
          </cell>
          <cell r="AF823">
            <v>1.25</v>
          </cell>
        </row>
        <row r="824">
          <cell r="A824" t="str">
            <v>gone</v>
          </cell>
          <cell r="K824" t="str">
            <v>EFLA</v>
          </cell>
          <cell r="M824" t="str">
            <v>F</v>
          </cell>
          <cell r="AB824" t="str">
            <v>WB</v>
          </cell>
          <cell r="AF824">
            <v>0</v>
          </cell>
        </row>
        <row r="825">
          <cell r="A825" t="str">
            <v>unk</v>
          </cell>
          <cell r="K825" t="str">
            <v>EFLA</v>
          </cell>
          <cell r="M825" t="str">
            <v>F</v>
          </cell>
          <cell r="AB825" t="str">
            <v>WB</v>
          </cell>
          <cell r="AF825">
            <v>0.5</v>
          </cell>
        </row>
        <row r="826">
          <cell r="A826" t="str">
            <v>gone</v>
          </cell>
          <cell r="K826" t="str">
            <v>EFLA</v>
          </cell>
          <cell r="M826" t="str">
            <v>M</v>
          </cell>
          <cell r="AB826" t="str">
            <v>WB</v>
          </cell>
          <cell r="AF826">
            <v>0</v>
          </cell>
        </row>
        <row r="827">
          <cell r="A827" t="str">
            <v>IS_alqt_plus</v>
          </cell>
          <cell r="K827" t="str">
            <v>ESAN</v>
          </cell>
          <cell r="M827" t="str">
            <v>M</v>
          </cell>
          <cell r="AB827" t="str">
            <v>WB</v>
          </cell>
          <cell r="AF827">
            <v>0.25</v>
          </cell>
        </row>
        <row r="828">
          <cell r="A828" t="str">
            <v>unk</v>
          </cell>
          <cell r="K828" t="str">
            <v>ESAN</v>
          </cell>
          <cell r="M828" t="str">
            <v>M</v>
          </cell>
          <cell r="AB828" t="str">
            <v>WB</v>
          </cell>
          <cell r="AF828">
            <v>0.2</v>
          </cell>
        </row>
        <row r="829">
          <cell r="A829" t="str">
            <v>IS_alqt_plus</v>
          </cell>
          <cell r="K829" t="str">
            <v>NPYG</v>
          </cell>
          <cell r="M829" t="str">
            <v>F</v>
          </cell>
          <cell r="AB829" t="str">
            <v>WB</v>
          </cell>
          <cell r="AF829" t="str">
            <v>.</v>
          </cell>
        </row>
        <row r="830">
          <cell r="A830" t="str">
            <v>IS_alqt_plus</v>
          </cell>
          <cell r="K830" t="str">
            <v>NPYG</v>
          </cell>
          <cell r="M830" t="str">
            <v>M</v>
          </cell>
          <cell r="AB830" t="str">
            <v>WB</v>
          </cell>
          <cell r="AF830" t="str">
            <v>.</v>
          </cell>
        </row>
        <row r="831">
          <cell r="A831" t="str">
            <v>IS_alqt_plus</v>
          </cell>
          <cell r="K831" t="str">
            <v>CMED</v>
          </cell>
          <cell r="M831" t="str">
            <v>F</v>
          </cell>
          <cell r="AB831" t="str">
            <v>Fluid- abdominal</v>
          </cell>
          <cell r="AF831">
            <v>0.5</v>
          </cell>
        </row>
        <row r="832">
          <cell r="A832" t="str">
            <v>IS_alqt_plus</v>
          </cell>
          <cell r="K832" t="str">
            <v>CMED</v>
          </cell>
          <cell r="M832" t="str">
            <v>F</v>
          </cell>
          <cell r="AB832" t="str">
            <v>Fluid- abdominal</v>
          </cell>
          <cell r="AF832">
            <v>0.5</v>
          </cell>
        </row>
        <row r="833">
          <cell r="A833" t="str">
            <v>IS_alqt_plus</v>
          </cell>
          <cell r="K833" t="str">
            <v>ESAN</v>
          </cell>
          <cell r="M833" t="str">
            <v>M</v>
          </cell>
          <cell r="AB833" t="str">
            <v>serum</v>
          </cell>
          <cell r="AF833">
            <v>1.5</v>
          </cell>
        </row>
        <row r="834">
          <cell r="A834" t="str">
            <v>IS_alqt_plus</v>
          </cell>
          <cell r="K834" t="str">
            <v>ESAN</v>
          </cell>
          <cell r="M834" t="str">
            <v>F</v>
          </cell>
          <cell r="AB834" t="str">
            <v>serum</v>
          </cell>
          <cell r="AF834">
            <v>1.5</v>
          </cell>
        </row>
        <row r="835">
          <cell r="A835" t="str">
            <v>IS_alqt_plus</v>
          </cell>
          <cell r="K835" t="str">
            <v>EMON</v>
          </cell>
          <cell r="M835" t="str">
            <v>M</v>
          </cell>
          <cell r="AB835" t="str">
            <v>serum</v>
          </cell>
          <cell r="AF835">
            <v>1.8</v>
          </cell>
        </row>
        <row r="836">
          <cell r="A836" t="str">
            <v>IS_alqt_plus</v>
          </cell>
          <cell r="K836" t="str">
            <v>ECOR</v>
          </cell>
          <cell r="M836" t="str">
            <v>M</v>
          </cell>
          <cell r="AB836" t="str">
            <v>serum</v>
          </cell>
          <cell r="AF836">
            <v>0.5</v>
          </cell>
        </row>
        <row r="837">
          <cell r="A837" t="str">
            <v>IS_alqt_plus</v>
          </cell>
          <cell r="K837" t="str">
            <v>EMON</v>
          </cell>
          <cell r="M837" t="str">
            <v>F</v>
          </cell>
          <cell r="AB837" t="str">
            <v>serum</v>
          </cell>
          <cell r="AF837">
            <v>2</v>
          </cell>
        </row>
        <row r="838">
          <cell r="A838" t="str">
            <v>IS_alqt_plus</v>
          </cell>
          <cell r="K838" t="str">
            <v>EFLA</v>
          </cell>
          <cell r="M838" t="str">
            <v>M</v>
          </cell>
          <cell r="AB838" t="str">
            <v>WB</v>
          </cell>
          <cell r="AF838">
            <v>0.25</v>
          </cell>
        </row>
        <row r="839">
          <cell r="A839" t="str">
            <v>gone</v>
          </cell>
          <cell r="K839" t="str">
            <v>ERUB</v>
          </cell>
          <cell r="M839" t="str">
            <v>M</v>
          </cell>
          <cell r="AB839" t="str">
            <v>WB</v>
          </cell>
          <cell r="AF839">
            <v>0</v>
          </cell>
        </row>
        <row r="840">
          <cell r="A840" t="str">
            <v>IS_alqt_plus</v>
          </cell>
          <cell r="K840" t="str">
            <v>LCAT</v>
          </cell>
          <cell r="M840" t="str">
            <v>M</v>
          </cell>
          <cell r="AB840" t="str">
            <v>serum</v>
          </cell>
          <cell r="AF840">
            <v>0.3</v>
          </cell>
        </row>
        <row r="841">
          <cell r="A841" t="str">
            <v>IS_alqt_plus</v>
          </cell>
          <cell r="K841" t="str">
            <v>ERUB</v>
          </cell>
          <cell r="M841" t="str">
            <v>F</v>
          </cell>
          <cell r="AB841" t="str">
            <v>serum</v>
          </cell>
          <cell r="AF841">
            <v>0.2</v>
          </cell>
        </row>
        <row r="842">
          <cell r="A842" t="str">
            <v>IS_alqt_plus</v>
          </cell>
          <cell r="K842" t="str">
            <v>LCAT</v>
          </cell>
          <cell r="M842" t="str">
            <v>M</v>
          </cell>
          <cell r="AB842" t="str">
            <v>serum</v>
          </cell>
          <cell r="AF842">
            <v>0.25</v>
          </cell>
        </row>
        <row r="843">
          <cell r="A843" t="str">
            <v>IS_alqt_plus</v>
          </cell>
          <cell r="K843" t="str">
            <v>DMAD</v>
          </cell>
          <cell r="M843" t="str">
            <v>F</v>
          </cell>
          <cell r="AB843" t="str">
            <v>serum</v>
          </cell>
          <cell r="AF843">
            <v>0.75</v>
          </cell>
        </row>
        <row r="844">
          <cell r="A844" t="str">
            <v>IS_alqt_plus</v>
          </cell>
          <cell r="K844" t="str">
            <v>ECOR</v>
          </cell>
          <cell r="M844" t="str">
            <v>M</v>
          </cell>
          <cell r="AB844" t="str">
            <v>WB</v>
          </cell>
          <cell r="AF844">
            <v>1.5</v>
          </cell>
        </row>
        <row r="845">
          <cell r="A845" t="str">
            <v>IS_alqt_plus</v>
          </cell>
          <cell r="K845" t="str">
            <v>ECOR</v>
          </cell>
          <cell r="M845" t="str">
            <v>M</v>
          </cell>
          <cell r="AB845" t="str">
            <v>WB</v>
          </cell>
          <cell r="AF845">
            <v>1.3</v>
          </cell>
        </row>
        <row r="846">
          <cell r="A846" t="str">
            <v>unk</v>
          </cell>
          <cell r="K846" t="str">
            <v>ECOR</v>
          </cell>
          <cell r="M846" t="str">
            <v>M</v>
          </cell>
          <cell r="AB846" t="str">
            <v>WB</v>
          </cell>
          <cell r="AF846" t="str">
            <v>.</v>
          </cell>
        </row>
        <row r="847">
          <cell r="A847" t="str">
            <v>IS_alqt_plus</v>
          </cell>
          <cell r="K847" t="str">
            <v>ECOR</v>
          </cell>
          <cell r="M847" t="str">
            <v>M</v>
          </cell>
          <cell r="AB847" t="str">
            <v>serum</v>
          </cell>
          <cell r="AF847">
            <v>1.8</v>
          </cell>
        </row>
        <row r="848">
          <cell r="A848" t="str">
            <v>IS_alqt_plus</v>
          </cell>
          <cell r="K848" t="str">
            <v>ECOR</v>
          </cell>
          <cell r="M848" t="str">
            <v>M</v>
          </cell>
          <cell r="AB848" t="str">
            <v>serum</v>
          </cell>
          <cell r="AF848">
            <v>2</v>
          </cell>
        </row>
        <row r="849">
          <cell r="A849" t="str">
            <v>IS_alqt_plus</v>
          </cell>
          <cell r="K849" t="str">
            <v>ECOR</v>
          </cell>
          <cell r="M849" t="str">
            <v>M</v>
          </cell>
          <cell r="AB849" t="str">
            <v>serum</v>
          </cell>
          <cell r="AF849">
            <v>1.5</v>
          </cell>
        </row>
        <row r="850">
          <cell r="A850" t="str">
            <v>IS_alqt_plus</v>
          </cell>
          <cell r="K850" t="str">
            <v>ECOR</v>
          </cell>
          <cell r="M850" t="str">
            <v>M</v>
          </cell>
          <cell r="AB850" t="str">
            <v>serum</v>
          </cell>
          <cell r="AF850">
            <v>1.8</v>
          </cell>
        </row>
        <row r="851">
          <cell r="A851" t="str">
            <v>IS_alqt_plus</v>
          </cell>
          <cell r="K851" t="str">
            <v>LCAT</v>
          </cell>
          <cell r="M851" t="str">
            <v>M</v>
          </cell>
          <cell r="AB851" t="str">
            <v>WB</v>
          </cell>
          <cell r="AF851">
            <v>1</v>
          </cell>
        </row>
        <row r="852">
          <cell r="A852" t="str">
            <v>IS_alqt_plus</v>
          </cell>
          <cell r="K852" t="str">
            <v>EUL</v>
          </cell>
          <cell r="M852" t="str">
            <v>M</v>
          </cell>
          <cell r="AB852" t="str">
            <v>WB</v>
          </cell>
          <cell r="AF852">
            <v>1.3</v>
          </cell>
        </row>
        <row r="853">
          <cell r="A853" t="str">
            <v>IS_alqt_plus</v>
          </cell>
          <cell r="K853" t="str">
            <v>EUL</v>
          </cell>
          <cell r="M853" t="str">
            <v>M</v>
          </cell>
          <cell r="AB853" t="str">
            <v>serum</v>
          </cell>
          <cell r="AF853">
            <v>1.5</v>
          </cell>
        </row>
        <row r="854">
          <cell r="A854" t="str">
            <v>gone</v>
          </cell>
          <cell r="K854" t="str">
            <v>ECOL</v>
          </cell>
          <cell r="M854" t="str">
            <v>M</v>
          </cell>
          <cell r="AB854" t="str">
            <v>WB</v>
          </cell>
          <cell r="AF854">
            <v>0</v>
          </cell>
        </row>
        <row r="855">
          <cell r="A855" t="str">
            <v>gone</v>
          </cell>
          <cell r="K855" t="str">
            <v>HGG</v>
          </cell>
          <cell r="M855" t="str">
            <v>F</v>
          </cell>
          <cell r="AB855" t="str">
            <v>WB</v>
          </cell>
          <cell r="AF855">
            <v>0</v>
          </cell>
        </row>
        <row r="856">
          <cell r="A856" t="str">
            <v>gone</v>
          </cell>
          <cell r="K856" t="str">
            <v>EMAC</v>
          </cell>
          <cell r="M856" t="str">
            <v>F</v>
          </cell>
          <cell r="AB856" t="str">
            <v>WB</v>
          </cell>
          <cell r="AF856">
            <v>0</v>
          </cell>
        </row>
        <row r="857">
          <cell r="A857" t="str">
            <v>gone</v>
          </cell>
          <cell r="K857" t="str">
            <v>HGG</v>
          </cell>
          <cell r="M857" t="str">
            <v>F</v>
          </cell>
          <cell r="AB857" t="str">
            <v>WB</v>
          </cell>
          <cell r="AF857">
            <v>0</v>
          </cell>
        </row>
        <row r="858">
          <cell r="A858" t="str">
            <v>IS_alqt_plus</v>
          </cell>
          <cell r="K858" t="str">
            <v>HGG</v>
          </cell>
          <cell r="M858" t="str">
            <v>M</v>
          </cell>
          <cell r="AB858" t="str">
            <v>serum</v>
          </cell>
          <cell r="AF858">
            <v>0.5</v>
          </cell>
        </row>
        <row r="859">
          <cell r="A859" t="str">
            <v>IS_alqt_plus</v>
          </cell>
          <cell r="K859" t="str">
            <v>HGG</v>
          </cell>
          <cell r="M859" t="str">
            <v>F</v>
          </cell>
          <cell r="AB859" t="str">
            <v>serum</v>
          </cell>
          <cell r="AF859">
            <v>0.5</v>
          </cell>
        </row>
        <row r="860">
          <cell r="A860" t="str">
            <v>IS_alqt_plus</v>
          </cell>
          <cell r="K860" t="str">
            <v>HGG</v>
          </cell>
          <cell r="M860" t="str">
            <v>F</v>
          </cell>
          <cell r="AB860" t="str">
            <v>serum</v>
          </cell>
          <cell r="AF860">
            <v>0.7</v>
          </cell>
        </row>
        <row r="861">
          <cell r="A861" t="str">
            <v>IS_alqt_plus</v>
          </cell>
          <cell r="K861" t="str">
            <v>VRUB</v>
          </cell>
          <cell r="M861" t="str">
            <v>M</v>
          </cell>
          <cell r="AB861" t="str">
            <v>serum</v>
          </cell>
          <cell r="AF861">
            <v>1.3</v>
          </cell>
        </row>
        <row r="862">
          <cell r="A862" t="str">
            <v>gone</v>
          </cell>
          <cell r="K862" t="str">
            <v>EMAC</v>
          </cell>
          <cell r="M862" t="str">
            <v>M</v>
          </cell>
          <cell r="AB862" t="str">
            <v>WB</v>
          </cell>
          <cell r="AF862">
            <v>0</v>
          </cell>
        </row>
        <row r="863">
          <cell r="A863" t="str">
            <v>gone</v>
          </cell>
          <cell r="K863" t="str">
            <v>EMAC</v>
          </cell>
          <cell r="M863" t="str">
            <v>M</v>
          </cell>
          <cell r="AB863" t="str">
            <v>WB</v>
          </cell>
          <cell r="AF863">
            <v>0.75</v>
          </cell>
        </row>
        <row r="864">
          <cell r="A864" t="str">
            <v>gone</v>
          </cell>
          <cell r="K864" t="str">
            <v>EMAC</v>
          </cell>
          <cell r="M864" t="str">
            <v>M</v>
          </cell>
          <cell r="AB864" t="str">
            <v>WB</v>
          </cell>
          <cell r="AF864">
            <v>0</v>
          </cell>
        </row>
        <row r="865">
          <cell r="A865" t="str">
            <v>IS_alqt_plus</v>
          </cell>
          <cell r="K865" t="str">
            <v>EMAC</v>
          </cell>
          <cell r="M865" t="str">
            <v>M</v>
          </cell>
          <cell r="AB865" t="str">
            <v>WB</v>
          </cell>
          <cell r="AF865">
            <v>1.2</v>
          </cell>
        </row>
        <row r="866">
          <cell r="A866" t="str">
            <v>IS_alqt_plus</v>
          </cell>
          <cell r="K866" t="str">
            <v>EMAC</v>
          </cell>
          <cell r="M866" t="str">
            <v>M</v>
          </cell>
          <cell r="AB866" t="str">
            <v>serum</v>
          </cell>
          <cell r="AF866">
            <v>1</v>
          </cell>
        </row>
        <row r="867">
          <cell r="A867" t="str">
            <v>gone</v>
          </cell>
          <cell r="K867" t="str">
            <v>ERUB</v>
          </cell>
          <cell r="M867" t="str">
            <v>M</v>
          </cell>
          <cell r="AB867" t="str">
            <v>WB</v>
          </cell>
          <cell r="AF867">
            <v>0</v>
          </cell>
        </row>
        <row r="868">
          <cell r="A868" t="str">
            <v>gone</v>
          </cell>
          <cell r="K868" t="str">
            <v>ERUB</v>
          </cell>
          <cell r="M868" t="str">
            <v>F</v>
          </cell>
          <cell r="AB868" t="str">
            <v>WB</v>
          </cell>
          <cell r="AF868">
            <v>0</v>
          </cell>
        </row>
        <row r="869">
          <cell r="A869" t="str">
            <v>IS_alqt_plus</v>
          </cell>
          <cell r="K869" t="str">
            <v>EMAC</v>
          </cell>
          <cell r="M869" t="str">
            <v>M</v>
          </cell>
          <cell r="AB869" t="str">
            <v>serum</v>
          </cell>
          <cell r="AF869">
            <v>1.5</v>
          </cell>
        </row>
        <row r="870">
          <cell r="A870" t="str">
            <v>IS_alqt_plus</v>
          </cell>
          <cell r="K870" t="str">
            <v>EFLA</v>
          </cell>
          <cell r="M870" t="str">
            <v>F</v>
          </cell>
          <cell r="AB870" t="str">
            <v>serum</v>
          </cell>
          <cell r="AF870">
            <v>1.3</v>
          </cell>
        </row>
        <row r="871">
          <cell r="A871" t="str">
            <v>IS_alqt_plus</v>
          </cell>
          <cell r="K871" t="str">
            <v>EFLA</v>
          </cell>
          <cell r="M871" t="str">
            <v>F</v>
          </cell>
          <cell r="AB871" t="str">
            <v>serum</v>
          </cell>
          <cell r="AF871">
            <v>1</v>
          </cell>
        </row>
        <row r="872">
          <cell r="A872" t="str">
            <v>IS_alqt_plus</v>
          </cell>
          <cell r="K872" t="str">
            <v>EFLA</v>
          </cell>
          <cell r="M872" t="str">
            <v>F</v>
          </cell>
          <cell r="AB872" t="str">
            <v>serum</v>
          </cell>
          <cell r="AF872">
            <v>0.2</v>
          </cell>
        </row>
        <row r="873">
          <cell r="A873" t="str">
            <v>IS_alqt_plus</v>
          </cell>
          <cell r="K873" t="str">
            <v>EFLA</v>
          </cell>
          <cell r="M873" t="str">
            <v>F</v>
          </cell>
          <cell r="AB873" t="str">
            <v>serum</v>
          </cell>
          <cell r="AF873">
            <v>0.2</v>
          </cell>
        </row>
        <row r="874">
          <cell r="A874" t="str">
            <v>IS_alqt_minus</v>
          </cell>
          <cell r="K874" t="str">
            <v>EFLA</v>
          </cell>
          <cell r="M874" t="str">
            <v>F</v>
          </cell>
          <cell r="AB874" t="str">
            <v>serum</v>
          </cell>
          <cell r="AF874">
            <v>0.15</v>
          </cell>
        </row>
        <row r="875">
          <cell r="A875" t="str">
            <v>IS_alqt_plus</v>
          </cell>
          <cell r="K875" t="str">
            <v>ERUF</v>
          </cell>
          <cell r="M875" t="str">
            <v>M</v>
          </cell>
          <cell r="AB875" t="str">
            <v>serum</v>
          </cell>
          <cell r="AF875">
            <v>2</v>
          </cell>
        </row>
        <row r="876">
          <cell r="A876" t="str">
            <v>IS_alqt_plus</v>
          </cell>
          <cell r="K876" t="str">
            <v>LCAT</v>
          </cell>
          <cell r="M876" t="str">
            <v>M</v>
          </cell>
          <cell r="AB876" t="str">
            <v>WB</v>
          </cell>
          <cell r="AF876">
            <v>1</v>
          </cell>
        </row>
        <row r="877">
          <cell r="A877" t="str">
            <v>IS_alqt_plus</v>
          </cell>
          <cell r="K877" t="str">
            <v>ERUF</v>
          </cell>
          <cell r="M877" t="str">
            <v>M</v>
          </cell>
          <cell r="AB877" t="str">
            <v>serum</v>
          </cell>
          <cell r="AF877">
            <v>1</v>
          </cell>
        </row>
        <row r="878">
          <cell r="A878" t="str">
            <v>IS_alqt_plus</v>
          </cell>
          <cell r="K878" t="str">
            <v>ERUF</v>
          </cell>
          <cell r="M878" t="str">
            <v>M</v>
          </cell>
          <cell r="AB878" t="str">
            <v>serum</v>
          </cell>
          <cell r="AF878">
            <v>0.8</v>
          </cell>
        </row>
        <row r="879">
          <cell r="A879" t="str">
            <v>IS_alqt_plus</v>
          </cell>
          <cell r="K879" t="str">
            <v>ERUF</v>
          </cell>
          <cell r="M879" t="str">
            <v>M</v>
          </cell>
          <cell r="AB879" t="str">
            <v>serum</v>
          </cell>
          <cell r="AF879">
            <v>1.3</v>
          </cell>
        </row>
        <row r="880">
          <cell r="A880" t="str">
            <v>IS_alqt_plus</v>
          </cell>
          <cell r="K880" t="str">
            <v>VRUB</v>
          </cell>
          <cell r="M880" t="str">
            <v>F</v>
          </cell>
          <cell r="AB880" t="str">
            <v>WB</v>
          </cell>
          <cell r="AF880">
            <v>0.8</v>
          </cell>
        </row>
        <row r="881">
          <cell r="A881" t="str">
            <v>unk</v>
          </cell>
          <cell r="K881" t="str">
            <v>LCAT</v>
          </cell>
          <cell r="M881" t="str">
            <v>F</v>
          </cell>
          <cell r="AB881" t="str">
            <v>WB</v>
          </cell>
          <cell r="AF881">
            <v>1</v>
          </cell>
        </row>
        <row r="882">
          <cell r="A882" t="str">
            <v>unk</v>
          </cell>
          <cell r="K882" t="str">
            <v>VRUB</v>
          </cell>
          <cell r="M882" t="str">
            <v>F</v>
          </cell>
          <cell r="AB882" t="str">
            <v>serum</v>
          </cell>
          <cell r="AF882">
            <v>2</v>
          </cell>
        </row>
        <row r="883">
          <cell r="A883" t="str">
            <v>unk</v>
          </cell>
          <cell r="K883" t="str">
            <v>VRUB</v>
          </cell>
          <cell r="M883" t="str">
            <v>F</v>
          </cell>
          <cell r="AB883" t="str">
            <v>serum</v>
          </cell>
          <cell r="AF883">
            <v>2</v>
          </cell>
        </row>
        <row r="884">
          <cell r="A884" t="str">
            <v>unk</v>
          </cell>
          <cell r="K884" t="str">
            <v>DMAD</v>
          </cell>
          <cell r="M884" t="str">
            <v>M</v>
          </cell>
          <cell r="AB884" t="str">
            <v>WB</v>
          </cell>
          <cell r="AF884">
            <v>1</v>
          </cell>
        </row>
        <row r="885">
          <cell r="A885" t="str">
            <v>IS_alqt_plus</v>
          </cell>
          <cell r="K885" t="str">
            <v>EMON</v>
          </cell>
          <cell r="M885" t="str">
            <v>M</v>
          </cell>
          <cell r="AB885" t="str">
            <v>serum</v>
          </cell>
          <cell r="AF885">
            <v>2</v>
          </cell>
        </row>
        <row r="886">
          <cell r="A886" t="str">
            <v>IS_alqt_plus</v>
          </cell>
          <cell r="K886" t="str">
            <v>EFLA</v>
          </cell>
          <cell r="M886" t="str">
            <v>F</v>
          </cell>
          <cell r="AB886" t="str">
            <v>WB</v>
          </cell>
          <cell r="AF886">
            <v>0.55000000000000004</v>
          </cell>
        </row>
        <row r="887">
          <cell r="A887" t="str">
            <v>gone</v>
          </cell>
          <cell r="K887" t="str">
            <v>VRUB</v>
          </cell>
          <cell r="M887" t="str">
            <v>F</v>
          </cell>
          <cell r="AB887" t="str">
            <v>WB</v>
          </cell>
          <cell r="AF887">
            <v>0</v>
          </cell>
        </row>
        <row r="888">
          <cell r="A888" t="str">
            <v>IS_alqt_plus</v>
          </cell>
          <cell r="K888" t="str">
            <v>VRUB</v>
          </cell>
          <cell r="M888" t="str">
            <v>F</v>
          </cell>
          <cell r="AB888" t="str">
            <v>WB</v>
          </cell>
          <cell r="AF888">
            <v>0.9</v>
          </cell>
        </row>
        <row r="889">
          <cell r="A889" t="str">
            <v>IS_alqt_plus</v>
          </cell>
          <cell r="K889" t="str">
            <v>ERUB</v>
          </cell>
          <cell r="M889" t="str">
            <v>F</v>
          </cell>
          <cell r="AB889" t="str">
            <v>WB</v>
          </cell>
          <cell r="AF889">
            <v>0.2</v>
          </cell>
        </row>
        <row r="890">
          <cell r="A890" t="str">
            <v>IS_alqt_minus</v>
          </cell>
          <cell r="K890" t="str">
            <v>ERUB</v>
          </cell>
          <cell r="M890" t="str">
            <v>F</v>
          </cell>
          <cell r="AB890" t="str">
            <v>WB</v>
          </cell>
          <cell r="AF890">
            <v>0.15</v>
          </cell>
        </row>
        <row r="891">
          <cell r="A891" t="str">
            <v>IS_alqt_plus</v>
          </cell>
          <cell r="K891" t="str">
            <v>ERUB</v>
          </cell>
          <cell r="M891" t="str">
            <v>F</v>
          </cell>
          <cell r="AB891" t="str">
            <v>WB</v>
          </cell>
          <cell r="AF891">
            <v>0.2</v>
          </cell>
        </row>
        <row r="892">
          <cell r="A892" t="str">
            <v>IS_alqt_plus</v>
          </cell>
          <cell r="K892" t="str">
            <v>ERUB</v>
          </cell>
          <cell r="M892" t="str">
            <v>F</v>
          </cell>
          <cell r="AB892" t="str">
            <v>WB</v>
          </cell>
          <cell r="AF892">
            <v>0.2</v>
          </cell>
        </row>
        <row r="893">
          <cell r="A893" t="str">
            <v>IS_alqt_plus</v>
          </cell>
          <cell r="K893" t="str">
            <v>ERUB</v>
          </cell>
          <cell r="M893" t="str">
            <v>F</v>
          </cell>
          <cell r="AB893" t="str">
            <v>WB</v>
          </cell>
          <cell r="AF893">
            <v>0.2</v>
          </cell>
        </row>
        <row r="894">
          <cell r="A894" t="str">
            <v>IS_alqt_plus</v>
          </cell>
          <cell r="K894" t="str">
            <v>ERUB</v>
          </cell>
          <cell r="M894" t="str">
            <v>F</v>
          </cell>
          <cell r="AB894" t="str">
            <v>serum</v>
          </cell>
          <cell r="AF894">
            <v>0.2</v>
          </cell>
        </row>
        <row r="895">
          <cell r="A895" t="str">
            <v>IS_alqt_plus</v>
          </cell>
          <cell r="K895" t="str">
            <v>PCOQ</v>
          </cell>
          <cell r="M895" t="str">
            <v>M</v>
          </cell>
          <cell r="AB895" t="str">
            <v>serum</v>
          </cell>
          <cell r="AF895">
            <v>0.4</v>
          </cell>
        </row>
        <row r="896">
          <cell r="A896" t="str">
            <v>IS_alqt_plus</v>
          </cell>
          <cell r="K896" t="str">
            <v>PCOQ</v>
          </cell>
          <cell r="M896" t="str">
            <v>M</v>
          </cell>
          <cell r="AB896" t="str">
            <v>serum</v>
          </cell>
          <cell r="AF896">
            <v>1.8</v>
          </cell>
        </row>
        <row r="897">
          <cell r="A897" t="str">
            <v>gone</v>
          </cell>
          <cell r="K897" t="str">
            <v>EMAC</v>
          </cell>
          <cell r="M897" t="str">
            <v>F</v>
          </cell>
          <cell r="AB897" t="str">
            <v>WB</v>
          </cell>
          <cell r="AF897">
            <v>0</v>
          </cell>
        </row>
        <row r="898">
          <cell r="A898" t="str">
            <v>gone</v>
          </cell>
          <cell r="K898" t="str">
            <v>EMAC</v>
          </cell>
          <cell r="M898" t="str">
            <v>F</v>
          </cell>
          <cell r="AB898" t="str">
            <v>WB</v>
          </cell>
          <cell r="AF898">
            <v>0</v>
          </cell>
        </row>
        <row r="899">
          <cell r="A899" t="str">
            <v>IS_alqt_plus</v>
          </cell>
          <cell r="K899" t="str">
            <v>EMAC</v>
          </cell>
          <cell r="M899" t="str">
            <v>F</v>
          </cell>
          <cell r="AB899" t="str">
            <v>WB</v>
          </cell>
          <cell r="AF899">
            <v>0.45</v>
          </cell>
        </row>
        <row r="900">
          <cell r="A900" t="str">
            <v>gone</v>
          </cell>
          <cell r="K900" t="str">
            <v>EMAC</v>
          </cell>
          <cell r="M900" t="str">
            <v>F</v>
          </cell>
          <cell r="AB900" t="str">
            <v>WB</v>
          </cell>
          <cell r="AF900">
            <v>0</v>
          </cell>
        </row>
        <row r="901">
          <cell r="A901" t="str">
            <v>gone</v>
          </cell>
          <cell r="K901" t="str">
            <v>ECOR</v>
          </cell>
          <cell r="M901" t="str">
            <v>M</v>
          </cell>
          <cell r="AB901" t="str">
            <v>WB</v>
          </cell>
          <cell r="AF901">
            <v>0</v>
          </cell>
        </row>
        <row r="902">
          <cell r="A902" t="str">
            <v>IS_alqt_plus</v>
          </cell>
          <cell r="K902" t="str">
            <v>ECOR</v>
          </cell>
          <cell r="M902" t="str">
            <v>F</v>
          </cell>
          <cell r="AB902" t="str">
            <v>WB</v>
          </cell>
          <cell r="AF902">
            <v>1.1000000000000001</v>
          </cell>
        </row>
        <row r="903">
          <cell r="A903" t="str">
            <v>gone</v>
          </cell>
          <cell r="K903" t="str">
            <v>ESAN</v>
          </cell>
          <cell r="M903" t="str">
            <v>F</v>
          </cell>
          <cell r="AB903" t="str">
            <v>WB</v>
          </cell>
          <cell r="AF903">
            <v>0</v>
          </cell>
        </row>
        <row r="904">
          <cell r="A904" t="str">
            <v>IS_alqt_plus</v>
          </cell>
          <cell r="K904" t="str">
            <v>EALB</v>
          </cell>
          <cell r="M904" t="str">
            <v>M</v>
          </cell>
          <cell r="AB904" t="str">
            <v>serum</v>
          </cell>
          <cell r="AF904">
            <v>1.8</v>
          </cell>
        </row>
        <row r="905">
          <cell r="A905" t="str">
            <v>IS_alqt_plus</v>
          </cell>
          <cell r="K905" t="str">
            <v>HGG</v>
          </cell>
          <cell r="M905" t="str">
            <v>F</v>
          </cell>
          <cell r="AB905" t="str">
            <v>serum</v>
          </cell>
          <cell r="AF905">
            <v>0.3</v>
          </cell>
        </row>
        <row r="906">
          <cell r="A906" t="str">
            <v>IS_alqt_plus</v>
          </cell>
          <cell r="K906" t="str">
            <v>HGG</v>
          </cell>
          <cell r="M906" t="str">
            <v>M</v>
          </cell>
          <cell r="AB906" t="str">
            <v>serum</v>
          </cell>
          <cell r="AF906">
            <v>0.5</v>
          </cell>
        </row>
        <row r="907">
          <cell r="A907" t="str">
            <v>IS_alqt_plus</v>
          </cell>
          <cell r="K907" t="str">
            <v>ESAN</v>
          </cell>
          <cell r="M907" t="str">
            <v>F</v>
          </cell>
          <cell r="AB907" t="str">
            <v>serum</v>
          </cell>
          <cell r="AF907">
            <v>0.75</v>
          </cell>
        </row>
        <row r="908">
          <cell r="A908" t="str">
            <v>gone</v>
          </cell>
          <cell r="K908" t="str">
            <v>ECOR</v>
          </cell>
          <cell r="M908" t="str">
            <v>F</v>
          </cell>
          <cell r="AB908" t="str">
            <v>WB</v>
          </cell>
          <cell r="AF908">
            <v>0</v>
          </cell>
        </row>
        <row r="909">
          <cell r="A909" t="str">
            <v>IS_alqt_plus</v>
          </cell>
          <cell r="K909" t="str">
            <v>ECOR</v>
          </cell>
          <cell r="M909" t="str">
            <v>F</v>
          </cell>
          <cell r="AB909" t="str">
            <v>WB</v>
          </cell>
          <cell r="AF909">
            <v>0.75</v>
          </cell>
        </row>
        <row r="910">
          <cell r="A910" t="str">
            <v>gone</v>
          </cell>
          <cell r="K910" t="str">
            <v>ECOR</v>
          </cell>
          <cell r="M910" t="str">
            <v>M</v>
          </cell>
          <cell r="AB910" t="str">
            <v>WB</v>
          </cell>
          <cell r="AF910">
            <v>0</v>
          </cell>
        </row>
        <row r="911">
          <cell r="A911" t="str">
            <v>IS_alqt_plus</v>
          </cell>
          <cell r="K911" t="str">
            <v>ECOR</v>
          </cell>
          <cell r="M911" t="str">
            <v>M</v>
          </cell>
          <cell r="AB911" t="str">
            <v>serum</v>
          </cell>
          <cell r="AF911">
            <v>1</v>
          </cell>
        </row>
        <row r="912">
          <cell r="A912" t="str">
            <v>IS_alqt_plus</v>
          </cell>
          <cell r="K912" t="str">
            <v>VRUB</v>
          </cell>
          <cell r="M912" t="str">
            <v>M</v>
          </cell>
          <cell r="AB912" t="str">
            <v>serum</v>
          </cell>
          <cell r="AF912">
            <v>0.35</v>
          </cell>
        </row>
        <row r="913">
          <cell r="A913" t="str">
            <v>IS_alqt_plus</v>
          </cell>
          <cell r="K913" t="str">
            <v>EFUL</v>
          </cell>
          <cell r="M913" t="str">
            <v>M</v>
          </cell>
          <cell r="AB913" t="str">
            <v>WB</v>
          </cell>
          <cell r="AF913">
            <v>0.2</v>
          </cell>
        </row>
        <row r="914">
          <cell r="A914" t="str">
            <v>IS_alqt_plus</v>
          </cell>
          <cell r="K914" t="str">
            <v>EFUL</v>
          </cell>
          <cell r="M914" t="str">
            <v>M</v>
          </cell>
          <cell r="AB914" t="str">
            <v>WB</v>
          </cell>
          <cell r="AF914">
            <v>0.2</v>
          </cell>
        </row>
        <row r="915">
          <cell r="A915" t="str">
            <v>IS_alqt_minus</v>
          </cell>
          <cell r="K915" t="str">
            <v>EFUL</v>
          </cell>
          <cell r="M915" t="str">
            <v>M</v>
          </cell>
          <cell r="AB915" t="str">
            <v>WB</v>
          </cell>
          <cell r="AF915">
            <v>0.1</v>
          </cell>
        </row>
        <row r="916">
          <cell r="A916" t="str">
            <v>IS_alqt_plus</v>
          </cell>
          <cell r="K916" t="str">
            <v>EFUL</v>
          </cell>
          <cell r="M916" t="str">
            <v>M</v>
          </cell>
          <cell r="AB916" t="str">
            <v>WB</v>
          </cell>
          <cell r="AF916">
            <v>0.2</v>
          </cell>
        </row>
        <row r="917">
          <cell r="A917" t="str">
            <v>IS_alqt_plus</v>
          </cell>
          <cell r="K917" t="str">
            <v>EFUL</v>
          </cell>
          <cell r="M917" t="str">
            <v>M</v>
          </cell>
          <cell r="AB917" t="str">
            <v>WB</v>
          </cell>
          <cell r="AF917">
            <v>0.2</v>
          </cell>
        </row>
        <row r="918">
          <cell r="A918" t="str">
            <v>IS_alqt_plus</v>
          </cell>
          <cell r="K918" t="str">
            <v>EFUL</v>
          </cell>
          <cell r="M918" t="str">
            <v>M</v>
          </cell>
          <cell r="AB918" t="str">
            <v>WB</v>
          </cell>
          <cell r="AF918">
            <v>0.3</v>
          </cell>
        </row>
        <row r="919">
          <cell r="A919" t="str">
            <v>IS_alqt_plus</v>
          </cell>
          <cell r="K919" t="str">
            <v>EFUL</v>
          </cell>
          <cell r="M919" t="str">
            <v>F</v>
          </cell>
          <cell r="AB919" t="str">
            <v>WB</v>
          </cell>
          <cell r="AF919">
            <v>0.6</v>
          </cell>
        </row>
        <row r="920">
          <cell r="A920" t="str">
            <v>IS_alqt_plus</v>
          </cell>
          <cell r="K920" t="str">
            <v>EMON</v>
          </cell>
          <cell r="M920" t="str">
            <v>M</v>
          </cell>
          <cell r="AB920" t="str">
            <v>serum</v>
          </cell>
          <cell r="AF920">
            <v>1</v>
          </cell>
        </row>
        <row r="921">
          <cell r="A921" t="str">
            <v>IS_alqt_plus</v>
          </cell>
          <cell r="K921" t="str">
            <v>ERUF</v>
          </cell>
          <cell r="M921" t="str">
            <v>M</v>
          </cell>
          <cell r="AB921" t="str">
            <v>WB</v>
          </cell>
          <cell r="AF921">
            <v>1</v>
          </cell>
        </row>
        <row r="922">
          <cell r="A922" t="str">
            <v>gone</v>
          </cell>
          <cell r="K922" t="str">
            <v>HGG</v>
          </cell>
          <cell r="M922" t="str">
            <v>F</v>
          </cell>
          <cell r="AB922" t="str">
            <v>WB</v>
          </cell>
          <cell r="AF922">
            <v>0</v>
          </cell>
        </row>
        <row r="923">
          <cell r="A923" t="str">
            <v>IS_alqt_plus</v>
          </cell>
          <cell r="K923" t="str">
            <v>HGG</v>
          </cell>
          <cell r="M923" t="str">
            <v>F</v>
          </cell>
          <cell r="AB923" t="str">
            <v>WB</v>
          </cell>
          <cell r="AF923">
            <v>0.2</v>
          </cell>
        </row>
        <row r="924">
          <cell r="A924" t="str">
            <v>IS_alqt_plus</v>
          </cell>
          <cell r="K924" t="str">
            <v>EFUL</v>
          </cell>
          <cell r="M924" t="str">
            <v>M</v>
          </cell>
          <cell r="AB924" t="str">
            <v>serum</v>
          </cell>
          <cell r="AF924">
            <v>0.75</v>
          </cell>
        </row>
        <row r="925">
          <cell r="A925" t="str">
            <v>IS_alqt_plus</v>
          </cell>
          <cell r="K925" t="str">
            <v>EFUL</v>
          </cell>
          <cell r="M925" t="str">
            <v>F</v>
          </cell>
          <cell r="AB925" t="str">
            <v>serum</v>
          </cell>
          <cell r="AF925">
            <v>1.2</v>
          </cell>
        </row>
        <row r="926">
          <cell r="A926" t="str">
            <v>IS_alqt_plus</v>
          </cell>
          <cell r="K926" t="str">
            <v>ERUF</v>
          </cell>
          <cell r="M926" t="str">
            <v>M</v>
          </cell>
          <cell r="AB926" t="str">
            <v>serum</v>
          </cell>
          <cell r="AF926">
            <v>0.75</v>
          </cell>
        </row>
        <row r="927">
          <cell r="A927" t="str">
            <v>IS_alqt_plus</v>
          </cell>
          <cell r="K927" t="str">
            <v>HGG</v>
          </cell>
          <cell r="M927" t="str">
            <v>F</v>
          </cell>
          <cell r="AB927" t="str">
            <v>serum</v>
          </cell>
          <cell r="AF927">
            <v>0.8</v>
          </cell>
        </row>
        <row r="928">
          <cell r="A928" t="str">
            <v>IS_alqt_plus</v>
          </cell>
          <cell r="K928" t="str">
            <v>LCAT</v>
          </cell>
          <cell r="M928" t="str">
            <v>F</v>
          </cell>
          <cell r="AB928" t="str">
            <v>WB</v>
          </cell>
          <cell r="AF928">
            <v>1.3</v>
          </cell>
        </row>
        <row r="929">
          <cell r="A929" t="str">
            <v>IS_alqt_plus</v>
          </cell>
          <cell r="K929" t="str">
            <v>EMON</v>
          </cell>
          <cell r="M929" t="str">
            <v>F</v>
          </cell>
          <cell r="AB929" t="str">
            <v>serum</v>
          </cell>
          <cell r="AF929">
            <v>1</v>
          </cell>
        </row>
        <row r="930">
          <cell r="A930" t="str">
            <v>IS_alqt_plus</v>
          </cell>
          <cell r="K930" t="str">
            <v>EMON</v>
          </cell>
          <cell r="M930" t="str">
            <v>F</v>
          </cell>
          <cell r="AB930" t="str">
            <v>serum</v>
          </cell>
          <cell r="AF930">
            <v>1.2</v>
          </cell>
        </row>
        <row r="931">
          <cell r="A931" t="str">
            <v>IS_alqt_plus</v>
          </cell>
          <cell r="K931" t="str">
            <v>EMON</v>
          </cell>
          <cell r="M931" t="str">
            <v>F</v>
          </cell>
          <cell r="AB931" t="str">
            <v>serum</v>
          </cell>
          <cell r="AF931">
            <v>1.1000000000000001</v>
          </cell>
        </row>
        <row r="932">
          <cell r="A932" t="str">
            <v>IS_alqt_plus</v>
          </cell>
          <cell r="K932" t="str">
            <v>EMON</v>
          </cell>
          <cell r="M932" t="str">
            <v>M</v>
          </cell>
          <cell r="AB932" t="str">
            <v>serum</v>
          </cell>
          <cell r="AF932">
            <v>1.5</v>
          </cell>
        </row>
        <row r="933">
          <cell r="A933" t="str">
            <v>IS_alqt_plus</v>
          </cell>
          <cell r="K933" t="str">
            <v>EMON</v>
          </cell>
          <cell r="M933" t="str">
            <v>F</v>
          </cell>
          <cell r="AB933" t="str">
            <v>serum</v>
          </cell>
          <cell r="AF933">
            <v>1.5</v>
          </cell>
        </row>
        <row r="934">
          <cell r="A934" t="str">
            <v>gone</v>
          </cell>
          <cell r="K934" t="str">
            <v>HGG</v>
          </cell>
          <cell r="M934" t="str">
            <v>M</v>
          </cell>
          <cell r="AB934" t="str">
            <v>WB</v>
          </cell>
          <cell r="AF934">
            <v>0</v>
          </cell>
        </row>
        <row r="935">
          <cell r="A935" t="str">
            <v>IS_alqt_plus</v>
          </cell>
          <cell r="K935" t="str">
            <v>EUL</v>
          </cell>
          <cell r="M935" t="str">
            <v>M</v>
          </cell>
          <cell r="AB935" t="str">
            <v>WB</v>
          </cell>
          <cell r="AF935">
            <v>0.65</v>
          </cell>
        </row>
        <row r="936">
          <cell r="A936" t="str">
            <v>gone</v>
          </cell>
          <cell r="K936" t="str">
            <v>ECOL</v>
          </cell>
          <cell r="M936" t="str">
            <v>F</v>
          </cell>
          <cell r="AB936" t="str">
            <v>WB</v>
          </cell>
          <cell r="AF936">
            <v>0</v>
          </cell>
        </row>
        <row r="937">
          <cell r="A937" t="str">
            <v>IS_alqt_plus</v>
          </cell>
          <cell r="K937" t="str">
            <v>EUL</v>
          </cell>
          <cell r="M937" t="str">
            <v>M</v>
          </cell>
          <cell r="AB937" t="str">
            <v>WB</v>
          </cell>
          <cell r="AF937">
            <v>1.2</v>
          </cell>
        </row>
        <row r="938">
          <cell r="A938" t="str">
            <v>IS_alqt_plus</v>
          </cell>
          <cell r="K938" t="str">
            <v>HGG</v>
          </cell>
          <cell r="M938" t="str">
            <v>M</v>
          </cell>
          <cell r="AB938" t="str">
            <v>serum</v>
          </cell>
          <cell r="AF938">
            <v>1</v>
          </cell>
        </row>
        <row r="939">
          <cell r="A939" t="str">
            <v>IS_alqt_plus</v>
          </cell>
          <cell r="K939" t="str">
            <v>EUL</v>
          </cell>
          <cell r="M939" t="str">
            <v>M</v>
          </cell>
          <cell r="AB939" t="str">
            <v>serum</v>
          </cell>
          <cell r="AF939">
            <v>0.4</v>
          </cell>
        </row>
        <row r="940">
          <cell r="A940" t="str">
            <v>IS_alqt_plus</v>
          </cell>
          <cell r="K940" t="str">
            <v>ERUF</v>
          </cell>
          <cell r="M940" t="str">
            <v>M</v>
          </cell>
          <cell r="AB940" t="str">
            <v>serum</v>
          </cell>
          <cell r="AF940">
            <v>0.5</v>
          </cell>
        </row>
        <row r="941">
          <cell r="A941" t="str">
            <v>IS_alqt_plus</v>
          </cell>
          <cell r="K941" t="str">
            <v>HGG</v>
          </cell>
          <cell r="M941" t="str">
            <v>F</v>
          </cell>
          <cell r="AB941" t="str">
            <v>serum</v>
          </cell>
          <cell r="AF941">
            <v>0.5</v>
          </cell>
        </row>
        <row r="942">
          <cell r="A942" t="str">
            <v>IS_alqt_plus</v>
          </cell>
          <cell r="K942" t="str">
            <v>EUL</v>
          </cell>
          <cell r="M942" t="str">
            <v>M</v>
          </cell>
          <cell r="AB942" t="str">
            <v>serum</v>
          </cell>
          <cell r="AF942">
            <v>2</v>
          </cell>
        </row>
        <row r="943">
          <cell r="A943" t="str">
            <v>IS_alqt_plus</v>
          </cell>
          <cell r="K943" t="str">
            <v>ESAN</v>
          </cell>
          <cell r="M943" t="str">
            <v>M</v>
          </cell>
          <cell r="AB943" t="str">
            <v>serum</v>
          </cell>
          <cell r="AF943">
            <v>0.75</v>
          </cell>
        </row>
        <row r="944">
          <cell r="A944" t="str">
            <v>IS_alqt_plus</v>
          </cell>
          <cell r="K944" t="str">
            <v>EMON</v>
          </cell>
          <cell r="M944" t="str">
            <v>M</v>
          </cell>
          <cell r="AB944" t="str">
            <v>serum</v>
          </cell>
          <cell r="AF944">
            <v>0.4</v>
          </cell>
        </row>
        <row r="945">
          <cell r="A945" t="str">
            <v>IS_alqt_plus</v>
          </cell>
          <cell r="K945" t="str">
            <v>ECOL</v>
          </cell>
          <cell r="M945" t="str">
            <v>M</v>
          </cell>
          <cell r="AB945" t="str">
            <v>serum</v>
          </cell>
          <cell r="AF945">
            <v>0.8</v>
          </cell>
        </row>
        <row r="946">
          <cell r="A946" t="str">
            <v>gone</v>
          </cell>
          <cell r="K946" t="str">
            <v>EFLA</v>
          </cell>
          <cell r="M946" t="str">
            <v>M</v>
          </cell>
          <cell r="AB946" t="str">
            <v>WB</v>
          </cell>
          <cell r="AF946">
            <v>0</v>
          </cell>
        </row>
        <row r="947">
          <cell r="A947" t="str">
            <v>IS_alqt_plus</v>
          </cell>
          <cell r="K947" t="str">
            <v>EFLA</v>
          </cell>
          <cell r="M947" t="str">
            <v>F</v>
          </cell>
          <cell r="AB947" t="str">
            <v>WB</v>
          </cell>
          <cell r="AF947">
            <v>1.3</v>
          </cell>
        </row>
        <row r="948">
          <cell r="A948" t="str">
            <v>IS_alqt_plus</v>
          </cell>
          <cell r="K948" t="str">
            <v>LCAT</v>
          </cell>
          <cell r="M948" t="str">
            <v>F</v>
          </cell>
          <cell r="AB948" t="str">
            <v>serum</v>
          </cell>
          <cell r="AF948">
            <v>1.5</v>
          </cell>
        </row>
        <row r="949">
          <cell r="A949" t="str">
            <v>IS_alqt_plus</v>
          </cell>
          <cell r="K949" t="str">
            <v>ERUF</v>
          </cell>
          <cell r="M949" t="str">
            <v>F</v>
          </cell>
          <cell r="AB949" t="str">
            <v>WB</v>
          </cell>
          <cell r="AF949">
            <v>1</v>
          </cell>
        </row>
        <row r="950">
          <cell r="A950" t="str">
            <v>IS_alqt_plus</v>
          </cell>
          <cell r="K950" t="str">
            <v>ERUF</v>
          </cell>
          <cell r="M950" t="str">
            <v>M</v>
          </cell>
          <cell r="AB950" t="str">
            <v>WB</v>
          </cell>
          <cell r="AF950">
            <v>0.2</v>
          </cell>
        </row>
        <row r="951">
          <cell r="A951" t="str">
            <v>IS_alqt_plus</v>
          </cell>
          <cell r="K951" t="str">
            <v>ERUF</v>
          </cell>
          <cell r="M951" t="str">
            <v>M</v>
          </cell>
          <cell r="AB951" t="str">
            <v>WB</v>
          </cell>
          <cell r="AF951">
            <v>0.2</v>
          </cell>
        </row>
        <row r="952">
          <cell r="A952" t="str">
            <v>IS_alqt_plus</v>
          </cell>
          <cell r="K952" t="str">
            <v>ERUF</v>
          </cell>
          <cell r="M952" t="str">
            <v>M</v>
          </cell>
          <cell r="AB952" t="str">
            <v>WB</v>
          </cell>
          <cell r="AF952">
            <v>0.2</v>
          </cell>
        </row>
        <row r="953">
          <cell r="A953" t="str">
            <v>IS_alqt_plus</v>
          </cell>
          <cell r="K953" t="str">
            <v>ERUF</v>
          </cell>
          <cell r="M953" t="str">
            <v>M</v>
          </cell>
          <cell r="AB953" t="str">
            <v>WB</v>
          </cell>
          <cell r="AF953">
            <v>0.2</v>
          </cell>
        </row>
        <row r="954">
          <cell r="A954" t="str">
            <v>IS_alqt_plus</v>
          </cell>
          <cell r="K954" t="str">
            <v>ERUF</v>
          </cell>
          <cell r="M954" t="str">
            <v>M</v>
          </cell>
          <cell r="AB954" t="str">
            <v>WB</v>
          </cell>
          <cell r="AF954">
            <v>0.2</v>
          </cell>
        </row>
        <row r="955">
          <cell r="A955" t="str">
            <v>IS_alqt_plus</v>
          </cell>
          <cell r="K955" t="str">
            <v>ESAN</v>
          </cell>
          <cell r="M955" t="str">
            <v>F</v>
          </cell>
          <cell r="AB955" t="str">
            <v>WB</v>
          </cell>
          <cell r="AF955">
            <v>1.3</v>
          </cell>
        </row>
        <row r="956">
          <cell r="A956" t="str">
            <v>gone</v>
          </cell>
          <cell r="K956" t="str">
            <v>ESAN</v>
          </cell>
          <cell r="M956" t="str">
            <v>M</v>
          </cell>
          <cell r="AB956" t="str">
            <v>WB</v>
          </cell>
          <cell r="AF956">
            <v>0</v>
          </cell>
        </row>
        <row r="957">
          <cell r="A957" t="str">
            <v>IS_alqt_plus</v>
          </cell>
          <cell r="K957" t="str">
            <v>ESAN</v>
          </cell>
          <cell r="M957" t="str">
            <v>M</v>
          </cell>
          <cell r="AB957" t="str">
            <v>WB</v>
          </cell>
          <cell r="AF957">
            <v>0.2</v>
          </cell>
        </row>
        <row r="958">
          <cell r="A958" t="str">
            <v>IS_alqt_plus</v>
          </cell>
          <cell r="K958" t="str">
            <v>ESAN</v>
          </cell>
          <cell r="M958" t="str">
            <v>M</v>
          </cell>
          <cell r="AB958" t="str">
            <v>WB</v>
          </cell>
          <cell r="AF958">
            <v>0.2</v>
          </cell>
        </row>
        <row r="959">
          <cell r="A959" t="str">
            <v>IS_alqt_plus</v>
          </cell>
          <cell r="K959" t="str">
            <v>ERUF</v>
          </cell>
          <cell r="M959" t="str">
            <v>M</v>
          </cell>
          <cell r="AB959" t="str">
            <v>serum</v>
          </cell>
          <cell r="AF959">
            <v>1.8</v>
          </cell>
        </row>
        <row r="960">
          <cell r="A960" t="str">
            <v>IS_alqt_plus</v>
          </cell>
          <cell r="K960" t="str">
            <v>ESAN</v>
          </cell>
          <cell r="M960" t="str">
            <v>F</v>
          </cell>
          <cell r="AB960" t="str">
            <v>serum</v>
          </cell>
          <cell r="AF960">
            <v>2</v>
          </cell>
        </row>
        <row r="961">
          <cell r="A961" t="str">
            <v>IS_alqt_plus</v>
          </cell>
          <cell r="K961" t="str">
            <v>ESAN</v>
          </cell>
          <cell r="M961" t="str">
            <v>F</v>
          </cell>
          <cell r="AB961" t="str">
            <v>serum</v>
          </cell>
          <cell r="AF961">
            <v>1.3</v>
          </cell>
        </row>
        <row r="962">
          <cell r="A962" t="str">
            <v>IS_alqt_plus</v>
          </cell>
          <cell r="K962" t="str">
            <v>ESAN</v>
          </cell>
          <cell r="M962" t="str">
            <v>F</v>
          </cell>
          <cell r="AB962" t="str">
            <v>serum</v>
          </cell>
          <cell r="AF962">
            <v>2</v>
          </cell>
        </row>
        <row r="963">
          <cell r="A963" t="str">
            <v>IS_alqt_plus</v>
          </cell>
          <cell r="K963" t="str">
            <v>ESAN</v>
          </cell>
          <cell r="M963" t="str">
            <v>M</v>
          </cell>
          <cell r="AB963" t="str">
            <v>serum</v>
          </cell>
          <cell r="AF963">
            <v>0.75</v>
          </cell>
        </row>
        <row r="964">
          <cell r="A964" t="str">
            <v>IS_alqt_plus</v>
          </cell>
          <cell r="K964" t="str">
            <v>ECOR</v>
          </cell>
          <cell r="M964" t="str">
            <v>F</v>
          </cell>
          <cell r="AB964" t="str">
            <v>WB</v>
          </cell>
          <cell r="AF964">
            <v>0.6</v>
          </cell>
        </row>
        <row r="965">
          <cell r="A965" t="str">
            <v>IS_alqt_plus</v>
          </cell>
          <cell r="K965" t="str">
            <v>EMON</v>
          </cell>
          <cell r="M965" t="str">
            <v>M</v>
          </cell>
          <cell r="AB965" t="str">
            <v>serum</v>
          </cell>
          <cell r="AF965">
            <v>1.1000000000000001</v>
          </cell>
        </row>
        <row r="966">
          <cell r="A966" t="str">
            <v>IS_alqt_plus</v>
          </cell>
          <cell r="K966" t="str">
            <v>EMON</v>
          </cell>
          <cell r="M966" t="str">
            <v>M</v>
          </cell>
          <cell r="AB966" t="str">
            <v>serum</v>
          </cell>
          <cell r="AF966">
            <v>0.4</v>
          </cell>
        </row>
        <row r="967">
          <cell r="A967" t="str">
            <v>IS_alqt_plus</v>
          </cell>
          <cell r="K967" t="str">
            <v>EMON</v>
          </cell>
          <cell r="M967" t="str">
            <v>F</v>
          </cell>
          <cell r="AB967" t="str">
            <v>serum</v>
          </cell>
          <cell r="AF967">
            <v>1.5</v>
          </cell>
        </row>
        <row r="968">
          <cell r="A968" t="str">
            <v>IS_alqt_plus</v>
          </cell>
          <cell r="K968" t="str">
            <v>EMON</v>
          </cell>
          <cell r="M968" t="str">
            <v>F</v>
          </cell>
          <cell r="AB968" t="str">
            <v>serum</v>
          </cell>
          <cell r="AF968">
            <v>1</v>
          </cell>
        </row>
        <row r="969">
          <cell r="A969" t="str">
            <v>IS_alqt_plus</v>
          </cell>
          <cell r="K969" t="str">
            <v>EMON</v>
          </cell>
          <cell r="M969" t="str">
            <v>F</v>
          </cell>
          <cell r="AB969" t="str">
            <v>serum</v>
          </cell>
          <cell r="AF969">
            <v>1.6</v>
          </cell>
        </row>
        <row r="970">
          <cell r="A970" t="str">
            <v>IS_alqt_plus</v>
          </cell>
          <cell r="K970" t="str">
            <v>EMON</v>
          </cell>
          <cell r="M970" t="str">
            <v>F</v>
          </cell>
          <cell r="AB970" t="str">
            <v>serum</v>
          </cell>
          <cell r="AF970">
            <v>1</v>
          </cell>
        </row>
        <row r="971">
          <cell r="A971" t="str">
            <v>IS_alqt_plus</v>
          </cell>
          <cell r="K971" t="str">
            <v>ECOR</v>
          </cell>
          <cell r="M971" t="str">
            <v>F</v>
          </cell>
          <cell r="AB971" t="str">
            <v>serum</v>
          </cell>
          <cell r="AF971">
            <v>0.7</v>
          </cell>
        </row>
        <row r="972">
          <cell r="A972" t="str">
            <v>IS_alqt_plus</v>
          </cell>
          <cell r="K972" t="str">
            <v>EMON</v>
          </cell>
          <cell r="M972" t="str">
            <v>F</v>
          </cell>
          <cell r="AB972" t="str">
            <v>serum</v>
          </cell>
          <cell r="AF972">
            <v>1.5</v>
          </cell>
        </row>
        <row r="973">
          <cell r="A973" t="str">
            <v>gone</v>
          </cell>
          <cell r="K973" t="str">
            <v>ECOL</v>
          </cell>
          <cell r="M973" t="str">
            <v>M</v>
          </cell>
          <cell r="AB973" t="str">
            <v>WB</v>
          </cell>
          <cell r="AF973">
            <v>0</v>
          </cell>
        </row>
        <row r="974">
          <cell r="A974" t="str">
            <v>IS_alqt_plus</v>
          </cell>
          <cell r="K974" t="str">
            <v>ERUF</v>
          </cell>
          <cell r="M974" t="str">
            <v>M</v>
          </cell>
          <cell r="AB974" t="str">
            <v>WB</v>
          </cell>
          <cell r="AF974">
            <v>1.3</v>
          </cell>
        </row>
        <row r="975">
          <cell r="A975" t="str">
            <v>IS_alqt_plus</v>
          </cell>
          <cell r="K975" t="str">
            <v>HGG</v>
          </cell>
          <cell r="M975" t="str">
            <v>F</v>
          </cell>
          <cell r="AB975" t="str">
            <v>WB</v>
          </cell>
          <cell r="AF975">
            <v>0.5</v>
          </cell>
        </row>
        <row r="976">
          <cell r="A976" t="str">
            <v>IS_alqt_plus</v>
          </cell>
          <cell r="K976" t="str">
            <v>HGG</v>
          </cell>
          <cell r="M976" t="str">
            <v>F</v>
          </cell>
          <cell r="AB976" t="str">
            <v>serum</v>
          </cell>
          <cell r="AF976">
            <v>1</v>
          </cell>
        </row>
        <row r="977">
          <cell r="A977" t="str">
            <v>IS_alqt_plus</v>
          </cell>
          <cell r="K977" t="str">
            <v>EUL</v>
          </cell>
          <cell r="M977" t="str">
            <v>F</v>
          </cell>
          <cell r="AB977" t="str">
            <v>serum</v>
          </cell>
          <cell r="AF977">
            <v>1.2</v>
          </cell>
        </row>
        <row r="978">
          <cell r="A978" t="str">
            <v>IS_alqt_plus</v>
          </cell>
          <cell r="K978" t="str">
            <v>ECOR</v>
          </cell>
          <cell r="M978" t="str">
            <v>M</v>
          </cell>
          <cell r="AB978" t="str">
            <v>serum</v>
          </cell>
          <cell r="AF978">
            <v>0.5</v>
          </cell>
        </row>
        <row r="979">
          <cell r="A979" t="str">
            <v>IS_alqt_plus</v>
          </cell>
          <cell r="K979" t="str">
            <v>ECOR</v>
          </cell>
          <cell r="M979" t="str">
            <v>M</v>
          </cell>
          <cell r="AB979" t="str">
            <v>serum</v>
          </cell>
          <cell r="AF979">
            <v>1.5</v>
          </cell>
        </row>
        <row r="980">
          <cell r="A980" t="str">
            <v>IS_alqt_plus</v>
          </cell>
          <cell r="K980" t="str">
            <v>ECOR</v>
          </cell>
          <cell r="M980" t="str">
            <v>M</v>
          </cell>
          <cell r="AB980" t="str">
            <v>serum</v>
          </cell>
          <cell r="AF980">
            <v>1.8</v>
          </cell>
        </row>
        <row r="981">
          <cell r="A981" t="str">
            <v>IS_alqt_plus</v>
          </cell>
          <cell r="K981" t="str">
            <v>LCAT</v>
          </cell>
          <cell r="M981" t="str">
            <v>F</v>
          </cell>
          <cell r="AB981" t="str">
            <v>serum</v>
          </cell>
          <cell r="AF981">
            <v>0.8</v>
          </cell>
        </row>
        <row r="982">
          <cell r="A982" t="str">
            <v>IS_alqt_plus</v>
          </cell>
          <cell r="K982" t="str">
            <v>LCAT</v>
          </cell>
          <cell r="M982" t="str">
            <v>M</v>
          </cell>
          <cell r="AB982" t="str">
            <v>serum</v>
          </cell>
          <cell r="AF982">
            <v>0.45</v>
          </cell>
        </row>
        <row r="983">
          <cell r="A983" t="str">
            <v>IS_alqt_plus</v>
          </cell>
          <cell r="K983" t="str">
            <v>LCAT</v>
          </cell>
          <cell r="M983" t="str">
            <v>M</v>
          </cell>
          <cell r="AB983" t="str">
            <v>serum</v>
          </cell>
          <cell r="AF983">
            <v>0.3</v>
          </cell>
        </row>
        <row r="984">
          <cell r="A984" t="str">
            <v>IS_alqt_plus</v>
          </cell>
          <cell r="K984" t="str">
            <v>ESAN</v>
          </cell>
          <cell r="M984" t="str">
            <v>F</v>
          </cell>
          <cell r="AB984" t="str">
            <v>serum</v>
          </cell>
          <cell r="AF984">
            <v>1.5</v>
          </cell>
        </row>
        <row r="985">
          <cell r="A985" t="str">
            <v>IS_alqt_plus</v>
          </cell>
          <cell r="K985" t="str">
            <v>MZAZ</v>
          </cell>
          <cell r="M985" t="str">
            <v>M</v>
          </cell>
          <cell r="AB985" t="str">
            <v>serum</v>
          </cell>
          <cell r="AF985">
            <v>0.3</v>
          </cell>
        </row>
        <row r="986">
          <cell r="A986" t="str">
            <v>IS_alqt_plus</v>
          </cell>
          <cell r="K986" t="str">
            <v>MZAZ</v>
          </cell>
          <cell r="M986" t="str">
            <v>F</v>
          </cell>
          <cell r="AB986" t="str">
            <v>serum</v>
          </cell>
          <cell r="AF986">
            <v>0.3</v>
          </cell>
        </row>
        <row r="987">
          <cell r="A987" t="str">
            <v>IS_alqt_plus</v>
          </cell>
          <cell r="K987" t="str">
            <v>MZAZ</v>
          </cell>
          <cell r="M987" t="str">
            <v>M</v>
          </cell>
          <cell r="AB987" t="str">
            <v>serum</v>
          </cell>
          <cell r="AF987">
            <v>0.3</v>
          </cell>
        </row>
        <row r="988">
          <cell r="A988" t="str">
            <v>IS_alqt_plus</v>
          </cell>
          <cell r="K988" t="str">
            <v>MZAZ</v>
          </cell>
          <cell r="M988" t="str">
            <v>F</v>
          </cell>
          <cell r="AB988" t="str">
            <v>serum</v>
          </cell>
          <cell r="AF988">
            <v>0.3</v>
          </cell>
        </row>
        <row r="989">
          <cell r="A989" t="str">
            <v>IS_alqt_plus</v>
          </cell>
          <cell r="K989" t="str">
            <v>MZAZ</v>
          </cell>
          <cell r="M989" t="str">
            <v>M</v>
          </cell>
          <cell r="AB989" t="str">
            <v>serum</v>
          </cell>
          <cell r="AF989">
            <v>1.6</v>
          </cell>
        </row>
        <row r="990">
          <cell r="A990" t="str">
            <v>IS_alqt_plus</v>
          </cell>
          <cell r="K990" t="str">
            <v>MZAZ</v>
          </cell>
          <cell r="M990" t="str">
            <v>M</v>
          </cell>
          <cell r="AB990" t="str">
            <v>serum</v>
          </cell>
          <cell r="AF990">
            <v>1.5</v>
          </cell>
        </row>
        <row r="991">
          <cell r="A991" t="str">
            <v>IS_alqt_plus</v>
          </cell>
          <cell r="K991" t="str">
            <v>PDIA</v>
          </cell>
          <cell r="M991" t="str">
            <v>M</v>
          </cell>
          <cell r="AB991" t="str">
            <v>serum</v>
          </cell>
          <cell r="AF991">
            <v>0.7</v>
          </cell>
        </row>
        <row r="992">
          <cell r="A992" t="str">
            <v>IS_alqt_plus</v>
          </cell>
          <cell r="K992" t="str">
            <v>NCOU</v>
          </cell>
          <cell r="M992" t="str">
            <v>M</v>
          </cell>
          <cell r="AB992" t="str">
            <v>serum</v>
          </cell>
          <cell r="AF992">
            <v>0.5</v>
          </cell>
        </row>
        <row r="993">
          <cell r="A993" t="str">
            <v>IS_alqt_plus</v>
          </cell>
          <cell r="K993" t="str">
            <v>ESAN</v>
          </cell>
          <cell r="M993" t="str">
            <v>F</v>
          </cell>
          <cell r="AB993" t="str">
            <v>serum</v>
          </cell>
          <cell r="AF993">
            <v>1</v>
          </cell>
        </row>
        <row r="994">
          <cell r="A994" t="str">
            <v>IS_alqt_plus</v>
          </cell>
          <cell r="K994" t="str">
            <v>VVV</v>
          </cell>
          <cell r="M994" t="str">
            <v>M</v>
          </cell>
          <cell r="AB994" t="str">
            <v>WB</v>
          </cell>
          <cell r="AF994">
            <v>1</v>
          </cell>
        </row>
        <row r="995">
          <cell r="A995" t="str">
            <v>IS_alqt_plus</v>
          </cell>
          <cell r="K995" t="str">
            <v>ERUF</v>
          </cell>
          <cell r="M995" t="str">
            <v>M</v>
          </cell>
          <cell r="AB995" t="str">
            <v>serum</v>
          </cell>
          <cell r="AF995">
            <v>1</v>
          </cell>
        </row>
        <row r="996">
          <cell r="A996" t="str">
            <v>IS_alqt_plus</v>
          </cell>
          <cell r="K996" t="str">
            <v>ERUF</v>
          </cell>
          <cell r="M996" t="str">
            <v>M</v>
          </cell>
          <cell r="AB996" t="str">
            <v>serum</v>
          </cell>
          <cell r="AF996">
            <v>1</v>
          </cell>
        </row>
        <row r="997">
          <cell r="A997" t="str">
            <v>gone</v>
          </cell>
          <cell r="K997" t="str">
            <v>LCAT</v>
          </cell>
          <cell r="M997" t="str">
            <v>F</v>
          </cell>
          <cell r="AB997" t="str">
            <v>WB</v>
          </cell>
          <cell r="AF997">
            <v>0</v>
          </cell>
        </row>
        <row r="998">
          <cell r="A998" t="str">
            <v>IS_alqt_plus</v>
          </cell>
          <cell r="K998" t="str">
            <v>ERUF</v>
          </cell>
          <cell r="M998" t="str">
            <v>M</v>
          </cell>
          <cell r="AB998" t="str">
            <v>WB</v>
          </cell>
          <cell r="AF998">
            <v>1.3</v>
          </cell>
        </row>
        <row r="999">
          <cell r="A999" t="str">
            <v>IS_alqt_plus</v>
          </cell>
          <cell r="K999" t="str">
            <v>LCAT</v>
          </cell>
          <cell r="M999" t="str">
            <v>M</v>
          </cell>
          <cell r="AB999" t="str">
            <v>serum</v>
          </cell>
          <cell r="AF999">
            <v>0.7</v>
          </cell>
        </row>
        <row r="1000">
          <cell r="A1000" t="str">
            <v>IS_alqt_plus</v>
          </cell>
          <cell r="K1000" t="str">
            <v>EUL</v>
          </cell>
          <cell r="M1000" t="str">
            <v>F</v>
          </cell>
          <cell r="AB1000" t="str">
            <v>serum</v>
          </cell>
          <cell r="AF1000">
            <v>1.8</v>
          </cell>
        </row>
        <row r="1001">
          <cell r="A1001" t="str">
            <v>unk</v>
          </cell>
          <cell r="K1001" t="str">
            <v>DMAD</v>
          </cell>
          <cell r="M1001" t="str">
            <v>F</v>
          </cell>
          <cell r="AB1001" t="str">
            <v>WB</v>
          </cell>
          <cell r="AF1001">
            <v>1.5</v>
          </cell>
        </row>
        <row r="1002">
          <cell r="A1002" t="str">
            <v>unk</v>
          </cell>
          <cell r="K1002" t="str">
            <v>ERUB</v>
          </cell>
          <cell r="M1002" t="str">
            <v>F</v>
          </cell>
          <cell r="AB1002" t="str">
            <v>WB</v>
          </cell>
          <cell r="AF1002">
            <v>0.5</v>
          </cell>
        </row>
        <row r="1003">
          <cell r="A1003" t="str">
            <v>unk</v>
          </cell>
          <cell r="K1003" t="str">
            <v>ECOR</v>
          </cell>
          <cell r="M1003" t="str">
            <v>M</v>
          </cell>
          <cell r="AB1003" t="str">
            <v>WB</v>
          </cell>
          <cell r="AF1003">
            <v>1</v>
          </cell>
        </row>
        <row r="1004">
          <cell r="A1004" t="str">
            <v>gone</v>
          </cell>
          <cell r="K1004" t="str">
            <v>ECOL</v>
          </cell>
          <cell r="M1004" t="str">
            <v>M</v>
          </cell>
          <cell r="AB1004" t="str">
            <v>WB</v>
          </cell>
          <cell r="AF1004">
            <v>0</v>
          </cell>
        </row>
        <row r="1005">
          <cell r="A1005" t="str">
            <v>gone</v>
          </cell>
          <cell r="K1005" t="str">
            <v>EFLA</v>
          </cell>
          <cell r="M1005" t="str">
            <v>F</v>
          </cell>
          <cell r="AB1005" t="str">
            <v>WB</v>
          </cell>
          <cell r="AF1005">
            <v>0</v>
          </cell>
        </row>
        <row r="1006">
          <cell r="A1006" t="str">
            <v>IS_alqt_plus</v>
          </cell>
          <cell r="K1006" t="str">
            <v>ESAN</v>
          </cell>
          <cell r="M1006" t="str">
            <v>M</v>
          </cell>
          <cell r="AB1006" t="str">
            <v>WB</v>
          </cell>
          <cell r="AF1006">
            <v>0.2</v>
          </cell>
        </row>
        <row r="1007">
          <cell r="A1007" t="str">
            <v>IS_alqt_plus</v>
          </cell>
          <cell r="K1007" t="str">
            <v>ESAN</v>
          </cell>
          <cell r="M1007" t="str">
            <v>M</v>
          </cell>
          <cell r="AB1007" t="str">
            <v>WB</v>
          </cell>
          <cell r="AF1007">
            <v>0.2</v>
          </cell>
        </row>
        <row r="1008">
          <cell r="A1008" t="str">
            <v>gone</v>
          </cell>
          <cell r="K1008" t="str">
            <v>ESAN</v>
          </cell>
          <cell r="M1008" t="str">
            <v>M</v>
          </cell>
          <cell r="AB1008" t="str">
            <v>WB</v>
          </cell>
          <cell r="AF1008">
            <v>0</v>
          </cell>
        </row>
        <row r="1009">
          <cell r="A1009" t="str">
            <v>gone</v>
          </cell>
          <cell r="K1009" t="str">
            <v>ESAN</v>
          </cell>
          <cell r="M1009" t="str">
            <v>M</v>
          </cell>
          <cell r="AB1009" t="str">
            <v>WB</v>
          </cell>
          <cell r="AF1009">
            <v>0</v>
          </cell>
        </row>
        <row r="1010">
          <cell r="A1010" t="str">
            <v>unk</v>
          </cell>
          <cell r="K1010" t="str">
            <v>ESAN</v>
          </cell>
          <cell r="M1010" t="str">
            <v>M</v>
          </cell>
          <cell r="AB1010" t="str">
            <v>WB</v>
          </cell>
          <cell r="AF1010">
            <v>0.2</v>
          </cell>
        </row>
        <row r="1011">
          <cell r="A1011" t="str">
            <v>IS_alqt_plus</v>
          </cell>
          <cell r="K1011" t="str">
            <v>ESAN</v>
          </cell>
          <cell r="M1011" t="str">
            <v>M</v>
          </cell>
          <cell r="AB1011" t="str">
            <v>serum</v>
          </cell>
          <cell r="AF1011">
            <v>0.75</v>
          </cell>
        </row>
        <row r="1012">
          <cell r="A1012" t="str">
            <v>IS_alqt_plus</v>
          </cell>
          <cell r="K1012" t="str">
            <v>GMOH</v>
          </cell>
          <cell r="M1012" t="str">
            <v>M</v>
          </cell>
          <cell r="AB1012" t="str">
            <v>serum</v>
          </cell>
          <cell r="AF1012">
            <v>0.75</v>
          </cell>
        </row>
        <row r="1013">
          <cell r="A1013" t="str">
            <v>IS_alqt_plus</v>
          </cell>
          <cell r="K1013" t="str">
            <v>VRUB</v>
          </cell>
          <cell r="M1013" t="str">
            <v>F</v>
          </cell>
          <cell r="AB1013" t="str">
            <v>serum</v>
          </cell>
          <cell r="AF1013">
            <v>1</v>
          </cell>
        </row>
        <row r="1014">
          <cell r="A1014" t="str">
            <v>IS_alqt_plus</v>
          </cell>
          <cell r="K1014" t="str">
            <v>NCOU</v>
          </cell>
          <cell r="M1014" t="str">
            <v>M</v>
          </cell>
          <cell r="AB1014" t="str">
            <v>serum</v>
          </cell>
          <cell r="AF1014">
            <v>0.25</v>
          </cell>
        </row>
        <row r="1015">
          <cell r="A1015" t="str">
            <v>IS_alqt_plus</v>
          </cell>
          <cell r="K1015" t="str">
            <v>LCAT</v>
          </cell>
          <cell r="M1015" t="str">
            <v>M</v>
          </cell>
          <cell r="AB1015" t="str">
            <v>WB</v>
          </cell>
          <cell r="AF1015">
            <v>0.4</v>
          </cell>
        </row>
        <row r="1016">
          <cell r="A1016" t="str">
            <v>IS_alqt_plus</v>
          </cell>
          <cell r="K1016" t="str">
            <v>LCAT</v>
          </cell>
          <cell r="M1016" t="str">
            <v>F</v>
          </cell>
          <cell r="AB1016" t="str">
            <v>WB</v>
          </cell>
          <cell r="AF1016">
            <v>0.9</v>
          </cell>
        </row>
        <row r="1017">
          <cell r="A1017" t="str">
            <v>IS_alqt_plus</v>
          </cell>
          <cell r="K1017" t="str">
            <v>LCAT</v>
          </cell>
          <cell r="M1017" t="str">
            <v>F</v>
          </cell>
          <cell r="AB1017" t="str">
            <v>WB</v>
          </cell>
          <cell r="AF1017">
            <v>1</v>
          </cell>
        </row>
        <row r="1018">
          <cell r="A1018" t="str">
            <v>IS_alqt_plus</v>
          </cell>
          <cell r="K1018" t="str">
            <v>PCOQ</v>
          </cell>
          <cell r="M1018" t="str">
            <v>F</v>
          </cell>
          <cell r="AB1018" t="str">
            <v>serum</v>
          </cell>
          <cell r="AF1018">
            <v>1.8</v>
          </cell>
        </row>
        <row r="1019">
          <cell r="A1019" t="str">
            <v>IS_alqt_plus</v>
          </cell>
          <cell r="K1019" t="str">
            <v>PCOQ</v>
          </cell>
          <cell r="M1019" t="str">
            <v>M</v>
          </cell>
          <cell r="AB1019" t="str">
            <v>plasma</v>
          </cell>
          <cell r="AF1019">
            <v>0.7</v>
          </cell>
        </row>
        <row r="1020">
          <cell r="A1020" t="str">
            <v>IS_alqt_plus</v>
          </cell>
          <cell r="K1020" t="str">
            <v>LCAT</v>
          </cell>
          <cell r="M1020" t="str">
            <v>M</v>
          </cell>
          <cell r="AB1020" t="str">
            <v>WB</v>
          </cell>
          <cell r="AF1020">
            <v>0.7</v>
          </cell>
        </row>
        <row r="1021">
          <cell r="A1021" t="str">
            <v>IS_alqt_plus</v>
          </cell>
          <cell r="K1021" t="str">
            <v>LCAT</v>
          </cell>
          <cell r="M1021" t="str">
            <v>F</v>
          </cell>
          <cell r="AB1021" t="str">
            <v>WB</v>
          </cell>
          <cell r="AF1021">
            <v>0.75</v>
          </cell>
        </row>
        <row r="1022">
          <cell r="A1022" t="str">
            <v>IS_alqt_plus</v>
          </cell>
          <cell r="K1022" t="str">
            <v>PCOQ</v>
          </cell>
          <cell r="M1022" t="str">
            <v>M</v>
          </cell>
          <cell r="AB1022" t="str">
            <v>serum</v>
          </cell>
          <cell r="AF1022">
            <v>0.7</v>
          </cell>
        </row>
        <row r="1023">
          <cell r="A1023" t="str">
            <v>IS_alqt_plus</v>
          </cell>
          <cell r="K1023" t="str">
            <v>PCOQ</v>
          </cell>
          <cell r="M1023" t="str">
            <v>F</v>
          </cell>
          <cell r="AB1023" t="str">
            <v>serum</v>
          </cell>
          <cell r="AF1023">
            <v>1</v>
          </cell>
        </row>
        <row r="1024">
          <cell r="A1024" t="str">
            <v>IS_alqt_plus</v>
          </cell>
          <cell r="K1024" t="str">
            <v>PTAT</v>
          </cell>
          <cell r="M1024" t="str">
            <v>M</v>
          </cell>
          <cell r="AB1024" t="str">
            <v>serum</v>
          </cell>
          <cell r="AF1024">
            <v>0.6</v>
          </cell>
        </row>
        <row r="1025">
          <cell r="A1025" t="str">
            <v>IS_alqt_plus</v>
          </cell>
          <cell r="K1025" t="str">
            <v>PTAT</v>
          </cell>
          <cell r="M1025" t="str">
            <v>M</v>
          </cell>
          <cell r="AB1025" t="str">
            <v>serum</v>
          </cell>
          <cell r="AF1025">
            <v>1</v>
          </cell>
        </row>
        <row r="1026">
          <cell r="A1026" t="str">
            <v>IS_alqt_plus</v>
          </cell>
          <cell r="K1026" t="str">
            <v>DMAD</v>
          </cell>
          <cell r="M1026" t="str">
            <v>F</v>
          </cell>
          <cell r="AB1026" t="str">
            <v>serum</v>
          </cell>
          <cell r="AF1026">
            <v>1.5</v>
          </cell>
        </row>
        <row r="1027">
          <cell r="A1027" t="str">
            <v>IS_alqt_plus</v>
          </cell>
          <cell r="K1027" t="str">
            <v>EMAC</v>
          </cell>
          <cell r="M1027" t="str">
            <v>F</v>
          </cell>
          <cell r="AB1027" t="str">
            <v>serum</v>
          </cell>
          <cell r="AF1027">
            <v>1.2</v>
          </cell>
        </row>
        <row r="1028">
          <cell r="A1028" t="str">
            <v>IS_alqt_plus</v>
          </cell>
          <cell r="K1028" t="str">
            <v>PCOQ</v>
          </cell>
          <cell r="M1028" t="str">
            <v>F</v>
          </cell>
          <cell r="AB1028" t="str">
            <v>serum</v>
          </cell>
          <cell r="AF1028">
            <v>1</v>
          </cell>
        </row>
        <row r="1029">
          <cell r="A1029" t="str">
            <v>IS_alqt_minus</v>
          </cell>
          <cell r="K1029" t="str">
            <v>EFLA</v>
          </cell>
          <cell r="M1029" t="str">
            <v>F</v>
          </cell>
          <cell r="AB1029" t="str">
            <v>serum</v>
          </cell>
          <cell r="AF1029">
            <v>0.1</v>
          </cell>
        </row>
        <row r="1030">
          <cell r="A1030" t="str">
            <v>IS_alqt_plus</v>
          </cell>
          <cell r="K1030" t="str">
            <v>EFLA</v>
          </cell>
          <cell r="M1030" t="str">
            <v>F</v>
          </cell>
          <cell r="AB1030" t="str">
            <v>serum</v>
          </cell>
          <cell r="AF1030">
            <v>0.2</v>
          </cell>
        </row>
        <row r="1031">
          <cell r="A1031" t="str">
            <v>IS_alqt_plus</v>
          </cell>
          <cell r="K1031" t="str">
            <v>EFLA</v>
          </cell>
          <cell r="M1031" t="str">
            <v>F</v>
          </cell>
          <cell r="AB1031" t="str">
            <v>serum</v>
          </cell>
          <cell r="AF1031">
            <v>0.2</v>
          </cell>
        </row>
        <row r="1032">
          <cell r="A1032" t="str">
            <v>IS_alqt_plus</v>
          </cell>
          <cell r="K1032" t="str">
            <v>EFLA</v>
          </cell>
          <cell r="M1032" t="str">
            <v>F</v>
          </cell>
          <cell r="AB1032" t="str">
            <v>serum</v>
          </cell>
          <cell r="AF1032">
            <v>0.2</v>
          </cell>
        </row>
        <row r="1033">
          <cell r="A1033" t="str">
            <v>IS_alqt_plus</v>
          </cell>
          <cell r="K1033" t="str">
            <v>EFLA</v>
          </cell>
          <cell r="M1033" t="str">
            <v>F</v>
          </cell>
          <cell r="AB1033" t="str">
            <v>serum</v>
          </cell>
          <cell r="AF1033">
            <v>0.2</v>
          </cell>
        </row>
        <row r="1034">
          <cell r="A1034" t="str">
            <v>IS_alqt_plus</v>
          </cell>
          <cell r="K1034" t="str">
            <v>VVV</v>
          </cell>
          <cell r="M1034" t="str">
            <v>M</v>
          </cell>
          <cell r="AB1034" t="str">
            <v>serum</v>
          </cell>
          <cell r="AF1034">
            <v>0.5</v>
          </cell>
        </row>
        <row r="1035">
          <cell r="A1035" t="str">
            <v>IS_alqt_plus</v>
          </cell>
          <cell r="K1035" t="str">
            <v>ECOL</v>
          </cell>
          <cell r="M1035" t="str">
            <v>F</v>
          </cell>
          <cell r="AB1035" t="str">
            <v>serum</v>
          </cell>
          <cell r="AF1035">
            <v>0.75</v>
          </cell>
        </row>
        <row r="1036">
          <cell r="A1036" t="str">
            <v>IS_alqt_plus</v>
          </cell>
          <cell r="K1036" t="str">
            <v>EMAC</v>
          </cell>
          <cell r="M1036" t="str">
            <v>M</v>
          </cell>
          <cell r="AB1036" t="str">
            <v>serum</v>
          </cell>
          <cell r="AF1036">
            <v>1.3</v>
          </cell>
        </row>
        <row r="1037">
          <cell r="A1037" t="str">
            <v>IS_alqt_plus</v>
          </cell>
          <cell r="K1037" t="str">
            <v>EMAC</v>
          </cell>
          <cell r="M1037" t="str">
            <v>M</v>
          </cell>
          <cell r="AB1037" t="str">
            <v>serum</v>
          </cell>
          <cell r="AF1037">
            <v>1.4</v>
          </cell>
        </row>
        <row r="1038">
          <cell r="A1038" t="str">
            <v>IS_alqt_plus</v>
          </cell>
          <cell r="K1038" t="str">
            <v>ESAN</v>
          </cell>
          <cell r="M1038" t="str">
            <v>M</v>
          </cell>
          <cell r="AB1038" t="str">
            <v>serum</v>
          </cell>
          <cell r="AF1038">
            <v>1.3</v>
          </cell>
        </row>
        <row r="1039">
          <cell r="A1039" t="str">
            <v>IS_alqt_plus</v>
          </cell>
          <cell r="K1039" t="str">
            <v>ESAN</v>
          </cell>
          <cell r="M1039" t="str">
            <v>M</v>
          </cell>
          <cell r="AB1039" t="str">
            <v>serum</v>
          </cell>
          <cell r="AF1039">
            <v>1.8</v>
          </cell>
        </row>
        <row r="1040">
          <cell r="A1040" t="str">
            <v>IS_alqt_plus</v>
          </cell>
          <cell r="K1040" t="str">
            <v>ESAN</v>
          </cell>
          <cell r="M1040" t="str">
            <v>M</v>
          </cell>
          <cell r="AB1040" t="str">
            <v>serum</v>
          </cell>
          <cell r="AF1040">
            <v>1.3</v>
          </cell>
        </row>
        <row r="1041">
          <cell r="A1041" t="str">
            <v>IS_alqt_plus</v>
          </cell>
          <cell r="K1041" t="str">
            <v>ESAN</v>
          </cell>
          <cell r="M1041" t="str">
            <v>M</v>
          </cell>
          <cell r="AB1041" t="str">
            <v>serum</v>
          </cell>
          <cell r="AF1041">
            <v>1.2</v>
          </cell>
        </row>
        <row r="1042">
          <cell r="A1042" t="str">
            <v>IS_alqt_plus</v>
          </cell>
          <cell r="K1042" t="str">
            <v>ESAN</v>
          </cell>
          <cell r="M1042" t="str">
            <v>M</v>
          </cell>
          <cell r="AB1042" t="str">
            <v>serum</v>
          </cell>
          <cell r="AF1042">
            <v>1.6</v>
          </cell>
        </row>
        <row r="1043">
          <cell r="A1043" t="str">
            <v>IS_alqt_plus</v>
          </cell>
          <cell r="K1043" t="str">
            <v>ESAN</v>
          </cell>
          <cell r="M1043" t="str">
            <v>M</v>
          </cell>
          <cell r="AB1043" t="str">
            <v>serum</v>
          </cell>
          <cell r="AF1043">
            <v>1.2</v>
          </cell>
        </row>
        <row r="1044">
          <cell r="A1044" t="str">
            <v>IS_alqt_plus</v>
          </cell>
          <cell r="K1044" t="str">
            <v>ESAN</v>
          </cell>
          <cell r="M1044" t="str">
            <v>M</v>
          </cell>
          <cell r="AB1044" t="str">
            <v>serum</v>
          </cell>
          <cell r="AF1044">
            <v>1.2</v>
          </cell>
        </row>
        <row r="1045">
          <cell r="A1045" t="str">
            <v>IS_alqt_plus</v>
          </cell>
          <cell r="K1045" t="str">
            <v>ESAN</v>
          </cell>
          <cell r="M1045" t="str">
            <v>M</v>
          </cell>
          <cell r="AB1045" t="str">
            <v>serum</v>
          </cell>
          <cell r="AF1045">
            <v>0.75</v>
          </cell>
        </row>
        <row r="1046">
          <cell r="A1046" t="str">
            <v>IS_alqt_plus</v>
          </cell>
          <cell r="K1046" t="str">
            <v>GMOH</v>
          </cell>
          <cell r="M1046" t="str">
            <v>F</v>
          </cell>
          <cell r="AB1046" t="str">
            <v>serum</v>
          </cell>
          <cell r="AF1046">
            <v>0.4</v>
          </cell>
        </row>
        <row r="1047">
          <cell r="A1047" t="str">
            <v>gone</v>
          </cell>
          <cell r="K1047" t="str">
            <v>PCOQ</v>
          </cell>
          <cell r="M1047" t="str">
            <v>F</v>
          </cell>
          <cell r="AB1047" t="str">
            <v>serum</v>
          </cell>
          <cell r="AF1047">
            <v>0</v>
          </cell>
        </row>
        <row r="1048">
          <cell r="A1048" t="str">
            <v>IS_alqt_plus</v>
          </cell>
          <cell r="K1048" t="str">
            <v>HGG</v>
          </cell>
          <cell r="M1048" t="str">
            <v>F</v>
          </cell>
          <cell r="AB1048" t="str">
            <v>serum</v>
          </cell>
          <cell r="AF1048">
            <v>1.8</v>
          </cell>
        </row>
        <row r="1049">
          <cell r="A1049" t="str">
            <v>IS_alqt_plus</v>
          </cell>
          <cell r="K1049" t="str">
            <v>EFLA</v>
          </cell>
          <cell r="M1049" t="str">
            <v>M</v>
          </cell>
          <cell r="AB1049" t="str">
            <v>serum</v>
          </cell>
          <cell r="AF1049">
            <v>0.25</v>
          </cell>
        </row>
        <row r="1050">
          <cell r="A1050" t="str">
            <v>IS_alqt_plus</v>
          </cell>
          <cell r="K1050" t="str">
            <v>EFLA</v>
          </cell>
          <cell r="M1050" t="str">
            <v>M</v>
          </cell>
          <cell r="AB1050" t="str">
            <v>serum</v>
          </cell>
          <cell r="AF1050">
            <v>0.25</v>
          </cell>
        </row>
        <row r="1051">
          <cell r="A1051" t="str">
            <v>IS_alqt_plus</v>
          </cell>
          <cell r="K1051" t="str">
            <v>EFLA</v>
          </cell>
          <cell r="M1051" t="str">
            <v>F</v>
          </cell>
          <cell r="AB1051" t="str">
            <v>serum</v>
          </cell>
          <cell r="AF1051">
            <v>1</v>
          </cell>
        </row>
        <row r="1052">
          <cell r="A1052" t="str">
            <v>IS_alqt_plus</v>
          </cell>
          <cell r="K1052" t="str">
            <v>EMON</v>
          </cell>
          <cell r="M1052" t="str">
            <v>F</v>
          </cell>
          <cell r="AB1052" t="str">
            <v>serum</v>
          </cell>
          <cell r="AF1052">
            <v>1.5</v>
          </cell>
        </row>
        <row r="1053">
          <cell r="A1053" t="str">
            <v>IS_alqt_plus</v>
          </cell>
          <cell r="K1053" t="str">
            <v>EMON</v>
          </cell>
          <cell r="M1053" t="str">
            <v>F</v>
          </cell>
          <cell r="AB1053" t="str">
            <v>serum</v>
          </cell>
          <cell r="AF1053">
            <v>1.5</v>
          </cell>
        </row>
        <row r="1054">
          <cell r="A1054" t="str">
            <v>IS_alqt_plus</v>
          </cell>
          <cell r="K1054" t="str">
            <v>EMON</v>
          </cell>
          <cell r="M1054" t="str">
            <v>F</v>
          </cell>
          <cell r="AB1054" t="str">
            <v>serum</v>
          </cell>
          <cell r="AF1054">
            <v>1.5</v>
          </cell>
        </row>
        <row r="1055">
          <cell r="A1055" t="str">
            <v>IS_alqt_plus</v>
          </cell>
          <cell r="K1055" t="str">
            <v>EMON</v>
          </cell>
          <cell r="M1055" t="str">
            <v>F</v>
          </cell>
          <cell r="AB1055" t="str">
            <v>serum</v>
          </cell>
          <cell r="AF1055">
            <v>1.8</v>
          </cell>
        </row>
        <row r="1056">
          <cell r="A1056" t="str">
            <v>IS_alqt_plus</v>
          </cell>
          <cell r="K1056" t="str">
            <v>EFLA</v>
          </cell>
          <cell r="M1056" t="str">
            <v>F</v>
          </cell>
          <cell r="AB1056" t="str">
            <v>serum</v>
          </cell>
          <cell r="AF1056">
            <v>1.8</v>
          </cell>
        </row>
        <row r="1057">
          <cell r="A1057" t="str">
            <v>IS_alqt_plus</v>
          </cell>
          <cell r="K1057" t="str">
            <v>EFLA</v>
          </cell>
          <cell r="M1057" t="str">
            <v>M</v>
          </cell>
          <cell r="AB1057" t="str">
            <v>serum</v>
          </cell>
          <cell r="AF1057">
            <v>0.2</v>
          </cell>
        </row>
        <row r="1058">
          <cell r="A1058" t="str">
            <v>IS_alqt_plus</v>
          </cell>
          <cell r="K1058" t="str">
            <v>EFLA</v>
          </cell>
          <cell r="M1058" t="str">
            <v>M</v>
          </cell>
          <cell r="AB1058" t="str">
            <v>serum</v>
          </cell>
          <cell r="AF1058">
            <v>2</v>
          </cell>
        </row>
        <row r="1059">
          <cell r="A1059" t="str">
            <v>IS_alqt_plus</v>
          </cell>
          <cell r="K1059" t="str">
            <v>EFLA</v>
          </cell>
          <cell r="M1059" t="str">
            <v>M</v>
          </cell>
          <cell r="AB1059" t="str">
            <v>serum</v>
          </cell>
          <cell r="AF1059">
            <v>2</v>
          </cell>
        </row>
        <row r="1060">
          <cell r="A1060" t="str">
            <v>IS_alqt_plus</v>
          </cell>
          <cell r="K1060" t="str">
            <v>EFLA</v>
          </cell>
          <cell r="M1060" t="str">
            <v>M</v>
          </cell>
          <cell r="AB1060" t="str">
            <v>serum</v>
          </cell>
          <cell r="AF1060">
            <v>2</v>
          </cell>
        </row>
        <row r="1061">
          <cell r="A1061" t="str">
            <v>IS_alqt_plus</v>
          </cell>
          <cell r="K1061" t="str">
            <v>EFLA</v>
          </cell>
          <cell r="M1061" t="str">
            <v>M</v>
          </cell>
          <cell r="AB1061" t="str">
            <v>serum</v>
          </cell>
          <cell r="AF1061">
            <v>2</v>
          </cell>
        </row>
        <row r="1062">
          <cell r="A1062" t="str">
            <v>IS_alqt_plus</v>
          </cell>
          <cell r="K1062" t="str">
            <v>EFLA</v>
          </cell>
          <cell r="M1062" t="str">
            <v>M</v>
          </cell>
          <cell r="AB1062" t="str">
            <v>serum</v>
          </cell>
          <cell r="AF1062">
            <v>2</v>
          </cell>
        </row>
        <row r="1063">
          <cell r="A1063" t="str">
            <v>IS_alqt_plus</v>
          </cell>
          <cell r="K1063" t="str">
            <v>EFLA</v>
          </cell>
          <cell r="M1063" t="str">
            <v>M</v>
          </cell>
          <cell r="AB1063" t="str">
            <v>serum</v>
          </cell>
          <cell r="AF1063">
            <v>2</v>
          </cell>
        </row>
        <row r="1064">
          <cell r="A1064" t="str">
            <v>IS_alqt_plus</v>
          </cell>
          <cell r="K1064" t="str">
            <v>EFLA</v>
          </cell>
          <cell r="M1064" t="str">
            <v>M</v>
          </cell>
          <cell r="AB1064" t="str">
            <v>serum</v>
          </cell>
          <cell r="AF1064">
            <v>2</v>
          </cell>
        </row>
        <row r="1065">
          <cell r="A1065" t="str">
            <v>gone</v>
          </cell>
          <cell r="K1065" t="str">
            <v>DMAD</v>
          </cell>
          <cell r="M1065" t="str">
            <v>F</v>
          </cell>
          <cell r="AB1065" t="str">
            <v>serum</v>
          </cell>
          <cell r="AF1065">
            <v>0</v>
          </cell>
        </row>
        <row r="1066">
          <cell r="A1066" t="str">
            <v>gone</v>
          </cell>
          <cell r="K1066" t="str">
            <v>DMAD</v>
          </cell>
          <cell r="M1066" t="str">
            <v>M</v>
          </cell>
          <cell r="AB1066" t="str">
            <v>serum</v>
          </cell>
          <cell r="AF1066">
            <v>0</v>
          </cell>
        </row>
        <row r="1067">
          <cell r="A1067" t="str">
            <v>IS_alqt_plus</v>
          </cell>
          <cell r="K1067" t="str">
            <v>EMAC</v>
          </cell>
          <cell r="M1067" t="str">
            <v>M</v>
          </cell>
          <cell r="AB1067" t="str">
            <v>serum</v>
          </cell>
          <cell r="AF1067">
            <v>1.3</v>
          </cell>
        </row>
        <row r="1068">
          <cell r="A1068" t="str">
            <v>IS_alqt_plus</v>
          </cell>
          <cell r="K1068" t="str">
            <v>EMAC</v>
          </cell>
          <cell r="M1068" t="str">
            <v>M</v>
          </cell>
          <cell r="AB1068" t="str">
            <v>serum</v>
          </cell>
          <cell r="AF1068">
            <v>1.3</v>
          </cell>
        </row>
        <row r="1069">
          <cell r="A1069" t="str">
            <v>IS_alqt_plus</v>
          </cell>
          <cell r="K1069" t="str">
            <v>EMAC</v>
          </cell>
          <cell r="M1069" t="str">
            <v>M</v>
          </cell>
          <cell r="AB1069" t="str">
            <v>serum</v>
          </cell>
          <cell r="AF1069">
            <v>1.2</v>
          </cell>
        </row>
        <row r="1070">
          <cell r="A1070" t="str">
            <v>IS_alqt_plus</v>
          </cell>
          <cell r="K1070" t="str">
            <v>EMAC</v>
          </cell>
          <cell r="M1070" t="str">
            <v>M</v>
          </cell>
          <cell r="AB1070" t="str">
            <v>serum</v>
          </cell>
          <cell r="AF1070">
            <v>1.5</v>
          </cell>
        </row>
        <row r="1071">
          <cell r="A1071" t="str">
            <v>IS_alqt_plus</v>
          </cell>
          <cell r="K1071" t="str">
            <v>EMAC</v>
          </cell>
          <cell r="M1071" t="str">
            <v>M</v>
          </cell>
          <cell r="AB1071" t="str">
            <v>serum</v>
          </cell>
          <cell r="AF1071">
            <v>1.3</v>
          </cell>
        </row>
        <row r="1072">
          <cell r="A1072" t="str">
            <v>IS_alqt_plus</v>
          </cell>
          <cell r="K1072" t="str">
            <v>EMAC</v>
          </cell>
          <cell r="M1072" t="str">
            <v>M</v>
          </cell>
          <cell r="AB1072" t="str">
            <v>serum</v>
          </cell>
          <cell r="AF1072">
            <v>1.5</v>
          </cell>
        </row>
        <row r="1073">
          <cell r="A1073" t="str">
            <v>IS_alqt_plus</v>
          </cell>
          <cell r="K1073" t="str">
            <v>EMAC</v>
          </cell>
          <cell r="M1073" t="str">
            <v>M</v>
          </cell>
          <cell r="AB1073" t="str">
            <v>serum</v>
          </cell>
          <cell r="AF1073">
            <v>1.5</v>
          </cell>
        </row>
        <row r="1074">
          <cell r="A1074" t="str">
            <v>IS_alqt_plus</v>
          </cell>
          <cell r="K1074" t="str">
            <v>EMAC</v>
          </cell>
          <cell r="M1074" t="str">
            <v>M</v>
          </cell>
          <cell r="AB1074" t="str">
            <v>serum</v>
          </cell>
          <cell r="AF1074">
            <v>1.5</v>
          </cell>
        </row>
        <row r="1075">
          <cell r="A1075" t="str">
            <v>IS_alqt_plus</v>
          </cell>
          <cell r="K1075" t="str">
            <v>EMAC</v>
          </cell>
          <cell r="M1075" t="str">
            <v>M</v>
          </cell>
          <cell r="AB1075" t="str">
            <v>serum</v>
          </cell>
          <cell r="AF1075">
            <v>1.5</v>
          </cell>
        </row>
        <row r="1076">
          <cell r="A1076" t="str">
            <v>IS_alqt_plus</v>
          </cell>
          <cell r="K1076" t="str">
            <v>EMAC</v>
          </cell>
          <cell r="M1076" t="str">
            <v>M</v>
          </cell>
          <cell r="AB1076" t="str">
            <v>serum</v>
          </cell>
          <cell r="AF1076">
            <v>1.5</v>
          </cell>
        </row>
        <row r="1077">
          <cell r="A1077" t="str">
            <v>IS_alqt_plus</v>
          </cell>
          <cell r="K1077" t="str">
            <v>EMAC</v>
          </cell>
          <cell r="M1077" t="str">
            <v>M</v>
          </cell>
          <cell r="AB1077" t="str">
            <v>serum</v>
          </cell>
          <cell r="AF1077">
            <v>1.4</v>
          </cell>
        </row>
        <row r="1078">
          <cell r="A1078" t="str">
            <v>IS_alqt_plus</v>
          </cell>
          <cell r="K1078" t="str">
            <v>EALB</v>
          </cell>
          <cell r="M1078" t="str">
            <v>M</v>
          </cell>
          <cell r="AB1078" t="str">
            <v>serum</v>
          </cell>
          <cell r="AF1078">
            <v>1</v>
          </cell>
        </row>
        <row r="1079">
          <cell r="A1079" t="str">
            <v>IS_alqt_plus</v>
          </cell>
          <cell r="K1079" t="str">
            <v>EALB</v>
          </cell>
          <cell r="M1079" t="str">
            <v>M</v>
          </cell>
          <cell r="AB1079" t="str">
            <v>serum</v>
          </cell>
          <cell r="AF1079">
            <v>1.3</v>
          </cell>
        </row>
        <row r="1080">
          <cell r="A1080" t="str">
            <v>IS_alqt_plus</v>
          </cell>
          <cell r="K1080" t="str">
            <v>EALB</v>
          </cell>
          <cell r="M1080" t="str">
            <v>M</v>
          </cell>
          <cell r="AB1080" t="str">
            <v>serum</v>
          </cell>
          <cell r="AF1080">
            <v>1</v>
          </cell>
        </row>
        <row r="1081">
          <cell r="A1081" t="str">
            <v>IS_alqt_plus</v>
          </cell>
          <cell r="K1081" t="str">
            <v>EALB</v>
          </cell>
          <cell r="M1081" t="str">
            <v>M</v>
          </cell>
          <cell r="AB1081" t="str">
            <v>serum</v>
          </cell>
          <cell r="AF1081">
            <v>1.4</v>
          </cell>
        </row>
        <row r="1082">
          <cell r="A1082" t="str">
            <v>IS_alqt_plus</v>
          </cell>
          <cell r="K1082" t="str">
            <v>EALB</v>
          </cell>
          <cell r="M1082" t="str">
            <v>M</v>
          </cell>
          <cell r="AB1082" t="str">
            <v>serum</v>
          </cell>
          <cell r="AF1082">
            <v>1</v>
          </cell>
        </row>
        <row r="1083">
          <cell r="A1083" t="str">
            <v>IS_alqt_plus</v>
          </cell>
          <cell r="K1083" t="str">
            <v>EALB</v>
          </cell>
          <cell r="M1083" t="str">
            <v>M</v>
          </cell>
          <cell r="AB1083" t="str">
            <v>serum</v>
          </cell>
          <cell r="AF1083">
            <v>1</v>
          </cell>
        </row>
        <row r="1084">
          <cell r="A1084" t="str">
            <v>IS_alqt_plus</v>
          </cell>
          <cell r="K1084" t="str">
            <v>LCAT</v>
          </cell>
          <cell r="M1084" t="str">
            <v>M</v>
          </cell>
          <cell r="AB1084" t="str">
            <v>serum</v>
          </cell>
          <cell r="AF1084">
            <v>1.5</v>
          </cell>
        </row>
        <row r="1085">
          <cell r="A1085" t="str">
            <v>IS_alqt_plus</v>
          </cell>
          <cell r="K1085" t="str">
            <v>NCOU</v>
          </cell>
          <cell r="M1085" t="str">
            <v>M</v>
          </cell>
          <cell r="AB1085" t="str">
            <v>serum</v>
          </cell>
          <cell r="AF1085">
            <v>0.25</v>
          </cell>
        </row>
        <row r="1086">
          <cell r="A1086" t="str">
            <v>IS_alqt_plus</v>
          </cell>
          <cell r="K1086" t="str">
            <v>PCOQ</v>
          </cell>
          <cell r="M1086" t="str">
            <v>M</v>
          </cell>
          <cell r="AB1086" t="str">
            <v>serum</v>
          </cell>
          <cell r="AF1086">
            <v>0.5</v>
          </cell>
        </row>
        <row r="1087">
          <cell r="A1087" t="str">
            <v>IS_alqt_plus</v>
          </cell>
          <cell r="K1087" t="str">
            <v>PCOQ</v>
          </cell>
          <cell r="M1087" t="str">
            <v>M</v>
          </cell>
          <cell r="AB1087" t="str">
            <v>serum</v>
          </cell>
          <cell r="AF1087">
            <v>0.5</v>
          </cell>
        </row>
        <row r="1088">
          <cell r="A1088" t="str">
            <v>IS_alqt_plus</v>
          </cell>
          <cell r="K1088" t="str">
            <v>EMAC</v>
          </cell>
          <cell r="M1088" t="str">
            <v>M</v>
          </cell>
          <cell r="AB1088" t="str">
            <v>serum</v>
          </cell>
          <cell r="AF1088">
            <v>1</v>
          </cell>
        </row>
        <row r="1089">
          <cell r="A1089" t="str">
            <v>IS_alqt_plus</v>
          </cell>
          <cell r="K1089" t="str">
            <v>EMAC</v>
          </cell>
          <cell r="M1089" t="str">
            <v>M</v>
          </cell>
          <cell r="AB1089" t="str">
            <v>serum</v>
          </cell>
          <cell r="AF1089">
            <v>0.9</v>
          </cell>
        </row>
        <row r="1090">
          <cell r="A1090" t="str">
            <v>IS_alqt_plus</v>
          </cell>
          <cell r="K1090" t="str">
            <v>EMAC</v>
          </cell>
          <cell r="M1090" t="str">
            <v>F</v>
          </cell>
          <cell r="AB1090" t="str">
            <v>serum</v>
          </cell>
          <cell r="AF1090">
            <v>1</v>
          </cell>
        </row>
        <row r="1091">
          <cell r="A1091" t="str">
            <v>IS_alqt_plus</v>
          </cell>
          <cell r="K1091" t="str">
            <v>EMAC</v>
          </cell>
          <cell r="M1091" t="str">
            <v>F</v>
          </cell>
          <cell r="AB1091" t="str">
            <v>serum</v>
          </cell>
          <cell r="AF1091">
            <v>1</v>
          </cell>
        </row>
        <row r="1092">
          <cell r="A1092" t="str">
            <v>IS_alqt_plus</v>
          </cell>
          <cell r="K1092" t="str">
            <v>ERUB</v>
          </cell>
          <cell r="M1092" t="str">
            <v>M</v>
          </cell>
          <cell r="AB1092" t="str">
            <v>serum</v>
          </cell>
          <cell r="AF1092">
            <v>1.5</v>
          </cell>
        </row>
        <row r="1093">
          <cell r="A1093" t="str">
            <v>IS_alqt_plus</v>
          </cell>
          <cell r="K1093" t="str">
            <v>ERUB</v>
          </cell>
          <cell r="M1093" t="str">
            <v>F</v>
          </cell>
          <cell r="AB1093" t="str">
            <v>serum</v>
          </cell>
          <cell r="AF1093">
            <v>1.5</v>
          </cell>
        </row>
        <row r="1094">
          <cell r="A1094" t="str">
            <v>gone</v>
          </cell>
          <cell r="K1094" t="str">
            <v>PCOQ</v>
          </cell>
          <cell r="M1094" t="str">
            <v>M</v>
          </cell>
          <cell r="AB1094" t="str">
            <v>serum</v>
          </cell>
          <cell r="AF1094">
            <v>0</v>
          </cell>
        </row>
        <row r="1095">
          <cell r="A1095" t="str">
            <v>IS_alqt_plus</v>
          </cell>
          <cell r="K1095" t="str">
            <v>LCAT</v>
          </cell>
          <cell r="M1095" t="str">
            <v>F</v>
          </cell>
          <cell r="AB1095" t="str">
            <v>serum</v>
          </cell>
          <cell r="AF1095">
            <v>0.4</v>
          </cell>
        </row>
        <row r="1096">
          <cell r="A1096" t="str">
            <v>IS_alqt_plus</v>
          </cell>
          <cell r="K1096" t="str">
            <v>LCAT</v>
          </cell>
          <cell r="M1096" t="str">
            <v>F</v>
          </cell>
          <cell r="AB1096" t="str">
            <v>serum</v>
          </cell>
          <cell r="AF1096">
            <v>0.9</v>
          </cell>
        </row>
        <row r="1097">
          <cell r="A1097" t="str">
            <v>IS_alqt_plus</v>
          </cell>
          <cell r="K1097" t="str">
            <v>VRUB</v>
          </cell>
          <cell r="M1097" t="str">
            <v>F</v>
          </cell>
          <cell r="AB1097" t="str">
            <v>serum</v>
          </cell>
          <cell r="AF1097">
            <v>0.9</v>
          </cell>
        </row>
        <row r="1098">
          <cell r="A1098" t="str">
            <v>IS_alqt_plus</v>
          </cell>
          <cell r="K1098" t="str">
            <v>VRUB</v>
          </cell>
          <cell r="M1098" t="str">
            <v>F</v>
          </cell>
          <cell r="AB1098" t="str">
            <v>serum</v>
          </cell>
          <cell r="AF1098">
            <v>1</v>
          </cell>
        </row>
        <row r="1099">
          <cell r="A1099" t="str">
            <v>IS_alqt_plus</v>
          </cell>
          <cell r="K1099" t="str">
            <v>VRUB</v>
          </cell>
          <cell r="M1099" t="str">
            <v>F</v>
          </cell>
          <cell r="AB1099" t="str">
            <v>serum</v>
          </cell>
          <cell r="AF1099">
            <v>1.7</v>
          </cell>
        </row>
        <row r="1100">
          <cell r="A1100" t="str">
            <v>IS_alqt_plus</v>
          </cell>
          <cell r="K1100" t="str">
            <v>LCAT</v>
          </cell>
          <cell r="M1100" t="str">
            <v>F</v>
          </cell>
          <cell r="AB1100" t="str">
            <v>WB</v>
          </cell>
          <cell r="AF1100">
            <v>0.8</v>
          </cell>
        </row>
        <row r="1101">
          <cell r="A1101" t="str">
            <v>IS_alqt_plus</v>
          </cell>
          <cell r="K1101" t="str">
            <v>LCAT</v>
          </cell>
          <cell r="M1101" t="str">
            <v>M</v>
          </cell>
          <cell r="AB1101" t="str">
            <v>serum</v>
          </cell>
          <cell r="AF1101">
            <v>0.4</v>
          </cell>
        </row>
        <row r="1102">
          <cell r="A1102" t="str">
            <v>gone</v>
          </cell>
          <cell r="K1102" t="str">
            <v>LCAT</v>
          </cell>
          <cell r="M1102" t="str">
            <v>F</v>
          </cell>
          <cell r="AB1102" t="str">
            <v>serum</v>
          </cell>
          <cell r="AF1102">
            <v>0</v>
          </cell>
        </row>
        <row r="1103">
          <cell r="A1103" t="str">
            <v>IS_alqt_minus</v>
          </cell>
          <cell r="K1103" t="str">
            <v>PCOQ</v>
          </cell>
          <cell r="M1103" t="str">
            <v>M</v>
          </cell>
          <cell r="AB1103" t="str">
            <v>serum</v>
          </cell>
          <cell r="AF1103">
            <v>0.05</v>
          </cell>
        </row>
        <row r="1104">
          <cell r="A1104" t="str">
            <v>IS_alqt_plus</v>
          </cell>
          <cell r="K1104" t="str">
            <v>LCAT</v>
          </cell>
          <cell r="M1104" t="str">
            <v>F</v>
          </cell>
          <cell r="AB1104" t="str">
            <v>serum</v>
          </cell>
          <cell r="AF1104">
            <v>1</v>
          </cell>
        </row>
        <row r="1105">
          <cell r="A1105" t="str">
            <v>IS_alqt_plus</v>
          </cell>
          <cell r="K1105" t="str">
            <v>LCAT</v>
          </cell>
          <cell r="M1105" t="str">
            <v>F</v>
          </cell>
          <cell r="AB1105" t="str">
            <v>serum</v>
          </cell>
          <cell r="AF1105">
            <v>1</v>
          </cell>
        </row>
        <row r="1106">
          <cell r="A1106" t="str">
            <v>IS_alqt_plus</v>
          </cell>
          <cell r="K1106" t="str">
            <v>LCAT</v>
          </cell>
          <cell r="M1106" t="str">
            <v>M</v>
          </cell>
          <cell r="AB1106" t="str">
            <v>serum</v>
          </cell>
          <cell r="AF1106">
            <v>0.8</v>
          </cell>
        </row>
        <row r="1107">
          <cell r="A1107" t="str">
            <v>IS_alqt_plus</v>
          </cell>
          <cell r="K1107" t="str">
            <v>PCOQ</v>
          </cell>
          <cell r="M1107" t="str">
            <v>F</v>
          </cell>
          <cell r="AB1107" t="str">
            <v>serum</v>
          </cell>
          <cell r="AF1107">
            <v>1.1000000000000001</v>
          </cell>
        </row>
        <row r="1108">
          <cell r="A1108" t="str">
            <v>IS_alqt_plus</v>
          </cell>
          <cell r="K1108" t="str">
            <v>ESAN</v>
          </cell>
          <cell r="M1108" t="str">
            <v>F</v>
          </cell>
          <cell r="AB1108" t="str">
            <v>serum</v>
          </cell>
          <cell r="AF1108">
            <v>1.6</v>
          </cell>
        </row>
        <row r="1109">
          <cell r="A1109" t="str">
            <v>IS_alqt_plus</v>
          </cell>
          <cell r="K1109" t="str">
            <v>ESAN</v>
          </cell>
          <cell r="M1109" t="str">
            <v>F</v>
          </cell>
          <cell r="AB1109" t="str">
            <v>serum</v>
          </cell>
          <cell r="AF1109">
            <v>1.5</v>
          </cell>
        </row>
        <row r="1110">
          <cell r="A1110" t="str">
            <v>IS_alqt_plus</v>
          </cell>
          <cell r="K1110" t="str">
            <v>ESAN</v>
          </cell>
          <cell r="M1110" t="str">
            <v>M</v>
          </cell>
          <cell r="AB1110" t="str">
            <v>serum</v>
          </cell>
          <cell r="AF1110">
            <v>1.8</v>
          </cell>
        </row>
        <row r="1111">
          <cell r="A1111" t="str">
            <v>IS_alqt_plus</v>
          </cell>
          <cell r="K1111" t="str">
            <v>ERUF</v>
          </cell>
          <cell r="M1111" t="str">
            <v>F</v>
          </cell>
          <cell r="AB1111" t="str">
            <v>serum</v>
          </cell>
          <cell r="AF1111">
            <v>1.6</v>
          </cell>
        </row>
        <row r="1112">
          <cell r="A1112" t="str">
            <v>IS_alqt_plus</v>
          </cell>
          <cell r="K1112" t="str">
            <v>ERUF</v>
          </cell>
          <cell r="M1112" t="str">
            <v>F</v>
          </cell>
          <cell r="AB1112" t="str">
            <v>serum</v>
          </cell>
          <cell r="AF1112">
            <v>1.5</v>
          </cell>
        </row>
        <row r="1113">
          <cell r="A1113" t="str">
            <v>IS_alqt_plus</v>
          </cell>
          <cell r="K1113" t="str">
            <v>PDIA</v>
          </cell>
          <cell r="M1113" t="str">
            <v>M</v>
          </cell>
          <cell r="AB1113" t="str">
            <v>serum</v>
          </cell>
          <cell r="AF1113">
            <v>1.7</v>
          </cell>
        </row>
        <row r="1114">
          <cell r="A1114" t="str">
            <v>IS_alqt_plus</v>
          </cell>
          <cell r="K1114" t="str">
            <v>EFLA</v>
          </cell>
          <cell r="M1114" t="str">
            <v>F</v>
          </cell>
          <cell r="AB1114" t="str">
            <v>serum</v>
          </cell>
          <cell r="AF1114">
            <v>0.2</v>
          </cell>
        </row>
        <row r="1115">
          <cell r="A1115" t="str">
            <v>IS_alqt_plus</v>
          </cell>
          <cell r="K1115" t="str">
            <v>EFLA</v>
          </cell>
          <cell r="M1115" t="str">
            <v>F</v>
          </cell>
          <cell r="AB1115" t="str">
            <v>serum</v>
          </cell>
          <cell r="AF1115">
            <v>0.2</v>
          </cell>
        </row>
        <row r="1116">
          <cell r="A1116" t="str">
            <v>IS_alqt_plus</v>
          </cell>
          <cell r="K1116" t="str">
            <v>ERUF</v>
          </cell>
          <cell r="M1116" t="str">
            <v>M</v>
          </cell>
          <cell r="AB1116" t="str">
            <v>serum</v>
          </cell>
          <cell r="AF1116">
            <v>1.8</v>
          </cell>
        </row>
        <row r="1117">
          <cell r="A1117" t="str">
            <v>IS_alqt_plus</v>
          </cell>
          <cell r="K1117" t="str">
            <v>ERUB</v>
          </cell>
          <cell r="M1117" t="str">
            <v>F</v>
          </cell>
          <cell r="AB1117" t="str">
            <v>serum</v>
          </cell>
          <cell r="AF1117">
            <v>1.8</v>
          </cell>
        </row>
        <row r="1118">
          <cell r="A1118" t="str">
            <v>IS_alqt_plus</v>
          </cell>
          <cell r="K1118" t="str">
            <v>LCAT</v>
          </cell>
          <cell r="M1118" t="str">
            <v>M</v>
          </cell>
          <cell r="AB1118" t="str">
            <v>serum</v>
          </cell>
          <cell r="AF1118">
            <v>0.7</v>
          </cell>
        </row>
        <row r="1119">
          <cell r="A1119" t="str">
            <v>IS_alqt_plus</v>
          </cell>
          <cell r="K1119" t="str">
            <v>LCAT</v>
          </cell>
          <cell r="M1119" t="str">
            <v>F</v>
          </cell>
          <cell r="AB1119" t="str">
            <v>serum</v>
          </cell>
          <cell r="AF1119">
            <v>0.7</v>
          </cell>
        </row>
        <row r="1120">
          <cell r="A1120" t="str">
            <v>IS_alqt_plus</v>
          </cell>
          <cell r="K1120" t="str">
            <v>LCAT</v>
          </cell>
          <cell r="M1120" t="str">
            <v>M</v>
          </cell>
          <cell r="AB1120" t="str">
            <v>serum</v>
          </cell>
          <cell r="AF1120">
            <v>0.7</v>
          </cell>
        </row>
        <row r="1121">
          <cell r="A1121" t="str">
            <v>gone</v>
          </cell>
          <cell r="K1121" t="str">
            <v>LCAT</v>
          </cell>
          <cell r="M1121" t="str">
            <v>M</v>
          </cell>
          <cell r="AB1121" t="str">
            <v>serum</v>
          </cell>
          <cell r="AF1121">
            <v>0</v>
          </cell>
        </row>
        <row r="1122">
          <cell r="A1122" t="str">
            <v>IS_alqt_plus</v>
          </cell>
          <cell r="K1122" t="str">
            <v>EMON</v>
          </cell>
          <cell r="M1122" t="str">
            <v>M</v>
          </cell>
          <cell r="AB1122" t="str">
            <v>serum</v>
          </cell>
          <cell r="AF1122">
            <v>1</v>
          </cell>
        </row>
        <row r="1123">
          <cell r="A1123" t="str">
            <v>IS_alqt_plus</v>
          </cell>
          <cell r="K1123" t="str">
            <v>EMON</v>
          </cell>
          <cell r="M1123" t="str">
            <v>F</v>
          </cell>
          <cell r="AB1123" t="str">
            <v>serum</v>
          </cell>
          <cell r="AF1123">
            <v>1.8</v>
          </cell>
        </row>
        <row r="1124">
          <cell r="A1124" t="str">
            <v>IS_alqt_plus</v>
          </cell>
          <cell r="K1124" t="str">
            <v>ERUB</v>
          </cell>
          <cell r="M1124" t="str">
            <v>F</v>
          </cell>
          <cell r="AB1124" t="str">
            <v>serum</v>
          </cell>
          <cell r="AF1124">
            <v>1.6</v>
          </cell>
        </row>
        <row r="1125">
          <cell r="A1125" t="str">
            <v>IS_alqt_plus</v>
          </cell>
          <cell r="K1125" t="str">
            <v>ERUB</v>
          </cell>
          <cell r="M1125" t="str">
            <v>F</v>
          </cell>
          <cell r="AB1125" t="str">
            <v>serum</v>
          </cell>
          <cell r="AF1125">
            <v>1</v>
          </cell>
        </row>
        <row r="1126">
          <cell r="A1126" t="str">
            <v>IS_alqt_plus</v>
          </cell>
          <cell r="K1126" t="str">
            <v>EMON</v>
          </cell>
          <cell r="M1126" t="str">
            <v>F</v>
          </cell>
          <cell r="AB1126" t="str">
            <v>serum</v>
          </cell>
          <cell r="AF1126">
            <v>1.5</v>
          </cell>
        </row>
        <row r="1127">
          <cell r="A1127" t="str">
            <v>IS_alqt_plus</v>
          </cell>
          <cell r="K1127" t="str">
            <v>EMON</v>
          </cell>
          <cell r="M1127" t="str">
            <v>F</v>
          </cell>
          <cell r="AB1127" t="str">
            <v>serum</v>
          </cell>
          <cell r="AF1127">
            <v>1.6</v>
          </cell>
        </row>
        <row r="1128">
          <cell r="A1128" t="str">
            <v>IS_alqt_plus</v>
          </cell>
          <cell r="K1128" t="str">
            <v>EMAC</v>
          </cell>
          <cell r="M1128" t="str">
            <v>F</v>
          </cell>
          <cell r="AB1128" t="str">
            <v>serum</v>
          </cell>
          <cell r="AF1128">
            <v>0.6</v>
          </cell>
        </row>
        <row r="1129">
          <cell r="A1129" t="str">
            <v>IS_alqt_plus</v>
          </cell>
          <cell r="K1129" t="str">
            <v>LCAT</v>
          </cell>
          <cell r="M1129" t="str">
            <v>M</v>
          </cell>
          <cell r="AB1129" t="str">
            <v>serum</v>
          </cell>
          <cell r="AF1129">
            <v>0.7</v>
          </cell>
        </row>
        <row r="1130">
          <cell r="A1130" t="str">
            <v>IS_alqt_plus</v>
          </cell>
          <cell r="K1130" t="str">
            <v>LCAT</v>
          </cell>
          <cell r="M1130" t="str">
            <v>M</v>
          </cell>
          <cell r="AB1130" t="str">
            <v>serum</v>
          </cell>
          <cell r="AF1130">
            <v>0.5</v>
          </cell>
        </row>
        <row r="1131">
          <cell r="A1131" t="str">
            <v>IS_alqt_plus</v>
          </cell>
          <cell r="K1131" t="str">
            <v>LCAT</v>
          </cell>
          <cell r="M1131" t="str">
            <v>F</v>
          </cell>
          <cell r="AB1131" t="str">
            <v>serum</v>
          </cell>
          <cell r="AF1131">
            <v>0.6</v>
          </cell>
        </row>
        <row r="1132">
          <cell r="A1132" t="str">
            <v>IS_alqt_plus</v>
          </cell>
          <cell r="K1132" t="str">
            <v>PCOQ</v>
          </cell>
          <cell r="M1132" t="str">
            <v>F</v>
          </cell>
          <cell r="AB1132" t="str">
            <v>serum</v>
          </cell>
          <cell r="AF1132">
            <v>1.2</v>
          </cell>
        </row>
        <row r="1133">
          <cell r="A1133" t="str">
            <v>IS_alqt_plus</v>
          </cell>
          <cell r="K1133" t="str">
            <v>LCAT</v>
          </cell>
          <cell r="M1133" t="str">
            <v>M</v>
          </cell>
          <cell r="AB1133" t="str">
            <v>serum</v>
          </cell>
          <cell r="AF1133">
            <v>0.2</v>
          </cell>
        </row>
        <row r="1134">
          <cell r="A1134" t="str">
            <v>IS_alqt_plus</v>
          </cell>
          <cell r="K1134" t="str">
            <v>LCAT</v>
          </cell>
          <cell r="M1134" t="str">
            <v>M</v>
          </cell>
          <cell r="AB1134" t="str">
            <v>serum</v>
          </cell>
          <cell r="AF1134">
            <v>0.4</v>
          </cell>
        </row>
        <row r="1135">
          <cell r="A1135" t="str">
            <v>IS_alqt_plus</v>
          </cell>
          <cell r="K1135" t="str">
            <v>LCAT</v>
          </cell>
          <cell r="M1135" t="str">
            <v>F</v>
          </cell>
          <cell r="AB1135" t="str">
            <v>serum</v>
          </cell>
          <cell r="AF1135">
            <v>0.45</v>
          </cell>
        </row>
        <row r="1136">
          <cell r="A1136" t="str">
            <v>IS_alqt_plus</v>
          </cell>
          <cell r="K1136" t="str">
            <v>VRUB</v>
          </cell>
          <cell r="M1136" t="str">
            <v>M</v>
          </cell>
          <cell r="AB1136" t="str">
            <v>serum</v>
          </cell>
          <cell r="AF1136">
            <v>1.7</v>
          </cell>
        </row>
        <row r="1137">
          <cell r="A1137" t="str">
            <v>IS_alqt_plus</v>
          </cell>
          <cell r="K1137" t="str">
            <v>VRUB</v>
          </cell>
          <cell r="M1137" t="str">
            <v>F</v>
          </cell>
          <cell r="AB1137" t="str">
            <v>serum</v>
          </cell>
          <cell r="AF1137">
            <v>1.2</v>
          </cell>
        </row>
        <row r="1138">
          <cell r="A1138" t="str">
            <v>IS_alqt_plus</v>
          </cell>
          <cell r="K1138" t="str">
            <v>VRUB</v>
          </cell>
          <cell r="M1138" t="str">
            <v>M</v>
          </cell>
          <cell r="AB1138" t="str">
            <v>serum</v>
          </cell>
          <cell r="AF1138">
            <v>1.1000000000000001</v>
          </cell>
        </row>
        <row r="1139">
          <cell r="A1139" t="str">
            <v>IS_alqt_plus</v>
          </cell>
          <cell r="K1139" t="str">
            <v>EMON</v>
          </cell>
          <cell r="M1139" t="str">
            <v>F</v>
          </cell>
          <cell r="AB1139" t="str">
            <v>serum</v>
          </cell>
          <cell r="AF1139">
            <v>1.4</v>
          </cell>
        </row>
        <row r="1140">
          <cell r="A1140" t="str">
            <v>IS_alqt_plus</v>
          </cell>
          <cell r="K1140" t="str">
            <v>VRUB</v>
          </cell>
          <cell r="M1140" t="str">
            <v>F</v>
          </cell>
          <cell r="AB1140" t="str">
            <v>serum</v>
          </cell>
          <cell r="AF1140">
            <v>1.8</v>
          </cell>
        </row>
        <row r="1141">
          <cell r="A1141" t="str">
            <v>IS_alqt_plus</v>
          </cell>
          <cell r="K1141" t="str">
            <v>EMON</v>
          </cell>
          <cell r="M1141" t="str">
            <v>M</v>
          </cell>
          <cell r="AB1141" t="str">
            <v>serum</v>
          </cell>
          <cell r="AF1141">
            <v>0.9</v>
          </cell>
        </row>
        <row r="1142">
          <cell r="A1142" t="str">
            <v>IS_alqt_plus</v>
          </cell>
          <cell r="K1142" t="str">
            <v>EMAC</v>
          </cell>
          <cell r="M1142" t="str">
            <v>F</v>
          </cell>
          <cell r="AB1142" t="str">
            <v>serum</v>
          </cell>
          <cell r="AF1142">
            <v>1</v>
          </cell>
        </row>
        <row r="1143">
          <cell r="A1143" t="str">
            <v>IS_alqt_plus</v>
          </cell>
          <cell r="K1143" t="str">
            <v>ECOL</v>
          </cell>
          <cell r="M1143" t="str">
            <v>M</v>
          </cell>
          <cell r="AB1143" t="str">
            <v>serum</v>
          </cell>
          <cell r="AF1143">
            <v>1.8</v>
          </cell>
        </row>
        <row r="1144">
          <cell r="A1144" t="str">
            <v>IS_alqt_plus</v>
          </cell>
          <cell r="K1144" t="str">
            <v>ERUB</v>
          </cell>
          <cell r="M1144" t="str">
            <v>M</v>
          </cell>
          <cell r="AB1144" t="str">
            <v>serum</v>
          </cell>
          <cell r="AF1144">
            <v>1.6</v>
          </cell>
        </row>
        <row r="1145">
          <cell r="A1145" t="str">
            <v>IS_alqt_plus</v>
          </cell>
          <cell r="K1145" t="str">
            <v>CMED</v>
          </cell>
          <cell r="M1145" t="str">
            <v>M</v>
          </cell>
          <cell r="AB1145" t="str">
            <v>serum</v>
          </cell>
          <cell r="AF1145">
            <v>1.1000000000000001</v>
          </cell>
        </row>
        <row r="1146">
          <cell r="A1146" t="str">
            <v>IS_alqt_plus</v>
          </cell>
          <cell r="K1146" t="str">
            <v>VRUB</v>
          </cell>
          <cell r="M1146" t="str">
            <v>F</v>
          </cell>
          <cell r="AB1146" t="str">
            <v>serum</v>
          </cell>
          <cell r="AF1146">
            <v>1</v>
          </cell>
        </row>
        <row r="1147">
          <cell r="A1147" t="str">
            <v>IS_alqt_plus</v>
          </cell>
          <cell r="K1147" t="str">
            <v>LCAT</v>
          </cell>
          <cell r="M1147" t="str">
            <v>F</v>
          </cell>
          <cell r="AB1147" t="str">
            <v>serum</v>
          </cell>
          <cell r="AF1147">
            <v>1</v>
          </cell>
        </row>
        <row r="1148">
          <cell r="A1148" t="str">
            <v>IS_alqt_plus</v>
          </cell>
          <cell r="K1148" t="str">
            <v>VRUB</v>
          </cell>
          <cell r="M1148" t="str">
            <v>F</v>
          </cell>
          <cell r="AB1148" t="str">
            <v>serum</v>
          </cell>
          <cell r="AF1148">
            <v>0.5</v>
          </cell>
        </row>
        <row r="1149">
          <cell r="A1149" t="str">
            <v>IS_alqt_plus</v>
          </cell>
          <cell r="K1149" t="str">
            <v>ECOL</v>
          </cell>
          <cell r="M1149" t="str">
            <v>F</v>
          </cell>
          <cell r="AB1149" t="str">
            <v>serum</v>
          </cell>
          <cell r="AF1149">
            <v>1.8</v>
          </cell>
        </row>
        <row r="1150">
          <cell r="A1150" t="str">
            <v>IS_alqt_plus</v>
          </cell>
          <cell r="K1150" t="str">
            <v>HGG</v>
          </cell>
          <cell r="M1150" t="str">
            <v>M</v>
          </cell>
          <cell r="AB1150" t="str">
            <v>serum</v>
          </cell>
          <cell r="AF1150">
            <v>0.8</v>
          </cell>
        </row>
        <row r="1151">
          <cell r="A1151" t="str">
            <v>IS_alqt_plus</v>
          </cell>
          <cell r="K1151" t="str">
            <v>ECOL</v>
          </cell>
          <cell r="M1151" t="str">
            <v>M</v>
          </cell>
          <cell r="AB1151" t="str">
            <v>serum</v>
          </cell>
          <cell r="AF1151">
            <v>1.8</v>
          </cell>
        </row>
        <row r="1152">
          <cell r="A1152" t="str">
            <v>IS_alqt_plus</v>
          </cell>
          <cell r="K1152" t="str">
            <v>ECOL</v>
          </cell>
          <cell r="M1152" t="str">
            <v>M</v>
          </cell>
          <cell r="AB1152" t="str">
            <v>serum</v>
          </cell>
          <cell r="AF1152">
            <v>1.8</v>
          </cell>
        </row>
        <row r="1153">
          <cell r="A1153" t="str">
            <v>IS_alqt_plus</v>
          </cell>
          <cell r="K1153" t="str">
            <v>ECOL</v>
          </cell>
          <cell r="M1153" t="str">
            <v>M</v>
          </cell>
          <cell r="AB1153" t="str">
            <v>serum</v>
          </cell>
          <cell r="AF1153">
            <v>1.5</v>
          </cell>
        </row>
        <row r="1154">
          <cell r="A1154" t="str">
            <v>IS_alqt_plus</v>
          </cell>
          <cell r="K1154" t="str">
            <v>ECOL</v>
          </cell>
          <cell r="M1154" t="str">
            <v>M</v>
          </cell>
          <cell r="AB1154" t="str">
            <v>serum</v>
          </cell>
          <cell r="AF1154">
            <v>1.5</v>
          </cell>
        </row>
        <row r="1155">
          <cell r="A1155" t="str">
            <v>IS_alqt_plus</v>
          </cell>
          <cell r="K1155" t="str">
            <v>EMON</v>
          </cell>
          <cell r="M1155" t="str">
            <v>F</v>
          </cell>
          <cell r="AB1155" t="str">
            <v>serum</v>
          </cell>
          <cell r="AF1155">
            <v>0.9</v>
          </cell>
        </row>
        <row r="1156">
          <cell r="A1156" t="str">
            <v>IS_alqt_plus</v>
          </cell>
          <cell r="K1156" t="str">
            <v>PCOQ</v>
          </cell>
          <cell r="M1156" t="str">
            <v>M</v>
          </cell>
          <cell r="AB1156" t="str">
            <v>serum</v>
          </cell>
          <cell r="AF1156">
            <v>1</v>
          </cell>
        </row>
        <row r="1157">
          <cell r="A1157" t="str">
            <v>IS_alqt_plus</v>
          </cell>
          <cell r="K1157" t="str">
            <v>PCOQ</v>
          </cell>
          <cell r="M1157" t="str">
            <v>M</v>
          </cell>
          <cell r="AB1157" t="str">
            <v>serum</v>
          </cell>
          <cell r="AF1157">
            <v>0.7</v>
          </cell>
        </row>
        <row r="1158">
          <cell r="A1158" t="str">
            <v>IS_alqt_plus</v>
          </cell>
          <cell r="K1158" t="str">
            <v>PCOQ</v>
          </cell>
          <cell r="M1158" t="str">
            <v>M</v>
          </cell>
          <cell r="AB1158" t="str">
            <v>serum</v>
          </cell>
          <cell r="AF1158">
            <v>1</v>
          </cell>
        </row>
        <row r="1159">
          <cell r="A1159" t="str">
            <v>IS_alqt_plus</v>
          </cell>
          <cell r="K1159" t="str">
            <v>LCAT</v>
          </cell>
          <cell r="M1159" t="str">
            <v>M</v>
          </cell>
          <cell r="AB1159" t="str">
            <v>serum</v>
          </cell>
          <cell r="AF1159">
            <v>0.5</v>
          </cell>
        </row>
        <row r="1160">
          <cell r="A1160" t="str">
            <v>IS_alqt_plus</v>
          </cell>
          <cell r="K1160" t="str">
            <v>PCOQ</v>
          </cell>
          <cell r="M1160" t="str">
            <v>M</v>
          </cell>
          <cell r="AB1160" t="str">
            <v>serum</v>
          </cell>
          <cell r="AF1160">
            <v>1.2</v>
          </cell>
        </row>
        <row r="1161">
          <cell r="A1161" t="str">
            <v>IS_alqt_plus</v>
          </cell>
          <cell r="K1161" t="str">
            <v>LCAT</v>
          </cell>
          <cell r="M1161" t="str">
            <v>F</v>
          </cell>
          <cell r="AB1161" t="str">
            <v>WB</v>
          </cell>
          <cell r="AF1161">
            <v>0.45</v>
          </cell>
        </row>
        <row r="1162">
          <cell r="A1162" t="str">
            <v>IS_alqt_plus</v>
          </cell>
          <cell r="K1162" t="str">
            <v>LCAT</v>
          </cell>
          <cell r="M1162" t="str">
            <v>M</v>
          </cell>
          <cell r="AB1162" t="str">
            <v>serum</v>
          </cell>
          <cell r="AF1162">
            <v>1.5</v>
          </cell>
        </row>
        <row r="1163">
          <cell r="A1163" t="str">
            <v>IS_alqt_plus</v>
          </cell>
          <cell r="K1163" t="str">
            <v>ECOL</v>
          </cell>
          <cell r="M1163" t="str">
            <v>M</v>
          </cell>
          <cell r="AB1163" t="str">
            <v>serum</v>
          </cell>
          <cell r="AF1163">
            <v>1.4</v>
          </cell>
        </row>
        <row r="1164">
          <cell r="A1164" t="str">
            <v>IS_alqt_plus</v>
          </cell>
          <cell r="K1164" t="str">
            <v>ECOL</v>
          </cell>
          <cell r="M1164" t="str">
            <v>M</v>
          </cell>
          <cell r="AB1164" t="str">
            <v>serum</v>
          </cell>
          <cell r="AF1164">
            <v>1.1000000000000001</v>
          </cell>
        </row>
        <row r="1165">
          <cell r="A1165" t="str">
            <v>IS_alqt_plus</v>
          </cell>
          <cell r="K1165" t="str">
            <v>ECOL</v>
          </cell>
          <cell r="M1165" t="str">
            <v>M</v>
          </cell>
          <cell r="AB1165" t="str">
            <v>serum</v>
          </cell>
          <cell r="AF1165">
            <v>1</v>
          </cell>
        </row>
        <row r="1166">
          <cell r="A1166" t="str">
            <v>IS_alqt_plus</v>
          </cell>
          <cell r="K1166" t="str">
            <v>PCOQ</v>
          </cell>
          <cell r="M1166" t="str">
            <v>F</v>
          </cell>
          <cell r="AB1166" t="str">
            <v>serum</v>
          </cell>
          <cell r="AF1166">
            <v>0.25</v>
          </cell>
        </row>
        <row r="1167">
          <cell r="A1167" t="str">
            <v>IS_alqt_minus</v>
          </cell>
          <cell r="K1167" t="str">
            <v>PCOQ</v>
          </cell>
          <cell r="M1167" t="str">
            <v>F</v>
          </cell>
          <cell r="AB1167" t="str">
            <v>serum</v>
          </cell>
          <cell r="AF1167">
            <v>0.15</v>
          </cell>
        </row>
        <row r="1168">
          <cell r="A1168" t="str">
            <v>IS_alqt_plus</v>
          </cell>
          <cell r="K1168" t="str">
            <v>ECOL</v>
          </cell>
          <cell r="M1168" t="str">
            <v>F</v>
          </cell>
          <cell r="AB1168" t="str">
            <v>serum</v>
          </cell>
          <cell r="AF1168">
            <v>0.5</v>
          </cell>
        </row>
        <row r="1169">
          <cell r="A1169" t="str">
            <v>IS_alqt_plus</v>
          </cell>
          <cell r="K1169" t="str">
            <v>ECOL</v>
          </cell>
          <cell r="M1169" t="str">
            <v>F</v>
          </cell>
          <cell r="AB1169" t="str">
            <v>serum</v>
          </cell>
          <cell r="AF1169">
            <v>1.25</v>
          </cell>
        </row>
        <row r="1170">
          <cell r="A1170" t="str">
            <v>IS_alqt_plus</v>
          </cell>
          <cell r="K1170" t="str">
            <v>VVV</v>
          </cell>
          <cell r="M1170" t="str">
            <v>M</v>
          </cell>
          <cell r="AB1170" t="str">
            <v>serum</v>
          </cell>
          <cell r="AF1170">
            <v>1.2</v>
          </cell>
        </row>
        <row r="1171">
          <cell r="A1171" t="str">
            <v>IS_alqt_plus</v>
          </cell>
          <cell r="K1171" t="str">
            <v>ECOR</v>
          </cell>
          <cell r="M1171" t="str">
            <v>F</v>
          </cell>
          <cell r="AB1171" t="str">
            <v>serum</v>
          </cell>
          <cell r="AF1171">
            <v>1.2</v>
          </cell>
        </row>
        <row r="1172">
          <cell r="A1172" t="str">
            <v>IS_alqt_plus</v>
          </cell>
          <cell r="K1172" t="str">
            <v>ECOR</v>
          </cell>
          <cell r="M1172" t="str">
            <v>M</v>
          </cell>
          <cell r="AB1172" t="str">
            <v>serum</v>
          </cell>
          <cell r="AF1172">
            <v>1</v>
          </cell>
        </row>
        <row r="1173">
          <cell r="A1173" t="str">
            <v>IS_alqt_plus</v>
          </cell>
          <cell r="K1173" t="str">
            <v>EMON</v>
          </cell>
          <cell r="M1173" t="str">
            <v>F</v>
          </cell>
          <cell r="AB1173" t="str">
            <v>serum</v>
          </cell>
          <cell r="AF1173">
            <v>0.7</v>
          </cell>
        </row>
        <row r="1174">
          <cell r="A1174" t="str">
            <v>IS_alqt_plus</v>
          </cell>
          <cell r="K1174" t="str">
            <v>EMON</v>
          </cell>
          <cell r="M1174" t="str">
            <v>M</v>
          </cell>
          <cell r="AB1174" t="str">
            <v>serum</v>
          </cell>
          <cell r="AF1174">
            <v>0.8</v>
          </cell>
        </row>
        <row r="1175">
          <cell r="A1175" t="str">
            <v>gone</v>
          </cell>
          <cell r="K1175" t="str">
            <v>EMON</v>
          </cell>
          <cell r="M1175" t="str">
            <v>F</v>
          </cell>
          <cell r="AB1175" t="str">
            <v>serum</v>
          </cell>
          <cell r="AF1175">
            <v>0</v>
          </cell>
        </row>
        <row r="1176">
          <cell r="A1176" t="str">
            <v>IS_alqt_plus</v>
          </cell>
          <cell r="K1176" t="str">
            <v>EMON</v>
          </cell>
          <cell r="M1176" t="str">
            <v>M</v>
          </cell>
          <cell r="AB1176" t="str">
            <v>serum</v>
          </cell>
          <cell r="AF1176">
            <v>0.7</v>
          </cell>
        </row>
        <row r="1177">
          <cell r="A1177" t="str">
            <v>IS_alqt_plus</v>
          </cell>
          <cell r="K1177" t="str">
            <v>EMON</v>
          </cell>
          <cell r="M1177" t="str">
            <v>M</v>
          </cell>
          <cell r="AB1177" t="str">
            <v>serum</v>
          </cell>
          <cell r="AF1177">
            <v>0.5</v>
          </cell>
        </row>
        <row r="1178">
          <cell r="A1178" t="str">
            <v>IS_alqt_plus</v>
          </cell>
          <cell r="K1178" t="str">
            <v>EMON</v>
          </cell>
          <cell r="M1178" t="str">
            <v>M</v>
          </cell>
          <cell r="AB1178" t="str">
            <v>serum</v>
          </cell>
          <cell r="AF1178">
            <v>0.8</v>
          </cell>
        </row>
        <row r="1179">
          <cell r="A1179" t="str">
            <v>IS_alqt_plus</v>
          </cell>
          <cell r="K1179" t="str">
            <v>EMON</v>
          </cell>
          <cell r="M1179" t="str">
            <v>F</v>
          </cell>
          <cell r="AB1179" t="str">
            <v>serum</v>
          </cell>
          <cell r="AF1179">
            <v>1.1000000000000001</v>
          </cell>
        </row>
        <row r="1180">
          <cell r="A1180" t="str">
            <v>IS_alqt_plus</v>
          </cell>
          <cell r="K1180" t="str">
            <v>EMON</v>
          </cell>
          <cell r="M1180" t="str">
            <v>F</v>
          </cell>
          <cell r="AB1180" t="str">
            <v>serum</v>
          </cell>
          <cell r="AF1180">
            <v>1</v>
          </cell>
        </row>
        <row r="1181">
          <cell r="A1181" t="str">
            <v>IS_alqt_plus</v>
          </cell>
          <cell r="K1181" t="str">
            <v>EMON</v>
          </cell>
          <cell r="M1181" t="str">
            <v>M</v>
          </cell>
          <cell r="AB1181" t="str">
            <v>serum</v>
          </cell>
          <cell r="AF1181">
            <v>1.1000000000000001</v>
          </cell>
        </row>
        <row r="1182">
          <cell r="A1182" t="str">
            <v>IS_alqt_plus</v>
          </cell>
          <cell r="K1182" t="str">
            <v>EMON</v>
          </cell>
          <cell r="M1182" t="str">
            <v>M</v>
          </cell>
          <cell r="AB1182" t="str">
            <v>serum</v>
          </cell>
          <cell r="AF1182">
            <v>1.4</v>
          </cell>
        </row>
        <row r="1183">
          <cell r="A1183" t="str">
            <v>IS_alqt_plus</v>
          </cell>
          <cell r="K1183" t="str">
            <v>EMON</v>
          </cell>
          <cell r="M1183" t="str">
            <v>F</v>
          </cell>
          <cell r="AB1183" t="str">
            <v>serum</v>
          </cell>
          <cell r="AF1183">
            <v>1.5</v>
          </cell>
        </row>
        <row r="1184">
          <cell r="A1184" t="str">
            <v>IS_alqt_plus</v>
          </cell>
          <cell r="K1184" t="str">
            <v>DMAD</v>
          </cell>
          <cell r="M1184" t="str">
            <v>F</v>
          </cell>
          <cell r="AB1184" t="str">
            <v>serum</v>
          </cell>
          <cell r="AF1184">
            <v>1</v>
          </cell>
        </row>
        <row r="1185">
          <cell r="A1185" t="str">
            <v>IS_alqt_plus</v>
          </cell>
          <cell r="K1185" t="str">
            <v>DMAD</v>
          </cell>
          <cell r="M1185" t="str">
            <v>F</v>
          </cell>
          <cell r="AB1185" t="str">
            <v>serum</v>
          </cell>
          <cell r="AF1185">
            <v>1</v>
          </cell>
        </row>
        <row r="1186">
          <cell r="A1186" t="str">
            <v>IS_alqt_plus</v>
          </cell>
          <cell r="K1186" t="str">
            <v>PTAT</v>
          </cell>
          <cell r="M1186" t="str">
            <v>M</v>
          </cell>
          <cell r="AB1186" t="str">
            <v>serum</v>
          </cell>
          <cell r="AF1186">
            <v>1</v>
          </cell>
        </row>
        <row r="1187">
          <cell r="A1187" t="str">
            <v>IS_alqt_plus</v>
          </cell>
          <cell r="K1187" t="str">
            <v>PTAT</v>
          </cell>
          <cell r="M1187" t="str">
            <v>M</v>
          </cell>
          <cell r="AB1187" t="str">
            <v>serum</v>
          </cell>
          <cell r="AF1187">
            <v>1</v>
          </cell>
        </row>
        <row r="1188">
          <cell r="A1188" t="str">
            <v>IS_alqt_plus</v>
          </cell>
          <cell r="K1188" t="str">
            <v>PTAT</v>
          </cell>
          <cell r="M1188" t="str">
            <v>M</v>
          </cell>
          <cell r="AB1188" t="str">
            <v>serum</v>
          </cell>
          <cell r="AF1188">
            <v>1.5</v>
          </cell>
        </row>
        <row r="1189">
          <cell r="A1189" t="str">
            <v>IS_alqt_plus</v>
          </cell>
          <cell r="K1189" t="str">
            <v>PCOQ</v>
          </cell>
          <cell r="M1189" t="str">
            <v>M</v>
          </cell>
          <cell r="AB1189" t="str">
            <v>serum</v>
          </cell>
          <cell r="AF1189">
            <v>0.25</v>
          </cell>
        </row>
        <row r="1190">
          <cell r="A1190" t="str">
            <v>IS_alqt_plus</v>
          </cell>
          <cell r="K1190" t="str">
            <v>PCOQ</v>
          </cell>
          <cell r="M1190" t="str">
            <v>M</v>
          </cell>
          <cell r="AB1190" t="str">
            <v>serum</v>
          </cell>
          <cell r="AF1190">
            <v>0.7</v>
          </cell>
        </row>
        <row r="1191">
          <cell r="A1191" t="str">
            <v>IS_alqt_plus</v>
          </cell>
          <cell r="K1191" t="str">
            <v>VVV</v>
          </cell>
          <cell r="M1191" t="str">
            <v>M</v>
          </cell>
          <cell r="AB1191" t="str">
            <v>serum</v>
          </cell>
          <cell r="AF1191">
            <v>1</v>
          </cell>
        </row>
        <row r="1192">
          <cell r="A1192" t="str">
            <v>IS_alqt_plus</v>
          </cell>
          <cell r="K1192" t="str">
            <v>VVV</v>
          </cell>
          <cell r="M1192" t="str">
            <v>M</v>
          </cell>
          <cell r="AB1192" t="str">
            <v>serum</v>
          </cell>
          <cell r="AF1192">
            <v>0.8</v>
          </cell>
        </row>
        <row r="1193">
          <cell r="A1193" t="str">
            <v>IS_alqt_plus</v>
          </cell>
          <cell r="K1193" t="str">
            <v>VVV</v>
          </cell>
          <cell r="M1193" t="str">
            <v>F</v>
          </cell>
          <cell r="AB1193" t="str">
            <v>serum</v>
          </cell>
          <cell r="AF1193">
            <v>1</v>
          </cell>
        </row>
        <row r="1194">
          <cell r="A1194" t="str">
            <v>IS_alqt_plus</v>
          </cell>
          <cell r="K1194" t="str">
            <v>VVV</v>
          </cell>
          <cell r="M1194" t="str">
            <v>F</v>
          </cell>
          <cell r="AB1194" t="str">
            <v>serum</v>
          </cell>
          <cell r="AF1194">
            <v>1</v>
          </cell>
        </row>
        <row r="1195">
          <cell r="A1195" t="str">
            <v>IS_alqt_plus</v>
          </cell>
          <cell r="K1195" t="str">
            <v>EFUL</v>
          </cell>
          <cell r="M1195" t="str">
            <v>M</v>
          </cell>
          <cell r="AB1195" t="str">
            <v>serum</v>
          </cell>
          <cell r="AF1195">
            <v>1.2</v>
          </cell>
        </row>
        <row r="1196">
          <cell r="A1196" t="str">
            <v>IS_alqt_plus</v>
          </cell>
          <cell r="K1196" t="str">
            <v>EFUL</v>
          </cell>
          <cell r="M1196" t="str">
            <v>M</v>
          </cell>
          <cell r="AB1196" t="str">
            <v>serum</v>
          </cell>
          <cell r="AF1196">
            <v>1.1000000000000001</v>
          </cell>
        </row>
        <row r="1197">
          <cell r="A1197" t="str">
            <v>IS_alqt_plus</v>
          </cell>
          <cell r="K1197" t="str">
            <v>EFUL</v>
          </cell>
          <cell r="M1197" t="str">
            <v>M</v>
          </cell>
          <cell r="AB1197" t="str">
            <v>serum</v>
          </cell>
          <cell r="AF1197">
            <v>1</v>
          </cell>
        </row>
        <row r="1198">
          <cell r="A1198" t="str">
            <v>IS_alqt_plus</v>
          </cell>
          <cell r="K1198" t="str">
            <v>EFUL</v>
          </cell>
          <cell r="M1198" t="str">
            <v>M</v>
          </cell>
          <cell r="AB1198" t="str">
            <v>serum</v>
          </cell>
          <cell r="AF1198">
            <v>1</v>
          </cell>
        </row>
        <row r="1199">
          <cell r="A1199" t="str">
            <v>IS_alqt_plus</v>
          </cell>
          <cell r="K1199" t="str">
            <v>HGG</v>
          </cell>
          <cell r="M1199" t="str">
            <v>M</v>
          </cell>
          <cell r="AB1199" t="str">
            <v>serum</v>
          </cell>
          <cell r="AF1199">
            <v>0.8</v>
          </cell>
        </row>
        <row r="1200">
          <cell r="A1200" t="str">
            <v>IS_alqt_plus</v>
          </cell>
          <cell r="K1200" t="str">
            <v>HGG</v>
          </cell>
          <cell r="M1200" t="str">
            <v>M</v>
          </cell>
          <cell r="AB1200" t="str">
            <v>serum</v>
          </cell>
          <cell r="AF1200">
            <v>1</v>
          </cell>
        </row>
        <row r="1201">
          <cell r="A1201" t="str">
            <v>IS_alqt_plus</v>
          </cell>
          <cell r="K1201" t="str">
            <v>EFUL</v>
          </cell>
          <cell r="M1201" t="str">
            <v>F</v>
          </cell>
          <cell r="AB1201" t="str">
            <v>serum</v>
          </cell>
          <cell r="AF1201">
            <v>1</v>
          </cell>
        </row>
        <row r="1202">
          <cell r="A1202" t="str">
            <v>IS_alqt_plus</v>
          </cell>
          <cell r="K1202" t="str">
            <v>EFUL</v>
          </cell>
          <cell r="M1202" t="str">
            <v>F</v>
          </cell>
          <cell r="AB1202" t="str">
            <v>serum</v>
          </cell>
          <cell r="AF1202">
            <v>1</v>
          </cell>
        </row>
        <row r="1203">
          <cell r="A1203" t="str">
            <v>IS_alqt_plus</v>
          </cell>
          <cell r="K1203" t="str">
            <v>LCAT</v>
          </cell>
          <cell r="M1203" t="str">
            <v>M</v>
          </cell>
          <cell r="AB1203" t="str">
            <v>serum</v>
          </cell>
          <cell r="AF1203">
            <v>1</v>
          </cell>
        </row>
        <row r="1204">
          <cell r="A1204" t="str">
            <v>IS_alqt_plus</v>
          </cell>
          <cell r="K1204" t="str">
            <v>HGG</v>
          </cell>
          <cell r="M1204" t="str">
            <v>F</v>
          </cell>
          <cell r="AB1204" t="str">
            <v>serum</v>
          </cell>
          <cell r="AF1204">
            <v>0.7</v>
          </cell>
        </row>
        <row r="1205">
          <cell r="A1205" t="str">
            <v>IS_alqt_plus</v>
          </cell>
          <cell r="K1205" t="str">
            <v>ECOR</v>
          </cell>
          <cell r="M1205" t="str">
            <v>M</v>
          </cell>
          <cell r="AB1205" t="str">
            <v>serum</v>
          </cell>
          <cell r="AF1205">
            <v>0.8</v>
          </cell>
        </row>
        <row r="1206">
          <cell r="A1206" t="str">
            <v>IS_alqt_plus</v>
          </cell>
          <cell r="K1206" t="str">
            <v>ECOR</v>
          </cell>
          <cell r="M1206" t="str">
            <v>F</v>
          </cell>
          <cell r="AB1206" t="str">
            <v>serum</v>
          </cell>
          <cell r="AF1206">
            <v>0.5</v>
          </cell>
        </row>
        <row r="1207">
          <cell r="A1207" t="str">
            <v>IS_alqt_plus</v>
          </cell>
          <cell r="K1207" t="str">
            <v>ECOR</v>
          </cell>
          <cell r="M1207" t="str">
            <v>M</v>
          </cell>
          <cell r="AB1207" t="str">
            <v>serum</v>
          </cell>
          <cell r="AF1207">
            <v>1.2</v>
          </cell>
        </row>
        <row r="1208">
          <cell r="A1208" t="str">
            <v>IS_alqt_plus</v>
          </cell>
          <cell r="K1208" t="str">
            <v>ECOR</v>
          </cell>
          <cell r="M1208" t="str">
            <v>F</v>
          </cell>
          <cell r="AB1208" t="str">
            <v>serum</v>
          </cell>
          <cell r="AF1208">
            <v>1</v>
          </cell>
        </row>
        <row r="1209">
          <cell r="A1209" t="str">
            <v>IS_alqt_plus</v>
          </cell>
          <cell r="K1209" t="str">
            <v>EUL</v>
          </cell>
          <cell r="M1209" t="str">
            <v>M</v>
          </cell>
          <cell r="AB1209" t="str">
            <v>serum</v>
          </cell>
          <cell r="AF1209">
            <v>0.7</v>
          </cell>
        </row>
        <row r="1210">
          <cell r="A1210" t="str">
            <v>IS_alqt_plus</v>
          </cell>
          <cell r="K1210" t="str">
            <v>EUL</v>
          </cell>
          <cell r="M1210" t="str">
            <v>M</v>
          </cell>
          <cell r="AB1210" t="str">
            <v>serum</v>
          </cell>
          <cell r="AF1210">
            <v>1.5</v>
          </cell>
        </row>
        <row r="1211">
          <cell r="A1211" t="str">
            <v>IS_alqt_plus</v>
          </cell>
          <cell r="K1211" t="str">
            <v>HGG</v>
          </cell>
          <cell r="M1211" t="str">
            <v>M</v>
          </cell>
          <cell r="AB1211" t="str">
            <v>serum</v>
          </cell>
          <cell r="AF1211">
            <v>1</v>
          </cell>
        </row>
        <row r="1212">
          <cell r="A1212" t="str">
            <v>IS_alqt_plus</v>
          </cell>
          <cell r="K1212" t="str">
            <v>EUL</v>
          </cell>
          <cell r="M1212" t="str">
            <v>M</v>
          </cell>
          <cell r="AB1212" t="str">
            <v>serum</v>
          </cell>
          <cell r="AF1212">
            <v>1.8</v>
          </cell>
        </row>
        <row r="1213">
          <cell r="A1213" t="str">
            <v>IS_alqt_plus</v>
          </cell>
          <cell r="K1213" t="str">
            <v>ECOL</v>
          </cell>
          <cell r="M1213" t="str">
            <v>M</v>
          </cell>
          <cell r="AB1213" t="str">
            <v>serum</v>
          </cell>
          <cell r="AF1213">
            <v>1.1000000000000001</v>
          </cell>
        </row>
        <row r="1214">
          <cell r="A1214" t="str">
            <v>IS_alqt_plus</v>
          </cell>
          <cell r="K1214" t="str">
            <v>ERUF</v>
          </cell>
          <cell r="M1214" t="str">
            <v>M</v>
          </cell>
          <cell r="AB1214" t="str">
            <v>serum</v>
          </cell>
          <cell r="AF1214">
            <v>0.9</v>
          </cell>
        </row>
        <row r="1215">
          <cell r="A1215" t="str">
            <v>IS_alqt_plus</v>
          </cell>
          <cell r="K1215" t="str">
            <v>ERUF</v>
          </cell>
          <cell r="M1215" t="str">
            <v>M</v>
          </cell>
          <cell r="AB1215" t="str">
            <v>serum</v>
          </cell>
          <cell r="AF1215">
            <v>0.7</v>
          </cell>
        </row>
        <row r="1216">
          <cell r="A1216" t="str">
            <v>IS_alqt_plus</v>
          </cell>
          <cell r="K1216" t="str">
            <v>ERUB</v>
          </cell>
          <cell r="M1216" t="str">
            <v>M</v>
          </cell>
          <cell r="AB1216" t="str">
            <v>serum</v>
          </cell>
          <cell r="AF1216">
            <v>0.7</v>
          </cell>
        </row>
        <row r="1217">
          <cell r="A1217" t="str">
            <v>IS_alqt_plus</v>
          </cell>
          <cell r="K1217" t="str">
            <v>ERUB</v>
          </cell>
          <cell r="M1217" t="str">
            <v>M</v>
          </cell>
          <cell r="AB1217" t="str">
            <v>serum</v>
          </cell>
          <cell r="AF1217">
            <v>0.9</v>
          </cell>
        </row>
        <row r="1218">
          <cell r="A1218" t="str">
            <v>IS_alqt_plus</v>
          </cell>
          <cell r="K1218" t="str">
            <v>ECOR</v>
          </cell>
          <cell r="M1218" t="str">
            <v>M</v>
          </cell>
          <cell r="AB1218" t="str">
            <v>serum</v>
          </cell>
          <cell r="AF1218">
            <v>1.2</v>
          </cell>
        </row>
        <row r="1219">
          <cell r="A1219" t="str">
            <v>IS_alqt_plus</v>
          </cell>
          <cell r="K1219" t="str">
            <v>ECOL</v>
          </cell>
          <cell r="M1219" t="str">
            <v>M</v>
          </cell>
          <cell r="AB1219" t="str">
            <v>serum</v>
          </cell>
          <cell r="AF1219">
            <v>1.75</v>
          </cell>
        </row>
        <row r="1220">
          <cell r="A1220" t="str">
            <v>IS_alqt_plus</v>
          </cell>
          <cell r="K1220" t="str">
            <v>ECOR</v>
          </cell>
          <cell r="M1220" t="str">
            <v>F</v>
          </cell>
          <cell r="AB1220" t="str">
            <v>serum</v>
          </cell>
          <cell r="AF1220">
            <v>0.5</v>
          </cell>
        </row>
        <row r="1221">
          <cell r="A1221" t="str">
            <v>IS_alqt_plus</v>
          </cell>
          <cell r="K1221" t="str">
            <v>ECOR</v>
          </cell>
          <cell r="M1221" t="str">
            <v>F</v>
          </cell>
          <cell r="AB1221" t="str">
            <v>serum</v>
          </cell>
          <cell r="AF1221">
            <v>1.2</v>
          </cell>
        </row>
        <row r="1222">
          <cell r="A1222" t="str">
            <v>IS_alqt_plus</v>
          </cell>
          <cell r="K1222" t="str">
            <v>ECOR</v>
          </cell>
          <cell r="M1222" t="str">
            <v>F</v>
          </cell>
          <cell r="AB1222" t="str">
            <v>serum</v>
          </cell>
          <cell r="AF1222">
            <v>1.5</v>
          </cell>
        </row>
        <row r="1223">
          <cell r="A1223" t="str">
            <v>IS_alqt_plus</v>
          </cell>
          <cell r="K1223" t="str">
            <v>ECOL</v>
          </cell>
          <cell r="M1223" t="str">
            <v>M</v>
          </cell>
          <cell r="AB1223" t="str">
            <v>serum</v>
          </cell>
          <cell r="AF1223">
            <v>0.9</v>
          </cell>
        </row>
        <row r="1224">
          <cell r="A1224" t="str">
            <v>IS_alqt_plus</v>
          </cell>
          <cell r="K1224" t="str">
            <v>EFLA</v>
          </cell>
          <cell r="M1224" t="str">
            <v>M</v>
          </cell>
          <cell r="AB1224" t="str">
            <v>serum</v>
          </cell>
          <cell r="AF1224">
            <v>0.25</v>
          </cell>
        </row>
        <row r="1225">
          <cell r="A1225" t="str">
            <v>IS_alqt_plus</v>
          </cell>
          <cell r="K1225" t="str">
            <v>EFLA</v>
          </cell>
          <cell r="M1225" t="str">
            <v>M</v>
          </cell>
          <cell r="AB1225" t="str">
            <v>serum</v>
          </cell>
          <cell r="AF1225">
            <v>0.2</v>
          </cell>
        </row>
        <row r="1226">
          <cell r="A1226" t="str">
            <v>IS_alqt_plus</v>
          </cell>
          <cell r="K1226" t="str">
            <v>EFLA</v>
          </cell>
          <cell r="M1226" t="str">
            <v>M</v>
          </cell>
          <cell r="AB1226" t="str">
            <v>serum</v>
          </cell>
          <cell r="AF1226">
            <v>0.2</v>
          </cell>
        </row>
        <row r="1227">
          <cell r="A1227" t="str">
            <v>IS_alqt_plus</v>
          </cell>
          <cell r="K1227" t="str">
            <v>EFLA</v>
          </cell>
          <cell r="M1227" t="str">
            <v>M</v>
          </cell>
          <cell r="AB1227" t="str">
            <v>serum</v>
          </cell>
          <cell r="AF1227">
            <v>1.1000000000000001</v>
          </cell>
        </row>
        <row r="1228">
          <cell r="A1228" t="str">
            <v>IS_alqt_plus</v>
          </cell>
          <cell r="K1228" t="str">
            <v>EMON</v>
          </cell>
          <cell r="M1228" t="str">
            <v>M</v>
          </cell>
          <cell r="AB1228" t="str">
            <v>serum</v>
          </cell>
          <cell r="AF1228">
            <v>1</v>
          </cell>
        </row>
        <row r="1229">
          <cell r="A1229" t="str">
            <v>gone</v>
          </cell>
          <cell r="K1229" t="str">
            <v>EMON</v>
          </cell>
          <cell r="M1229" t="str">
            <v>M</v>
          </cell>
          <cell r="AB1229" t="str">
            <v>serum</v>
          </cell>
          <cell r="AF1229">
            <v>0</v>
          </cell>
        </row>
        <row r="1230">
          <cell r="A1230" t="str">
            <v>IS_alqt_plus</v>
          </cell>
          <cell r="K1230" t="str">
            <v>VVV</v>
          </cell>
          <cell r="M1230" t="str">
            <v>F</v>
          </cell>
          <cell r="AB1230" t="str">
            <v>serum</v>
          </cell>
          <cell r="AF1230">
            <v>1.2</v>
          </cell>
        </row>
        <row r="1231">
          <cell r="A1231" t="str">
            <v>IS_alqt_plus</v>
          </cell>
          <cell r="K1231" t="str">
            <v>VVV</v>
          </cell>
          <cell r="M1231" t="str">
            <v>M</v>
          </cell>
          <cell r="AB1231" t="str">
            <v>serum</v>
          </cell>
          <cell r="AF1231">
            <v>1</v>
          </cell>
        </row>
        <row r="1232">
          <cell r="A1232" t="str">
            <v>IS_alqt_plus</v>
          </cell>
          <cell r="K1232" t="str">
            <v>VVV</v>
          </cell>
          <cell r="M1232" t="str">
            <v>M</v>
          </cell>
          <cell r="AB1232" t="str">
            <v>serum</v>
          </cell>
          <cell r="AF1232">
            <v>1.2</v>
          </cell>
        </row>
        <row r="1233">
          <cell r="A1233" t="str">
            <v>IS_alqt_plus</v>
          </cell>
          <cell r="K1233" t="str">
            <v>ERUF</v>
          </cell>
          <cell r="M1233" t="str">
            <v>M</v>
          </cell>
          <cell r="AB1233" t="str">
            <v>serum</v>
          </cell>
          <cell r="AF1233">
            <v>1.6</v>
          </cell>
        </row>
        <row r="1234">
          <cell r="A1234" t="str">
            <v>IS_alqt_plus</v>
          </cell>
          <cell r="K1234" t="str">
            <v>EALB</v>
          </cell>
          <cell r="M1234" t="str">
            <v>M</v>
          </cell>
          <cell r="AB1234" t="str">
            <v>serum</v>
          </cell>
          <cell r="AF1234">
            <v>1.2</v>
          </cell>
        </row>
        <row r="1235">
          <cell r="A1235" t="str">
            <v>IS_alqt_plus</v>
          </cell>
          <cell r="K1235" t="str">
            <v>EALB</v>
          </cell>
          <cell r="M1235" t="str">
            <v>M</v>
          </cell>
          <cell r="AB1235" t="str">
            <v>serum</v>
          </cell>
          <cell r="AF1235">
            <v>1.3</v>
          </cell>
        </row>
        <row r="1236">
          <cell r="A1236" t="str">
            <v>IS_alqt_plus</v>
          </cell>
          <cell r="K1236" t="str">
            <v>ERUF</v>
          </cell>
          <cell r="M1236" t="str">
            <v>M</v>
          </cell>
          <cell r="AB1236" t="str">
            <v>serum</v>
          </cell>
          <cell r="AF1236">
            <v>1.8</v>
          </cell>
        </row>
        <row r="1237">
          <cell r="A1237" t="str">
            <v>IS_alqt_plus</v>
          </cell>
          <cell r="K1237" t="str">
            <v>EFLA</v>
          </cell>
          <cell r="M1237" t="str">
            <v>F</v>
          </cell>
          <cell r="AB1237" t="str">
            <v>serum</v>
          </cell>
          <cell r="AF1237">
            <v>1.8</v>
          </cell>
        </row>
        <row r="1238">
          <cell r="A1238" t="str">
            <v>IS_alqt_plus</v>
          </cell>
          <cell r="K1238" t="str">
            <v>EFLA</v>
          </cell>
          <cell r="M1238" t="str">
            <v>F</v>
          </cell>
          <cell r="AB1238" t="str">
            <v>serum</v>
          </cell>
          <cell r="AF1238">
            <v>0.2</v>
          </cell>
        </row>
        <row r="1239">
          <cell r="A1239" t="str">
            <v>IS_alqt_plus</v>
          </cell>
          <cell r="K1239" t="str">
            <v>EFLA</v>
          </cell>
          <cell r="M1239" t="str">
            <v>M</v>
          </cell>
          <cell r="AB1239" t="str">
            <v>serum</v>
          </cell>
          <cell r="AF1239">
            <v>0.75</v>
          </cell>
        </row>
        <row r="1240">
          <cell r="A1240" t="str">
            <v>IS_alqt_plus</v>
          </cell>
          <cell r="K1240" t="str">
            <v>EFLA</v>
          </cell>
          <cell r="M1240" t="str">
            <v>M</v>
          </cell>
          <cell r="AB1240" t="str">
            <v>serum</v>
          </cell>
          <cell r="AF1240">
            <v>1</v>
          </cell>
        </row>
        <row r="1241">
          <cell r="A1241" t="str">
            <v>IS_alqt_plus</v>
          </cell>
          <cell r="K1241" t="str">
            <v>ESAN</v>
          </cell>
          <cell r="M1241" t="str">
            <v>M</v>
          </cell>
          <cell r="AB1241" t="str">
            <v>serum</v>
          </cell>
          <cell r="AF1241">
            <v>1.7</v>
          </cell>
        </row>
        <row r="1242">
          <cell r="A1242" t="str">
            <v>IS_alqt_plus</v>
          </cell>
          <cell r="K1242" t="str">
            <v>ESAN</v>
          </cell>
          <cell r="M1242" t="str">
            <v>F</v>
          </cell>
          <cell r="AB1242" t="str">
            <v>serum</v>
          </cell>
          <cell r="AF1242">
            <v>1.8</v>
          </cell>
        </row>
        <row r="1243">
          <cell r="A1243" t="str">
            <v>IS_alqt_plus</v>
          </cell>
          <cell r="K1243" t="str">
            <v>LCAT</v>
          </cell>
          <cell r="M1243" t="str">
            <v>M</v>
          </cell>
          <cell r="AB1243" t="str">
            <v>serum</v>
          </cell>
          <cell r="AF1243">
            <v>1.4</v>
          </cell>
        </row>
        <row r="1244">
          <cell r="A1244" t="str">
            <v>IS_alqt_plus</v>
          </cell>
          <cell r="K1244" t="str">
            <v>NCOU</v>
          </cell>
          <cell r="M1244" t="str">
            <v>M</v>
          </cell>
          <cell r="AB1244" t="str">
            <v>serum</v>
          </cell>
          <cell r="AF1244">
            <v>0.5</v>
          </cell>
        </row>
        <row r="1245">
          <cell r="A1245" t="str">
            <v>IS_alqt_plus</v>
          </cell>
          <cell r="K1245" t="str">
            <v>EMON</v>
          </cell>
          <cell r="M1245" t="str">
            <v>M</v>
          </cell>
          <cell r="AB1245" t="str">
            <v>serum</v>
          </cell>
          <cell r="AF1245">
            <v>1.2</v>
          </cell>
        </row>
        <row r="1246">
          <cell r="A1246" t="str">
            <v>IS_alqt_plus</v>
          </cell>
          <cell r="K1246" t="str">
            <v>CMED</v>
          </cell>
          <cell r="M1246" t="str">
            <v>F</v>
          </cell>
          <cell r="AB1246" t="str">
            <v>serum</v>
          </cell>
          <cell r="AF1246">
            <v>0.7</v>
          </cell>
        </row>
        <row r="1247">
          <cell r="A1247" t="str">
            <v>unk</v>
          </cell>
          <cell r="K1247" t="str">
            <v>VVV</v>
          </cell>
          <cell r="M1247" t="str">
            <v>M</v>
          </cell>
          <cell r="AB1247" t="str">
            <v>WB</v>
          </cell>
          <cell r="AF1247">
            <v>1</v>
          </cell>
        </row>
        <row r="1248">
          <cell r="A1248" t="str">
            <v>unk</v>
          </cell>
          <cell r="K1248" t="str">
            <v>VVV</v>
          </cell>
          <cell r="M1248" t="str">
            <v>M</v>
          </cell>
          <cell r="AB1248" t="str">
            <v>WB</v>
          </cell>
          <cell r="AF1248">
            <v>1</v>
          </cell>
        </row>
        <row r="1249">
          <cell r="A1249" t="str">
            <v>unk</v>
          </cell>
          <cell r="K1249" t="str">
            <v>EMAC</v>
          </cell>
          <cell r="M1249" t="str">
            <v>F</v>
          </cell>
          <cell r="AB1249" t="str">
            <v>WB</v>
          </cell>
          <cell r="AF1249">
            <v>0.75</v>
          </cell>
        </row>
        <row r="1250">
          <cell r="A1250" t="str">
            <v>IS_alqt_plus</v>
          </cell>
          <cell r="K1250" t="str">
            <v>HGG</v>
          </cell>
          <cell r="M1250" t="str">
            <v>F</v>
          </cell>
          <cell r="AB1250" t="str">
            <v>serum</v>
          </cell>
          <cell r="AF1250">
            <v>1</v>
          </cell>
        </row>
        <row r="1251">
          <cell r="A1251" t="str">
            <v>IS_alqt_plus</v>
          </cell>
          <cell r="K1251" t="str">
            <v>PTAT</v>
          </cell>
          <cell r="M1251" t="str">
            <v>M</v>
          </cell>
          <cell r="AB1251" t="str">
            <v>serum</v>
          </cell>
          <cell r="AF1251">
            <v>1.1000000000000001</v>
          </cell>
        </row>
        <row r="1252">
          <cell r="A1252" t="str">
            <v>IS_alqt_plus</v>
          </cell>
          <cell r="K1252" t="str">
            <v>PTAT</v>
          </cell>
          <cell r="M1252" t="str">
            <v>M</v>
          </cell>
          <cell r="AB1252" t="str">
            <v>serum</v>
          </cell>
          <cell r="AF1252">
            <v>1.1000000000000001</v>
          </cell>
        </row>
        <row r="1253">
          <cell r="A1253" t="str">
            <v>IS_alqt_plus</v>
          </cell>
          <cell r="K1253" t="str">
            <v>EALB</v>
          </cell>
          <cell r="M1253" t="str">
            <v>F</v>
          </cell>
          <cell r="AB1253" t="str">
            <v>serum</v>
          </cell>
          <cell r="AF1253">
            <v>1.1000000000000001</v>
          </cell>
        </row>
        <row r="1254">
          <cell r="A1254" t="str">
            <v>IS_alqt_plus</v>
          </cell>
          <cell r="K1254" t="str">
            <v>EALB</v>
          </cell>
          <cell r="M1254" t="str">
            <v>F</v>
          </cell>
          <cell r="AB1254" t="str">
            <v>serum</v>
          </cell>
          <cell r="AF1254">
            <v>1.1000000000000001</v>
          </cell>
        </row>
        <row r="1255">
          <cell r="A1255" t="str">
            <v>IS_alqt_plus</v>
          </cell>
          <cell r="K1255" t="str">
            <v>ECOL</v>
          </cell>
          <cell r="M1255" t="str">
            <v>F</v>
          </cell>
          <cell r="AB1255" t="str">
            <v>serum</v>
          </cell>
          <cell r="AF1255">
            <v>1</v>
          </cell>
        </row>
        <row r="1256">
          <cell r="A1256" t="str">
            <v>IS_alqt_plus</v>
          </cell>
          <cell r="K1256" t="str">
            <v>EMON</v>
          </cell>
          <cell r="M1256" t="str">
            <v>M</v>
          </cell>
          <cell r="AB1256" t="str">
            <v>serum</v>
          </cell>
          <cell r="AF1256">
            <v>1.7</v>
          </cell>
        </row>
        <row r="1257">
          <cell r="A1257" t="str">
            <v>IS_alqt_plus</v>
          </cell>
          <cell r="K1257" t="str">
            <v>LCAT</v>
          </cell>
          <cell r="M1257" t="str">
            <v>M</v>
          </cell>
          <cell r="AB1257" t="str">
            <v>serum</v>
          </cell>
          <cell r="AF1257">
            <v>0.9</v>
          </cell>
        </row>
        <row r="1258">
          <cell r="A1258" t="str">
            <v>IS_alqt_plus</v>
          </cell>
          <cell r="K1258" t="str">
            <v>EMON</v>
          </cell>
          <cell r="M1258" t="str">
            <v>M</v>
          </cell>
          <cell r="AB1258" t="str">
            <v>serum</v>
          </cell>
          <cell r="AF1258">
            <v>0.9</v>
          </cell>
        </row>
        <row r="1259">
          <cell r="A1259" t="str">
            <v>IS_alqt_plus</v>
          </cell>
          <cell r="K1259" t="str">
            <v>EMON</v>
          </cell>
          <cell r="M1259" t="str">
            <v>M</v>
          </cell>
          <cell r="AB1259" t="str">
            <v>serum</v>
          </cell>
          <cell r="AF1259">
            <v>1</v>
          </cell>
        </row>
        <row r="1260">
          <cell r="A1260" t="str">
            <v>IS_alqt_plus</v>
          </cell>
          <cell r="K1260" t="str">
            <v>EMON</v>
          </cell>
          <cell r="M1260" t="str">
            <v>M</v>
          </cell>
          <cell r="AB1260" t="str">
            <v>serum</v>
          </cell>
          <cell r="AF1260">
            <v>1</v>
          </cell>
        </row>
        <row r="1261">
          <cell r="A1261" t="str">
            <v>IS_alqt_plus</v>
          </cell>
          <cell r="K1261" t="str">
            <v>EMON</v>
          </cell>
          <cell r="M1261" t="str">
            <v>M</v>
          </cell>
          <cell r="AB1261" t="str">
            <v>serum</v>
          </cell>
          <cell r="AF1261">
            <v>1</v>
          </cell>
        </row>
        <row r="1262">
          <cell r="A1262" t="str">
            <v>IS_alqt_plus</v>
          </cell>
          <cell r="K1262" t="str">
            <v>ERUB</v>
          </cell>
          <cell r="M1262" t="str">
            <v>F</v>
          </cell>
          <cell r="AB1262" t="str">
            <v>serum</v>
          </cell>
          <cell r="AF1262">
            <v>0.5</v>
          </cell>
        </row>
        <row r="1263">
          <cell r="A1263" t="str">
            <v>IS_alqt_plus</v>
          </cell>
          <cell r="K1263" t="str">
            <v>ERUB</v>
          </cell>
          <cell r="M1263" t="str">
            <v>F</v>
          </cell>
          <cell r="AB1263" t="str">
            <v>serum</v>
          </cell>
          <cell r="AF1263">
            <v>1</v>
          </cell>
        </row>
        <row r="1264">
          <cell r="A1264" t="str">
            <v>IS_alqt_plus</v>
          </cell>
          <cell r="K1264" t="str">
            <v>ERUB</v>
          </cell>
          <cell r="M1264" t="str">
            <v>M</v>
          </cell>
          <cell r="AB1264" t="str">
            <v>serum</v>
          </cell>
          <cell r="AF1264">
            <v>0.55000000000000004</v>
          </cell>
        </row>
        <row r="1265">
          <cell r="A1265" t="str">
            <v>IS_alqt_plus</v>
          </cell>
          <cell r="K1265" t="str">
            <v>ERUB</v>
          </cell>
          <cell r="M1265" t="str">
            <v>M</v>
          </cell>
          <cell r="AB1265" t="str">
            <v>serum</v>
          </cell>
          <cell r="AF1265">
            <v>1</v>
          </cell>
        </row>
        <row r="1266">
          <cell r="A1266" t="str">
            <v>gone</v>
          </cell>
          <cell r="K1266" t="str">
            <v>ERUB</v>
          </cell>
          <cell r="M1266" t="str">
            <v>F</v>
          </cell>
          <cell r="AB1266" t="str">
            <v>WB</v>
          </cell>
          <cell r="AF1266">
            <v>0</v>
          </cell>
        </row>
        <row r="1267">
          <cell r="A1267" t="str">
            <v>IS_alqt_plus</v>
          </cell>
          <cell r="K1267" t="str">
            <v>ECOL</v>
          </cell>
          <cell r="M1267" t="str">
            <v>F</v>
          </cell>
          <cell r="AB1267" t="str">
            <v>serum</v>
          </cell>
          <cell r="AF1267">
            <v>1.3</v>
          </cell>
        </row>
        <row r="1268">
          <cell r="A1268" t="str">
            <v>IS_alqt_plus</v>
          </cell>
          <cell r="K1268" t="str">
            <v>ECOL</v>
          </cell>
          <cell r="M1268" t="str">
            <v>F</v>
          </cell>
          <cell r="AB1268" t="str">
            <v>serum</v>
          </cell>
          <cell r="AF1268">
            <v>0.9</v>
          </cell>
        </row>
        <row r="1269">
          <cell r="A1269" t="str">
            <v>IS_alqt_plus</v>
          </cell>
          <cell r="K1269" t="str">
            <v>ERUF</v>
          </cell>
          <cell r="M1269" t="str">
            <v>M</v>
          </cell>
          <cell r="AB1269" t="str">
            <v>serum</v>
          </cell>
          <cell r="AF1269">
            <v>1.1000000000000001</v>
          </cell>
        </row>
        <row r="1270">
          <cell r="A1270" t="str">
            <v>IS_alqt_plus</v>
          </cell>
          <cell r="K1270" t="str">
            <v>ERUF</v>
          </cell>
          <cell r="M1270" t="str">
            <v>M</v>
          </cell>
          <cell r="AB1270" t="str">
            <v>serum</v>
          </cell>
          <cell r="AF1270">
            <v>1</v>
          </cell>
        </row>
        <row r="1271">
          <cell r="A1271" t="str">
            <v>IS_alqt_plus</v>
          </cell>
          <cell r="K1271" t="str">
            <v>ERUF</v>
          </cell>
          <cell r="M1271" t="str">
            <v>F</v>
          </cell>
          <cell r="AB1271" t="str">
            <v>serum</v>
          </cell>
          <cell r="AF1271">
            <v>1.6</v>
          </cell>
        </row>
        <row r="1272">
          <cell r="A1272" t="str">
            <v>IS_alqt_plus</v>
          </cell>
          <cell r="K1272" t="str">
            <v>ERUB</v>
          </cell>
          <cell r="M1272" t="str">
            <v>F</v>
          </cell>
          <cell r="AB1272" t="str">
            <v>serum</v>
          </cell>
          <cell r="AF1272">
            <v>1.5</v>
          </cell>
        </row>
        <row r="1273">
          <cell r="A1273" t="str">
            <v>IS_alqt_plus</v>
          </cell>
          <cell r="K1273" t="str">
            <v>CMED</v>
          </cell>
          <cell r="M1273" t="str">
            <v>F</v>
          </cell>
          <cell r="AB1273" t="str">
            <v>serum</v>
          </cell>
          <cell r="AF1273">
            <v>1.1000000000000001</v>
          </cell>
        </row>
        <row r="1274">
          <cell r="A1274" t="str">
            <v>IS_alqt_plus</v>
          </cell>
          <cell r="K1274" t="str">
            <v>CMED</v>
          </cell>
          <cell r="M1274" t="str">
            <v>F</v>
          </cell>
          <cell r="AB1274" t="str">
            <v>serum</v>
          </cell>
          <cell r="AF1274">
            <v>1</v>
          </cell>
        </row>
        <row r="1275">
          <cell r="A1275" t="str">
            <v>IS_alqt_plus</v>
          </cell>
          <cell r="K1275" t="str">
            <v>LCAT</v>
          </cell>
          <cell r="M1275" t="str">
            <v>M</v>
          </cell>
          <cell r="AB1275" t="str">
            <v>serum</v>
          </cell>
          <cell r="AF1275">
            <v>0.7</v>
          </cell>
        </row>
        <row r="1276">
          <cell r="A1276" t="str">
            <v>IS_alqt_plus</v>
          </cell>
          <cell r="K1276" t="str">
            <v>EFUL</v>
          </cell>
          <cell r="M1276" t="str">
            <v>F</v>
          </cell>
          <cell r="AB1276" t="str">
            <v>serum</v>
          </cell>
          <cell r="AF1276">
            <v>1.1000000000000001</v>
          </cell>
        </row>
        <row r="1277">
          <cell r="A1277" t="str">
            <v>IS_alqt_plus</v>
          </cell>
          <cell r="K1277" t="str">
            <v>ECOL</v>
          </cell>
          <cell r="M1277" t="str">
            <v>M</v>
          </cell>
          <cell r="AB1277" t="str">
            <v>serum</v>
          </cell>
          <cell r="AF1277">
            <v>1</v>
          </cell>
        </row>
        <row r="1278">
          <cell r="A1278" t="str">
            <v>IS_alqt_plus</v>
          </cell>
          <cell r="K1278" t="str">
            <v>ECOL</v>
          </cell>
          <cell r="M1278" t="str">
            <v>M</v>
          </cell>
          <cell r="AB1278" t="str">
            <v>serum</v>
          </cell>
          <cell r="AF1278">
            <v>1.6</v>
          </cell>
        </row>
        <row r="1279">
          <cell r="A1279" t="str">
            <v>gone</v>
          </cell>
          <cell r="K1279" t="str">
            <v>EMON</v>
          </cell>
          <cell r="M1279" t="str">
            <v>M</v>
          </cell>
          <cell r="AB1279" t="str">
            <v>serum</v>
          </cell>
          <cell r="AF1279">
            <v>0</v>
          </cell>
        </row>
        <row r="1280">
          <cell r="A1280" t="str">
            <v>IS_alqt_plus</v>
          </cell>
          <cell r="K1280" t="str">
            <v>EMON</v>
          </cell>
          <cell r="M1280" t="str">
            <v>M</v>
          </cell>
          <cell r="AB1280" t="str">
            <v>serum</v>
          </cell>
          <cell r="AF1280">
            <v>0.9</v>
          </cell>
        </row>
        <row r="1281">
          <cell r="A1281" t="str">
            <v>IS_alqt_plus</v>
          </cell>
          <cell r="K1281" t="str">
            <v>EMON</v>
          </cell>
          <cell r="M1281" t="str">
            <v>F</v>
          </cell>
          <cell r="AB1281" t="str">
            <v>serum</v>
          </cell>
          <cell r="AF1281">
            <v>1.2</v>
          </cell>
        </row>
        <row r="1282">
          <cell r="A1282" t="str">
            <v>IS_alqt_plus</v>
          </cell>
          <cell r="K1282" t="str">
            <v>EMON</v>
          </cell>
          <cell r="M1282" t="str">
            <v>F</v>
          </cell>
          <cell r="AB1282" t="str">
            <v>serum</v>
          </cell>
          <cell r="AF1282">
            <v>0.75</v>
          </cell>
        </row>
        <row r="1283">
          <cell r="A1283" t="str">
            <v>IS_alqt_plus</v>
          </cell>
          <cell r="K1283" t="str">
            <v>EUL</v>
          </cell>
          <cell r="M1283" t="str">
            <v>F</v>
          </cell>
          <cell r="AB1283" t="str">
            <v>serum</v>
          </cell>
          <cell r="AF1283">
            <v>0.6</v>
          </cell>
        </row>
        <row r="1284">
          <cell r="A1284" t="str">
            <v>IS_alqt_plus</v>
          </cell>
          <cell r="K1284" t="str">
            <v>EUL</v>
          </cell>
          <cell r="M1284" t="str">
            <v>F</v>
          </cell>
          <cell r="AB1284" t="str">
            <v>serum</v>
          </cell>
          <cell r="AF1284">
            <v>1</v>
          </cell>
        </row>
        <row r="1285">
          <cell r="A1285" t="str">
            <v>IS_alqt_plus</v>
          </cell>
          <cell r="K1285" t="str">
            <v>ECOL</v>
          </cell>
          <cell r="M1285" t="str">
            <v>F</v>
          </cell>
          <cell r="AB1285" t="str">
            <v>serum</v>
          </cell>
          <cell r="AF1285">
            <v>0.9</v>
          </cell>
        </row>
        <row r="1286">
          <cell r="A1286" t="str">
            <v>IS_alqt_plus</v>
          </cell>
          <cell r="K1286" t="str">
            <v>ECOL</v>
          </cell>
          <cell r="M1286" t="str">
            <v>F</v>
          </cell>
          <cell r="AB1286" t="str">
            <v>serum</v>
          </cell>
          <cell r="AF1286">
            <v>1</v>
          </cell>
        </row>
        <row r="1287">
          <cell r="A1287" t="str">
            <v>IS_alqt_plus</v>
          </cell>
          <cell r="K1287" t="str">
            <v>ECOL</v>
          </cell>
          <cell r="M1287" t="str">
            <v>M</v>
          </cell>
          <cell r="AB1287" t="str">
            <v>serum</v>
          </cell>
          <cell r="AF1287">
            <v>0.3</v>
          </cell>
        </row>
        <row r="1288">
          <cell r="A1288" t="str">
            <v>IS_alqt_plus</v>
          </cell>
          <cell r="K1288" t="str">
            <v>ECOL</v>
          </cell>
          <cell r="M1288" t="str">
            <v>M</v>
          </cell>
          <cell r="AB1288" t="str">
            <v>serum</v>
          </cell>
          <cell r="AF1288">
            <v>1.1000000000000001</v>
          </cell>
        </row>
        <row r="1289">
          <cell r="A1289" t="str">
            <v>IS_alqt_plus</v>
          </cell>
          <cell r="K1289" t="str">
            <v>ECOL</v>
          </cell>
          <cell r="M1289" t="str">
            <v>M</v>
          </cell>
          <cell r="AB1289" t="str">
            <v>serum</v>
          </cell>
          <cell r="AF1289">
            <v>1</v>
          </cell>
        </row>
        <row r="1290">
          <cell r="A1290" t="str">
            <v>IS_alqt_plus</v>
          </cell>
          <cell r="K1290" t="str">
            <v>ECOL</v>
          </cell>
          <cell r="M1290" t="str">
            <v>M</v>
          </cell>
          <cell r="AB1290" t="str">
            <v>serum</v>
          </cell>
          <cell r="AF1290">
            <v>1.2</v>
          </cell>
        </row>
        <row r="1291">
          <cell r="A1291" t="str">
            <v>gone</v>
          </cell>
          <cell r="K1291" t="str">
            <v>PCOQ</v>
          </cell>
          <cell r="M1291" t="str">
            <v>F</v>
          </cell>
          <cell r="AB1291" t="str">
            <v>serum</v>
          </cell>
          <cell r="AF1291">
            <v>0</v>
          </cell>
        </row>
        <row r="1292">
          <cell r="A1292" t="str">
            <v>unk</v>
          </cell>
          <cell r="K1292" t="str">
            <v>PCOQ</v>
          </cell>
          <cell r="M1292" t="str">
            <v>F</v>
          </cell>
          <cell r="AB1292" t="str">
            <v>serum</v>
          </cell>
          <cell r="AF1292">
            <v>0.5</v>
          </cell>
        </row>
        <row r="1293">
          <cell r="A1293" t="str">
            <v>gone</v>
          </cell>
          <cell r="K1293" t="str">
            <v>PCOQ</v>
          </cell>
          <cell r="M1293" t="str">
            <v>F</v>
          </cell>
          <cell r="AB1293" t="str">
            <v>serum</v>
          </cell>
          <cell r="AF1293">
            <v>0</v>
          </cell>
        </row>
        <row r="1294">
          <cell r="A1294" t="str">
            <v>IS_alqt_plus</v>
          </cell>
          <cell r="K1294" t="str">
            <v>PCOQ</v>
          </cell>
          <cell r="M1294" t="str">
            <v>F</v>
          </cell>
          <cell r="AB1294" t="str">
            <v>serum</v>
          </cell>
          <cell r="AF1294">
            <v>1.2</v>
          </cell>
        </row>
        <row r="1295">
          <cell r="A1295" t="str">
            <v>IS_alqt_plus</v>
          </cell>
          <cell r="K1295" t="str">
            <v>EMON</v>
          </cell>
          <cell r="M1295" t="str">
            <v>M</v>
          </cell>
          <cell r="AB1295" t="str">
            <v>serum</v>
          </cell>
          <cell r="AF1295">
            <v>1.2</v>
          </cell>
        </row>
        <row r="1296">
          <cell r="A1296" t="str">
            <v>IS_alqt_plus</v>
          </cell>
          <cell r="K1296" t="str">
            <v>EMON</v>
          </cell>
          <cell r="M1296" t="str">
            <v>M</v>
          </cell>
          <cell r="AB1296" t="str">
            <v>serum</v>
          </cell>
          <cell r="AF1296">
            <v>1.3</v>
          </cell>
        </row>
        <row r="1297">
          <cell r="A1297" t="str">
            <v>IS_alqt_plus</v>
          </cell>
          <cell r="K1297" t="str">
            <v>EFLA</v>
          </cell>
          <cell r="M1297" t="str">
            <v>M</v>
          </cell>
          <cell r="AB1297" t="str">
            <v>serum</v>
          </cell>
          <cell r="AF1297">
            <v>1.5</v>
          </cell>
        </row>
        <row r="1298">
          <cell r="A1298" t="str">
            <v>IS_alqt_plus</v>
          </cell>
          <cell r="K1298" t="str">
            <v>EFLA</v>
          </cell>
          <cell r="M1298" t="str">
            <v>M</v>
          </cell>
          <cell r="AB1298" t="str">
            <v>serum</v>
          </cell>
          <cell r="AF1298">
            <v>1.5</v>
          </cell>
        </row>
        <row r="1299">
          <cell r="A1299" t="str">
            <v>IS_alqt_plus</v>
          </cell>
          <cell r="K1299" t="str">
            <v>EMON</v>
          </cell>
          <cell r="M1299" t="str">
            <v>M</v>
          </cell>
          <cell r="AB1299" t="str">
            <v>serum</v>
          </cell>
          <cell r="AF1299">
            <v>0.5</v>
          </cell>
        </row>
        <row r="1300">
          <cell r="A1300" t="str">
            <v>IS_alqt_plus</v>
          </cell>
          <cell r="K1300" t="str">
            <v>EMON</v>
          </cell>
          <cell r="M1300" t="str">
            <v>M</v>
          </cell>
          <cell r="AB1300" t="str">
            <v>serum</v>
          </cell>
          <cell r="AF1300">
            <v>0.3</v>
          </cell>
        </row>
        <row r="1301">
          <cell r="A1301" t="str">
            <v>IS_alqt_plus</v>
          </cell>
          <cell r="K1301" t="str">
            <v>EMON</v>
          </cell>
          <cell r="M1301" t="str">
            <v>M</v>
          </cell>
          <cell r="AB1301" t="str">
            <v>serum</v>
          </cell>
          <cell r="AF1301">
            <v>1</v>
          </cell>
        </row>
        <row r="1302">
          <cell r="A1302" t="str">
            <v>IS_alqt_plus</v>
          </cell>
          <cell r="K1302" t="str">
            <v>EMON</v>
          </cell>
          <cell r="M1302" t="str">
            <v>F</v>
          </cell>
          <cell r="AB1302" t="str">
            <v>serum</v>
          </cell>
          <cell r="AF1302">
            <v>0.7</v>
          </cell>
        </row>
        <row r="1303">
          <cell r="A1303" t="str">
            <v>IS_alqt_plus</v>
          </cell>
          <cell r="K1303" t="str">
            <v>ECOL</v>
          </cell>
          <cell r="M1303" t="str">
            <v>F</v>
          </cell>
          <cell r="AB1303" t="str">
            <v>serum</v>
          </cell>
          <cell r="AF1303">
            <v>0.9</v>
          </cell>
        </row>
        <row r="1304">
          <cell r="A1304" t="str">
            <v>IS_alqt_plus</v>
          </cell>
          <cell r="K1304" t="str">
            <v>EUL</v>
          </cell>
          <cell r="M1304" t="str">
            <v>M</v>
          </cell>
          <cell r="AB1304" t="str">
            <v>serum</v>
          </cell>
          <cell r="AF1304">
            <v>1.2</v>
          </cell>
        </row>
        <row r="1305">
          <cell r="A1305" t="str">
            <v>IS_alqt_plus</v>
          </cell>
          <cell r="K1305" t="str">
            <v>EUL</v>
          </cell>
          <cell r="M1305" t="str">
            <v>M</v>
          </cell>
          <cell r="AB1305" t="str">
            <v>serum</v>
          </cell>
          <cell r="AF1305">
            <v>1.4</v>
          </cell>
        </row>
        <row r="1306">
          <cell r="A1306" t="str">
            <v>IS_alqt_plus</v>
          </cell>
          <cell r="K1306" t="str">
            <v>EUL</v>
          </cell>
          <cell r="M1306" t="str">
            <v>M</v>
          </cell>
          <cell r="AB1306" t="str">
            <v>serum</v>
          </cell>
          <cell r="AF1306">
            <v>1</v>
          </cell>
        </row>
        <row r="1307">
          <cell r="A1307" t="str">
            <v>IS_alqt_plus</v>
          </cell>
          <cell r="K1307" t="str">
            <v>EUL</v>
          </cell>
          <cell r="M1307" t="str">
            <v>M</v>
          </cell>
          <cell r="AB1307" t="str">
            <v>serum</v>
          </cell>
          <cell r="AF1307">
            <v>1.25</v>
          </cell>
        </row>
        <row r="1308">
          <cell r="A1308" t="str">
            <v>IS_alqt_plus</v>
          </cell>
          <cell r="K1308" t="str">
            <v>DMAD</v>
          </cell>
          <cell r="M1308" t="str">
            <v>M</v>
          </cell>
          <cell r="AB1308" t="str">
            <v>serum</v>
          </cell>
          <cell r="AF1308">
            <v>1.2</v>
          </cell>
        </row>
        <row r="1309">
          <cell r="A1309" t="str">
            <v>IS_alqt_plus</v>
          </cell>
          <cell r="K1309" t="str">
            <v>EMON</v>
          </cell>
          <cell r="M1309" t="str">
            <v>F</v>
          </cell>
          <cell r="AB1309" t="str">
            <v>serum</v>
          </cell>
          <cell r="AF1309">
            <v>1.7</v>
          </cell>
        </row>
        <row r="1310">
          <cell r="A1310" t="str">
            <v>IS_alqt_plus</v>
          </cell>
          <cell r="K1310" t="str">
            <v>EMON</v>
          </cell>
          <cell r="M1310" t="str">
            <v>M</v>
          </cell>
          <cell r="AB1310" t="str">
            <v>serum</v>
          </cell>
          <cell r="AF1310">
            <v>1</v>
          </cell>
        </row>
        <row r="1311">
          <cell r="A1311" t="str">
            <v>gone</v>
          </cell>
          <cell r="K1311" t="str">
            <v>EMON</v>
          </cell>
          <cell r="M1311" t="str">
            <v>M</v>
          </cell>
          <cell r="AB1311" t="str">
            <v>serum</v>
          </cell>
          <cell r="AF1311">
            <v>0</v>
          </cell>
        </row>
        <row r="1312">
          <cell r="A1312" t="str">
            <v>IS_alqt_plus</v>
          </cell>
          <cell r="K1312" t="str">
            <v>EMON</v>
          </cell>
          <cell r="M1312" t="str">
            <v>F</v>
          </cell>
          <cell r="AB1312" t="str">
            <v>serum</v>
          </cell>
          <cell r="AF1312">
            <v>1.4</v>
          </cell>
        </row>
        <row r="1313">
          <cell r="A1313" t="str">
            <v>IS_alqt_plus</v>
          </cell>
          <cell r="K1313" t="str">
            <v>PCOQ</v>
          </cell>
          <cell r="M1313" t="str">
            <v>M</v>
          </cell>
          <cell r="AB1313" t="str">
            <v>serum</v>
          </cell>
          <cell r="AF1313">
            <v>0.2</v>
          </cell>
        </row>
        <row r="1314">
          <cell r="A1314" t="str">
            <v>IS_alqt_plus</v>
          </cell>
          <cell r="K1314" t="str">
            <v>PCOQ</v>
          </cell>
          <cell r="M1314" t="str">
            <v>M</v>
          </cell>
          <cell r="AB1314" t="str">
            <v>serum</v>
          </cell>
          <cell r="AF1314">
            <v>1.8</v>
          </cell>
        </row>
        <row r="1315">
          <cell r="A1315" t="str">
            <v>IS_alqt_plus</v>
          </cell>
          <cell r="K1315" t="str">
            <v>PCOQ</v>
          </cell>
          <cell r="M1315" t="str">
            <v>M</v>
          </cell>
          <cell r="AB1315" t="str">
            <v>serum</v>
          </cell>
          <cell r="AF1315">
            <v>1.8</v>
          </cell>
        </row>
        <row r="1316">
          <cell r="A1316" t="str">
            <v>IS_alqt_plus</v>
          </cell>
          <cell r="K1316" t="str">
            <v>EFLA</v>
          </cell>
          <cell r="M1316" t="str">
            <v>M</v>
          </cell>
          <cell r="AB1316" t="str">
            <v>serum</v>
          </cell>
          <cell r="AF1316">
            <v>0.2</v>
          </cell>
        </row>
        <row r="1317">
          <cell r="A1317" t="str">
            <v>IS_alqt_plus</v>
          </cell>
          <cell r="K1317" t="str">
            <v>EFLA</v>
          </cell>
          <cell r="M1317" t="str">
            <v>M</v>
          </cell>
          <cell r="AB1317" t="str">
            <v>serum</v>
          </cell>
          <cell r="AF1317">
            <v>0.2</v>
          </cell>
        </row>
        <row r="1318">
          <cell r="A1318" t="str">
            <v>IS_alqt_plus</v>
          </cell>
          <cell r="K1318" t="str">
            <v>EFLA</v>
          </cell>
          <cell r="M1318" t="str">
            <v>F</v>
          </cell>
          <cell r="AB1318" t="str">
            <v>serum</v>
          </cell>
          <cell r="AF1318">
            <v>0.2</v>
          </cell>
        </row>
        <row r="1319">
          <cell r="A1319" t="str">
            <v>unk</v>
          </cell>
          <cell r="K1319" t="str">
            <v>EFLA</v>
          </cell>
          <cell r="M1319" t="str">
            <v>F</v>
          </cell>
          <cell r="AB1319" t="str">
            <v>unk</v>
          </cell>
          <cell r="AF1319">
            <v>1.5</v>
          </cell>
        </row>
        <row r="1320">
          <cell r="A1320" t="str">
            <v>IS_alqt_plus</v>
          </cell>
          <cell r="K1320" t="str">
            <v>EFLA</v>
          </cell>
          <cell r="M1320" t="str">
            <v>M</v>
          </cell>
          <cell r="AB1320" t="str">
            <v>serum</v>
          </cell>
          <cell r="AF1320">
            <v>1.2</v>
          </cell>
        </row>
        <row r="1321">
          <cell r="A1321" t="str">
            <v>IS_alqt_plus</v>
          </cell>
          <cell r="K1321" t="str">
            <v>EFLA</v>
          </cell>
          <cell r="M1321" t="str">
            <v>M</v>
          </cell>
          <cell r="AB1321" t="str">
            <v>serum</v>
          </cell>
          <cell r="AF1321">
            <v>1</v>
          </cell>
        </row>
        <row r="1322">
          <cell r="A1322" t="str">
            <v>IS_alqt_plus</v>
          </cell>
          <cell r="K1322" t="str">
            <v>NCOU</v>
          </cell>
          <cell r="M1322" t="str">
            <v>F</v>
          </cell>
          <cell r="AB1322" t="str">
            <v>serum</v>
          </cell>
          <cell r="AF1322">
            <v>0.8</v>
          </cell>
        </row>
        <row r="1323">
          <cell r="A1323" t="str">
            <v>IS_alqt_plus</v>
          </cell>
          <cell r="K1323" t="str">
            <v>NCOU</v>
          </cell>
          <cell r="M1323" t="str">
            <v>F</v>
          </cell>
          <cell r="AB1323" t="str">
            <v>serum</v>
          </cell>
          <cell r="AF1323">
            <v>0.4</v>
          </cell>
        </row>
        <row r="1324">
          <cell r="A1324" t="str">
            <v>IS_alqt_plus</v>
          </cell>
          <cell r="K1324" t="str">
            <v>PCOQ</v>
          </cell>
          <cell r="M1324" t="str">
            <v>M</v>
          </cell>
          <cell r="AB1324" t="str">
            <v>serum</v>
          </cell>
          <cell r="AF1324">
            <v>0.25</v>
          </cell>
        </row>
        <row r="1325">
          <cell r="A1325" t="str">
            <v>IS_alqt_plus</v>
          </cell>
          <cell r="K1325" t="str">
            <v>PCOQ</v>
          </cell>
          <cell r="M1325" t="str">
            <v>M</v>
          </cell>
          <cell r="AB1325" t="str">
            <v>serum</v>
          </cell>
          <cell r="AF1325">
            <v>0.45</v>
          </cell>
        </row>
        <row r="1326">
          <cell r="A1326" t="str">
            <v>IS_alqt_plus</v>
          </cell>
          <cell r="K1326" t="str">
            <v>PCOQ</v>
          </cell>
          <cell r="M1326" t="str">
            <v>M</v>
          </cell>
          <cell r="AB1326" t="str">
            <v>serum</v>
          </cell>
          <cell r="AF1326">
            <v>1</v>
          </cell>
        </row>
        <row r="1327">
          <cell r="A1327" t="str">
            <v>gone</v>
          </cell>
          <cell r="K1327" t="str">
            <v>PCOQ</v>
          </cell>
          <cell r="M1327" t="str">
            <v>M</v>
          </cell>
          <cell r="AB1327" t="str">
            <v>serum</v>
          </cell>
          <cell r="AF1327">
            <v>0</v>
          </cell>
        </row>
        <row r="1328">
          <cell r="A1328" t="str">
            <v>IS_alqt_plus</v>
          </cell>
          <cell r="K1328" t="str">
            <v>PCOQ</v>
          </cell>
          <cell r="M1328" t="str">
            <v>M</v>
          </cell>
          <cell r="AB1328" t="str">
            <v>serum</v>
          </cell>
          <cell r="AF1328">
            <v>0.7</v>
          </cell>
        </row>
        <row r="1329">
          <cell r="A1329" t="str">
            <v>IS_alqt_plus</v>
          </cell>
          <cell r="K1329" t="str">
            <v>PCOQ</v>
          </cell>
          <cell r="M1329" t="str">
            <v>M</v>
          </cell>
          <cell r="AB1329" t="str">
            <v>serum</v>
          </cell>
          <cell r="AF1329">
            <v>0.35</v>
          </cell>
        </row>
        <row r="1330">
          <cell r="A1330" t="str">
            <v>IS_alqt_plus</v>
          </cell>
          <cell r="K1330" t="str">
            <v>PCOQ</v>
          </cell>
          <cell r="M1330" t="str">
            <v>M</v>
          </cell>
          <cell r="AB1330" t="str">
            <v>serum</v>
          </cell>
          <cell r="AF1330">
            <v>0.7</v>
          </cell>
        </row>
        <row r="1331">
          <cell r="A1331" t="str">
            <v>IS_alqt_plus</v>
          </cell>
          <cell r="K1331" t="str">
            <v>ECOL</v>
          </cell>
          <cell r="M1331" t="str">
            <v>F</v>
          </cell>
          <cell r="AB1331" t="str">
            <v>serum</v>
          </cell>
          <cell r="AF1331">
            <v>1.5</v>
          </cell>
        </row>
        <row r="1332">
          <cell r="A1332" t="str">
            <v>IS_alqt_plus</v>
          </cell>
          <cell r="K1332" t="str">
            <v>ECOL</v>
          </cell>
          <cell r="M1332" t="str">
            <v>F</v>
          </cell>
          <cell r="AB1332" t="str">
            <v>serum</v>
          </cell>
          <cell r="AF1332">
            <v>1.5</v>
          </cell>
        </row>
        <row r="1333">
          <cell r="A1333" t="str">
            <v>IS_alqt_plus</v>
          </cell>
          <cell r="K1333" t="str">
            <v>ECOL</v>
          </cell>
          <cell r="M1333" t="str">
            <v>M</v>
          </cell>
          <cell r="AB1333" t="str">
            <v>serum</v>
          </cell>
          <cell r="AF1333">
            <v>0.5</v>
          </cell>
        </row>
        <row r="1334">
          <cell r="A1334" t="str">
            <v>IS_alqt_plus</v>
          </cell>
          <cell r="K1334" t="str">
            <v>ECOL</v>
          </cell>
          <cell r="M1334" t="str">
            <v>M</v>
          </cell>
          <cell r="AB1334" t="str">
            <v>serum</v>
          </cell>
          <cell r="AF1334">
            <v>1.2</v>
          </cell>
        </row>
        <row r="1335">
          <cell r="A1335" t="str">
            <v>IS_alqt_plus</v>
          </cell>
          <cell r="K1335" t="str">
            <v>HGG</v>
          </cell>
          <cell r="M1335" t="str">
            <v>F</v>
          </cell>
          <cell r="AB1335" t="str">
            <v>serum</v>
          </cell>
          <cell r="AF1335">
            <v>0.9</v>
          </cell>
        </row>
        <row r="1336">
          <cell r="A1336" t="str">
            <v>IS_alqt_plus</v>
          </cell>
          <cell r="K1336" t="str">
            <v>PCOQ</v>
          </cell>
          <cell r="M1336" t="str">
            <v>M</v>
          </cell>
          <cell r="AB1336" t="str">
            <v>serum</v>
          </cell>
          <cell r="AF1336">
            <v>1.5</v>
          </cell>
        </row>
        <row r="1337">
          <cell r="A1337" t="str">
            <v>IS_alqt_plus</v>
          </cell>
          <cell r="K1337" t="str">
            <v>PCOQ</v>
          </cell>
          <cell r="M1337" t="str">
            <v>M</v>
          </cell>
          <cell r="AB1337" t="str">
            <v>serum</v>
          </cell>
          <cell r="AF1337">
            <v>0.4</v>
          </cell>
        </row>
        <row r="1338">
          <cell r="A1338" t="str">
            <v>IS_alqt_plus</v>
          </cell>
          <cell r="K1338" t="str">
            <v>HGG</v>
          </cell>
          <cell r="M1338" t="str">
            <v>F</v>
          </cell>
          <cell r="AB1338" t="str">
            <v>serum</v>
          </cell>
          <cell r="AF1338">
            <v>0.7</v>
          </cell>
        </row>
        <row r="1339">
          <cell r="A1339" t="str">
            <v>IS_alqt_plus</v>
          </cell>
          <cell r="K1339" t="str">
            <v>PCOQ</v>
          </cell>
          <cell r="M1339" t="str">
            <v>F</v>
          </cell>
          <cell r="AB1339" t="str">
            <v>serum</v>
          </cell>
          <cell r="AF1339">
            <v>1.2</v>
          </cell>
        </row>
        <row r="1340">
          <cell r="A1340" t="str">
            <v>IS_alqt_plus</v>
          </cell>
          <cell r="K1340" t="str">
            <v>PCOQ</v>
          </cell>
          <cell r="M1340" t="str">
            <v>F</v>
          </cell>
          <cell r="AB1340" t="str">
            <v>serum</v>
          </cell>
          <cell r="AF1340">
            <v>0.5</v>
          </cell>
        </row>
        <row r="1341">
          <cell r="A1341" t="str">
            <v>IS_alqt_plus</v>
          </cell>
          <cell r="K1341" t="str">
            <v>PCOQ</v>
          </cell>
          <cell r="M1341" t="str">
            <v>M</v>
          </cell>
          <cell r="AB1341" t="str">
            <v>serum</v>
          </cell>
          <cell r="AF1341">
            <v>0.4</v>
          </cell>
        </row>
        <row r="1342">
          <cell r="A1342" t="str">
            <v>IS_alqt_plus</v>
          </cell>
          <cell r="K1342" t="str">
            <v>LCAT</v>
          </cell>
          <cell r="M1342" t="str">
            <v>M</v>
          </cell>
          <cell r="AB1342" t="str">
            <v>WB</v>
          </cell>
          <cell r="AF1342">
            <v>0.4</v>
          </cell>
        </row>
        <row r="1343">
          <cell r="A1343" t="str">
            <v>IS_alqt_plus</v>
          </cell>
          <cell r="K1343" t="str">
            <v>LCAT</v>
          </cell>
          <cell r="M1343" t="str">
            <v>M</v>
          </cell>
          <cell r="AB1343" t="str">
            <v>WB</v>
          </cell>
          <cell r="AF1343">
            <v>0.5</v>
          </cell>
        </row>
        <row r="1344">
          <cell r="A1344" t="str">
            <v>IS_alqt_plus</v>
          </cell>
          <cell r="K1344" t="str">
            <v>LCAT</v>
          </cell>
          <cell r="M1344" t="str">
            <v>M</v>
          </cell>
          <cell r="AB1344" t="str">
            <v>WB</v>
          </cell>
          <cell r="AF1344">
            <v>0.6</v>
          </cell>
        </row>
        <row r="1345">
          <cell r="A1345" t="str">
            <v>IS_alqt_plus</v>
          </cell>
          <cell r="K1345" t="str">
            <v>LCAT</v>
          </cell>
          <cell r="M1345" t="str">
            <v>M</v>
          </cell>
          <cell r="AB1345" t="str">
            <v>serum</v>
          </cell>
          <cell r="AF1345">
            <v>1.4</v>
          </cell>
        </row>
        <row r="1346">
          <cell r="A1346" t="str">
            <v>IS_alqt_plus</v>
          </cell>
          <cell r="K1346" t="str">
            <v>PCOQ</v>
          </cell>
          <cell r="M1346" t="str">
            <v>M</v>
          </cell>
          <cell r="AB1346" t="str">
            <v>serum</v>
          </cell>
          <cell r="AF1346">
            <v>1</v>
          </cell>
        </row>
        <row r="1347">
          <cell r="A1347" t="str">
            <v>IS_alqt_plus</v>
          </cell>
          <cell r="K1347" t="str">
            <v>PCOQ</v>
          </cell>
          <cell r="M1347" t="str">
            <v>M</v>
          </cell>
          <cell r="AB1347" t="str">
            <v>serum</v>
          </cell>
          <cell r="AF1347">
            <v>1</v>
          </cell>
        </row>
        <row r="1348">
          <cell r="A1348" t="str">
            <v>IS_alqt_plus</v>
          </cell>
          <cell r="K1348" t="str">
            <v>LCAT</v>
          </cell>
          <cell r="M1348" t="str">
            <v>M</v>
          </cell>
          <cell r="AB1348" t="str">
            <v>serum</v>
          </cell>
          <cell r="AF1348">
            <v>0.9</v>
          </cell>
        </row>
        <row r="1349">
          <cell r="A1349" t="str">
            <v>IS_alqt_plus</v>
          </cell>
          <cell r="K1349" t="str">
            <v>LCAT</v>
          </cell>
          <cell r="M1349" t="str">
            <v>M</v>
          </cell>
          <cell r="AB1349" t="str">
            <v>serum</v>
          </cell>
          <cell r="AF1349">
            <v>0.7</v>
          </cell>
        </row>
        <row r="1350">
          <cell r="A1350" t="str">
            <v>IS_alqt_plus</v>
          </cell>
          <cell r="K1350" t="str">
            <v>LCAT</v>
          </cell>
          <cell r="M1350" t="str">
            <v>M</v>
          </cell>
          <cell r="AB1350" t="str">
            <v>serum</v>
          </cell>
          <cell r="AF1350">
            <v>0.5</v>
          </cell>
        </row>
        <row r="1351">
          <cell r="A1351" t="str">
            <v>IS_alqt_plus</v>
          </cell>
          <cell r="K1351" t="str">
            <v>LCAT</v>
          </cell>
          <cell r="M1351" t="str">
            <v>M</v>
          </cell>
          <cell r="AB1351" t="str">
            <v>serum</v>
          </cell>
          <cell r="AF1351">
            <v>0.6</v>
          </cell>
        </row>
        <row r="1352">
          <cell r="A1352" t="str">
            <v>IS_alqt_plus</v>
          </cell>
          <cell r="K1352" t="str">
            <v>LCAT</v>
          </cell>
          <cell r="M1352" t="str">
            <v>M</v>
          </cell>
          <cell r="AB1352" t="str">
            <v>serum</v>
          </cell>
          <cell r="AF1352">
            <v>0.7</v>
          </cell>
        </row>
        <row r="1353">
          <cell r="A1353" t="str">
            <v>IS_alqt_plus</v>
          </cell>
          <cell r="K1353" t="str">
            <v>LCAT</v>
          </cell>
          <cell r="M1353" t="str">
            <v>M</v>
          </cell>
          <cell r="AB1353" t="str">
            <v>serum</v>
          </cell>
          <cell r="AF1353">
            <v>0.6</v>
          </cell>
        </row>
        <row r="1354">
          <cell r="A1354" t="str">
            <v>gone</v>
          </cell>
          <cell r="K1354" t="str">
            <v>DMAD</v>
          </cell>
          <cell r="M1354" t="str">
            <v>F</v>
          </cell>
          <cell r="AB1354" t="str">
            <v>serum</v>
          </cell>
          <cell r="AF1354">
            <v>0</v>
          </cell>
        </row>
        <row r="1355">
          <cell r="A1355" t="str">
            <v>IS_alqt_plus</v>
          </cell>
          <cell r="K1355" t="str">
            <v>VRUB</v>
          </cell>
          <cell r="M1355" t="str">
            <v>F</v>
          </cell>
          <cell r="AB1355" t="str">
            <v>serum</v>
          </cell>
          <cell r="AF1355">
            <v>1.2</v>
          </cell>
        </row>
        <row r="1356">
          <cell r="A1356" t="str">
            <v>IS_alqt_plus</v>
          </cell>
          <cell r="K1356" t="str">
            <v>LCAT</v>
          </cell>
          <cell r="M1356" t="str">
            <v>M</v>
          </cell>
          <cell r="AB1356" t="str">
            <v>serum</v>
          </cell>
          <cell r="AF1356">
            <v>0.5</v>
          </cell>
        </row>
        <row r="1357">
          <cell r="A1357" t="str">
            <v>IS_alqt_plus</v>
          </cell>
          <cell r="K1357" t="str">
            <v>VRUB</v>
          </cell>
          <cell r="M1357" t="str">
            <v>F</v>
          </cell>
          <cell r="AB1357" t="str">
            <v>serum</v>
          </cell>
          <cell r="AF1357">
            <v>0.4</v>
          </cell>
        </row>
        <row r="1358">
          <cell r="A1358" t="str">
            <v>IS_alqt_plus</v>
          </cell>
          <cell r="K1358" t="str">
            <v>LCAT</v>
          </cell>
          <cell r="M1358" t="str">
            <v>M</v>
          </cell>
          <cell r="AB1358" t="str">
            <v>serum</v>
          </cell>
          <cell r="AF1358">
            <v>1</v>
          </cell>
        </row>
        <row r="1359">
          <cell r="A1359" t="str">
            <v>IS_alqt_plus</v>
          </cell>
          <cell r="K1359" t="str">
            <v>ERUF</v>
          </cell>
          <cell r="M1359" t="str">
            <v>M</v>
          </cell>
          <cell r="AB1359" t="str">
            <v>serum</v>
          </cell>
          <cell r="AF1359">
            <v>1</v>
          </cell>
        </row>
        <row r="1360">
          <cell r="A1360" t="str">
            <v>IS_alqt_plus</v>
          </cell>
          <cell r="K1360" t="str">
            <v>ERUF</v>
          </cell>
          <cell r="M1360" t="str">
            <v>M</v>
          </cell>
          <cell r="AB1360" t="str">
            <v>serum</v>
          </cell>
          <cell r="AF1360">
            <v>1</v>
          </cell>
        </row>
        <row r="1361">
          <cell r="A1361" t="str">
            <v>IS_alqt_plus</v>
          </cell>
          <cell r="K1361" t="str">
            <v>EUL</v>
          </cell>
          <cell r="M1361" t="str">
            <v>F</v>
          </cell>
          <cell r="AB1361" t="str">
            <v>serum</v>
          </cell>
          <cell r="AF1361">
            <v>0.6</v>
          </cell>
        </row>
        <row r="1362">
          <cell r="A1362" t="str">
            <v>IS_alqt_plus</v>
          </cell>
          <cell r="K1362" t="str">
            <v>EUL</v>
          </cell>
          <cell r="M1362" t="str">
            <v>F</v>
          </cell>
          <cell r="AB1362" t="str">
            <v>serum</v>
          </cell>
          <cell r="AF1362">
            <v>1.5</v>
          </cell>
        </row>
        <row r="1363">
          <cell r="A1363" t="str">
            <v>IS_alqt_plus</v>
          </cell>
          <cell r="K1363" t="str">
            <v>LCAT</v>
          </cell>
          <cell r="M1363" t="str">
            <v>M</v>
          </cell>
          <cell r="AB1363" t="str">
            <v>serum</v>
          </cell>
          <cell r="AF1363">
            <v>0.7</v>
          </cell>
        </row>
        <row r="1364">
          <cell r="A1364" t="str">
            <v>IS_alqt_plus</v>
          </cell>
          <cell r="K1364" t="str">
            <v>LCAT</v>
          </cell>
          <cell r="M1364" t="str">
            <v>M</v>
          </cell>
          <cell r="AB1364" t="str">
            <v>serum</v>
          </cell>
          <cell r="AF1364">
            <v>0.6</v>
          </cell>
        </row>
        <row r="1365">
          <cell r="A1365" t="str">
            <v>IS_alqt_plus</v>
          </cell>
          <cell r="K1365" t="str">
            <v>LCAT</v>
          </cell>
          <cell r="M1365" t="str">
            <v>M</v>
          </cell>
          <cell r="AB1365" t="str">
            <v>serum</v>
          </cell>
          <cell r="AF1365">
            <v>1.5</v>
          </cell>
        </row>
        <row r="1366">
          <cell r="A1366" t="str">
            <v>gone</v>
          </cell>
          <cell r="K1366" t="str">
            <v>LCAT</v>
          </cell>
          <cell r="M1366" t="str">
            <v>M</v>
          </cell>
          <cell r="AB1366" t="str">
            <v>serum</v>
          </cell>
          <cell r="AF1366">
            <v>0</v>
          </cell>
        </row>
        <row r="1367">
          <cell r="A1367" t="str">
            <v>IS_alqt_plus</v>
          </cell>
          <cell r="K1367" t="str">
            <v>HGG</v>
          </cell>
          <cell r="M1367" t="str">
            <v>M</v>
          </cell>
          <cell r="AB1367" t="str">
            <v>serum</v>
          </cell>
          <cell r="AF1367">
            <v>0.75</v>
          </cell>
        </row>
        <row r="1368">
          <cell r="A1368" t="str">
            <v>IS_alqt_plus</v>
          </cell>
          <cell r="K1368" t="str">
            <v>EMON</v>
          </cell>
          <cell r="M1368" t="str">
            <v>M</v>
          </cell>
          <cell r="AB1368" t="str">
            <v>serum</v>
          </cell>
          <cell r="AF1368">
            <v>1</v>
          </cell>
        </row>
        <row r="1369">
          <cell r="A1369" t="str">
            <v>IS_alqt_plus</v>
          </cell>
          <cell r="K1369" t="str">
            <v>EMON</v>
          </cell>
          <cell r="M1369" t="str">
            <v>M</v>
          </cell>
          <cell r="AB1369" t="str">
            <v>serum</v>
          </cell>
          <cell r="AF1369">
            <v>1.3</v>
          </cell>
        </row>
        <row r="1370">
          <cell r="A1370" t="str">
            <v>IS_alqt_plus</v>
          </cell>
          <cell r="K1370" t="str">
            <v>EMON</v>
          </cell>
          <cell r="M1370" t="str">
            <v>M</v>
          </cell>
          <cell r="AB1370" t="str">
            <v>serum</v>
          </cell>
          <cell r="AF1370">
            <v>0.5</v>
          </cell>
        </row>
        <row r="1371">
          <cell r="A1371" t="str">
            <v>IS_alqt_plus</v>
          </cell>
          <cell r="K1371" t="str">
            <v>LCAT</v>
          </cell>
          <cell r="M1371" t="str">
            <v>F</v>
          </cell>
          <cell r="AB1371" t="str">
            <v>serum</v>
          </cell>
          <cell r="AF1371">
            <v>1.2</v>
          </cell>
        </row>
        <row r="1372">
          <cell r="A1372" t="str">
            <v>IS_alqt_plus</v>
          </cell>
          <cell r="K1372" t="str">
            <v>LCAT</v>
          </cell>
          <cell r="M1372" t="str">
            <v>F</v>
          </cell>
          <cell r="AB1372" t="str">
            <v>serum</v>
          </cell>
          <cell r="AF1372">
            <v>1.2</v>
          </cell>
        </row>
        <row r="1373">
          <cell r="A1373" t="str">
            <v>IS_alqt_plus</v>
          </cell>
          <cell r="K1373" t="str">
            <v>LCAT</v>
          </cell>
          <cell r="M1373" t="str">
            <v>F</v>
          </cell>
          <cell r="AB1373" t="str">
            <v>serum</v>
          </cell>
          <cell r="AF1373">
            <v>1.1000000000000001</v>
          </cell>
        </row>
        <row r="1374">
          <cell r="A1374" t="str">
            <v>IS_alqt_plus</v>
          </cell>
          <cell r="K1374" t="str">
            <v>LCAT</v>
          </cell>
          <cell r="M1374" t="str">
            <v>F</v>
          </cell>
          <cell r="AB1374" t="str">
            <v>serum</v>
          </cell>
          <cell r="AF1374">
            <v>1.2</v>
          </cell>
        </row>
        <row r="1375">
          <cell r="A1375" t="str">
            <v>IS_alqt_plus</v>
          </cell>
          <cell r="K1375" t="str">
            <v>EMON</v>
          </cell>
          <cell r="M1375" t="str">
            <v>F</v>
          </cell>
          <cell r="AB1375" t="str">
            <v>serum</v>
          </cell>
          <cell r="AF1375">
            <v>0.9</v>
          </cell>
        </row>
        <row r="1376">
          <cell r="A1376" t="str">
            <v>IS_alqt_plus</v>
          </cell>
          <cell r="K1376" t="str">
            <v>EMON</v>
          </cell>
          <cell r="M1376" t="str">
            <v>M</v>
          </cell>
          <cell r="AB1376" t="str">
            <v>serum</v>
          </cell>
          <cell r="AF1376">
            <v>0.5</v>
          </cell>
        </row>
        <row r="1377">
          <cell r="A1377" t="str">
            <v>IS_alqt_plus</v>
          </cell>
          <cell r="K1377" t="str">
            <v>EMON</v>
          </cell>
          <cell r="M1377" t="str">
            <v>F</v>
          </cell>
          <cell r="AB1377" t="str">
            <v>serum</v>
          </cell>
          <cell r="AF1377">
            <v>1.1000000000000001</v>
          </cell>
        </row>
        <row r="1378">
          <cell r="A1378" t="str">
            <v>IS_alqt_plus</v>
          </cell>
          <cell r="K1378" t="str">
            <v>EMON</v>
          </cell>
          <cell r="M1378" t="str">
            <v>M</v>
          </cell>
          <cell r="AB1378" t="str">
            <v>serum</v>
          </cell>
          <cell r="AF1378">
            <v>1.5</v>
          </cell>
        </row>
        <row r="1379">
          <cell r="A1379" t="str">
            <v>IS_alqt_plus</v>
          </cell>
          <cell r="K1379" t="str">
            <v>EMON</v>
          </cell>
          <cell r="M1379" t="str">
            <v>M</v>
          </cell>
          <cell r="AB1379" t="str">
            <v>serum</v>
          </cell>
          <cell r="AF1379">
            <v>1.8</v>
          </cell>
        </row>
        <row r="1380">
          <cell r="A1380" t="str">
            <v>IS_alqt_plus</v>
          </cell>
          <cell r="K1380" t="str">
            <v>PCOQ</v>
          </cell>
          <cell r="M1380" t="str">
            <v>M</v>
          </cell>
          <cell r="AB1380" t="str">
            <v>serum</v>
          </cell>
          <cell r="AF1380">
            <v>0.25</v>
          </cell>
        </row>
        <row r="1381">
          <cell r="A1381" t="str">
            <v>IS_alqt_plus</v>
          </cell>
          <cell r="K1381" t="str">
            <v>PCOQ</v>
          </cell>
          <cell r="M1381" t="str">
            <v>M</v>
          </cell>
          <cell r="AB1381" t="str">
            <v>serum</v>
          </cell>
          <cell r="AF1381">
            <v>1</v>
          </cell>
        </row>
        <row r="1382">
          <cell r="A1382" t="str">
            <v>IS_alqt_plus</v>
          </cell>
          <cell r="K1382" t="str">
            <v>LCAT</v>
          </cell>
          <cell r="M1382" t="str">
            <v>M</v>
          </cell>
          <cell r="AB1382" t="str">
            <v>serum</v>
          </cell>
          <cell r="AF1382">
            <v>0.75</v>
          </cell>
        </row>
        <row r="1383">
          <cell r="A1383" t="str">
            <v>IS_alqt_plus</v>
          </cell>
          <cell r="K1383" t="str">
            <v>LCAT</v>
          </cell>
          <cell r="M1383" t="str">
            <v>M</v>
          </cell>
          <cell r="AB1383" t="str">
            <v>serum</v>
          </cell>
          <cell r="AF1383">
            <v>0.5</v>
          </cell>
        </row>
        <row r="1384">
          <cell r="A1384" t="str">
            <v>IS_alqt_plus</v>
          </cell>
          <cell r="K1384" t="str">
            <v>PCOQ</v>
          </cell>
          <cell r="M1384" t="str">
            <v>M</v>
          </cell>
          <cell r="AB1384" t="str">
            <v>serum</v>
          </cell>
          <cell r="AF1384">
            <v>0.3</v>
          </cell>
        </row>
        <row r="1385">
          <cell r="A1385" t="str">
            <v>IS_alqt_plus</v>
          </cell>
          <cell r="K1385" t="str">
            <v>DMAD</v>
          </cell>
          <cell r="M1385" t="str">
            <v>M</v>
          </cell>
          <cell r="AB1385" t="str">
            <v>serum</v>
          </cell>
          <cell r="AF1385">
            <v>1</v>
          </cell>
        </row>
        <row r="1386">
          <cell r="A1386" t="str">
            <v>IS_alqt_plus</v>
          </cell>
          <cell r="K1386" t="str">
            <v>CMED</v>
          </cell>
          <cell r="M1386" t="str">
            <v>M</v>
          </cell>
          <cell r="AB1386" t="str">
            <v>serum</v>
          </cell>
          <cell r="AF1386">
            <v>1</v>
          </cell>
        </row>
        <row r="1387">
          <cell r="A1387" t="str">
            <v>IS_alqt_plus</v>
          </cell>
          <cell r="K1387" t="str">
            <v>CMED</v>
          </cell>
          <cell r="M1387" t="str">
            <v>M</v>
          </cell>
          <cell r="AB1387" t="str">
            <v>serum</v>
          </cell>
          <cell r="AF1387">
            <v>0.6</v>
          </cell>
        </row>
        <row r="1388">
          <cell r="A1388" t="str">
            <v>IS_alqt_plus</v>
          </cell>
          <cell r="K1388" t="str">
            <v>DMAD</v>
          </cell>
          <cell r="M1388" t="str">
            <v>F</v>
          </cell>
          <cell r="AB1388" t="str">
            <v>serum</v>
          </cell>
          <cell r="AF1388">
            <v>1.25</v>
          </cell>
        </row>
        <row r="1389">
          <cell r="A1389" t="str">
            <v>IS_alqt_plus</v>
          </cell>
          <cell r="K1389" t="str">
            <v>DMAD</v>
          </cell>
          <cell r="M1389" t="str">
            <v>F</v>
          </cell>
          <cell r="AB1389" t="str">
            <v>serum</v>
          </cell>
          <cell r="AF1389">
            <v>1</v>
          </cell>
        </row>
        <row r="1390">
          <cell r="A1390" t="str">
            <v>IS_alqt_plus</v>
          </cell>
          <cell r="K1390" t="str">
            <v>DMAD</v>
          </cell>
          <cell r="M1390" t="str">
            <v>F</v>
          </cell>
          <cell r="AB1390" t="str">
            <v>serum</v>
          </cell>
          <cell r="AF1390">
            <v>1.75</v>
          </cell>
        </row>
        <row r="1391">
          <cell r="A1391" t="str">
            <v>IS_alqt_plus</v>
          </cell>
          <cell r="K1391" t="str">
            <v>DMAD</v>
          </cell>
          <cell r="M1391" t="str">
            <v>M</v>
          </cell>
          <cell r="AB1391" t="str">
            <v>serum</v>
          </cell>
          <cell r="AF1391">
            <v>0.7</v>
          </cell>
        </row>
        <row r="1392">
          <cell r="A1392" t="str">
            <v>IS_alqt_plus</v>
          </cell>
          <cell r="K1392" t="str">
            <v>DMAD</v>
          </cell>
          <cell r="M1392" t="str">
            <v>M</v>
          </cell>
          <cell r="AB1392" t="str">
            <v>serum</v>
          </cell>
          <cell r="AF1392">
            <v>0.9</v>
          </cell>
        </row>
        <row r="1393">
          <cell r="A1393" t="str">
            <v>IS_alqt_plus</v>
          </cell>
          <cell r="K1393" t="str">
            <v>VRUB</v>
          </cell>
          <cell r="M1393" t="str">
            <v>M</v>
          </cell>
          <cell r="AB1393" t="str">
            <v>serum</v>
          </cell>
          <cell r="AF1393">
            <v>1.8</v>
          </cell>
        </row>
        <row r="1394">
          <cell r="A1394" t="str">
            <v>gone</v>
          </cell>
          <cell r="K1394" t="str">
            <v>EMAC</v>
          </cell>
          <cell r="M1394" t="str">
            <v>M</v>
          </cell>
          <cell r="AB1394" t="str">
            <v>WB</v>
          </cell>
          <cell r="AF1394">
            <v>0</v>
          </cell>
        </row>
        <row r="1395">
          <cell r="A1395" t="str">
            <v>IS_alqt_plus</v>
          </cell>
          <cell r="K1395" t="str">
            <v>ESAN</v>
          </cell>
          <cell r="M1395" t="str">
            <v>M</v>
          </cell>
          <cell r="AB1395" t="str">
            <v>serum</v>
          </cell>
          <cell r="AF1395">
            <v>1.6</v>
          </cell>
        </row>
        <row r="1396">
          <cell r="A1396" t="str">
            <v>IS_alqt_plus</v>
          </cell>
          <cell r="K1396" t="str">
            <v>ESAN</v>
          </cell>
          <cell r="M1396" t="str">
            <v>M</v>
          </cell>
          <cell r="AB1396" t="str">
            <v>serum</v>
          </cell>
          <cell r="AF1396">
            <v>0.6</v>
          </cell>
        </row>
        <row r="1397">
          <cell r="A1397" t="str">
            <v>IS_alqt_plus</v>
          </cell>
          <cell r="K1397" t="str">
            <v>ESAN</v>
          </cell>
          <cell r="M1397" t="str">
            <v>M</v>
          </cell>
          <cell r="AB1397" t="str">
            <v>serum</v>
          </cell>
          <cell r="AF1397">
            <v>1.8</v>
          </cell>
        </row>
        <row r="1398">
          <cell r="A1398" t="str">
            <v>IS_alqt_plus</v>
          </cell>
          <cell r="K1398" t="str">
            <v>ESAN</v>
          </cell>
          <cell r="M1398" t="str">
            <v>F</v>
          </cell>
          <cell r="AB1398" t="str">
            <v>serum</v>
          </cell>
          <cell r="AF1398">
            <v>1.2</v>
          </cell>
        </row>
        <row r="1399">
          <cell r="A1399" t="str">
            <v>IS_alqt_plus</v>
          </cell>
          <cell r="K1399" t="str">
            <v>ESAN</v>
          </cell>
          <cell r="M1399" t="str">
            <v>F</v>
          </cell>
          <cell r="AB1399" t="str">
            <v>serum</v>
          </cell>
          <cell r="AF1399">
            <v>1.1000000000000001</v>
          </cell>
        </row>
        <row r="1400">
          <cell r="A1400" t="str">
            <v>IS_alqt_plus</v>
          </cell>
          <cell r="K1400" t="str">
            <v>LCAT</v>
          </cell>
          <cell r="M1400" t="str">
            <v>M</v>
          </cell>
          <cell r="AB1400" t="str">
            <v>serum</v>
          </cell>
          <cell r="AF1400">
            <v>0.5</v>
          </cell>
        </row>
        <row r="1401">
          <cell r="A1401" t="str">
            <v>IS_alqt_plus</v>
          </cell>
          <cell r="K1401" t="str">
            <v>LCAT</v>
          </cell>
          <cell r="M1401" t="str">
            <v>M</v>
          </cell>
          <cell r="AB1401" t="str">
            <v>serum</v>
          </cell>
          <cell r="AF1401">
            <v>0.5</v>
          </cell>
        </row>
        <row r="1402">
          <cell r="A1402" t="str">
            <v>IS_alqt_plus</v>
          </cell>
          <cell r="K1402" t="str">
            <v>LCAT</v>
          </cell>
          <cell r="M1402" t="str">
            <v>M</v>
          </cell>
          <cell r="AB1402" t="str">
            <v>serum</v>
          </cell>
          <cell r="AF1402">
            <v>0.5</v>
          </cell>
        </row>
        <row r="1403">
          <cell r="A1403" t="str">
            <v>IS_alqt_plus</v>
          </cell>
          <cell r="K1403" t="str">
            <v>LCAT</v>
          </cell>
          <cell r="M1403" t="str">
            <v>M</v>
          </cell>
          <cell r="AB1403" t="str">
            <v>serum</v>
          </cell>
          <cell r="AF1403">
            <v>0.5</v>
          </cell>
        </row>
        <row r="1404">
          <cell r="A1404" t="str">
            <v>IS_alqt_plus</v>
          </cell>
          <cell r="K1404" t="str">
            <v>LCAT</v>
          </cell>
          <cell r="M1404" t="str">
            <v>M</v>
          </cell>
          <cell r="AB1404" t="str">
            <v>serum</v>
          </cell>
          <cell r="AF1404">
            <v>0.45</v>
          </cell>
        </row>
        <row r="1405">
          <cell r="A1405" t="str">
            <v>IS_alqt_plus</v>
          </cell>
          <cell r="K1405" t="str">
            <v>LCAT</v>
          </cell>
          <cell r="M1405" t="str">
            <v>F</v>
          </cell>
          <cell r="AB1405" t="str">
            <v>serum</v>
          </cell>
          <cell r="AF1405">
            <v>0.5</v>
          </cell>
        </row>
        <row r="1406">
          <cell r="A1406" t="str">
            <v>IS_alqt_plus</v>
          </cell>
          <cell r="K1406" t="str">
            <v>LCAT</v>
          </cell>
          <cell r="M1406" t="str">
            <v>F</v>
          </cell>
          <cell r="AB1406" t="str">
            <v>serum</v>
          </cell>
          <cell r="AF1406">
            <v>0.2</v>
          </cell>
        </row>
        <row r="1407">
          <cell r="A1407" t="str">
            <v>IS_alqt_plus</v>
          </cell>
          <cell r="K1407" t="str">
            <v>LCAT</v>
          </cell>
          <cell r="M1407" t="str">
            <v>M</v>
          </cell>
          <cell r="AB1407" t="str">
            <v>serum</v>
          </cell>
          <cell r="AF1407">
            <v>0.5</v>
          </cell>
        </row>
        <row r="1408">
          <cell r="A1408" t="str">
            <v>IS_alqt_plus</v>
          </cell>
          <cell r="K1408" t="str">
            <v>ECOL</v>
          </cell>
          <cell r="M1408" t="str">
            <v>M</v>
          </cell>
          <cell r="AB1408" t="str">
            <v>serum</v>
          </cell>
          <cell r="AF1408">
            <v>1.25</v>
          </cell>
        </row>
        <row r="1409">
          <cell r="A1409" t="str">
            <v>gone</v>
          </cell>
          <cell r="K1409" t="str">
            <v>VRUB</v>
          </cell>
          <cell r="M1409" t="str">
            <v>F</v>
          </cell>
          <cell r="AB1409" t="str">
            <v>WB</v>
          </cell>
          <cell r="AF1409">
            <v>0</v>
          </cell>
        </row>
        <row r="1410">
          <cell r="A1410" t="str">
            <v>IS_alqt_plus</v>
          </cell>
          <cell r="K1410" t="str">
            <v>LCAT</v>
          </cell>
          <cell r="M1410" t="str">
            <v>F</v>
          </cell>
          <cell r="AB1410" t="str">
            <v>WB</v>
          </cell>
          <cell r="AF1410">
            <v>1.25</v>
          </cell>
        </row>
        <row r="1411">
          <cell r="A1411" t="str">
            <v>IS_alqt_plus</v>
          </cell>
          <cell r="K1411" t="str">
            <v>LCAT</v>
          </cell>
          <cell r="M1411" t="str">
            <v>F</v>
          </cell>
          <cell r="AB1411" t="str">
            <v>serum</v>
          </cell>
          <cell r="AF1411">
            <v>1.3</v>
          </cell>
        </row>
        <row r="1412">
          <cell r="A1412" t="str">
            <v>IS_alqt_plus</v>
          </cell>
          <cell r="K1412" t="str">
            <v>LCAT</v>
          </cell>
          <cell r="M1412" t="str">
            <v>M</v>
          </cell>
          <cell r="AB1412" t="str">
            <v>serum</v>
          </cell>
          <cell r="AF1412">
            <v>1</v>
          </cell>
        </row>
        <row r="1413">
          <cell r="A1413" t="str">
            <v>IS_alqt_plus</v>
          </cell>
          <cell r="K1413" t="str">
            <v>LCAT</v>
          </cell>
          <cell r="M1413" t="str">
            <v>M</v>
          </cell>
          <cell r="AB1413" t="str">
            <v>serum</v>
          </cell>
          <cell r="AF1413">
            <v>1</v>
          </cell>
        </row>
        <row r="1414">
          <cell r="A1414" t="str">
            <v>gone</v>
          </cell>
          <cell r="K1414" t="str">
            <v>MMUR</v>
          </cell>
          <cell r="M1414" t="str">
            <v>M</v>
          </cell>
          <cell r="AB1414" t="str">
            <v>serum</v>
          </cell>
          <cell r="AF1414">
            <v>0</v>
          </cell>
        </row>
        <row r="1415">
          <cell r="A1415" t="str">
            <v>IS_alqt_minus</v>
          </cell>
          <cell r="K1415" t="str">
            <v>LCAT</v>
          </cell>
          <cell r="M1415" t="str">
            <v>F</v>
          </cell>
          <cell r="AB1415" t="str">
            <v>serum</v>
          </cell>
          <cell r="AF1415">
            <v>0.1</v>
          </cell>
        </row>
        <row r="1416">
          <cell r="A1416" t="str">
            <v>IS_alqt_plus</v>
          </cell>
          <cell r="K1416" t="str">
            <v>PCOQ</v>
          </cell>
          <cell r="M1416" t="str">
            <v>M</v>
          </cell>
          <cell r="AB1416" t="str">
            <v>serum</v>
          </cell>
          <cell r="AF1416">
            <v>0.4</v>
          </cell>
        </row>
        <row r="1417">
          <cell r="A1417" t="str">
            <v>IS_alqt_plus</v>
          </cell>
          <cell r="K1417" t="str">
            <v>VRUB</v>
          </cell>
          <cell r="M1417" t="str">
            <v>F</v>
          </cell>
          <cell r="AB1417" t="str">
            <v>serum</v>
          </cell>
          <cell r="AF1417">
            <v>0.9</v>
          </cell>
        </row>
        <row r="1418">
          <cell r="A1418" t="str">
            <v>IS_alqt_plus</v>
          </cell>
          <cell r="K1418" t="str">
            <v>VRUB</v>
          </cell>
          <cell r="M1418" t="str">
            <v>F</v>
          </cell>
          <cell r="AB1418" t="str">
            <v>serum</v>
          </cell>
          <cell r="AF1418">
            <v>0.7</v>
          </cell>
        </row>
        <row r="1419">
          <cell r="A1419" t="str">
            <v>IS_alqt_plus</v>
          </cell>
          <cell r="K1419" t="str">
            <v>MZAZ</v>
          </cell>
          <cell r="M1419" t="str">
            <v>M</v>
          </cell>
          <cell r="AB1419" t="str">
            <v>PRBC</v>
          </cell>
          <cell r="AF1419">
            <v>0.6</v>
          </cell>
        </row>
        <row r="1420">
          <cell r="A1420" t="str">
            <v>IS_alqt_plus</v>
          </cell>
          <cell r="K1420" t="str">
            <v>ERUB</v>
          </cell>
          <cell r="M1420" t="str">
            <v>M</v>
          </cell>
          <cell r="AB1420" t="str">
            <v>serum</v>
          </cell>
          <cell r="AF1420">
            <v>1.3</v>
          </cell>
        </row>
        <row r="1421">
          <cell r="A1421" t="str">
            <v>IS_alqt_plus</v>
          </cell>
          <cell r="K1421" t="str">
            <v>ERUB</v>
          </cell>
          <cell r="M1421" t="str">
            <v>M</v>
          </cell>
          <cell r="AB1421" t="str">
            <v>serum</v>
          </cell>
          <cell r="AF1421">
            <v>1</v>
          </cell>
        </row>
        <row r="1422">
          <cell r="A1422" t="str">
            <v>IS_alqt_plus</v>
          </cell>
          <cell r="K1422" t="str">
            <v>ERUB</v>
          </cell>
          <cell r="M1422" t="str">
            <v>F</v>
          </cell>
          <cell r="AB1422" t="str">
            <v>serum</v>
          </cell>
          <cell r="AF1422">
            <v>0.5</v>
          </cell>
        </row>
        <row r="1423">
          <cell r="A1423" t="str">
            <v>IS_alqt_plus</v>
          </cell>
          <cell r="K1423" t="str">
            <v>ERUB</v>
          </cell>
          <cell r="M1423" t="str">
            <v>F</v>
          </cell>
          <cell r="AB1423" t="str">
            <v>serum</v>
          </cell>
          <cell r="AF1423">
            <v>1</v>
          </cell>
        </row>
        <row r="1424">
          <cell r="A1424" t="str">
            <v>IS_alqt_plus</v>
          </cell>
          <cell r="K1424" t="str">
            <v>PCOQ</v>
          </cell>
          <cell r="M1424" t="str">
            <v>M</v>
          </cell>
          <cell r="AB1424" t="str">
            <v>serum</v>
          </cell>
          <cell r="AF1424">
            <v>0.6</v>
          </cell>
        </row>
        <row r="1425">
          <cell r="A1425" t="str">
            <v>IS_alqt_plus</v>
          </cell>
          <cell r="K1425" t="str">
            <v>PCOQ</v>
          </cell>
          <cell r="M1425" t="str">
            <v>M</v>
          </cell>
          <cell r="AB1425" t="str">
            <v>serum</v>
          </cell>
          <cell r="AF1425">
            <v>0.5</v>
          </cell>
        </row>
        <row r="1426">
          <cell r="A1426" t="str">
            <v>IS_alqt_plus</v>
          </cell>
          <cell r="K1426" t="str">
            <v>PCOQ</v>
          </cell>
          <cell r="M1426" t="str">
            <v>F</v>
          </cell>
          <cell r="AB1426" t="str">
            <v>serum</v>
          </cell>
          <cell r="AF1426">
            <v>0.9</v>
          </cell>
        </row>
        <row r="1427">
          <cell r="A1427" t="str">
            <v>IS_alqt_plus</v>
          </cell>
          <cell r="K1427" t="str">
            <v>PCOQ</v>
          </cell>
          <cell r="M1427" t="str">
            <v>M</v>
          </cell>
          <cell r="AB1427" t="str">
            <v>serum</v>
          </cell>
          <cell r="AF1427">
            <v>0.5</v>
          </cell>
        </row>
        <row r="1428">
          <cell r="A1428" t="str">
            <v>gone</v>
          </cell>
          <cell r="K1428" t="str">
            <v>PCOQ</v>
          </cell>
          <cell r="M1428" t="str">
            <v>M</v>
          </cell>
          <cell r="AB1428" t="str">
            <v>serum</v>
          </cell>
          <cell r="AF1428">
            <v>0</v>
          </cell>
        </row>
        <row r="1429">
          <cell r="A1429" t="str">
            <v>IS_alqt_plus</v>
          </cell>
          <cell r="K1429" t="str">
            <v>EMON</v>
          </cell>
          <cell r="M1429" t="str">
            <v>F</v>
          </cell>
          <cell r="AB1429" t="str">
            <v>serum</v>
          </cell>
          <cell r="AF1429">
            <v>1.4</v>
          </cell>
        </row>
        <row r="1430">
          <cell r="A1430" t="str">
            <v>IS_alqt_plus</v>
          </cell>
          <cell r="K1430" t="str">
            <v>EMON</v>
          </cell>
          <cell r="M1430" t="str">
            <v>M</v>
          </cell>
          <cell r="AB1430" t="str">
            <v>serum</v>
          </cell>
          <cell r="AF1430">
            <v>0.5</v>
          </cell>
        </row>
        <row r="1431">
          <cell r="A1431" t="str">
            <v>IS_alqt_plus</v>
          </cell>
          <cell r="K1431" t="str">
            <v>EFLA</v>
          </cell>
          <cell r="M1431" t="str">
            <v>F</v>
          </cell>
          <cell r="AB1431" t="str">
            <v>serum</v>
          </cell>
          <cell r="AF1431">
            <v>0.8</v>
          </cell>
        </row>
        <row r="1432">
          <cell r="A1432" t="str">
            <v>IS_alqt_plus</v>
          </cell>
          <cell r="K1432" t="str">
            <v>EFLA</v>
          </cell>
          <cell r="M1432" t="str">
            <v>F</v>
          </cell>
          <cell r="AB1432" t="str">
            <v>serum</v>
          </cell>
          <cell r="AF1432">
            <v>0.8</v>
          </cell>
        </row>
        <row r="1433">
          <cell r="A1433" t="str">
            <v>IS_alqt_plus</v>
          </cell>
          <cell r="K1433" t="str">
            <v>PCOQ</v>
          </cell>
          <cell r="M1433" t="str">
            <v>F</v>
          </cell>
          <cell r="AB1433" t="str">
            <v>serum</v>
          </cell>
          <cell r="AF1433">
            <v>0.8</v>
          </cell>
        </row>
        <row r="1434">
          <cell r="A1434" t="str">
            <v>gone</v>
          </cell>
          <cell r="K1434" t="str">
            <v>PCOQ</v>
          </cell>
          <cell r="M1434" t="str">
            <v>M</v>
          </cell>
          <cell r="AB1434" t="str">
            <v>serum</v>
          </cell>
          <cell r="AF1434">
            <v>0</v>
          </cell>
        </row>
        <row r="1435">
          <cell r="A1435" t="str">
            <v>IS_alqt_plus</v>
          </cell>
          <cell r="K1435" t="str">
            <v>PCOQ</v>
          </cell>
          <cell r="M1435" t="str">
            <v>F</v>
          </cell>
          <cell r="AB1435" t="str">
            <v>serum</v>
          </cell>
          <cell r="AF1435">
            <v>0.8</v>
          </cell>
        </row>
        <row r="1436">
          <cell r="A1436" t="str">
            <v>IS_alqt_plus</v>
          </cell>
          <cell r="K1436" t="str">
            <v>ECOL</v>
          </cell>
          <cell r="M1436" t="str">
            <v>M</v>
          </cell>
          <cell r="AB1436" t="str">
            <v>serum</v>
          </cell>
          <cell r="AF1436">
            <v>1</v>
          </cell>
        </row>
        <row r="1437">
          <cell r="A1437" t="str">
            <v>IS_alqt_plus</v>
          </cell>
          <cell r="K1437" t="str">
            <v>ECOL</v>
          </cell>
          <cell r="M1437" t="str">
            <v>M</v>
          </cell>
          <cell r="AB1437" t="str">
            <v>serum</v>
          </cell>
          <cell r="AF1437">
            <v>0.7</v>
          </cell>
        </row>
        <row r="1438">
          <cell r="A1438" t="str">
            <v>IS_alqt_plus</v>
          </cell>
          <cell r="K1438" t="str">
            <v>ECOL</v>
          </cell>
          <cell r="M1438" t="str">
            <v>M</v>
          </cell>
          <cell r="AB1438" t="str">
            <v>serum</v>
          </cell>
          <cell r="AF1438">
            <v>0.95</v>
          </cell>
        </row>
        <row r="1439">
          <cell r="A1439" t="str">
            <v>IS_alqt_plus</v>
          </cell>
          <cell r="K1439" t="str">
            <v>ECOL</v>
          </cell>
          <cell r="M1439" t="str">
            <v>M</v>
          </cell>
          <cell r="AB1439" t="str">
            <v>serum</v>
          </cell>
          <cell r="AF1439">
            <v>1</v>
          </cell>
        </row>
        <row r="1440">
          <cell r="A1440" t="str">
            <v>IS_alqt_plus</v>
          </cell>
          <cell r="K1440" t="str">
            <v>ECOL</v>
          </cell>
          <cell r="M1440" t="str">
            <v>F</v>
          </cell>
          <cell r="AB1440" t="str">
            <v>serum</v>
          </cell>
          <cell r="AF1440">
            <v>1.2</v>
          </cell>
        </row>
        <row r="1441">
          <cell r="A1441" t="str">
            <v>gone</v>
          </cell>
          <cell r="K1441" t="str">
            <v>PCOQ</v>
          </cell>
          <cell r="M1441" t="str">
            <v>F</v>
          </cell>
          <cell r="AB1441" t="str">
            <v>serum</v>
          </cell>
          <cell r="AF1441">
            <v>0</v>
          </cell>
        </row>
        <row r="1442">
          <cell r="A1442" t="str">
            <v>gone</v>
          </cell>
          <cell r="K1442" t="str">
            <v>PCOQ</v>
          </cell>
          <cell r="M1442" t="str">
            <v>F</v>
          </cell>
          <cell r="AB1442" t="str">
            <v>serum</v>
          </cell>
          <cell r="AF1442">
            <v>0</v>
          </cell>
        </row>
        <row r="1443">
          <cell r="A1443" t="str">
            <v>IS_alqt_plus</v>
          </cell>
          <cell r="K1443" t="str">
            <v>PCOQ</v>
          </cell>
          <cell r="M1443" t="str">
            <v>M</v>
          </cell>
          <cell r="AB1443" t="str">
            <v>serum</v>
          </cell>
          <cell r="AF1443">
            <v>0.5</v>
          </cell>
        </row>
        <row r="1444">
          <cell r="A1444" t="str">
            <v>IS_alqt_plus</v>
          </cell>
          <cell r="K1444" t="str">
            <v>PCOQ</v>
          </cell>
          <cell r="M1444" t="str">
            <v>M</v>
          </cell>
          <cell r="AB1444" t="str">
            <v>serum</v>
          </cell>
          <cell r="AF1444">
            <v>0.5</v>
          </cell>
        </row>
        <row r="1445">
          <cell r="A1445" t="str">
            <v>IS_alqt_plus</v>
          </cell>
          <cell r="K1445" t="str">
            <v>LCAT</v>
          </cell>
          <cell r="M1445" t="str">
            <v>M</v>
          </cell>
          <cell r="AB1445" t="str">
            <v>serum</v>
          </cell>
          <cell r="AF1445">
            <v>0.8</v>
          </cell>
        </row>
        <row r="1446">
          <cell r="A1446" t="str">
            <v>IS_alqt_plus</v>
          </cell>
          <cell r="K1446" t="str">
            <v>EFLA</v>
          </cell>
          <cell r="M1446" t="str">
            <v>M</v>
          </cell>
          <cell r="AB1446" t="str">
            <v>serum</v>
          </cell>
          <cell r="AF1446">
            <v>0.95</v>
          </cell>
        </row>
        <row r="1447">
          <cell r="A1447" t="str">
            <v>IS_alqt_plus</v>
          </cell>
          <cell r="K1447" t="str">
            <v>EFLA</v>
          </cell>
          <cell r="M1447" t="str">
            <v>M</v>
          </cell>
          <cell r="AB1447" t="str">
            <v>serum</v>
          </cell>
          <cell r="AF1447">
            <v>1.3</v>
          </cell>
        </row>
        <row r="1448">
          <cell r="A1448" t="str">
            <v>IS_alqt_minus</v>
          </cell>
          <cell r="K1448" t="str">
            <v>MZAZ</v>
          </cell>
          <cell r="M1448" t="str">
            <v>F</v>
          </cell>
          <cell r="AB1448" t="str">
            <v>serum</v>
          </cell>
          <cell r="AF1448">
            <v>0.1</v>
          </cell>
        </row>
        <row r="1449">
          <cell r="A1449" t="str">
            <v>IS_alqt_plus</v>
          </cell>
          <cell r="K1449" t="str">
            <v>LCAT</v>
          </cell>
          <cell r="M1449" t="str">
            <v>F</v>
          </cell>
          <cell r="AB1449" t="str">
            <v>serum</v>
          </cell>
          <cell r="AF1449">
            <v>0.45</v>
          </cell>
        </row>
        <row r="1450">
          <cell r="A1450" t="str">
            <v>IS_alqt_plus</v>
          </cell>
          <cell r="K1450" t="str">
            <v>LCAT</v>
          </cell>
          <cell r="M1450" t="str">
            <v>M</v>
          </cell>
          <cell r="AB1450" t="str">
            <v>serum</v>
          </cell>
          <cell r="AF1450">
            <v>1</v>
          </cell>
        </row>
        <row r="1451">
          <cell r="A1451" t="str">
            <v>IS_alqt_plus</v>
          </cell>
          <cell r="K1451" t="str">
            <v>EUL</v>
          </cell>
          <cell r="M1451" t="str">
            <v>F</v>
          </cell>
          <cell r="AB1451" t="str">
            <v>serum</v>
          </cell>
          <cell r="AF1451">
            <v>1.2</v>
          </cell>
        </row>
        <row r="1452">
          <cell r="A1452" t="str">
            <v>IS_alqt_plus</v>
          </cell>
          <cell r="K1452" t="str">
            <v>EUL</v>
          </cell>
          <cell r="M1452" t="str">
            <v>F</v>
          </cell>
          <cell r="AB1452" t="str">
            <v>serum</v>
          </cell>
          <cell r="AF1452">
            <v>1.2</v>
          </cell>
        </row>
        <row r="1453">
          <cell r="A1453" t="str">
            <v>IS_alqt_plus</v>
          </cell>
          <cell r="K1453" t="str">
            <v>ECOL</v>
          </cell>
          <cell r="M1453" t="str">
            <v>F</v>
          </cell>
          <cell r="AB1453" t="str">
            <v>serum</v>
          </cell>
          <cell r="AF1453">
            <v>1.2</v>
          </cell>
        </row>
        <row r="1454">
          <cell r="A1454" t="str">
            <v>IS_alqt_plus</v>
          </cell>
          <cell r="K1454" t="str">
            <v>ECOL</v>
          </cell>
          <cell r="M1454" t="str">
            <v>F</v>
          </cell>
          <cell r="AB1454" t="str">
            <v>serum</v>
          </cell>
          <cell r="AF1454">
            <v>1.1000000000000001</v>
          </cell>
        </row>
        <row r="1455">
          <cell r="A1455" t="str">
            <v>IS_alqt_plus</v>
          </cell>
          <cell r="K1455" t="str">
            <v>ECOL</v>
          </cell>
          <cell r="M1455" t="str">
            <v>M</v>
          </cell>
          <cell r="AB1455" t="str">
            <v>serum</v>
          </cell>
          <cell r="AF1455">
            <v>1.3</v>
          </cell>
        </row>
        <row r="1456">
          <cell r="A1456" t="str">
            <v>IS_alqt_plus</v>
          </cell>
          <cell r="K1456" t="str">
            <v>ECOL</v>
          </cell>
          <cell r="M1456" t="str">
            <v>M</v>
          </cell>
          <cell r="AB1456" t="str">
            <v>serum</v>
          </cell>
          <cell r="AF1456">
            <v>1.3</v>
          </cell>
        </row>
        <row r="1457">
          <cell r="A1457" t="str">
            <v>IS_alqt_plus</v>
          </cell>
          <cell r="K1457" t="str">
            <v>ECOR</v>
          </cell>
          <cell r="M1457" t="str">
            <v>F</v>
          </cell>
          <cell r="AB1457" t="str">
            <v>serum</v>
          </cell>
          <cell r="AF1457">
            <v>1.4</v>
          </cell>
        </row>
        <row r="1458">
          <cell r="A1458" t="str">
            <v>IS_alqt_plus</v>
          </cell>
          <cell r="K1458" t="str">
            <v>LCAT</v>
          </cell>
          <cell r="M1458" t="str">
            <v>F</v>
          </cell>
          <cell r="AB1458" t="str">
            <v>WB</v>
          </cell>
          <cell r="AF1458">
            <v>1.2</v>
          </cell>
        </row>
        <row r="1459">
          <cell r="A1459" t="str">
            <v>IS_alqt_plus</v>
          </cell>
          <cell r="K1459" t="str">
            <v>ESAN</v>
          </cell>
          <cell r="M1459" t="str">
            <v>F</v>
          </cell>
          <cell r="AB1459" t="str">
            <v>serum</v>
          </cell>
          <cell r="AF1459">
            <v>1.5</v>
          </cell>
        </row>
        <row r="1460">
          <cell r="A1460" t="str">
            <v>IS_alqt_plus</v>
          </cell>
          <cell r="K1460" t="str">
            <v>ESAN</v>
          </cell>
          <cell r="M1460" t="str">
            <v>F</v>
          </cell>
          <cell r="AB1460" t="str">
            <v>serum</v>
          </cell>
          <cell r="AF1460">
            <v>1.5</v>
          </cell>
        </row>
        <row r="1461">
          <cell r="A1461" t="str">
            <v>IS_alqt_plus</v>
          </cell>
          <cell r="K1461" t="str">
            <v>ESAN</v>
          </cell>
          <cell r="M1461" t="str">
            <v>F</v>
          </cell>
          <cell r="AB1461" t="str">
            <v>serum</v>
          </cell>
          <cell r="AF1461">
            <v>1.5</v>
          </cell>
        </row>
        <row r="1462">
          <cell r="A1462" t="str">
            <v>IS_alqt_plus</v>
          </cell>
          <cell r="K1462" t="str">
            <v>ESAN</v>
          </cell>
          <cell r="M1462" t="str">
            <v>F</v>
          </cell>
          <cell r="AB1462" t="str">
            <v>serum</v>
          </cell>
          <cell r="AF1462">
            <v>1.5</v>
          </cell>
        </row>
        <row r="1463">
          <cell r="A1463" t="str">
            <v>IS_alqt_plus</v>
          </cell>
          <cell r="K1463" t="str">
            <v>ESAN</v>
          </cell>
          <cell r="M1463" t="str">
            <v>M</v>
          </cell>
          <cell r="AB1463" t="str">
            <v>serum</v>
          </cell>
          <cell r="AF1463">
            <v>1.2</v>
          </cell>
        </row>
        <row r="1464">
          <cell r="A1464" t="str">
            <v>IS_alqt_plus</v>
          </cell>
          <cell r="K1464" t="str">
            <v>ESAN</v>
          </cell>
          <cell r="M1464" t="str">
            <v>M</v>
          </cell>
          <cell r="AB1464" t="str">
            <v>serum</v>
          </cell>
          <cell r="AF1464">
            <v>1.2</v>
          </cell>
        </row>
        <row r="1465">
          <cell r="A1465" t="str">
            <v>IS_alqt_plus</v>
          </cell>
          <cell r="K1465" t="str">
            <v>LCAT</v>
          </cell>
          <cell r="M1465" t="str">
            <v>M</v>
          </cell>
          <cell r="AB1465" t="str">
            <v>serum</v>
          </cell>
          <cell r="AF1465">
            <v>0.6</v>
          </cell>
        </row>
        <row r="1466">
          <cell r="A1466" t="str">
            <v>IS_alqt_plus</v>
          </cell>
          <cell r="K1466" t="str">
            <v>LCAT</v>
          </cell>
          <cell r="M1466" t="str">
            <v>M</v>
          </cell>
          <cell r="AB1466" t="str">
            <v>serum</v>
          </cell>
          <cell r="AF1466">
            <v>0.7</v>
          </cell>
        </row>
        <row r="1467">
          <cell r="A1467" t="str">
            <v>IS_alqt_plus</v>
          </cell>
          <cell r="K1467" t="str">
            <v>LCAT</v>
          </cell>
          <cell r="M1467" t="str">
            <v>M</v>
          </cell>
          <cell r="AB1467" t="str">
            <v>serum</v>
          </cell>
          <cell r="AF1467">
            <v>1.2</v>
          </cell>
        </row>
        <row r="1468">
          <cell r="A1468" t="str">
            <v>IS_alqt_plus</v>
          </cell>
          <cell r="K1468" t="str">
            <v>EMAC</v>
          </cell>
          <cell r="M1468" t="str">
            <v>M</v>
          </cell>
          <cell r="AB1468" t="str">
            <v>WB</v>
          </cell>
          <cell r="AF1468">
            <v>1.2</v>
          </cell>
        </row>
        <row r="1469">
          <cell r="A1469" t="str">
            <v>IS_alqt_plus</v>
          </cell>
          <cell r="K1469" t="str">
            <v>EMAC</v>
          </cell>
          <cell r="M1469" t="str">
            <v>F</v>
          </cell>
          <cell r="AB1469" t="str">
            <v>serum</v>
          </cell>
          <cell r="AF1469">
            <v>1</v>
          </cell>
        </row>
        <row r="1470">
          <cell r="A1470" t="str">
            <v>IS_alqt_plus</v>
          </cell>
          <cell r="K1470" t="str">
            <v>EMAC</v>
          </cell>
          <cell r="M1470" t="str">
            <v>F</v>
          </cell>
          <cell r="AB1470" t="str">
            <v>serum</v>
          </cell>
          <cell r="AF1470">
            <v>1</v>
          </cell>
        </row>
        <row r="1471">
          <cell r="A1471" t="str">
            <v>IS_alqt_plus</v>
          </cell>
          <cell r="K1471" t="str">
            <v>EMAC</v>
          </cell>
          <cell r="M1471" t="str">
            <v>M</v>
          </cell>
          <cell r="AB1471" t="str">
            <v>serum</v>
          </cell>
          <cell r="AF1471">
            <v>1</v>
          </cell>
        </row>
        <row r="1472">
          <cell r="A1472" t="str">
            <v>IS_alqt_plus</v>
          </cell>
          <cell r="K1472" t="str">
            <v>EALB</v>
          </cell>
          <cell r="M1472" t="str">
            <v>F</v>
          </cell>
          <cell r="AB1472" t="str">
            <v>serum</v>
          </cell>
          <cell r="AF1472">
            <v>1.1000000000000001</v>
          </cell>
        </row>
        <row r="1473">
          <cell r="A1473" t="str">
            <v>IS_alqt_plus</v>
          </cell>
          <cell r="K1473" t="str">
            <v>ECOL</v>
          </cell>
          <cell r="M1473" t="str">
            <v>F</v>
          </cell>
          <cell r="AB1473" t="str">
            <v>serum</v>
          </cell>
          <cell r="AF1473">
            <v>1.2</v>
          </cell>
        </row>
        <row r="1474">
          <cell r="A1474" t="str">
            <v>IS_alqt_plus</v>
          </cell>
          <cell r="K1474" t="str">
            <v>MZAZ</v>
          </cell>
          <cell r="M1474" t="str">
            <v>M</v>
          </cell>
          <cell r="AB1474" t="str">
            <v>serum</v>
          </cell>
          <cell r="AF1474">
            <v>0.4</v>
          </cell>
        </row>
        <row r="1475">
          <cell r="A1475" t="str">
            <v>IS_alqt_plus</v>
          </cell>
          <cell r="K1475" t="str">
            <v>PCOQ</v>
          </cell>
          <cell r="M1475" t="str">
            <v>F</v>
          </cell>
          <cell r="AB1475" t="str">
            <v>serum</v>
          </cell>
          <cell r="AF1475">
            <v>0.5</v>
          </cell>
        </row>
        <row r="1476">
          <cell r="A1476" t="str">
            <v>IS_alqt_plus</v>
          </cell>
          <cell r="K1476" t="str">
            <v>ECOL</v>
          </cell>
          <cell r="M1476" t="str">
            <v>M</v>
          </cell>
          <cell r="AB1476" t="str">
            <v>serum</v>
          </cell>
          <cell r="AF1476">
            <v>0.75</v>
          </cell>
        </row>
        <row r="1477">
          <cell r="A1477" t="str">
            <v>IS_alqt_plus</v>
          </cell>
          <cell r="K1477" t="str">
            <v>EMAC</v>
          </cell>
          <cell r="M1477" t="str">
            <v>F</v>
          </cell>
          <cell r="AB1477" t="str">
            <v>serum</v>
          </cell>
          <cell r="AF1477">
            <v>1.6</v>
          </cell>
        </row>
        <row r="1478">
          <cell r="A1478" t="str">
            <v>gone</v>
          </cell>
          <cell r="K1478" t="str">
            <v>EMAC</v>
          </cell>
          <cell r="M1478" t="str">
            <v>M</v>
          </cell>
          <cell r="AB1478" t="str">
            <v>WB</v>
          </cell>
          <cell r="AF1478">
            <v>0</v>
          </cell>
        </row>
        <row r="1479">
          <cell r="A1479" t="str">
            <v>IS_alqt_plus</v>
          </cell>
          <cell r="K1479" t="str">
            <v>EMAC</v>
          </cell>
          <cell r="M1479" t="str">
            <v>M</v>
          </cell>
          <cell r="AB1479" t="str">
            <v>serum</v>
          </cell>
          <cell r="AF1479">
            <v>1.2</v>
          </cell>
        </row>
        <row r="1480">
          <cell r="A1480" t="str">
            <v>IS_alqt_plus</v>
          </cell>
          <cell r="K1480" t="str">
            <v>PCOQ</v>
          </cell>
          <cell r="M1480" t="str">
            <v>F</v>
          </cell>
          <cell r="AB1480" t="str">
            <v>serum</v>
          </cell>
          <cell r="AF1480">
            <v>0.5</v>
          </cell>
        </row>
        <row r="1481">
          <cell r="A1481" t="str">
            <v>IS_alqt_plus</v>
          </cell>
          <cell r="K1481" t="str">
            <v>LCAT</v>
          </cell>
          <cell r="M1481" t="str">
            <v>M</v>
          </cell>
          <cell r="AB1481" t="str">
            <v>serum</v>
          </cell>
          <cell r="AF1481">
            <v>1.5</v>
          </cell>
        </row>
        <row r="1482">
          <cell r="A1482" t="str">
            <v>IS_alqt_plus</v>
          </cell>
          <cell r="K1482" t="str">
            <v>VRUB</v>
          </cell>
          <cell r="M1482" t="str">
            <v>F</v>
          </cell>
          <cell r="AB1482" t="str">
            <v>serum</v>
          </cell>
          <cell r="AF1482">
            <v>1.8</v>
          </cell>
        </row>
        <row r="1483">
          <cell r="A1483" t="str">
            <v>IS_alqt_plus</v>
          </cell>
          <cell r="K1483" t="str">
            <v>VRUB</v>
          </cell>
          <cell r="M1483" t="str">
            <v>F</v>
          </cell>
          <cell r="AB1483" t="str">
            <v>serum</v>
          </cell>
          <cell r="AF1483">
            <v>1.2</v>
          </cell>
        </row>
        <row r="1484">
          <cell r="A1484" t="str">
            <v>IS_alqt_plus</v>
          </cell>
          <cell r="K1484" t="str">
            <v>VRUB</v>
          </cell>
          <cell r="M1484" t="str">
            <v>M</v>
          </cell>
          <cell r="AB1484" t="str">
            <v>serum</v>
          </cell>
          <cell r="AF1484">
            <v>1.5</v>
          </cell>
        </row>
        <row r="1485">
          <cell r="A1485" t="str">
            <v>IS_alqt_plus</v>
          </cell>
          <cell r="K1485" t="str">
            <v>LTAR</v>
          </cell>
          <cell r="M1485" t="str">
            <v>F</v>
          </cell>
          <cell r="AB1485" t="str">
            <v>serum</v>
          </cell>
          <cell r="AF1485">
            <v>0.5</v>
          </cell>
        </row>
        <row r="1486">
          <cell r="A1486" t="str">
            <v>IS_alqt_plus</v>
          </cell>
          <cell r="K1486" t="str">
            <v>ERUF</v>
          </cell>
          <cell r="M1486" t="str">
            <v>M</v>
          </cell>
          <cell r="AB1486" t="str">
            <v>serum</v>
          </cell>
          <cell r="AF1486">
            <v>1.8</v>
          </cell>
        </row>
        <row r="1487">
          <cell r="A1487" t="str">
            <v>IS_alqt_plus</v>
          </cell>
          <cell r="K1487" t="str">
            <v>ERUF</v>
          </cell>
          <cell r="M1487" t="str">
            <v>M</v>
          </cell>
          <cell r="AB1487" t="str">
            <v>serum</v>
          </cell>
          <cell r="AF1487">
            <v>1.8</v>
          </cell>
        </row>
        <row r="1488">
          <cell r="A1488" t="str">
            <v>IS_alqt_plus</v>
          </cell>
          <cell r="K1488" t="str">
            <v>ERUF</v>
          </cell>
          <cell r="M1488" t="str">
            <v>M</v>
          </cell>
          <cell r="AB1488" t="str">
            <v>serum</v>
          </cell>
          <cell r="AF1488">
            <v>1.8</v>
          </cell>
        </row>
        <row r="1489">
          <cell r="A1489" t="str">
            <v>IS_alqt_plus</v>
          </cell>
          <cell r="K1489" t="str">
            <v>ERUF</v>
          </cell>
          <cell r="M1489" t="str">
            <v>M</v>
          </cell>
          <cell r="AB1489" t="str">
            <v>serum</v>
          </cell>
          <cell r="AF1489">
            <v>2</v>
          </cell>
        </row>
        <row r="1490">
          <cell r="A1490" t="str">
            <v>IS_alqt_plus</v>
          </cell>
          <cell r="K1490" t="str">
            <v>ERUF</v>
          </cell>
          <cell r="M1490" t="str">
            <v>M</v>
          </cell>
          <cell r="AB1490" t="str">
            <v>serum</v>
          </cell>
          <cell r="AF1490">
            <v>1.9</v>
          </cell>
        </row>
        <row r="1491">
          <cell r="A1491" t="str">
            <v>gone</v>
          </cell>
          <cell r="K1491" t="str">
            <v>PCOQ</v>
          </cell>
          <cell r="M1491" t="str">
            <v>F</v>
          </cell>
          <cell r="AB1491" t="str">
            <v>serum</v>
          </cell>
          <cell r="AF1491">
            <v>0</v>
          </cell>
        </row>
        <row r="1492">
          <cell r="A1492" t="str">
            <v>IS_alqt_plus</v>
          </cell>
          <cell r="K1492" t="str">
            <v>ESAN</v>
          </cell>
          <cell r="M1492" t="str">
            <v>M</v>
          </cell>
          <cell r="AB1492" t="str">
            <v>serum</v>
          </cell>
          <cell r="AF1492">
            <v>1.2</v>
          </cell>
        </row>
        <row r="1493">
          <cell r="A1493" t="str">
            <v>IS_alqt_plus</v>
          </cell>
          <cell r="K1493" t="str">
            <v>ESAN</v>
          </cell>
          <cell r="M1493" t="str">
            <v>F</v>
          </cell>
          <cell r="AB1493" t="str">
            <v>serum</v>
          </cell>
          <cell r="AF1493">
            <v>1.2</v>
          </cell>
        </row>
        <row r="1494">
          <cell r="A1494" t="str">
            <v>IS_alqt_plus</v>
          </cell>
          <cell r="K1494" t="str">
            <v>ERUB</v>
          </cell>
          <cell r="M1494" t="str">
            <v>F</v>
          </cell>
          <cell r="AB1494" t="str">
            <v>serum</v>
          </cell>
          <cell r="AF1494">
            <v>1.2</v>
          </cell>
        </row>
        <row r="1495">
          <cell r="A1495" t="str">
            <v>IS_alqt_plus</v>
          </cell>
          <cell r="K1495" t="str">
            <v>MZAZ</v>
          </cell>
          <cell r="M1495" t="str">
            <v>F</v>
          </cell>
          <cell r="AB1495" t="str">
            <v>serum</v>
          </cell>
          <cell r="AF1495">
            <v>1.2</v>
          </cell>
        </row>
        <row r="1496">
          <cell r="A1496" t="str">
            <v>IS_alqt_plus</v>
          </cell>
          <cell r="K1496" t="str">
            <v>MZAZ</v>
          </cell>
          <cell r="M1496" t="str">
            <v>F</v>
          </cell>
          <cell r="AB1496" t="str">
            <v>serum</v>
          </cell>
          <cell r="AF1496">
            <v>1.5</v>
          </cell>
        </row>
        <row r="1497">
          <cell r="A1497" t="str">
            <v>IS_alqt_plus</v>
          </cell>
          <cell r="K1497" t="str">
            <v>MZAZ</v>
          </cell>
          <cell r="M1497" t="str">
            <v>F</v>
          </cell>
          <cell r="AB1497" t="str">
            <v>serum</v>
          </cell>
          <cell r="AF1497">
            <v>0.75</v>
          </cell>
        </row>
        <row r="1498">
          <cell r="A1498" t="str">
            <v>IS_alqt_plus</v>
          </cell>
          <cell r="K1498" t="str">
            <v>EUL</v>
          </cell>
          <cell r="M1498" t="str">
            <v>F</v>
          </cell>
          <cell r="AB1498" t="str">
            <v>serum</v>
          </cell>
          <cell r="AF1498">
            <v>1.6</v>
          </cell>
        </row>
        <row r="1499">
          <cell r="A1499" t="str">
            <v>IS_alqt_plus</v>
          </cell>
          <cell r="K1499" t="str">
            <v>ECOL</v>
          </cell>
          <cell r="M1499" t="str">
            <v>M</v>
          </cell>
          <cell r="AB1499" t="str">
            <v>serum</v>
          </cell>
          <cell r="AF1499">
            <v>1.8</v>
          </cell>
        </row>
        <row r="1500">
          <cell r="A1500" t="str">
            <v>IS_alqt_plus</v>
          </cell>
          <cell r="K1500" t="str">
            <v>ECOL</v>
          </cell>
          <cell r="M1500" t="str">
            <v>F</v>
          </cell>
          <cell r="AB1500" t="str">
            <v>serum</v>
          </cell>
          <cell r="AF1500">
            <v>0.6</v>
          </cell>
        </row>
        <row r="1501">
          <cell r="A1501" t="str">
            <v>IS_alqt_plus</v>
          </cell>
          <cell r="K1501" t="str">
            <v>ERUB</v>
          </cell>
          <cell r="M1501" t="str">
            <v>F</v>
          </cell>
          <cell r="AB1501" t="str">
            <v>serum</v>
          </cell>
          <cell r="AF1501">
            <v>1</v>
          </cell>
        </row>
        <row r="1502">
          <cell r="A1502" t="str">
            <v>IS_alqt_minus</v>
          </cell>
          <cell r="K1502" t="str">
            <v>ERUB</v>
          </cell>
          <cell r="M1502" t="str">
            <v>F</v>
          </cell>
          <cell r="AB1502" t="str">
            <v>serum</v>
          </cell>
          <cell r="AF1502">
            <v>0.1</v>
          </cell>
        </row>
        <row r="1503">
          <cell r="A1503" t="str">
            <v>IS_alqt_plus</v>
          </cell>
          <cell r="K1503" t="str">
            <v>LCAT</v>
          </cell>
          <cell r="M1503" t="str">
            <v>F</v>
          </cell>
          <cell r="AB1503" t="str">
            <v>serum</v>
          </cell>
          <cell r="AF1503">
            <v>1.2</v>
          </cell>
        </row>
        <row r="1504">
          <cell r="A1504" t="str">
            <v>IS_alqt_plus</v>
          </cell>
          <cell r="K1504" t="str">
            <v>LCAT</v>
          </cell>
          <cell r="M1504" t="str">
            <v>M</v>
          </cell>
          <cell r="AB1504" t="str">
            <v>serum</v>
          </cell>
          <cell r="AF1504">
            <v>0.9</v>
          </cell>
        </row>
        <row r="1505">
          <cell r="A1505" t="str">
            <v>IS_alqt_plus</v>
          </cell>
          <cell r="K1505" t="str">
            <v>LCAT</v>
          </cell>
          <cell r="M1505" t="str">
            <v>M</v>
          </cell>
          <cell r="AB1505" t="str">
            <v>serum</v>
          </cell>
          <cell r="AF1505">
            <v>0.7</v>
          </cell>
        </row>
        <row r="1506">
          <cell r="A1506" t="str">
            <v>IS_alqt_plus</v>
          </cell>
          <cell r="K1506" t="str">
            <v>LCAT</v>
          </cell>
          <cell r="M1506" t="str">
            <v>M</v>
          </cell>
          <cell r="AB1506" t="str">
            <v>serum</v>
          </cell>
          <cell r="AF1506">
            <v>0.7</v>
          </cell>
        </row>
        <row r="1507">
          <cell r="A1507" t="str">
            <v>IS_alqt_plus</v>
          </cell>
          <cell r="K1507" t="str">
            <v>LCAT</v>
          </cell>
          <cell r="M1507" t="str">
            <v>M</v>
          </cell>
          <cell r="AB1507" t="str">
            <v>serum</v>
          </cell>
          <cell r="AF1507">
            <v>0.6</v>
          </cell>
        </row>
        <row r="1508">
          <cell r="A1508" t="str">
            <v>IS_alqt_plus</v>
          </cell>
          <cell r="K1508" t="str">
            <v>ECOL</v>
          </cell>
          <cell r="M1508" t="str">
            <v>M</v>
          </cell>
          <cell r="AB1508" t="str">
            <v>serum</v>
          </cell>
          <cell r="AF1508">
            <v>0.75</v>
          </cell>
        </row>
        <row r="1509">
          <cell r="A1509" t="str">
            <v>IS_alqt_plus</v>
          </cell>
          <cell r="K1509" t="str">
            <v>ECOL</v>
          </cell>
          <cell r="M1509" t="str">
            <v>F</v>
          </cell>
          <cell r="AB1509" t="str">
            <v>serum</v>
          </cell>
          <cell r="AF1509">
            <v>1</v>
          </cell>
        </row>
        <row r="1510">
          <cell r="A1510" t="str">
            <v>IS_alqt_plus</v>
          </cell>
          <cell r="K1510" t="str">
            <v>PCOQ</v>
          </cell>
          <cell r="M1510" t="str">
            <v>M</v>
          </cell>
          <cell r="AB1510" t="str">
            <v>serum</v>
          </cell>
          <cell r="AF1510">
            <v>0.5</v>
          </cell>
        </row>
        <row r="1511">
          <cell r="A1511" t="str">
            <v>IS_alqt_minus</v>
          </cell>
          <cell r="K1511" t="str">
            <v>PCOQ</v>
          </cell>
          <cell r="M1511" t="str">
            <v>M</v>
          </cell>
          <cell r="AB1511" t="str">
            <v>serum</v>
          </cell>
          <cell r="AF1511">
            <v>0.1</v>
          </cell>
        </row>
        <row r="1512">
          <cell r="A1512" t="str">
            <v>IS_alqt_plus</v>
          </cell>
          <cell r="K1512" t="str">
            <v>VRUB</v>
          </cell>
          <cell r="M1512" t="str">
            <v>F</v>
          </cell>
          <cell r="AB1512" t="str">
            <v>serum</v>
          </cell>
          <cell r="AF1512">
            <v>1</v>
          </cell>
        </row>
        <row r="1513">
          <cell r="A1513" t="str">
            <v>IS_alqt_plus</v>
          </cell>
          <cell r="K1513" t="str">
            <v>VRUB</v>
          </cell>
          <cell r="M1513" t="str">
            <v>F</v>
          </cell>
          <cell r="AB1513" t="str">
            <v>serum</v>
          </cell>
          <cell r="AF1513">
            <v>0.6</v>
          </cell>
        </row>
        <row r="1514">
          <cell r="A1514" t="str">
            <v>gone</v>
          </cell>
          <cell r="K1514" t="str">
            <v>LCAT</v>
          </cell>
          <cell r="M1514" t="str">
            <v>F</v>
          </cell>
          <cell r="AB1514" t="str">
            <v>WB</v>
          </cell>
          <cell r="AF1514">
            <v>0</v>
          </cell>
        </row>
        <row r="1515">
          <cell r="A1515" t="str">
            <v>unk</v>
          </cell>
          <cell r="K1515" t="str">
            <v>EMAC</v>
          </cell>
          <cell r="M1515" t="str">
            <v>M</v>
          </cell>
          <cell r="AB1515" t="str">
            <v>WB</v>
          </cell>
          <cell r="AF1515">
            <v>1.5</v>
          </cell>
        </row>
        <row r="1516">
          <cell r="A1516" t="str">
            <v>IS_alqt_plus</v>
          </cell>
          <cell r="K1516" t="str">
            <v>LCAT</v>
          </cell>
          <cell r="M1516" t="str">
            <v>F</v>
          </cell>
          <cell r="AB1516" t="str">
            <v>serum</v>
          </cell>
          <cell r="AF1516">
            <v>0.2</v>
          </cell>
        </row>
        <row r="1517">
          <cell r="A1517" t="str">
            <v>IS_alqt_plus</v>
          </cell>
          <cell r="K1517" t="str">
            <v>LCAT</v>
          </cell>
          <cell r="M1517" t="str">
            <v>M</v>
          </cell>
          <cell r="AB1517" t="str">
            <v>serum</v>
          </cell>
          <cell r="AF1517">
            <v>0.2</v>
          </cell>
        </row>
        <row r="1518">
          <cell r="A1518" t="str">
            <v>IS_alqt_plus</v>
          </cell>
          <cell r="K1518" t="str">
            <v>LCAT</v>
          </cell>
          <cell r="M1518" t="str">
            <v>M</v>
          </cell>
          <cell r="AB1518" t="str">
            <v>serum</v>
          </cell>
          <cell r="AF1518">
            <v>0.9</v>
          </cell>
        </row>
        <row r="1519">
          <cell r="A1519" t="str">
            <v>IS_alqt_plus</v>
          </cell>
          <cell r="K1519" t="str">
            <v>ECOL</v>
          </cell>
          <cell r="M1519" t="str">
            <v>F</v>
          </cell>
          <cell r="AB1519" t="str">
            <v>serum</v>
          </cell>
          <cell r="AF1519">
            <v>1.4</v>
          </cell>
        </row>
        <row r="1520">
          <cell r="A1520" t="str">
            <v>IS_alqt_plus</v>
          </cell>
          <cell r="K1520" t="str">
            <v>ECOL</v>
          </cell>
          <cell r="M1520" t="str">
            <v>M</v>
          </cell>
          <cell r="AB1520" t="str">
            <v>serum</v>
          </cell>
          <cell r="AF1520">
            <v>1.8</v>
          </cell>
        </row>
        <row r="1521">
          <cell r="A1521" t="str">
            <v>IS_alqt_plus</v>
          </cell>
          <cell r="K1521" t="str">
            <v>ECOL</v>
          </cell>
          <cell r="M1521" t="str">
            <v>M</v>
          </cell>
          <cell r="AB1521" t="str">
            <v>serum</v>
          </cell>
          <cell r="AF1521">
            <v>1.8</v>
          </cell>
        </row>
        <row r="1522">
          <cell r="A1522" t="str">
            <v>IS_alqt_plus</v>
          </cell>
          <cell r="K1522" t="str">
            <v>DMAD</v>
          </cell>
          <cell r="M1522" t="str">
            <v>M</v>
          </cell>
          <cell r="AB1522" t="str">
            <v>serum</v>
          </cell>
          <cell r="AF1522">
            <v>1.1000000000000001</v>
          </cell>
        </row>
        <row r="1523">
          <cell r="A1523" t="str">
            <v>IS_alqt_plus</v>
          </cell>
          <cell r="K1523" t="str">
            <v>DMAD</v>
          </cell>
          <cell r="M1523" t="str">
            <v>M</v>
          </cell>
          <cell r="AB1523" t="str">
            <v>serum</v>
          </cell>
          <cell r="AF1523">
            <v>1</v>
          </cell>
        </row>
        <row r="1524">
          <cell r="A1524" t="str">
            <v>IS_alqt_plus</v>
          </cell>
          <cell r="K1524" t="str">
            <v>DMAD</v>
          </cell>
          <cell r="M1524" t="str">
            <v>M</v>
          </cell>
          <cell r="AB1524" t="str">
            <v>serum</v>
          </cell>
          <cell r="AF1524">
            <v>1.2</v>
          </cell>
        </row>
        <row r="1525">
          <cell r="A1525" t="str">
            <v>IS_alqt_plus</v>
          </cell>
          <cell r="K1525" t="str">
            <v>ECOR</v>
          </cell>
          <cell r="M1525" t="str">
            <v>F</v>
          </cell>
          <cell r="AB1525" t="str">
            <v>serum</v>
          </cell>
          <cell r="AF1525">
            <v>1</v>
          </cell>
        </row>
        <row r="1526">
          <cell r="A1526" t="str">
            <v>IS_alqt_plus</v>
          </cell>
          <cell r="K1526" t="str">
            <v>VRUB</v>
          </cell>
          <cell r="M1526" t="str">
            <v>F</v>
          </cell>
          <cell r="AB1526" t="str">
            <v>serum</v>
          </cell>
          <cell r="AF1526">
            <v>1.5</v>
          </cell>
        </row>
        <row r="1527">
          <cell r="A1527" t="str">
            <v>IS_alqt_plus</v>
          </cell>
          <cell r="K1527" t="str">
            <v>ECOR</v>
          </cell>
          <cell r="M1527" t="str">
            <v>F</v>
          </cell>
          <cell r="AB1527" t="str">
            <v>serum</v>
          </cell>
          <cell r="AF1527">
            <v>1.7</v>
          </cell>
        </row>
        <row r="1528">
          <cell r="A1528" t="str">
            <v>IS_alqt_plus</v>
          </cell>
          <cell r="K1528" t="str">
            <v>ECOR</v>
          </cell>
          <cell r="M1528" t="str">
            <v>F</v>
          </cell>
          <cell r="AB1528" t="str">
            <v>serum</v>
          </cell>
          <cell r="AF1528">
            <v>1.6</v>
          </cell>
        </row>
        <row r="1529">
          <cell r="A1529" t="str">
            <v>IS_alqt_plus</v>
          </cell>
          <cell r="K1529" t="str">
            <v>ECOR</v>
          </cell>
          <cell r="M1529" t="str">
            <v>F</v>
          </cell>
          <cell r="AB1529" t="str">
            <v>serum</v>
          </cell>
          <cell r="AF1529">
            <v>1.5</v>
          </cell>
        </row>
        <row r="1530">
          <cell r="A1530" t="str">
            <v>IS_alqt_plus</v>
          </cell>
          <cell r="K1530" t="str">
            <v>ECOR</v>
          </cell>
          <cell r="M1530" t="str">
            <v>F</v>
          </cell>
          <cell r="AB1530" t="str">
            <v>serum</v>
          </cell>
          <cell r="AF1530">
            <v>1.5</v>
          </cell>
        </row>
        <row r="1531">
          <cell r="A1531" t="str">
            <v>IS_alqt_plus</v>
          </cell>
          <cell r="K1531" t="str">
            <v>ECOR</v>
          </cell>
          <cell r="M1531" t="str">
            <v>F</v>
          </cell>
          <cell r="AB1531" t="str">
            <v>serum</v>
          </cell>
          <cell r="AF1531">
            <v>1.25</v>
          </cell>
        </row>
        <row r="1532">
          <cell r="A1532" t="str">
            <v>gone</v>
          </cell>
          <cell r="K1532" t="str">
            <v>EMAC</v>
          </cell>
          <cell r="M1532" t="str">
            <v>M</v>
          </cell>
          <cell r="AB1532" t="str">
            <v>WB</v>
          </cell>
          <cell r="AF1532">
            <v>0</v>
          </cell>
        </row>
        <row r="1533">
          <cell r="A1533" t="str">
            <v>IS_alqt_plus</v>
          </cell>
          <cell r="K1533" t="str">
            <v>ECOL</v>
          </cell>
          <cell r="M1533" t="str">
            <v>F</v>
          </cell>
          <cell r="AB1533" t="str">
            <v>serum</v>
          </cell>
          <cell r="AF1533">
            <v>0.8</v>
          </cell>
        </row>
        <row r="1534">
          <cell r="A1534" t="str">
            <v>IS_alqt_plus</v>
          </cell>
          <cell r="K1534" t="str">
            <v>EMAC</v>
          </cell>
          <cell r="M1534" t="str">
            <v>M</v>
          </cell>
          <cell r="AB1534" t="str">
            <v>serum</v>
          </cell>
          <cell r="AF1534">
            <v>1.1000000000000001</v>
          </cell>
        </row>
        <row r="1535">
          <cell r="A1535" t="str">
            <v>IS_alqt_plus</v>
          </cell>
          <cell r="K1535" t="str">
            <v>DMAD</v>
          </cell>
          <cell r="M1535" t="str">
            <v>F</v>
          </cell>
          <cell r="AB1535" t="str">
            <v>serum</v>
          </cell>
          <cell r="AF1535">
            <v>0.5</v>
          </cell>
        </row>
        <row r="1536">
          <cell r="A1536" t="str">
            <v>IS_alqt_plus</v>
          </cell>
          <cell r="K1536" t="str">
            <v>VRUB</v>
          </cell>
          <cell r="M1536" t="str">
            <v>M</v>
          </cell>
          <cell r="AB1536" t="str">
            <v>serum</v>
          </cell>
          <cell r="AF1536">
            <v>0.6</v>
          </cell>
        </row>
        <row r="1537">
          <cell r="A1537" t="str">
            <v>IS_alqt_plus</v>
          </cell>
          <cell r="K1537" t="str">
            <v>VRUB</v>
          </cell>
          <cell r="M1537" t="str">
            <v>M</v>
          </cell>
          <cell r="AB1537" t="str">
            <v>serum</v>
          </cell>
          <cell r="AF1537">
            <v>1</v>
          </cell>
        </row>
        <row r="1538">
          <cell r="A1538" t="str">
            <v>IS_alqt_plus</v>
          </cell>
          <cell r="K1538" t="str">
            <v>PCOQ</v>
          </cell>
          <cell r="M1538" t="str">
            <v>M</v>
          </cell>
          <cell r="AB1538" t="str">
            <v>serum</v>
          </cell>
          <cell r="AF1538">
            <v>1.2</v>
          </cell>
        </row>
        <row r="1539">
          <cell r="A1539" t="str">
            <v>IS_alqt_plus</v>
          </cell>
          <cell r="K1539" t="str">
            <v>DMAD</v>
          </cell>
          <cell r="M1539" t="str">
            <v>F</v>
          </cell>
          <cell r="AB1539" t="str">
            <v>serum</v>
          </cell>
          <cell r="AF1539">
            <v>0.7</v>
          </cell>
        </row>
        <row r="1540">
          <cell r="A1540" t="str">
            <v>IS_alqt_plus</v>
          </cell>
          <cell r="K1540" t="str">
            <v>DMAD</v>
          </cell>
          <cell r="M1540" t="str">
            <v>F</v>
          </cell>
          <cell r="AB1540" t="str">
            <v>serum</v>
          </cell>
          <cell r="AF1540">
            <v>0.9</v>
          </cell>
        </row>
        <row r="1541">
          <cell r="A1541" t="str">
            <v>IS_alqt_plus</v>
          </cell>
          <cell r="K1541" t="str">
            <v>PCOQ</v>
          </cell>
          <cell r="M1541" t="str">
            <v>M</v>
          </cell>
          <cell r="AB1541" t="str">
            <v>serum</v>
          </cell>
          <cell r="AF1541">
            <v>0.75</v>
          </cell>
        </row>
        <row r="1542">
          <cell r="A1542" t="str">
            <v>IS_alqt_plus</v>
          </cell>
          <cell r="K1542" t="str">
            <v>DMAD</v>
          </cell>
          <cell r="M1542" t="str">
            <v>F</v>
          </cell>
          <cell r="AB1542" t="str">
            <v>serum</v>
          </cell>
          <cell r="AF1542">
            <v>1.1000000000000001</v>
          </cell>
        </row>
        <row r="1543">
          <cell r="A1543" t="str">
            <v>IS_alqt_plus</v>
          </cell>
          <cell r="K1543" t="str">
            <v>DMAD</v>
          </cell>
          <cell r="M1543" t="str">
            <v>F</v>
          </cell>
          <cell r="AB1543" t="str">
            <v>serum</v>
          </cell>
          <cell r="AF1543">
            <v>0.8</v>
          </cell>
        </row>
        <row r="1544">
          <cell r="A1544" t="str">
            <v>IS_alqt_plus</v>
          </cell>
          <cell r="K1544" t="str">
            <v>ESAN</v>
          </cell>
          <cell r="M1544" t="str">
            <v>M</v>
          </cell>
          <cell r="AB1544" t="str">
            <v>serum</v>
          </cell>
          <cell r="AF1544">
            <v>0.6</v>
          </cell>
        </row>
        <row r="1545">
          <cell r="A1545" t="str">
            <v>gone</v>
          </cell>
          <cell r="K1545" t="str">
            <v>PCOQ</v>
          </cell>
          <cell r="M1545" t="str">
            <v>M</v>
          </cell>
          <cell r="AB1545" t="str">
            <v>serum</v>
          </cell>
          <cell r="AF1545">
            <v>0</v>
          </cell>
        </row>
        <row r="1546">
          <cell r="A1546" t="str">
            <v>IS_alqt_plus</v>
          </cell>
          <cell r="K1546" t="str">
            <v>PCOQ</v>
          </cell>
          <cell r="M1546" t="str">
            <v>M</v>
          </cell>
          <cell r="AB1546" t="str">
            <v>serum</v>
          </cell>
          <cell r="AF1546">
            <v>0.7</v>
          </cell>
        </row>
        <row r="1547">
          <cell r="A1547" t="str">
            <v>IS_alqt_plus</v>
          </cell>
          <cell r="K1547" t="str">
            <v>ESAN</v>
          </cell>
          <cell r="M1547" t="str">
            <v>F</v>
          </cell>
          <cell r="AB1547" t="str">
            <v>serum</v>
          </cell>
          <cell r="AF1547">
            <v>0.8</v>
          </cell>
        </row>
        <row r="1548">
          <cell r="A1548" t="str">
            <v>IS_alqt_plus</v>
          </cell>
          <cell r="K1548" t="str">
            <v>ESAN</v>
          </cell>
          <cell r="M1548" t="str">
            <v>F</v>
          </cell>
          <cell r="AB1548" t="str">
            <v>serum</v>
          </cell>
          <cell r="AF1548">
            <v>0.9</v>
          </cell>
        </row>
        <row r="1549">
          <cell r="A1549" t="str">
            <v>IS_alqt_minus</v>
          </cell>
          <cell r="K1549" t="str">
            <v>NCOU</v>
          </cell>
          <cell r="M1549" t="str">
            <v>F</v>
          </cell>
          <cell r="AB1549" t="str">
            <v>serum</v>
          </cell>
          <cell r="AF1549">
            <v>0.1</v>
          </cell>
        </row>
        <row r="1550">
          <cell r="A1550" t="str">
            <v>IS_alqt_plus</v>
          </cell>
          <cell r="K1550" t="str">
            <v>NCOU</v>
          </cell>
          <cell r="M1550" t="str">
            <v>M</v>
          </cell>
          <cell r="AB1550" t="str">
            <v>serum</v>
          </cell>
          <cell r="AF1550">
            <v>0.2</v>
          </cell>
        </row>
        <row r="1551">
          <cell r="A1551" t="str">
            <v>IS_alqt_minus</v>
          </cell>
          <cell r="K1551" t="str">
            <v>NCOU</v>
          </cell>
          <cell r="M1551" t="str">
            <v>F</v>
          </cell>
          <cell r="AB1551" t="str">
            <v>serum</v>
          </cell>
          <cell r="AF1551">
            <v>0.15</v>
          </cell>
        </row>
        <row r="1552">
          <cell r="A1552" t="str">
            <v>IS_alqt_plus</v>
          </cell>
          <cell r="K1552" t="str">
            <v>VRUB</v>
          </cell>
          <cell r="M1552" t="str">
            <v>M</v>
          </cell>
          <cell r="AB1552" t="str">
            <v>serum</v>
          </cell>
          <cell r="AF1552">
            <v>0.5</v>
          </cell>
        </row>
        <row r="1553">
          <cell r="A1553" t="str">
            <v>IS_alqt_plus</v>
          </cell>
          <cell r="K1553" t="str">
            <v>VRUB</v>
          </cell>
          <cell r="M1553" t="str">
            <v>F</v>
          </cell>
          <cell r="AB1553" t="str">
            <v>serum</v>
          </cell>
          <cell r="AF1553">
            <v>0.75</v>
          </cell>
        </row>
        <row r="1554">
          <cell r="A1554" t="str">
            <v>IS_alqt_minus</v>
          </cell>
          <cell r="K1554" t="str">
            <v>VRUB</v>
          </cell>
          <cell r="M1554" t="str">
            <v>F</v>
          </cell>
          <cell r="AB1554" t="str">
            <v>serum</v>
          </cell>
          <cell r="AF1554">
            <v>7.4999999999999997E-2</v>
          </cell>
        </row>
        <row r="1555">
          <cell r="A1555" t="str">
            <v>unk</v>
          </cell>
          <cell r="K1555" t="str">
            <v>VVV</v>
          </cell>
          <cell r="M1555" t="str">
            <v>M</v>
          </cell>
          <cell r="AB1555" t="str">
            <v>serum</v>
          </cell>
          <cell r="AF1555">
            <v>0.6</v>
          </cell>
        </row>
        <row r="1556">
          <cell r="A1556" t="str">
            <v>IS_alqt_plus</v>
          </cell>
          <cell r="K1556" t="str">
            <v>VVV</v>
          </cell>
          <cell r="M1556" t="str">
            <v>F</v>
          </cell>
          <cell r="AB1556" t="str">
            <v>serum</v>
          </cell>
          <cell r="AF1556">
            <v>0.8</v>
          </cell>
        </row>
        <row r="1557">
          <cell r="A1557" t="str">
            <v>IS_alqt_plus</v>
          </cell>
          <cell r="K1557" t="str">
            <v>VVV</v>
          </cell>
          <cell r="M1557" t="str">
            <v>M</v>
          </cell>
          <cell r="AB1557" t="str">
            <v>serum</v>
          </cell>
          <cell r="AF1557">
            <v>0.4</v>
          </cell>
        </row>
        <row r="1558">
          <cell r="A1558" t="str">
            <v>IS_alqt_plus</v>
          </cell>
          <cell r="K1558" t="str">
            <v>PCOQ</v>
          </cell>
          <cell r="M1558" t="str">
            <v>M</v>
          </cell>
          <cell r="AB1558" t="str">
            <v>serum</v>
          </cell>
          <cell r="AF1558">
            <v>1</v>
          </cell>
        </row>
        <row r="1559">
          <cell r="A1559" t="str">
            <v>IS_alqt_plus</v>
          </cell>
          <cell r="K1559" t="str">
            <v>PCOQ</v>
          </cell>
          <cell r="M1559" t="str">
            <v>M</v>
          </cell>
          <cell r="AB1559" t="str">
            <v>serum</v>
          </cell>
          <cell r="AF1559">
            <v>1</v>
          </cell>
        </row>
        <row r="1560">
          <cell r="A1560" t="str">
            <v>IS_alqt_plus</v>
          </cell>
          <cell r="K1560" t="str">
            <v>PCOQ</v>
          </cell>
          <cell r="M1560" t="str">
            <v>M</v>
          </cell>
          <cell r="AB1560" t="str">
            <v>serum</v>
          </cell>
          <cell r="AF1560">
            <v>0.6</v>
          </cell>
        </row>
        <row r="1561">
          <cell r="A1561" t="str">
            <v>gone</v>
          </cell>
          <cell r="K1561" t="str">
            <v>ERUB</v>
          </cell>
          <cell r="M1561" t="str">
            <v>F</v>
          </cell>
          <cell r="AB1561" t="str">
            <v>WB</v>
          </cell>
          <cell r="AF1561">
            <v>0</v>
          </cell>
        </row>
        <row r="1562">
          <cell r="A1562" t="str">
            <v>IS_alqt_plus</v>
          </cell>
          <cell r="K1562" t="str">
            <v>ERUB</v>
          </cell>
          <cell r="M1562" t="str">
            <v>M</v>
          </cell>
          <cell r="AB1562" t="str">
            <v>WB</v>
          </cell>
          <cell r="AF1562">
            <v>1</v>
          </cell>
        </row>
        <row r="1563">
          <cell r="A1563" t="str">
            <v>IS_alqt_plus</v>
          </cell>
          <cell r="K1563" t="str">
            <v>ERUB</v>
          </cell>
          <cell r="M1563" t="str">
            <v>M</v>
          </cell>
          <cell r="AB1563" t="str">
            <v>WB</v>
          </cell>
          <cell r="AF1563">
            <v>1</v>
          </cell>
        </row>
        <row r="1564">
          <cell r="A1564" t="str">
            <v>IS_alqt_plus</v>
          </cell>
          <cell r="K1564" t="str">
            <v>ERUB</v>
          </cell>
          <cell r="M1564" t="str">
            <v>M</v>
          </cell>
          <cell r="AB1564" t="str">
            <v>WB</v>
          </cell>
          <cell r="AF1564">
            <v>1</v>
          </cell>
        </row>
        <row r="1565">
          <cell r="A1565" t="str">
            <v>IS_alqt_plus</v>
          </cell>
          <cell r="K1565" t="str">
            <v>ERUB</v>
          </cell>
          <cell r="M1565" t="str">
            <v>M</v>
          </cell>
          <cell r="AB1565" t="str">
            <v>WB</v>
          </cell>
          <cell r="AF1565">
            <v>1</v>
          </cell>
        </row>
        <row r="1566">
          <cell r="A1566" t="str">
            <v>IS_alqt_plus</v>
          </cell>
          <cell r="K1566" t="str">
            <v>VRUB</v>
          </cell>
          <cell r="M1566" t="str">
            <v>F</v>
          </cell>
          <cell r="AB1566" t="str">
            <v>WB</v>
          </cell>
          <cell r="AF1566">
            <v>1.5</v>
          </cell>
        </row>
        <row r="1567">
          <cell r="A1567" t="str">
            <v>IS_alqt_plus</v>
          </cell>
          <cell r="K1567" t="str">
            <v>VRUB</v>
          </cell>
          <cell r="M1567" t="str">
            <v>F</v>
          </cell>
          <cell r="AB1567" t="str">
            <v>WB</v>
          </cell>
          <cell r="AF1567">
            <v>1.2</v>
          </cell>
        </row>
        <row r="1568">
          <cell r="A1568" t="str">
            <v>IS_alqt_plus</v>
          </cell>
          <cell r="K1568" t="str">
            <v>VRUB</v>
          </cell>
          <cell r="M1568" t="str">
            <v>F</v>
          </cell>
          <cell r="AB1568" t="str">
            <v>WB</v>
          </cell>
          <cell r="AF1568">
            <v>1</v>
          </cell>
        </row>
        <row r="1569">
          <cell r="A1569" t="str">
            <v>IS_alqt_plus</v>
          </cell>
          <cell r="K1569" t="str">
            <v>ERUB</v>
          </cell>
          <cell r="M1569" t="str">
            <v>F</v>
          </cell>
          <cell r="AB1569" t="str">
            <v>serum</v>
          </cell>
          <cell r="AF1569">
            <v>0.5</v>
          </cell>
        </row>
        <row r="1570">
          <cell r="A1570" t="str">
            <v>IS_alqt_plus</v>
          </cell>
          <cell r="K1570" t="str">
            <v>ERUB</v>
          </cell>
          <cell r="M1570" t="str">
            <v>M</v>
          </cell>
          <cell r="AB1570" t="str">
            <v>serum</v>
          </cell>
          <cell r="AF1570">
            <v>0.4</v>
          </cell>
        </row>
        <row r="1571">
          <cell r="A1571" t="str">
            <v>IS_alqt_plus</v>
          </cell>
          <cell r="K1571" t="str">
            <v>VRUB</v>
          </cell>
          <cell r="M1571" t="str">
            <v>F</v>
          </cell>
          <cell r="AB1571" t="str">
            <v>serum</v>
          </cell>
          <cell r="AF1571">
            <v>0.5</v>
          </cell>
        </row>
        <row r="1572">
          <cell r="A1572" t="str">
            <v>IS_alqt_plus</v>
          </cell>
          <cell r="K1572" t="str">
            <v>VRUB</v>
          </cell>
          <cell r="M1572" t="str">
            <v>F</v>
          </cell>
          <cell r="AB1572" t="str">
            <v>serum</v>
          </cell>
          <cell r="AF1572">
            <v>0.7</v>
          </cell>
        </row>
        <row r="1573">
          <cell r="A1573" t="str">
            <v>IS_alqt_plus</v>
          </cell>
          <cell r="K1573" t="str">
            <v>VRUB</v>
          </cell>
          <cell r="M1573" t="str">
            <v>F</v>
          </cell>
          <cell r="AB1573" t="str">
            <v>serum</v>
          </cell>
          <cell r="AF1573">
            <v>0.6</v>
          </cell>
        </row>
        <row r="1574">
          <cell r="A1574" t="str">
            <v>IS_alqt_plus</v>
          </cell>
          <cell r="K1574" t="str">
            <v>VVV</v>
          </cell>
          <cell r="M1574" t="str">
            <v>M</v>
          </cell>
          <cell r="AB1574" t="str">
            <v>serum</v>
          </cell>
          <cell r="AF1574">
            <v>0.5</v>
          </cell>
        </row>
        <row r="1575">
          <cell r="A1575" t="str">
            <v>IS_alqt_plus</v>
          </cell>
          <cell r="K1575" t="str">
            <v>CMED</v>
          </cell>
          <cell r="M1575" t="str">
            <v>F</v>
          </cell>
          <cell r="AB1575" t="str">
            <v>PRBC</v>
          </cell>
          <cell r="AF1575">
            <v>0.3</v>
          </cell>
        </row>
        <row r="1576">
          <cell r="A1576" t="str">
            <v>IS_alqt_plus</v>
          </cell>
          <cell r="K1576" t="str">
            <v>VRUB</v>
          </cell>
          <cell r="M1576" t="str">
            <v>M</v>
          </cell>
          <cell r="AB1576" t="str">
            <v>serum</v>
          </cell>
          <cell r="AF1576">
            <v>0.8</v>
          </cell>
        </row>
        <row r="1577">
          <cell r="A1577" t="str">
            <v>IS_alqt_plus</v>
          </cell>
          <cell r="K1577" t="str">
            <v>LCAT</v>
          </cell>
          <cell r="M1577" t="str">
            <v>F</v>
          </cell>
          <cell r="AB1577" t="str">
            <v>WB</v>
          </cell>
          <cell r="AF1577">
            <v>0.9</v>
          </cell>
        </row>
        <row r="1578">
          <cell r="A1578" t="str">
            <v>gone</v>
          </cell>
          <cell r="K1578" t="str">
            <v>LCAT</v>
          </cell>
          <cell r="M1578" t="str">
            <v>F</v>
          </cell>
          <cell r="AB1578" t="str">
            <v>serum</v>
          </cell>
          <cell r="AF1578">
            <v>0</v>
          </cell>
        </row>
        <row r="1579">
          <cell r="A1579" t="str">
            <v>IS_alqt_plus</v>
          </cell>
          <cell r="K1579" t="str">
            <v>LCAT</v>
          </cell>
          <cell r="M1579" t="str">
            <v>F</v>
          </cell>
          <cell r="AB1579" t="str">
            <v>serum</v>
          </cell>
          <cell r="AF1579">
            <v>1</v>
          </cell>
        </row>
        <row r="1580">
          <cell r="A1580" t="str">
            <v>IS_alqt_plus</v>
          </cell>
          <cell r="K1580" t="str">
            <v>LCAT</v>
          </cell>
          <cell r="M1580" t="str">
            <v>M</v>
          </cell>
          <cell r="AB1580" t="str">
            <v>serum</v>
          </cell>
          <cell r="AF1580">
            <v>0.7</v>
          </cell>
        </row>
        <row r="1581">
          <cell r="A1581" t="str">
            <v>IS_alqt_plus</v>
          </cell>
          <cell r="K1581" t="str">
            <v>VRUB</v>
          </cell>
          <cell r="M1581" t="str">
            <v>M</v>
          </cell>
          <cell r="AB1581" t="str">
            <v>serum</v>
          </cell>
          <cell r="AF1581">
            <v>1.6</v>
          </cell>
        </row>
        <row r="1582">
          <cell r="A1582" t="str">
            <v>IS_alqt_plus</v>
          </cell>
          <cell r="K1582" t="str">
            <v>VRUB</v>
          </cell>
          <cell r="M1582" t="str">
            <v>M</v>
          </cell>
          <cell r="AB1582" t="str">
            <v>serum</v>
          </cell>
          <cell r="AF1582">
            <v>1.8</v>
          </cell>
        </row>
        <row r="1583">
          <cell r="A1583" t="str">
            <v>IS_alqt_plus</v>
          </cell>
          <cell r="K1583" t="str">
            <v>VRUB</v>
          </cell>
          <cell r="M1583" t="str">
            <v>M</v>
          </cell>
          <cell r="AB1583" t="str">
            <v>serum</v>
          </cell>
          <cell r="AF1583">
            <v>1.8</v>
          </cell>
        </row>
        <row r="1584">
          <cell r="A1584" t="str">
            <v>IS_alqt_plus</v>
          </cell>
          <cell r="K1584" t="str">
            <v>VRUB</v>
          </cell>
          <cell r="M1584" t="str">
            <v>M</v>
          </cell>
          <cell r="AB1584" t="str">
            <v>serum</v>
          </cell>
          <cell r="AF1584">
            <v>1.45</v>
          </cell>
        </row>
        <row r="1585">
          <cell r="A1585" t="str">
            <v>IS_alqt_minus</v>
          </cell>
          <cell r="K1585" t="str">
            <v>VRUB</v>
          </cell>
          <cell r="M1585" t="str">
            <v>F</v>
          </cell>
          <cell r="AB1585" t="str">
            <v>serum</v>
          </cell>
          <cell r="AF1585">
            <v>0.15</v>
          </cell>
        </row>
        <row r="1586">
          <cell r="A1586" t="str">
            <v>IS_alqt_plus</v>
          </cell>
          <cell r="K1586" t="str">
            <v>VRUB</v>
          </cell>
          <cell r="M1586" t="str">
            <v>F</v>
          </cell>
          <cell r="AB1586" t="str">
            <v>serum</v>
          </cell>
          <cell r="AF1586">
            <v>0.8</v>
          </cell>
        </row>
        <row r="1587">
          <cell r="A1587" t="str">
            <v>IS_alqt_plus</v>
          </cell>
          <cell r="K1587" t="str">
            <v>VRUB</v>
          </cell>
          <cell r="M1587" t="str">
            <v>F</v>
          </cell>
          <cell r="AB1587" t="str">
            <v>serum</v>
          </cell>
          <cell r="AF1587">
            <v>0.4</v>
          </cell>
        </row>
        <row r="1588">
          <cell r="A1588" t="str">
            <v>IS_alqt_plus</v>
          </cell>
          <cell r="K1588" t="str">
            <v>LCAT</v>
          </cell>
          <cell r="M1588" t="str">
            <v>M</v>
          </cell>
          <cell r="AB1588" t="str">
            <v>WB</v>
          </cell>
          <cell r="AF1588">
            <v>1.2</v>
          </cell>
        </row>
        <row r="1589">
          <cell r="A1589" t="str">
            <v>IS_alqt_minus</v>
          </cell>
          <cell r="K1589" t="str">
            <v>LTAR</v>
          </cell>
          <cell r="M1589" t="str">
            <v>F</v>
          </cell>
          <cell r="AB1589" t="str">
            <v>PRBC</v>
          </cell>
          <cell r="AF1589">
            <v>0.1</v>
          </cell>
        </row>
        <row r="1590">
          <cell r="A1590" t="str">
            <v>IS_alqt_plus</v>
          </cell>
          <cell r="K1590" t="str">
            <v>LCAT</v>
          </cell>
          <cell r="M1590" t="str">
            <v>F</v>
          </cell>
          <cell r="AB1590" t="str">
            <v>WB</v>
          </cell>
          <cell r="AF1590">
            <v>1.1000000000000001</v>
          </cell>
        </row>
        <row r="1591">
          <cell r="A1591" t="str">
            <v>IS_alqt_plus</v>
          </cell>
          <cell r="K1591" t="str">
            <v>LCAT</v>
          </cell>
          <cell r="M1591" t="str">
            <v>F</v>
          </cell>
          <cell r="AB1591" t="str">
            <v>serum</v>
          </cell>
          <cell r="AF1591">
            <v>1.6</v>
          </cell>
        </row>
        <row r="1592">
          <cell r="A1592" t="str">
            <v>gone</v>
          </cell>
          <cell r="K1592" t="str">
            <v>LCAT</v>
          </cell>
          <cell r="M1592" t="str">
            <v>F</v>
          </cell>
          <cell r="AB1592" t="str">
            <v>serum</v>
          </cell>
          <cell r="AF1592">
            <v>0</v>
          </cell>
        </row>
        <row r="1593">
          <cell r="A1593" t="str">
            <v>IS_alqt_plus</v>
          </cell>
          <cell r="K1593" t="str">
            <v>MZAZ</v>
          </cell>
          <cell r="M1593" t="str">
            <v>F</v>
          </cell>
          <cell r="AB1593" t="str">
            <v>PRBC</v>
          </cell>
          <cell r="AF1593">
            <v>0.6</v>
          </cell>
        </row>
        <row r="1594">
          <cell r="A1594" t="str">
            <v>gone</v>
          </cell>
          <cell r="K1594" t="str">
            <v>LCAT</v>
          </cell>
          <cell r="M1594" t="str">
            <v>F</v>
          </cell>
          <cell r="AB1594" t="str">
            <v>serum</v>
          </cell>
          <cell r="AF1594">
            <v>0</v>
          </cell>
        </row>
        <row r="1595">
          <cell r="A1595" t="str">
            <v>IS_alqt_plus</v>
          </cell>
          <cell r="K1595" t="str">
            <v>ECOL</v>
          </cell>
          <cell r="M1595" t="str">
            <v>M</v>
          </cell>
          <cell r="AB1595" t="str">
            <v>serum</v>
          </cell>
          <cell r="AF1595">
            <v>1.75</v>
          </cell>
        </row>
        <row r="1596">
          <cell r="A1596" t="str">
            <v>IS_alqt_plus</v>
          </cell>
          <cell r="K1596" t="str">
            <v>ECOL</v>
          </cell>
          <cell r="M1596" t="str">
            <v>F</v>
          </cell>
          <cell r="AB1596" t="str">
            <v>serum</v>
          </cell>
          <cell r="AF1596">
            <v>1.5</v>
          </cell>
        </row>
        <row r="1597">
          <cell r="A1597" t="str">
            <v>IS_alqt_plus</v>
          </cell>
          <cell r="K1597" t="str">
            <v>ECOL</v>
          </cell>
          <cell r="M1597" t="str">
            <v>M</v>
          </cell>
          <cell r="AB1597" t="str">
            <v>serum</v>
          </cell>
          <cell r="AF1597">
            <v>1.1000000000000001</v>
          </cell>
        </row>
        <row r="1598">
          <cell r="A1598" t="str">
            <v>IS_alqt_plus</v>
          </cell>
          <cell r="K1598" t="str">
            <v>ECOL</v>
          </cell>
          <cell r="M1598" t="str">
            <v>M</v>
          </cell>
          <cell r="AB1598" t="str">
            <v>serum</v>
          </cell>
          <cell r="AF1598">
            <v>1.1000000000000001</v>
          </cell>
        </row>
        <row r="1599">
          <cell r="A1599" t="str">
            <v>IS_alqt_plus</v>
          </cell>
          <cell r="K1599" t="str">
            <v>LCAT</v>
          </cell>
          <cell r="M1599" t="str">
            <v>F</v>
          </cell>
          <cell r="AB1599" t="str">
            <v>WB</v>
          </cell>
          <cell r="AF1599">
            <v>0.6</v>
          </cell>
        </row>
        <row r="1600">
          <cell r="A1600" t="str">
            <v>IS_alqt_plus</v>
          </cell>
          <cell r="K1600" t="str">
            <v>LCAT</v>
          </cell>
          <cell r="M1600" t="str">
            <v>F</v>
          </cell>
          <cell r="AB1600" t="str">
            <v>WB</v>
          </cell>
          <cell r="AF1600">
            <v>0.75</v>
          </cell>
        </row>
        <row r="1601">
          <cell r="A1601" t="str">
            <v>IS_alqt_plus</v>
          </cell>
          <cell r="K1601" t="str">
            <v>LCAT</v>
          </cell>
          <cell r="M1601" t="str">
            <v>F</v>
          </cell>
          <cell r="AB1601" t="str">
            <v>WB</v>
          </cell>
          <cell r="AF1601">
            <v>1.5</v>
          </cell>
        </row>
        <row r="1602">
          <cell r="A1602" t="str">
            <v>IS_alqt_plus</v>
          </cell>
          <cell r="K1602" t="str">
            <v>LCAT</v>
          </cell>
          <cell r="M1602" t="str">
            <v>M</v>
          </cell>
          <cell r="AB1602" t="str">
            <v>serum</v>
          </cell>
          <cell r="AF1602">
            <v>0.4</v>
          </cell>
        </row>
        <row r="1603">
          <cell r="A1603" t="str">
            <v>IS_alqt_plus</v>
          </cell>
          <cell r="K1603" t="str">
            <v>EUL</v>
          </cell>
          <cell r="M1603" t="str">
            <v>M</v>
          </cell>
          <cell r="AB1603" t="str">
            <v>serum</v>
          </cell>
          <cell r="AF1603">
            <v>1</v>
          </cell>
        </row>
        <row r="1604">
          <cell r="A1604" t="str">
            <v>IS_alqt_plus</v>
          </cell>
          <cell r="K1604" t="str">
            <v>EUL</v>
          </cell>
          <cell r="M1604" t="str">
            <v>M</v>
          </cell>
          <cell r="AB1604" t="str">
            <v>serum</v>
          </cell>
          <cell r="AF1604">
            <v>1</v>
          </cell>
        </row>
        <row r="1605">
          <cell r="A1605" t="str">
            <v>IS_alqt_plus</v>
          </cell>
          <cell r="K1605" t="str">
            <v>EUL</v>
          </cell>
          <cell r="M1605" t="str">
            <v>M</v>
          </cell>
          <cell r="AB1605" t="str">
            <v>serum</v>
          </cell>
          <cell r="AF1605">
            <v>1.5</v>
          </cell>
        </row>
        <row r="1606">
          <cell r="A1606" t="str">
            <v>IS_alqt_plus</v>
          </cell>
          <cell r="K1606" t="str">
            <v>EUL</v>
          </cell>
          <cell r="M1606" t="str">
            <v>F</v>
          </cell>
          <cell r="AB1606" t="str">
            <v>serum</v>
          </cell>
          <cell r="AF1606">
            <v>1.8</v>
          </cell>
        </row>
        <row r="1607">
          <cell r="A1607" t="str">
            <v>IS_alqt_plus</v>
          </cell>
          <cell r="K1607" t="str">
            <v>ECOL</v>
          </cell>
          <cell r="M1607" t="str">
            <v>M</v>
          </cell>
          <cell r="AB1607" t="str">
            <v>serum</v>
          </cell>
          <cell r="AF1607">
            <v>1</v>
          </cell>
        </row>
        <row r="1608">
          <cell r="A1608" t="str">
            <v>IS_alqt_plus</v>
          </cell>
          <cell r="K1608" t="str">
            <v>PDIA</v>
          </cell>
          <cell r="M1608" t="str">
            <v>M</v>
          </cell>
          <cell r="AB1608" t="str">
            <v>serum</v>
          </cell>
          <cell r="AF1608">
            <v>0.9</v>
          </cell>
        </row>
        <row r="1609">
          <cell r="A1609" t="str">
            <v>IS_alqt_plus</v>
          </cell>
          <cell r="K1609" t="str">
            <v>VVV</v>
          </cell>
          <cell r="M1609" t="str">
            <v>M</v>
          </cell>
          <cell r="AB1609" t="str">
            <v>WB</v>
          </cell>
          <cell r="AF1609">
            <v>0.2</v>
          </cell>
        </row>
        <row r="1610">
          <cell r="A1610" t="str">
            <v>IS_alqt_plus</v>
          </cell>
          <cell r="K1610" t="str">
            <v>VVV</v>
          </cell>
          <cell r="M1610" t="str">
            <v>M</v>
          </cell>
          <cell r="AB1610" t="str">
            <v>serum</v>
          </cell>
          <cell r="AF1610">
            <v>0.85</v>
          </cell>
        </row>
        <row r="1611">
          <cell r="A1611" t="str">
            <v>gone</v>
          </cell>
          <cell r="K1611" t="str">
            <v>VVV</v>
          </cell>
          <cell r="M1611" t="str">
            <v>M</v>
          </cell>
          <cell r="AB1611" t="str">
            <v>serum</v>
          </cell>
          <cell r="AF1611">
            <v>0</v>
          </cell>
        </row>
        <row r="1612">
          <cell r="A1612" t="str">
            <v>IS_alqt_plus</v>
          </cell>
          <cell r="K1612" t="str">
            <v>VVV</v>
          </cell>
          <cell r="M1612" t="str">
            <v>M</v>
          </cell>
          <cell r="AB1612" t="str">
            <v>serum</v>
          </cell>
          <cell r="AF1612">
            <v>1.2</v>
          </cell>
        </row>
        <row r="1613">
          <cell r="A1613" t="str">
            <v>IS_alqt_plus</v>
          </cell>
          <cell r="K1613" t="str">
            <v>VVV</v>
          </cell>
          <cell r="M1613" t="str">
            <v>M</v>
          </cell>
          <cell r="AB1613" t="str">
            <v>serum</v>
          </cell>
          <cell r="AF1613">
            <v>1.2</v>
          </cell>
        </row>
        <row r="1614">
          <cell r="A1614" t="str">
            <v>IS_alqt_plus</v>
          </cell>
          <cell r="K1614" t="str">
            <v>VVV</v>
          </cell>
          <cell r="M1614" t="str">
            <v>M</v>
          </cell>
          <cell r="AB1614" t="str">
            <v>serum</v>
          </cell>
          <cell r="AF1614">
            <v>1.2</v>
          </cell>
        </row>
        <row r="1615">
          <cell r="A1615" t="str">
            <v>IS_alqt_plus</v>
          </cell>
          <cell r="K1615" t="str">
            <v>VVV</v>
          </cell>
          <cell r="M1615" t="str">
            <v>M</v>
          </cell>
          <cell r="AB1615" t="str">
            <v>serum</v>
          </cell>
          <cell r="AF1615">
            <v>1.2</v>
          </cell>
        </row>
        <row r="1616">
          <cell r="A1616" t="str">
            <v>gone</v>
          </cell>
          <cell r="K1616" t="str">
            <v>ERUB</v>
          </cell>
          <cell r="M1616" t="str">
            <v>F</v>
          </cell>
          <cell r="AB1616" t="str">
            <v>WB</v>
          </cell>
          <cell r="AF1616">
            <v>0</v>
          </cell>
        </row>
        <row r="1617">
          <cell r="A1617" t="str">
            <v>IS_alqt_plus</v>
          </cell>
          <cell r="K1617" t="str">
            <v>ERUB</v>
          </cell>
          <cell r="M1617" t="str">
            <v>F</v>
          </cell>
          <cell r="AB1617" t="str">
            <v>serum</v>
          </cell>
          <cell r="AF1617">
            <v>1</v>
          </cell>
        </row>
        <row r="1618">
          <cell r="A1618" t="str">
            <v>IS_alqt_plus</v>
          </cell>
          <cell r="K1618" t="str">
            <v>ERUB</v>
          </cell>
          <cell r="M1618" t="str">
            <v>F</v>
          </cell>
          <cell r="AB1618" t="str">
            <v>serum</v>
          </cell>
          <cell r="AF1618">
            <v>1.4</v>
          </cell>
        </row>
        <row r="1619">
          <cell r="A1619" t="str">
            <v>IS_alqt_plus</v>
          </cell>
          <cell r="K1619" t="str">
            <v>ERUB</v>
          </cell>
          <cell r="M1619" t="str">
            <v>F</v>
          </cell>
          <cell r="AB1619" t="str">
            <v>serum</v>
          </cell>
          <cell r="AF1619">
            <v>0.5</v>
          </cell>
        </row>
        <row r="1620">
          <cell r="A1620" t="str">
            <v>IS_alqt_plus</v>
          </cell>
          <cell r="K1620" t="str">
            <v>ERUB</v>
          </cell>
          <cell r="M1620" t="str">
            <v>F</v>
          </cell>
          <cell r="AB1620" t="str">
            <v>serum</v>
          </cell>
          <cell r="AF1620">
            <v>1.6</v>
          </cell>
        </row>
        <row r="1621">
          <cell r="A1621" t="str">
            <v>IS_alqt_plus</v>
          </cell>
          <cell r="K1621" t="str">
            <v>ERUB</v>
          </cell>
          <cell r="M1621" t="str">
            <v>F</v>
          </cell>
          <cell r="AB1621" t="str">
            <v>serum</v>
          </cell>
          <cell r="AF1621">
            <v>1.2</v>
          </cell>
        </row>
        <row r="1622">
          <cell r="A1622" t="str">
            <v>IS_alqt_plus</v>
          </cell>
          <cell r="K1622" t="str">
            <v>ERUB</v>
          </cell>
          <cell r="M1622" t="str">
            <v>F</v>
          </cell>
          <cell r="AB1622" t="str">
            <v>serum</v>
          </cell>
          <cell r="AF1622">
            <v>1.6</v>
          </cell>
        </row>
        <row r="1623">
          <cell r="A1623" t="str">
            <v>IS_alqt_plus</v>
          </cell>
          <cell r="K1623" t="str">
            <v>PCOQ</v>
          </cell>
          <cell r="M1623" t="str">
            <v>F</v>
          </cell>
          <cell r="AB1623" t="str">
            <v>serum</v>
          </cell>
          <cell r="AF1623">
            <v>0.7</v>
          </cell>
        </row>
        <row r="1624">
          <cell r="A1624" t="str">
            <v>IS_alqt_minus</v>
          </cell>
          <cell r="K1624" t="str">
            <v>PCOQ</v>
          </cell>
          <cell r="M1624" t="str">
            <v>F</v>
          </cell>
          <cell r="AB1624" t="str">
            <v>serum</v>
          </cell>
          <cell r="AF1624">
            <v>0.1</v>
          </cell>
        </row>
        <row r="1625">
          <cell r="A1625" t="str">
            <v>IS_alqt_plus</v>
          </cell>
          <cell r="K1625" t="str">
            <v>PCOQ</v>
          </cell>
          <cell r="M1625" t="str">
            <v>M</v>
          </cell>
          <cell r="AB1625" t="str">
            <v>serum</v>
          </cell>
          <cell r="AF1625">
            <v>0.45</v>
          </cell>
        </row>
        <row r="1626">
          <cell r="A1626" t="str">
            <v>IS_alqt_plus</v>
          </cell>
          <cell r="K1626" t="str">
            <v>PCOQ</v>
          </cell>
          <cell r="M1626" t="str">
            <v>M</v>
          </cell>
          <cell r="AB1626" t="str">
            <v>serum</v>
          </cell>
          <cell r="AF1626">
            <v>0.25</v>
          </cell>
        </row>
        <row r="1627">
          <cell r="A1627" t="str">
            <v>IS_alqt_plus</v>
          </cell>
          <cell r="K1627" t="str">
            <v>PCOQ</v>
          </cell>
          <cell r="M1627" t="str">
            <v>F</v>
          </cell>
          <cell r="AB1627" t="str">
            <v>serum</v>
          </cell>
          <cell r="AF1627">
            <v>0.6</v>
          </cell>
        </row>
        <row r="1628">
          <cell r="A1628" t="str">
            <v>IS_alqt_plus</v>
          </cell>
          <cell r="K1628" t="str">
            <v>PCOQ</v>
          </cell>
          <cell r="M1628" t="str">
            <v>M</v>
          </cell>
          <cell r="AB1628" t="str">
            <v>serum</v>
          </cell>
          <cell r="AF1628">
            <v>0.55000000000000004</v>
          </cell>
        </row>
        <row r="1629">
          <cell r="A1629" t="str">
            <v>IS_alqt_plus</v>
          </cell>
          <cell r="K1629" t="str">
            <v>EFLA</v>
          </cell>
          <cell r="M1629" t="str">
            <v>F</v>
          </cell>
          <cell r="AB1629" t="str">
            <v>serum</v>
          </cell>
          <cell r="AF1629">
            <v>1</v>
          </cell>
        </row>
        <row r="1630">
          <cell r="A1630" t="str">
            <v>IS_alqt_plus</v>
          </cell>
          <cell r="K1630" t="str">
            <v>EFLA</v>
          </cell>
          <cell r="M1630" t="str">
            <v>M</v>
          </cell>
          <cell r="AB1630" t="str">
            <v>serum</v>
          </cell>
          <cell r="AF1630">
            <v>1.5</v>
          </cell>
        </row>
        <row r="1631">
          <cell r="A1631" t="str">
            <v>gone</v>
          </cell>
          <cell r="K1631" t="str">
            <v>VRUB</v>
          </cell>
          <cell r="M1631" t="str">
            <v>M</v>
          </cell>
          <cell r="AB1631" t="str">
            <v>WB</v>
          </cell>
          <cell r="AF1631">
            <v>0</v>
          </cell>
        </row>
        <row r="1632">
          <cell r="A1632" t="str">
            <v>IS_alqt_plus</v>
          </cell>
          <cell r="K1632" t="str">
            <v>EMON</v>
          </cell>
          <cell r="M1632" t="str">
            <v>M</v>
          </cell>
          <cell r="AB1632" t="str">
            <v>serum</v>
          </cell>
          <cell r="AF1632">
            <v>0.5</v>
          </cell>
        </row>
        <row r="1633">
          <cell r="A1633" t="str">
            <v>IS_alqt_plus</v>
          </cell>
          <cell r="K1633" t="str">
            <v>VRUB</v>
          </cell>
          <cell r="M1633" t="str">
            <v>M</v>
          </cell>
          <cell r="AB1633" t="str">
            <v>serum</v>
          </cell>
          <cell r="AF1633">
            <v>1.2</v>
          </cell>
        </row>
        <row r="1634">
          <cell r="A1634" t="str">
            <v>IS_alqt_plus</v>
          </cell>
          <cell r="K1634" t="str">
            <v>VRUB</v>
          </cell>
          <cell r="M1634" t="str">
            <v>F</v>
          </cell>
          <cell r="AB1634" t="str">
            <v>serum</v>
          </cell>
          <cell r="AF1634">
            <v>0.6</v>
          </cell>
        </row>
        <row r="1635">
          <cell r="A1635" t="str">
            <v>IS_alqt_plus</v>
          </cell>
          <cell r="K1635" t="str">
            <v>EMON</v>
          </cell>
          <cell r="M1635" t="str">
            <v>M</v>
          </cell>
          <cell r="AB1635" t="str">
            <v>serum</v>
          </cell>
          <cell r="AF1635">
            <v>0.5</v>
          </cell>
        </row>
        <row r="1636">
          <cell r="A1636" t="str">
            <v>IS_alqt_plus</v>
          </cell>
          <cell r="K1636" t="str">
            <v>EALB</v>
          </cell>
          <cell r="M1636" t="str">
            <v>M</v>
          </cell>
          <cell r="AB1636" t="str">
            <v>WB</v>
          </cell>
          <cell r="AF1636">
            <v>0.8</v>
          </cell>
        </row>
        <row r="1637">
          <cell r="A1637" t="str">
            <v>IS_alqt_plus</v>
          </cell>
          <cell r="K1637" t="str">
            <v>EALB</v>
          </cell>
          <cell r="M1637" t="str">
            <v>M</v>
          </cell>
          <cell r="AB1637" t="str">
            <v>serum</v>
          </cell>
          <cell r="AF1637">
            <v>0.7</v>
          </cell>
        </row>
        <row r="1638">
          <cell r="A1638" t="str">
            <v>IS_alqt_plus</v>
          </cell>
          <cell r="K1638" t="str">
            <v>EALB</v>
          </cell>
          <cell r="M1638" t="str">
            <v>M</v>
          </cell>
          <cell r="AB1638" t="str">
            <v>serum</v>
          </cell>
          <cell r="AF1638">
            <v>1.2</v>
          </cell>
        </row>
        <row r="1639">
          <cell r="A1639" t="str">
            <v>IS_alqt_plus</v>
          </cell>
          <cell r="K1639" t="str">
            <v>EMON</v>
          </cell>
          <cell r="M1639" t="str">
            <v>M</v>
          </cell>
          <cell r="AB1639" t="str">
            <v>serum</v>
          </cell>
          <cell r="AF1639">
            <v>1</v>
          </cell>
        </row>
        <row r="1640">
          <cell r="A1640" t="str">
            <v>IS_alqt_plus</v>
          </cell>
          <cell r="K1640" t="str">
            <v>EMON</v>
          </cell>
          <cell r="M1640" t="str">
            <v>M</v>
          </cell>
          <cell r="AB1640" t="str">
            <v>serum</v>
          </cell>
          <cell r="AF1640">
            <v>1</v>
          </cell>
        </row>
        <row r="1641">
          <cell r="A1641" t="str">
            <v>IS_alqt_plus</v>
          </cell>
          <cell r="K1641" t="str">
            <v>VRUB</v>
          </cell>
          <cell r="M1641" t="str">
            <v>F</v>
          </cell>
          <cell r="AB1641" t="str">
            <v>serum</v>
          </cell>
          <cell r="AF1641">
            <v>1.3</v>
          </cell>
        </row>
        <row r="1642">
          <cell r="A1642" t="str">
            <v>IS_alqt_plus</v>
          </cell>
          <cell r="K1642" t="str">
            <v>VRUB</v>
          </cell>
          <cell r="M1642" t="str">
            <v>F</v>
          </cell>
          <cell r="AB1642" t="str">
            <v>WB</v>
          </cell>
          <cell r="AF1642">
            <v>1.3</v>
          </cell>
        </row>
        <row r="1643">
          <cell r="A1643" t="str">
            <v>IS_alqt_plus</v>
          </cell>
          <cell r="K1643" t="str">
            <v>VRUB</v>
          </cell>
          <cell r="M1643" t="str">
            <v>M</v>
          </cell>
          <cell r="AB1643" t="str">
            <v>serum</v>
          </cell>
          <cell r="AF1643">
            <v>0.9</v>
          </cell>
        </row>
        <row r="1644">
          <cell r="A1644" t="str">
            <v>IS_alqt_plus</v>
          </cell>
          <cell r="K1644" t="str">
            <v>VRUB</v>
          </cell>
          <cell r="M1644" t="str">
            <v>F</v>
          </cell>
          <cell r="AB1644" t="str">
            <v>serum</v>
          </cell>
          <cell r="AF1644">
            <v>0.9</v>
          </cell>
        </row>
        <row r="1645">
          <cell r="A1645" t="str">
            <v>IS_alqt_plus</v>
          </cell>
          <cell r="K1645" t="str">
            <v>VRUB</v>
          </cell>
          <cell r="M1645" t="str">
            <v>F</v>
          </cell>
          <cell r="AB1645" t="str">
            <v>serum</v>
          </cell>
          <cell r="AF1645">
            <v>1</v>
          </cell>
        </row>
        <row r="1646">
          <cell r="A1646" t="str">
            <v>IS_alqt_plus</v>
          </cell>
          <cell r="K1646" t="str">
            <v>VRUB</v>
          </cell>
          <cell r="M1646" t="str">
            <v>F</v>
          </cell>
          <cell r="AB1646" t="str">
            <v>serum</v>
          </cell>
          <cell r="AF1646">
            <v>1.2</v>
          </cell>
        </row>
        <row r="1647">
          <cell r="A1647" t="str">
            <v>IS_alqt_plus</v>
          </cell>
          <cell r="K1647" t="str">
            <v>VRUB</v>
          </cell>
          <cell r="M1647" t="str">
            <v>F</v>
          </cell>
          <cell r="AB1647" t="str">
            <v>serum</v>
          </cell>
          <cell r="AF1647">
            <v>0.6</v>
          </cell>
        </row>
        <row r="1648">
          <cell r="A1648" t="str">
            <v>IS_alqt_plus</v>
          </cell>
          <cell r="K1648" t="str">
            <v>EFLA</v>
          </cell>
          <cell r="M1648" t="str">
            <v>M</v>
          </cell>
          <cell r="AB1648" t="str">
            <v>serum</v>
          </cell>
          <cell r="AF1648">
            <v>1.7</v>
          </cell>
        </row>
        <row r="1649">
          <cell r="A1649" t="str">
            <v>IS_alqt_plus</v>
          </cell>
          <cell r="K1649" t="str">
            <v>LCAT</v>
          </cell>
          <cell r="M1649" t="str">
            <v>F</v>
          </cell>
          <cell r="AB1649" t="str">
            <v>serum</v>
          </cell>
          <cell r="AF1649">
            <v>1</v>
          </cell>
        </row>
        <row r="1650">
          <cell r="A1650" t="str">
            <v>gone</v>
          </cell>
          <cell r="K1650" t="str">
            <v>ERUB</v>
          </cell>
          <cell r="M1650" t="str">
            <v>F</v>
          </cell>
          <cell r="AB1650" t="str">
            <v>serum</v>
          </cell>
          <cell r="AF1650">
            <v>0</v>
          </cell>
        </row>
        <row r="1651">
          <cell r="A1651" t="str">
            <v>IS_alqt_minus</v>
          </cell>
          <cell r="K1651" t="str">
            <v>LCAT</v>
          </cell>
          <cell r="M1651" t="str">
            <v>M</v>
          </cell>
          <cell r="AB1651" t="str">
            <v>serum</v>
          </cell>
          <cell r="AF1651">
            <v>0.1</v>
          </cell>
        </row>
        <row r="1652">
          <cell r="A1652" t="str">
            <v>IS_alqt_plus</v>
          </cell>
          <cell r="K1652" t="str">
            <v>LCAT</v>
          </cell>
          <cell r="M1652" t="str">
            <v>F</v>
          </cell>
          <cell r="AB1652" t="str">
            <v>serum</v>
          </cell>
          <cell r="AF1652">
            <v>0.5</v>
          </cell>
        </row>
        <row r="1653">
          <cell r="A1653" t="str">
            <v>IS_alqt_plus</v>
          </cell>
          <cell r="K1653" t="str">
            <v>LCAT</v>
          </cell>
          <cell r="M1653" t="str">
            <v>F</v>
          </cell>
          <cell r="AB1653" t="str">
            <v>serum</v>
          </cell>
          <cell r="AF1653">
            <v>0.5</v>
          </cell>
        </row>
        <row r="1654">
          <cell r="A1654" t="str">
            <v>IS_alqt_plus</v>
          </cell>
          <cell r="K1654" t="str">
            <v>LCAT</v>
          </cell>
          <cell r="M1654" t="str">
            <v>F</v>
          </cell>
          <cell r="AB1654" t="str">
            <v>serum</v>
          </cell>
          <cell r="AF1654">
            <v>0.5</v>
          </cell>
        </row>
        <row r="1655">
          <cell r="A1655" t="str">
            <v>IS_alqt_plus</v>
          </cell>
          <cell r="K1655" t="str">
            <v>LCAT</v>
          </cell>
          <cell r="M1655" t="str">
            <v>M</v>
          </cell>
          <cell r="AB1655" t="str">
            <v>serum</v>
          </cell>
          <cell r="AF1655">
            <v>0.6</v>
          </cell>
        </row>
        <row r="1656">
          <cell r="A1656" t="str">
            <v>IS_alqt_plus</v>
          </cell>
          <cell r="K1656" t="str">
            <v>LCAT</v>
          </cell>
          <cell r="M1656" t="str">
            <v>M</v>
          </cell>
          <cell r="AB1656" t="str">
            <v>serum</v>
          </cell>
          <cell r="AF1656">
            <v>0.5</v>
          </cell>
        </row>
        <row r="1657">
          <cell r="A1657" t="str">
            <v>IS_alqt_plus</v>
          </cell>
          <cell r="K1657" t="str">
            <v>EMAC</v>
          </cell>
          <cell r="M1657" t="str">
            <v>M</v>
          </cell>
          <cell r="AB1657" t="str">
            <v>serum</v>
          </cell>
          <cell r="AF1657">
            <v>0.5</v>
          </cell>
        </row>
        <row r="1658">
          <cell r="A1658" t="str">
            <v>IS_alqt_plus</v>
          </cell>
          <cell r="K1658" t="str">
            <v>ECOR</v>
          </cell>
          <cell r="M1658" t="str">
            <v>M</v>
          </cell>
          <cell r="AB1658" t="str">
            <v>serum</v>
          </cell>
          <cell r="AF1658">
            <v>0.8</v>
          </cell>
        </row>
        <row r="1659">
          <cell r="A1659" t="str">
            <v>IS_alqt_plus</v>
          </cell>
          <cell r="K1659" t="str">
            <v>DMAD</v>
          </cell>
          <cell r="M1659" t="str">
            <v>F</v>
          </cell>
          <cell r="AB1659" t="str">
            <v>serum</v>
          </cell>
          <cell r="AF1659">
            <v>0.4</v>
          </cell>
        </row>
        <row r="1660">
          <cell r="A1660" t="str">
            <v>IS_alqt_plus</v>
          </cell>
          <cell r="K1660" t="str">
            <v>VVV</v>
          </cell>
          <cell r="M1660" t="str">
            <v>M</v>
          </cell>
          <cell r="AB1660" t="str">
            <v>WB</v>
          </cell>
          <cell r="AF1660">
            <v>1.3</v>
          </cell>
        </row>
        <row r="1661">
          <cell r="A1661" t="str">
            <v>IS_alqt_plus</v>
          </cell>
          <cell r="K1661" t="str">
            <v>LCAT</v>
          </cell>
          <cell r="M1661" t="str">
            <v>F</v>
          </cell>
          <cell r="AB1661" t="str">
            <v>WB</v>
          </cell>
          <cell r="AF1661">
            <v>1.3</v>
          </cell>
        </row>
        <row r="1662">
          <cell r="A1662" t="str">
            <v>IS_alqt_plus</v>
          </cell>
          <cell r="K1662" t="str">
            <v>PCOQ</v>
          </cell>
          <cell r="M1662" t="str">
            <v>M</v>
          </cell>
          <cell r="AB1662" t="str">
            <v>serum</v>
          </cell>
          <cell r="AF1662">
            <v>0.7</v>
          </cell>
        </row>
        <row r="1663">
          <cell r="A1663" t="str">
            <v>IS_alqt_plus</v>
          </cell>
          <cell r="K1663" t="str">
            <v>VRUB</v>
          </cell>
          <cell r="M1663" t="str">
            <v>M</v>
          </cell>
          <cell r="AB1663" t="str">
            <v>WB</v>
          </cell>
          <cell r="AF1663">
            <v>1</v>
          </cell>
        </row>
        <row r="1664">
          <cell r="A1664" t="str">
            <v>IS_alqt_plus</v>
          </cell>
          <cell r="K1664" t="str">
            <v>VRUB</v>
          </cell>
          <cell r="M1664" t="str">
            <v>F</v>
          </cell>
          <cell r="AB1664" t="str">
            <v>WB</v>
          </cell>
          <cell r="AF1664">
            <v>1.2</v>
          </cell>
        </row>
        <row r="1665">
          <cell r="A1665" t="str">
            <v>IS_alqt_plus</v>
          </cell>
          <cell r="K1665" t="str">
            <v>VRUB</v>
          </cell>
          <cell r="M1665" t="str">
            <v>M</v>
          </cell>
          <cell r="AB1665" t="str">
            <v>serum</v>
          </cell>
          <cell r="AF1665">
            <v>0.2</v>
          </cell>
        </row>
        <row r="1666">
          <cell r="A1666" t="str">
            <v>IS_alqt_plus</v>
          </cell>
          <cell r="K1666" t="str">
            <v>VRUB</v>
          </cell>
          <cell r="M1666" t="str">
            <v>F</v>
          </cell>
          <cell r="AB1666" t="str">
            <v>serum</v>
          </cell>
          <cell r="AF1666">
            <v>1.2</v>
          </cell>
        </row>
        <row r="1667">
          <cell r="A1667" t="str">
            <v>IS_alqt_plus</v>
          </cell>
          <cell r="K1667" t="str">
            <v>VVV</v>
          </cell>
          <cell r="M1667" t="str">
            <v>M</v>
          </cell>
          <cell r="AB1667" t="str">
            <v>WB</v>
          </cell>
          <cell r="AF1667">
            <v>1</v>
          </cell>
        </row>
        <row r="1668">
          <cell r="A1668" t="str">
            <v>IS_alqt_plus</v>
          </cell>
          <cell r="K1668" t="str">
            <v>VVV</v>
          </cell>
          <cell r="M1668" t="str">
            <v>M</v>
          </cell>
          <cell r="AB1668" t="str">
            <v>WB</v>
          </cell>
          <cell r="AF1668">
            <v>1.3</v>
          </cell>
        </row>
        <row r="1669">
          <cell r="A1669" t="str">
            <v>IS_alqt_plus</v>
          </cell>
          <cell r="K1669" t="str">
            <v>VVV</v>
          </cell>
          <cell r="M1669" t="str">
            <v>M</v>
          </cell>
          <cell r="AB1669" t="str">
            <v>WB</v>
          </cell>
          <cell r="AF1669">
            <v>1.4</v>
          </cell>
        </row>
        <row r="1670">
          <cell r="A1670" t="str">
            <v>IS_alqt_plus</v>
          </cell>
          <cell r="K1670" t="str">
            <v>VVV</v>
          </cell>
          <cell r="M1670" t="str">
            <v>M</v>
          </cell>
          <cell r="AB1670" t="str">
            <v>WB</v>
          </cell>
          <cell r="AF1670">
            <v>1.2</v>
          </cell>
        </row>
        <row r="1671">
          <cell r="A1671" t="str">
            <v>IS_alqt_plus</v>
          </cell>
          <cell r="K1671" t="str">
            <v>VVV</v>
          </cell>
          <cell r="M1671" t="str">
            <v>M</v>
          </cell>
          <cell r="AB1671" t="str">
            <v>WB</v>
          </cell>
          <cell r="AF1671">
            <v>1.8</v>
          </cell>
        </row>
        <row r="1672">
          <cell r="A1672" t="str">
            <v>IS_alqt_plus</v>
          </cell>
          <cell r="K1672" t="str">
            <v>VVV</v>
          </cell>
          <cell r="M1672" t="str">
            <v>M</v>
          </cell>
          <cell r="AB1672" t="str">
            <v>WB</v>
          </cell>
          <cell r="AF1672">
            <v>1.3</v>
          </cell>
        </row>
        <row r="1673">
          <cell r="A1673" t="str">
            <v>IS_alqt_plus</v>
          </cell>
          <cell r="K1673" t="str">
            <v>VVV</v>
          </cell>
          <cell r="M1673" t="str">
            <v>M</v>
          </cell>
          <cell r="AB1673" t="str">
            <v>WB</v>
          </cell>
          <cell r="AF1673">
            <v>1.4</v>
          </cell>
        </row>
        <row r="1674">
          <cell r="A1674" t="str">
            <v>IS_alqt_plus</v>
          </cell>
          <cell r="K1674" t="str">
            <v>VVV</v>
          </cell>
          <cell r="M1674" t="str">
            <v>M</v>
          </cell>
          <cell r="AB1674" t="str">
            <v>WB</v>
          </cell>
          <cell r="AF1674">
            <v>1.3</v>
          </cell>
        </row>
        <row r="1675">
          <cell r="A1675" t="str">
            <v>IS_alqt_plus</v>
          </cell>
          <cell r="K1675" t="str">
            <v>VVV</v>
          </cell>
          <cell r="M1675" t="str">
            <v>M</v>
          </cell>
          <cell r="AB1675" t="str">
            <v>WB</v>
          </cell>
          <cell r="AF1675">
            <v>1.2</v>
          </cell>
        </row>
        <row r="1676">
          <cell r="A1676" t="str">
            <v>gone</v>
          </cell>
          <cell r="K1676" t="str">
            <v>VVV</v>
          </cell>
          <cell r="M1676" t="str">
            <v>M</v>
          </cell>
          <cell r="AB1676" t="str">
            <v>serum</v>
          </cell>
          <cell r="AF1676">
            <v>0</v>
          </cell>
        </row>
        <row r="1677">
          <cell r="A1677" t="str">
            <v>IS_alqt_plus</v>
          </cell>
          <cell r="K1677" t="str">
            <v>VVV</v>
          </cell>
          <cell r="M1677" t="str">
            <v>M</v>
          </cell>
          <cell r="AB1677" t="str">
            <v>serum</v>
          </cell>
          <cell r="AF1677">
            <v>1.2</v>
          </cell>
        </row>
        <row r="1678">
          <cell r="A1678" t="str">
            <v>IS_alqt_plus</v>
          </cell>
          <cell r="K1678" t="str">
            <v>VVV</v>
          </cell>
          <cell r="M1678" t="str">
            <v>M</v>
          </cell>
          <cell r="AB1678" t="str">
            <v>serum</v>
          </cell>
          <cell r="AF1678">
            <v>1.1000000000000001</v>
          </cell>
        </row>
        <row r="1679">
          <cell r="A1679" t="str">
            <v>IS_alqt_plus</v>
          </cell>
          <cell r="K1679" t="str">
            <v>VVV</v>
          </cell>
          <cell r="M1679" t="str">
            <v>M</v>
          </cell>
          <cell r="AB1679" t="str">
            <v>serum</v>
          </cell>
          <cell r="AF1679">
            <v>1.1000000000000001</v>
          </cell>
        </row>
        <row r="1680">
          <cell r="A1680" t="str">
            <v>unk</v>
          </cell>
          <cell r="K1680" t="str">
            <v>VVV</v>
          </cell>
          <cell r="M1680" t="str">
            <v>M</v>
          </cell>
          <cell r="AB1680" t="str">
            <v>serum</v>
          </cell>
          <cell r="AF1680">
            <v>1</v>
          </cell>
        </row>
        <row r="1681">
          <cell r="A1681" t="str">
            <v>IS_alqt_plus</v>
          </cell>
          <cell r="K1681" t="str">
            <v>LCAT</v>
          </cell>
          <cell r="M1681" t="str">
            <v>F</v>
          </cell>
          <cell r="AB1681" t="str">
            <v>WB</v>
          </cell>
          <cell r="AF1681">
            <v>0.75</v>
          </cell>
        </row>
        <row r="1682">
          <cell r="A1682" t="str">
            <v>IS_alqt_plus</v>
          </cell>
          <cell r="K1682" t="str">
            <v>PCOQ</v>
          </cell>
          <cell r="M1682" t="str">
            <v>M</v>
          </cell>
          <cell r="AB1682" t="str">
            <v>serum</v>
          </cell>
          <cell r="AF1682">
            <v>0.4</v>
          </cell>
        </row>
        <row r="1683">
          <cell r="A1683" t="str">
            <v>unk</v>
          </cell>
          <cell r="K1683" t="str">
            <v>PCOQ</v>
          </cell>
          <cell r="M1683" t="str">
            <v>M</v>
          </cell>
          <cell r="AB1683" t="str">
            <v>serum</v>
          </cell>
          <cell r="AF1683">
            <v>0.25</v>
          </cell>
        </row>
        <row r="1684">
          <cell r="A1684" t="str">
            <v>IS_alqt_plus</v>
          </cell>
          <cell r="K1684" t="str">
            <v>LCAT</v>
          </cell>
          <cell r="M1684" t="str">
            <v>F</v>
          </cell>
          <cell r="AB1684" t="str">
            <v>WB</v>
          </cell>
          <cell r="AF1684">
            <v>0.75</v>
          </cell>
        </row>
        <row r="1685">
          <cell r="A1685" t="str">
            <v>gone</v>
          </cell>
          <cell r="K1685" t="str">
            <v>PCOQ</v>
          </cell>
          <cell r="M1685" t="str">
            <v>F</v>
          </cell>
          <cell r="AB1685" t="str">
            <v>serum</v>
          </cell>
          <cell r="AF1685">
            <v>0</v>
          </cell>
        </row>
        <row r="1686">
          <cell r="A1686" t="str">
            <v>IS_alqt_plus</v>
          </cell>
          <cell r="K1686" t="str">
            <v>PCOQ</v>
          </cell>
          <cell r="M1686" t="str">
            <v>F</v>
          </cell>
          <cell r="AB1686" t="str">
            <v>serum</v>
          </cell>
          <cell r="AF1686" t="str">
            <v>.</v>
          </cell>
        </row>
        <row r="1687">
          <cell r="A1687" t="str">
            <v>IS_alqt_plus</v>
          </cell>
          <cell r="K1687" t="str">
            <v>LCAT</v>
          </cell>
          <cell r="M1687" t="str">
            <v>M</v>
          </cell>
          <cell r="AB1687" t="str">
            <v>WB</v>
          </cell>
          <cell r="AF1687">
            <v>0.75</v>
          </cell>
        </row>
        <row r="1688">
          <cell r="A1688" t="str">
            <v>IS_alqt_plus</v>
          </cell>
          <cell r="K1688" t="str">
            <v>PCOQ</v>
          </cell>
          <cell r="M1688" t="str">
            <v>F</v>
          </cell>
          <cell r="AB1688" t="str">
            <v>serum</v>
          </cell>
          <cell r="AF1688">
            <v>0.2</v>
          </cell>
        </row>
        <row r="1689">
          <cell r="A1689" t="str">
            <v>gone</v>
          </cell>
          <cell r="K1689" t="str">
            <v>LCAT</v>
          </cell>
          <cell r="M1689" t="str">
            <v>M</v>
          </cell>
          <cell r="AB1689" t="str">
            <v>WB</v>
          </cell>
          <cell r="AF1689">
            <v>0</v>
          </cell>
        </row>
        <row r="1690">
          <cell r="A1690" t="str">
            <v>IS_alqt_plus</v>
          </cell>
          <cell r="K1690" t="str">
            <v>PCOQ</v>
          </cell>
          <cell r="M1690" t="str">
            <v>F</v>
          </cell>
          <cell r="AB1690" t="str">
            <v>serum</v>
          </cell>
          <cell r="AF1690">
            <v>0.5</v>
          </cell>
        </row>
        <row r="1691">
          <cell r="A1691" t="str">
            <v>IS_alqt_plus</v>
          </cell>
          <cell r="K1691" t="str">
            <v>HGG</v>
          </cell>
          <cell r="M1691" t="str">
            <v>M</v>
          </cell>
          <cell r="AB1691" t="str">
            <v>WB</v>
          </cell>
          <cell r="AF1691">
            <v>0.9</v>
          </cell>
        </row>
        <row r="1692">
          <cell r="A1692" t="str">
            <v>gone</v>
          </cell>
          <cell r="K1692" t="str">
            <v>ECOL</v>
          </cell>
          <cell r="M1692" t="str">
            <v>F</v>
          </cell>
          <cell r="AB1692" t="str">
            <v>WB</v>
          </cell>
          <cell r="AF1692">
            <v>0</v>
          </cell>
        </row>
        <row r="1693">
          <cell r="A1693" t="str">
            <v>IS_alqt_plus</v>
          </cell>
          <cell r="K1693" t="str">
            <v>DMAD</v>
          </cell>
          <cell r="M1693" t="str">
            <v>F</v>
          </cell>
          <cell r="AB1693" t="str">
            <v>serum</v>
          </cell>
          <cell r="AF1693">
            <v>0.8</v>
          </cell>
        </row>
        <row r="1694">
          <cell r="A1694" t="str">
            <v>IS_alqt_plus</v>
          </cell>
          <cell r="K1694" t="str">
            <v>ECOL</v>
          </cell>
          <cell r="M1694" t="str">
            <v>M</v>
          </cell>
          <cell r="AB1694" t="str">
            <v>serum</v>
          </cell>
          <cell r="AF1694">
            <v>0.9</v>
          </cell>
        </row>
        <row r="1695">
          <cell r="A1695" t="str">
            <v>IS_alqt_plus</v>
          </cell>
          <cell r="K1695" t="str">
            <v>ERUF</v>
          </cell>
          <cell r="M1695" t="str">
            <v>M</v>
          </cell>
          <cell r="AB1695" t="str">
            <v>WB</v>
          </cell>
          <cell r="AF1695">
            <v>0.8</v>
          </cell>
        </row>
        <row r="1696">
          <cell r="A1696" t="str">
            <v>gone</v>
          </cell>
          <cell r="K1696" t="str">
            <v>ECOR</v>
          </cell>
          <cell r="M1696" t="str">
            <v>M</v>
          </cell>
          <cell r="AB1696" t="str">
            <v>WB</v>
          </cell>
          <cell r="AF1696">
            <v>0</v>
          </cell>
        </row>
        <row r="1697">
          <cell r="A1697" t="str">
            <v>IS_alqt_plus</v>
          </cell>
          <cell r="K1697" t="str">
            <v>PTAT</v>
          </cell>
          <cell r="M1697" t="str">
            <v>M</v>
          </cell>
          <cell r="AB1697" t="str">
            <v>WB</v>
          </cell>
          <cell r="AF1697">
            <v>1.2</v>
          </cell>
        </row>
        <row r="1698">
          <cell r="A1698" t="str">
            <v>IS_alqt_plus</v>
          </cell>
          <cell r="K1698" t="str">
            <v>ECOR</v>
          </cell>
          <cell r="M1698" t="str">
            <v>F</v>
          </cell>
          <cell r="AB1698" t="str">
            <v>serum</v>
          </cell>
          <cell r="AF1698">
            <v>0.3</v>
          </cell>
        </row>
        <row r="1699">
          <cell r="A1699" t="str">
            <v>IS_alqt_plus</v>
          </cell>
          <cell r="K1699" t="str">
            <v>PTAT</v>
          </cell>
          <cell r="M1699" t="str">
            <v>M</v>
          </cell>
          <cell r="AB1699" t="str">
            <v>serum</v>
          </cell>
          <cell r="AF1699">
            <v>0.4</v>
          </cell>
        </row>
        <row r="1700">
          <cell r="A1700" t="str">
            <v>gone</v>
          </cell>
          <cell r="K1700" t="str">
            <v>EFLA</v>
          </cell>
          <cell r="M1700" t="str">
            <v>F</v>
          </cell>
          <cell r="AB1700" t="str">
            <v>WB</v>
          </cell>
          <cell r="AF1700">
            <v>0</v>
          </cell>
        </row>
        <row r="1701">
          <cell r="A1701" t="str">
            <v>unk</v>
          </cell>
          <cell r="K1701" t="str">
            <v>EFLA</v>
          </cell>
          <cell r="M1701" t="str">
            <v>F</v>
          </cell>
          <cell r="AB1701" t="str">
            <v>WB</v>
          </cell>
          <cell r="AF1701">
            <v>0.25</v>
          </cell>
        </row>
        <row r="1702">
          <cell r="A1702" t="str">
            <v>gone</v>
          </cell>
          <cell r="K1702" t="str">
            <v>EFLA</v>
          </cell>
          <cell r="M1702" t="str">
            <v>F</v>
          </cell>
          <cell r="AB1702" t="str">
            <v>serum</v>
          </cell>
          <cell r="AF1702">
            <v>0</v>
          </cell>
        </row>
        <row r="1703">
          <cell r="A1703" t="str">
            <v>IS_alqt_plus</v>
          </cell>
          <cell r="K1703" t="str">
            <v>PTAT</v>
          </cell>
          <cell r="M1703" t="str">
            <v>M</v>
          </cell>
          <cell r="AB1703" t="str">
            <v>WB</v>
          </cell>
          <cell r="AF1703">
            <v>1.5</v>
          </cell>
        </row>
        <row r="1704">
          <cell r="A1704" t="str">
            <v>IS_alqt_plus</v>
          </cell>
          <cell r="K1704" t="str">
            <v>ECOR</v>
          </cell>
          <cell r="M1704" t="str">
            <v>M</v>
          </cell>
          <cell r="AB1704" t="str">
            <v>serum</v>
          </cell>
          <cell r="AF1704">
            <v>0.3</v>
          </cell>
        </row>
        <row r="1705">
          <cell r="A1705" t="str">
            <v>IS_alqt_plus</v>
          </cell>
          <cell r="K1705" t="str">
            <v>PTAT</v>
          </cell>
          <cell r="M1705" t="str">
            <v>M</v>
          </cell>
          <cell r="AB1705" t="str">
            <v>serum</v>
          </cell>
          <cell r="AF1705">
            <v>1</v>
          </cell>
        </row>
        <row r="1706">
          <cell r="A1706" t="str">
            <v>IS_alqt_plus</v>
          </cell>
          <cell r="K1706" t="str">
            <v>LCAT</v>
          </cell>
          <cell r="M1706" t="str">
            <v>F</v>
          </cell>
          <cell r="AB1706" t="str">
            <v>WB</v>
          </cell>
          <cell r="AF1706">
            <v>0.5</v>
          </cell>
        </row>
        <row r="1707">
          <cell r="A1707" t="str">
            <v>IS_alqt_plus</v>
          </cell>
          <cell r="K1707" t="str">
            <v>PCOQ</v>
          </cell>
          <cell r="M1707" t="str">
            <v>F</v>
          </cell>
          <cell r="AB1707" t="str">
            <v>serum</v>
          </cell>
          <cell r="AF1707">
            <v>0.4</v>
          </cell>
        </row>
        <row r="1708">
          <cell r="A1708" t="str">
            <v>IS_alqt_plus</v>
          </cell>
          <cell r="K1708" t="str">
            <v>EFLA</v>
          </cell>
          <cell r="M1708" t="str">
            <v>M</v>
          </cell>
          <cell r="AB1708" t="str">
            <v>WB</v>
          </cell>
          <cell r="AF1708">
            <v>0.3</v>
          </cell>
        </row>
        <row r="1709">
          <cell r="A1709" t="str">
            <v>IS_alqt_plus</v>
          </cell>
          <cell r="K1709" t="str">
            <v>EFLA</v>
          </cell>
          <cell r="M1709" t="str">
            <v>M</v>
          </cell>
          <cell r="AB1709" t="str">
            <v>WB</v>
          </cell>
          <cell r="AF1709">
            <v>0.25</v>
          </cell>
        </row>
        <row r="1710">
          <cell r="A1710" t="str">
            <v>IS_alqt_plus</v>
          </cell>
          <cell r="K1710" t="str">
            <v>EFLA</v>
          </cell>
          <cell r="M1710" t="str">
            <v>M</v>
          </cell>
          <cell r="AB1710" t="str">
            <v>serum</v>
          </cell>
          <cell r="AF1710">
            <v>0.5</v>
          </cell>
        </row>
        <row r="1711">
          <cell r="A1711" t="str">
            <v>IS_alqt_minus</v>
          </cell>
          <cell r="K1711" t="str">
            <v>EFLA</v>
          </cell>
          <cell r="M1711" t="str">
            <v>M</v>
          </cell>
          <cell r="AB1711" t="str">
            <v>serum</v>
          </cell>
          <cell r="AF1711">
            <v>0.1</v>
          </cell>
        </row>
        <row r="1712">
          <cell r="A1712" t="str">
            <v>IS_alqt_minus</v>
          </cell>
          <cell r="K1712" t="str">
            <v>MZAZ</v>
          </cell>
          <cell r="M1712" t="str">
            <v>M</v>
          </cell>
          <cell r="AB1712" t="str">
            <v>plasma</v>
          </cell>
          <cell r="AF1712">
            <v>0.1</v>
          </cell>
        </row>
        <row r="1713">
          <cell r="A1713" t="str">
            <v>gone</v>
          </cell>
          <cell r="K1713" t="str">
            <v>EFLA</v>
          </cell>
          <cell r="M1713" t="str">
            <v>F</v>
          </cell>
          <cell r="AB1713" t="str">
            <v>serum</v>
          </cell>
          <cell r="AF1713">
            <v>0</v>
          </cell>
        </row>
        <row r="1714">
          <cell r="A1714" t="str">
            <v>IS_alqt_plus</v>
          </cell>
          <cell r="K1714" t="str">
            <v>EMAC</v>
          </cell>
          <cell r="M1714" t="str">
            <v>M</v>
          </cell>
          <cell r="AB1714" t="str">
            <v>WB</v>
          </cell>
          <cell r="AF1714">
            <v>0.5</v>
          </cell>
        </row>
        <row r="1715">
          <cell r="A1715" t="str">
            <v>IS_alqt_plus</v>
          </cell>
          <cell r="K1715" t="str">
            <v>ECOR</v>
          </cell>
          <cell r="M1715" t="str">
            <v>F</v>
          </cell>
          <cell r="AB1715" t="str">
            <v>WB</v>
          </cell>
          <cell r="AF1715">
            <v>0.3</v>
          </cell>
        </row>
        <row r="1716">
          <cell r="A1716" t="str">
            <v>IS_alqt_plus</v>
          </cell>
          <cell r="K1716" t="str">
            <v>ECOR</v>
          </cell>
          <cell r="M1716" t="str">
            <v>M</v>
          </cell>
          <cell r="AB1716" t="str">
            <v>WB</v>
          </cell>
          <cell r="AF1716">
            <v>0.7</v>
          </cell>
        </row>
        <row r="1717">
          <cell r="A1717" t="str">
            <v>IS_alqt_plus</v>
          </cell>
          <cell r="K1717" t="str">
            <v>ECOR</v>
          </cell>
          <cell r="M1717" t="str">
            <v>F</v>
          </cell>
          <cell r="AB1717" t="str">
            <v>serum</v>
          </cell>
          <cell r="AF1717">
            <v>1</v>
          </cell>
        </row>
        <row r="1718">
          <cell r="A1718" t="str">
            <v>IS_alqt_plus</v>
          </cell>
          <cell r="K1718" t="str">
            <v>ECOR</v>
          </cell>
          <cell r="M1718" t="str">
            <v>M</v>
          </cell>
          <cell r="AB1718" t="str">
            <v>serum</v>
          </cell>
          <cell r="AF1718">
            <v>1.7</v>
          </cell>
        </row>
        <row r="1719">
          <cell r="A1719" t="str">
            <v>IS_alqt_plus</v>
          </cell>
          <cell r="K1719" t="str">
            <v>EMON</v>
          </cell>
          <cell r="M1719" t="str">
            <v>M</v>
          </cell>
          <cell r="AB1719" t="str">
            <v>serum</v>
          </cell>
          <cell r="AF1719">
            <v>1.1000000000000001</v>
          </cell>
        </row>
        <row r="1720">
          <cell r="A1720" t="str">
            <v>IS_alqt_minus</v>
          </cell>
          <cell r="K1720" t="str">
            <v>EFLA</v>
          </cell>
          <cell r="M1720" t="str">
            <v>F</v>
          </cell>
          <cell r="AB1720" t="str">
            <v>WB</v>
          </cell>
          <cell r="AF1720">
            <v>0.1</v>
          </cell>
        </row>
        <row r="1721">
          <cell r="A1721" t="str">
            <v>IS_alqt_plus</v>
          </cell>
          <cell r="K1721" t="str">
            <v>EFLA</v>
          </cell>
          <cell r="M1721" t="str">
            <v>M</v>
          </cell>
          <cell r="AB1721" t="str">
            <v>WB</v>
          </cell>
          <cell r="AF1721">
            <v>1.2</v>
          </cell>
        </row>
        <row r="1722">
          <cell r="A1722" t="str">
            <v>IS_alqt_plus</v>
          </cell>
          <cell r="K1722" t="str">
            <v>EFLA</v>
          </cell>
          <cell r="M1722" t="str">
            <v>F</v>
          </cell>
          <cell r="AB1722" t="str">
            <v>serum</v>
          </cell>
          <cell r="AF1722">
            <v>0.2</v>
          </cell>
        </row>
        <row r="1723">
          <cell r="A1723" t="str">
            <v>IS_alqt_plus</v>
          </cell>
          <cell r="K1723" t="str">
            <v>EFLA</v>
          </cell>
          <cell r="M1723" t="str">
            <v>F</v>
          </cell>
          <cell r="AB1723" t="str">
            <v>serum</v>
          </cell>
          <cell r="AF1723">
            <v>0.2</v>
          </cell>
        </row>
        <row r="1724">
          <cell r="A1724" t="str">
            <v>IS_alqt_plus</v>
          </cell>
          <cell r="K1724" t="str">
            <v>EFLA</v>
          </cell>
          <cell r="M1724" t="str">
            <v>F</v>
          </cell>
          <cell r="AB1724" t="str">
            <v>serum</v>
          </cell>
          <cell r="AF1724">
            <v>0.2</v>
          </cell>
        </row>
        <row r="1725">
          <cell r="A1725" t="str">
            <v>IS_alqt_plus</v>
          </cell>
          <cell r="K1725" t="str">
            <v>EFLA</v>
          </cell>
          <cell r="M1725" t="str">
            <v>F</v>
          </cell>
          <cell r="AB1725" t="str">
            <v>serum</v>
          </cell>
          <cell r="AF1725">
            <v>0.2</v>
          </cell>
        </row>
        <row r="1726">
          <cell r="A1726" t="str">
            <v>IS_alqt_plus</v>
          </cell>
          <cell r="K1726" t="str">
            <v>EFLA</v>
          </cell>
          <cell r="M1726" t="str">
            <v>M</v>
          </cell>
          <cell r="AB1726" t="str">
            <v>serum</v>
          </cell>
          <cell r="AF1726">
            <v>0.2</v>
          </cell>
        </row>
        <row r="1727">
          <cell r="A1727" t="str">
            <v>IS_alqt_plus</v>
          </cell>
          <cell r="K1727" t="str">
            <v>EFLA</v>
          </cell>
          <cell r="M1727" t="str">
            <v>M</v>
          </cell>
          <cell r="AB1727" t="str">
            <v>serum</v>
          </cell>
          <cell r="AF1727">
            <v>0.2</v>
          </cell>
        </row>
        <row r="1728">
          <cell r="A1728" t="str">
            <v>IS_alqt_plus</v>
          </cell>
          <cell r="K1728" t="str">
            <v>EFLA</v>
          </cell>
          <cell r="M1728" t="str">
            <v>M</v>
          </cell>
          <cell r="AB1728" t="str">
            <v>serum</v>
          </cell>
          <cell r="AF1728">
            <v>0.2</v>
          </cell>
        </row>
        <row r="1729">
          <cell r="A1729" t="str">
            <v>gone</v>
          </cell>
          <cell r="K1729" t="str">
            <v>ECOR</v>
          </cell>
          <cell r="M1729" t="str">
            <v>F</v>
          </cell>
          <cell r="AB1729" t="str">
            <v>WB</v>
          </cell>
          <cell r="AF1729">
            <v>0.6</v>
          </cell>
        </row>
        <row r="1730">
          <cell r="A1730" t="str">
            <v>IS_alqt_plus</v>
          </cell>
          <cell r="K1730" t="str">
            <v>EMAC</v>
          </cell>
          <cell r="M1730" t="str">
            <v>M</v>
          </cell>
          <cell r="AB1730" t="str">
            <v>WB</v>
          </cell>
          <cell r="AF1730">
            <v>1</v>
          </cell>
        </row>
        <row r="1731">
          <cell r="A1731" t="str">
            <v>unk</v>
          </cell>
          <cell r="K1731" t="str">
            <v>ECOR</v>
          </cell>
          <cell r="M1731" t="str">
            <v>F</v>
          </cell>
          <cell r="AB1731" t="str">
            <v>serum</v>
          </cell>
          <cell r="AF1731">
            <v>0.7</v>
          </cell>
        </row>
        <row r="1732">
          <cell r="A1732" t="str">
            <v>IS_alqt_plus</v>
          </cell>
          <cell r="K1732" t="str">
            <v>EMAC</v>
          </cell>
          <cell r="M1732" t="str">
            <v>M</v>
          </cell>
          <cell r="AB1732" t="str">
            <v>serum</v>
          </cell>
          <cell r="AF1732">
            <v>1.2</v>
          </cell>
        </row>
        <row r="1733">
          <cell r="A1733" t="str">
            <v>IS_alqt_minus</v>
          </cell>
          <cell r="K1733" t="str">
            <v>ERUB</v>
          </cell>
          <cell r="M1733" t="str">
            <v>M</v>
          </cell>
          <cell r="AB1733" t="str">
            <v>serum</v>
          </cell>
          <cell r="AF1733">
            <v>0.1</v>
          </cell>
        </row>
        <row r="1734">
          <cell r="A1734" t="str">
            <v>IS_alqt_plus</v>
          </cell>
          <cell r="K1734" t="str">
            <v>ECOR</v>
          </cell>
          <cell r="M1734" t="str">
            <v>F</v>
          </cell>
          <cell r="AB1734" t="str">
            <v>WB</v>
          </cell>
          <cell r="AF1734">
            <v>1.1000000000000001</v>
          </cell>
        </row>
        <row r="1735">
          <cell r="A1735" t="str">
            <v>IS_alqt_plus</v>
          </cell>
          <cell r="K1735" t="str">
            <v>EMON</v>
          </cell>
          <cell r="M1735" t="str">
            <v>F</v>
          </cell>
          <cell r="AB1735" t="str">
            <v>serum</v>
          </cell>
          <cell r="AF1735">
            <v>0.5</v>
          </cell>
        </row>
        <row r="1736">
          <cell r="A1736" t="str">
            <v>IS_alqt_plus</v>
          </cell>
          <cell r="K1736" t="str">
            <v>ECOR</v>
          </cell>
          <cell r="M1736" t="str">
            <v>F</v>
          </cell>
          <cell r="AB1736" t="str">
            <v>serum</v>
          </cell>
          <cell r="AF1736">
            <v>1.7</v>
          </cell>
        </row>
        <row r="1737">
          <cell r="A1737" t="str">
            <v>IS_alqt_plus</v>
          </cell>
          <cell r="K1737" t="str">
            <v>EMON</v>
          </cell>
          <cell r="M1737" t="str">
            <v>M</v>
          </cell>
          <cell r="AB1737" t="str">
            <v>serum</v>
          </cell>
          <cell r="AF1737">
            <v>0.5</v>
          </cell>
        </row>
        <row r="1738">
          <cell r="A1738" t="str">
            <v>IS_alqt_plus</v>
          </cell>
          <cell r="K1738" t="str">
            <v>ERUF</v>
          </cell>
          <cell r="M1738" t="str">
            <v>M</v>
          </cell>
          <cell r="AB1738" t="str">
            <v>WB</v>
          </cell>
          <cell r="AF1738">
            <v>1.2</v>
          </cell>
        </row>
        <row r="1739">
          <cell r="A1739" t="str">
            <v>IS_alqt_plus</v>
          </cell>
          <cell r="K1739" t="str">
            <v>ERUF</v>
          </cell>
          <cell r="M1739" t="str">
            <v>F</v>
          </cell>
          <cell r="AB1739" t="str">
            <v>WB</v>
          </cell>
          <cell r="AF1739">
            <v>1</v>
          </cell>
        </row>
        <row r="1740">
          <cell r="A1740" t="str">
            <v>IS_alqt_plus</v>
          </cell>
          <cell r="K1740" t="str">
            <v>ERUF</v>
          </cell>
          <cell r="M1740" t="str">
            <v>M</v>
          </cell>
          <cell r="AB1740" t="str">
            <v>serum</v>
          </cell>
          <cell r="AF1740">
            <v>1</v>
          </cell>
        </row>
        <row r="1741">
          <cell r="A1741" t="str">
            <v>IS_alqt_plus</v>
          </cell>
          <cell r="K1741" t="str">
            <v>ERUF</v>
          </cell>
          <cell r="M1741" t="str">
            <v>F</v>
          </cell>
          <cell r="AB1741" t="str">
            <v>serum</v>
          </cell>
          <cell r="AF1741">
            <v>0.5</v>
          </cell>
        </row>
        <row r="1742">
          <cell r="A1742" t="str">
            <v>IS_alqt_plus</v>
          </cell>
          <cell r="K1742" t="str">
            <v>ERUF</v>
          </cell>
          <cell r="M1742" t="str">
            <v>F</v>
          </cell>
          <cell r="AB1742" t="str">
            <v>serum</v>
          </cell>
          <cell r="AF1742">
            <v>1.1000000000000001</v>
          </cell>
        </row>
        <row r="1743">
          <cell r="A1743" t="str">
            <v>IS_alqt_plus</v>
          </cell>
          <cell r="K1743" t="str">
            <v>DMAD</v>
          </cell>
          <cell r="M1743" t="str">
            <v>F</v>
          </cell>
          <cell r="AB1743" t="str">
            <v>serum</v>
          </cell>
          <cell r="AF1743">
            <v>1.2</v>
          </cell>
        </row>
        <row r="1744">
          <cell r="A1744" t="str">
            <v>IS_alqt_plus</v>
          </cell>
          <cell r="K1744" t="str">
            <v>DMAD</v>
          </cell>
          <cell r="M1744" t="str">
            <v>F</v>
          </cell>
          <cell r="AB1744" t="str">
            <v>serum</v>
          </cell>
          <cell r="AF1744">
            <v>1.8</v>
          </cell>
        </row>
        <row r="1745">
          <cell r="A1745" t="str">
            <v>gone</v>
          </cell>
          <cell r="K1745" t="str">
            <v>ERUB</v>
          </cell>
          <cell r="M1745" t="str">
            <v>M</v>
          </cell>
          <cell r="AB1745" t="str">
            <v>WB</v>
          </cell>
          <cell r="AF1745">
            <v>1</v>
          </cell>
        </row>
        <row r="1746">
          <cell r="A1746" t="str">
            <v>IS_alqt_plus</v>
          </cell>
          <cell r="K1746" t="str">
            <v>ERUB</v>
          </cell>
          <cell r="M1746" t="str">
            <v>M</v>
          </cell>
          <cell r="AB1746" t="str">
            <v>serum</v>
          </cell>
          <cell r="AF1746">
            <v>1</v>
          </cell>
        </row>
        <row r="1747">
          <cell r="A1747" t="str">
            <v>IS_alqt_minus</v>
          </cell>
          <cell r="K1747" t="str">
            <v>ERUB</v>
          </cell>
          <cell r="M1747" t="str">
            <v>M</v>
          </cell>
          <cell r="AB1747" t="str">
            <v>serum</v>
          </cell>
          <cell r="AF1747">
            <v>0.1</v>
          </cell>
        </row>
        <row r="1748">
          <cell r="A1748" t="str">
            <v>IS_alqt_plus</v>
          </cell>
          <cell r="K1748" t="str">
            <v>EUL</v>
          </cell>
          <cell r="M1748" t="str">
            <v>M</v>
          </cell>
          <cell r="AB1748" t="str">
            <v>serum</v>
          </cell>
          <cell r="AF1748">
            <v>1.1000000000000001</v>
          </cell>
        </row>
        <row r="1749">
          <cell r="A1749" t="str">
            <v>IS_alqt_plus</v>
          </cell>
          <cell r="K1749" t="str">
            <v>EUL</v>
          </cell>
          <cell r="M1749" t="str">
            <v>M</v>
          </cell>
          <cell r="AB1749" t="str">
            <v>serum</v>
          </cell>
          <cell r="AF1749">
            <v>0.8</v>
          </cell>
        </row>
        <row r="1750">
          <cell r="A1750" t="str">
            <v>IS_alqt_plus</v>
          </cell>
          <cell r="K1750" t="str">
            <v>EUL</v>
          </cell>
          <cell r="M1750" t="str">
            <v>M</v>
          </cell>
          <cell r="AB1750" t="str">
            <v>serum</v>
          </cell>
          <cell r="AF1750">
            <v>1</v>
          </cell>
        </row>
        <row r="1751">
          <cell r="A1751" t="str">
            <v>IS_alqt_plus</v>
          </cell>
          <cell r="K1751" t="str">
            <v>EUL</v>
          </cell>
          <cell r="M1751" t="str">
            <v>M</v>
          </cell>
          <cell r="AB1751" t="str">
            <v>serum</v>
          </cell>
          <cell r="AF1751">
            <v>1.3</v>
          </cell>
        </row>
        <row r="1752">
          <cell r="A1752" t="str">
            <v>IS_alqt_plus</v>
          </cell>
          <cell r="K1752" t="str">
            <v>EUL</v>
          </cell>
          <cell r="M1752" t="str">
            <v>M</v>
          </cell>
          <cell r="AB1752" t="str">
            <v>serum</v>
          </cell>
          <cell r="AF1752">
            <v>1.1000000000000001</v>
          </cell>
        </row>
        <row r="1753">
          <cell r="A1753" t="str">
            <v>IS_alqt_plus</v>
          </cell>
          <cell r="K1753" t="str">
            <v>EUL</v>
          </cell>
          <cell r="M1753" t="str">
            <v>M</v>
          </cell>
          <cell r="AB1753" t="str">
            <v>serum</v>
          </cell>
          <cell r="AF1753">
            <v>1</v>
          </cell>
        </row>
        <row r="1754">
          <cell r="A1754" t="str">
            <v>IS_alqt_plus</v>
          </cell>
          <cell r="K1754" t="str">
            <v>EUL</v>
          </cell>
          <cell r="M1754" t="str">
            <v>M</v>
          </cell>
          <cell r="AB1754" t="str">
            <v>serum</v>
          </cell>
          <cell r="AF1754">
            <v>1</v>
          </cell>
        </row>
        <row r="1755">
          <cell r="A1755" t="str">
            <v>IS_alqt_plus</v>
          </cell>
          <cell r="K1755" t="str">
            <v>EUL</v>
          </cell>
          <cell r="M1755" t="str">
            <v>M</v>
          </cell>
          <cell r="AB1755" t="str">
            <v>serum</v>
          </cell>
          <cell r="AF1755">
            <v>1.1000000000000001</v>
          </cell>
        </row>
        <row r="1756">
          <cell r="A1756" t="str">
            <v>IS_alqt_plus</v>
          </cell>
          <cell r="K1756" t="str">
            <v>EUL</v>
          </cell>
          <cell r="M1756" t="str">
            <v>M</v>
          </cell>
          <cell r="AB1756" t="str">
            <v>serum</v>
          </cell>
          <cell r="AF1756">
            <v>1.5</v>
          </cell>
        </row>
        <row r="1757">
          <cell r="A1757" t="str">
            <v>IS_alqt_plus</v>
          </cell>
          <cell r="K1757" t="str">
            <v>EUL</v>
          </cell>
          <cell r="M1757" t="str">
            <v>M</v>
          </cell>
          <cell r="AB1757" t="str">
            <v>serum</v>
          </cell>
          <cell r="AF1757">
            <v>1.5</v>
          </cell>
        </row>
        <row r="1758">
          <cell r="A1758" t="str">
            <v>IS_alqt_plus</v>
          </cell>
          <cell r="K1758" t="str">
            <v>EUL</v>
          </cell>
          <cell r="M1758" t="str">
            <v>M</v>
          </cell>
          <cell r="AB1758" t="str">
            <v>serum</v>
          </cell>
          <cell r="AF1758">
            <v>1.1000000000000001</v>
          </cell>
        </row>
        <row r="1759">
          <cell r="A1759" t="str">
            <v>IS_alqt_plus</v>
          </cell>
          <cell r="K1759" t="str">
            <v>EUL</v>
          </cell>
          <cell r="M1759" t="str">
            <v>M</v>
          </cell>
          <cell r="AB1759" t="str">
            <v>serum</v>
          </cell>
          <cell r="AF1759">
            <v>1.1000000000000001</v>
          </cell>
        </row>
        <row r="1760">
          <cell r="A1760" t="str">
            <v>IS_alqt_plus</v>
          </cell>
          <cell r="K1760" t="str">
            <v>EUL</v>
          </cell>
          <cell r="M1760" t="str">
            <v>M</v>
          </cell>
          <cell r="AB1760" t="str">
            <v>serum</v>
          </cell>
          <cell r="AF1760">
            <v>1</v>
          </cell>
        </row>
        <row r="1761">
          <cell r="A1761" t="str">
            <v>IS_alqt_plus</v>
          </cell>
          <cell r="K1761" t="str">
            <v>PCOQ</v>
          </cell>
          <cell r="M1761" t="str">
            <v>F</v>
          </cell>
          <cell r="AB1761" t="str">
            <v>serum</v>
          </cell>
          <cell r="AF1761">
            <v>1.1000000000000001</v>
          </cell>
        </row>
        <row r="1762">
          <cell r="A1762" t="str">
            <v>gone</v>
          </cell>
          <cell r="K1762" t="str">
            <v>EMON</v>
          </cell>
          <cell r="M1762" t="str">
            <v>F</v>
          </cell>
          <cell r="AB1762" t="str">
            <v>serum</v>
          </cell>
          <cell r="AF1762">
            <v>0</v>
          </cell>
        </row>
        <row r="1763">
          <cell r="A1763" t="str">
            <v>IS_alqt_plus</v>
          </cell>
          <cell r="K1763" t="str">
            <v>EMON</v>
          </cell>
          <cell r="M1763" t="str">
            <v>F</v>
          </cell>
          <cell r="AB1763" t="str">
            <v>serum</v>
          </cell>
          <cell r="AF1763">
            <v>0.2</v>
          </cell>
        </row>
        <row r="1764">
          <cell r="A1764" t="str">
            <v>IS_alqt_plus</v>
          </cell>
          <cell r="K1764" t="str">
            <v>EMON</v>
          </cell>
          <cell r="M1764" t="str">
            <v>M</v>
          </cell>
          <cell r="AB1764" t="str">
            <v>serum</v>
          </cell>
          <cell r="AF1764">
            <v>0.6</v>
          </cell>
        </row>
        <row r="1765">
          <cell r="A1765" t="str">
            <v>IS_alqt_plus</v>
          </cell>
          <cell r="K1765" t="str">
            <v>PCOQ</v>
          </cell>
          <cell r="M1765" t="str">
            <v>F</v>
          </cell>
          <cell r="AB1765" t="str">
            <v>serum</v>
          </cell>
          <cell r="AF1765">
            <v>0.7</v>
          </cell>
        </row>
        <row r="1766">
          <cell r="A1766" t="str">
            <v>IS_alqt_minus</v>
          </cell>
          <cell r="K1766" t="str">
            <v>EMON</v>
          </cell>
          <cell r="M1766" t="str">
            <v>M</v>
          </cell>
          <cell r="AB1766" t="str">
            <v>serum</v>
          </cell>
          <cell r="AF1766">
            <v>0.1</v>
          </cell>
        </row>
        <row r="1767">
          <cell r="A1767" t="str">
            <v>IS_alqt_plus</v>
          </cell>
          <cell r="K1767" t="str">
            <v>EMON</v>
          </cell>
          <cell r="M1767" t="str">
            <v>F</v>
          </cell>
          <cell r="AB1767" t="str">
            <v>serum</v>
          </cell>
          <cell r="AF1767">
            <v>0.8</v>
          </cell>
        </row>
        <row r="1768">
          <cell r="A1768" t="str">
            <v>IS_alqt_plus</v>
          </cell>
          <cell r="K1768" t="str">
            <v>EMON</v>
          </cell>
          <cell r="M1768" t="str">
            <v>F</v>
          </cell>
          <cell r="AB1768" t="str">
            <v>serum</v>
          </cell>
          <cell r="AF1768">
            <v>1</v>
          </cell>
        </row>
        <row r="1769">
          <cell r="A1769" t="str">
            <v>IS_alqt_plus</v>
          </cell>
          <cell r="K1769" t="str">
            <v>EMON</v>
          </cell>
          <cell r="M1769" t="str">
            <v>M</v>
          </cell>
          <cell r="AB1769" t="str">
            <v>serum</v>
          </cell>
          <cell r="AF1769">
            <v>0.35</v>
          </cell>
        </row>
        <row r="1770">
          <cell r="A1770" t="str">
            <v>IS_alqt_plus</v>
          </cell>
          <cell r="K1770" t="str">
            <v>EMON</v>
          </cell>
          <cell r="M1770" t="str">
            <v>M</v>
          </cell>
          <cell r="AB1770" t="str">
            <v>serum</v>
          </cell>
          <cell r="AF1770">
            <v>0.8</v>
          </cell>
        </row>
        <row r="1771">
          <cell r="A1771" t="str">
            <v>IS_alqt_plus</v>
          </cell>
          <cell r="K1771" t="str">
            <v>EMON</v>
          </cell>
          <cell r="M1771" t="str">
            <v>F</v>
          </cell>
          <cell r="AB1771" t="str">
            <v>serum</v>
          </cell>
          <cell r="AF1771">
            <v>2</v>
          </cell>
        </row>
        <row r="1772">
          <cell r="A1772" t="str">
            <v>IS_alqt_plus</v>
          </cell>
          <cell r="K1772" t="str">
            <v>PCOQ</v>
          </cell>
          <cell r="M1772" t="str">
            <v>F</v>
          </cell>
          <cell r="AB1772" t="str">
            <v>serum</v>
          </cell>
          <cell r="AF1772">
            <v>0.7</v>
          </cell>
        </row>
        <row r="1773">
          <cell r="A1773" t="str">
            <v>IS_alqt_plus</v>
          </cell>
          <cell r="K1773" t="str">
            <v>EMON</v>
          </cell>
          <cell r="M1773" t="str">
            <v>M</v>
          </cell>
          <cell r="AB1773" t="str">
            <v>serum</v>
          </cell>
          <cell r="AF1773">
            <v>1</v>
          </cell>
        </row>
        <row r="1774">
          <cell r="A1774" t="str">
            <v>IS_alqt_plus</v>
          </cell>
          <cell r="K1774" t="str">
            <v>EMON</v>
          </cell>
          <cell r="M1774" t="str">
            <v>F</v>
          </cell>
          <cell r="AB1774" t="str">
            <v>serum</v>
          </cell>
          <cell r="AF1774">
            <v>0.6</v>
          </cell>
        </row>
        <row r="1775">
          <cell r="A1775" t="str">
            <v>gone</v>
          </cell>
          <cell r="K1775" t="str">
            <v>EMON</v>
          </cell>
          <cell r="M1775" t="str">
            <v>M</v>
          </cell>
          <cell r="AB1775" t="str">
            <v>serum</v>
          </cell>
          <cell r="AF1775">
            <v>0</v>
          </cell>
        </row>
        <row r="1776">
          <cell r="A1776" t="str">
            <v>IS_alqt_plus</v>
          </cell>
          <cell r="K1776" t="str">
            <v>EMON</v>
          </cell>
          <cell r="M1776" t="str">
            <v>F</v>
          </cell>
          <cell r="AB1776" t="str">
            <v>serum</v>
          </cell>
          <cell r="AF1776">
            <v>0.7</v>
          </cell>
        </row>
        <row r="1777">
          <cell r="A1777" t="str">
            <v>IS_alqt_plus</v>
          </cell>
          <cell r="K1777" t="str">
            <v>EMON</v>
          </cell>
          <cell r="M1777" t="str">
            <v>F</v>
          </cell>
          <cell r="AB1777" t="str">
            <v>serum</v>
          </cell>
          <cell r="AF1777">
            <v>0.65</v>
          </cell>
        </row>
        <row r="1778">
          <cell r="A1778" t="str">
            <v>IS_alqt_plus</v>
          </cell>
          <cell r="K1778" t="str">
            <v>EMON</v>
          </cell>
          <cell r="M1778" t="str">
            <v>M</v>
          </cell>
          <cell r="AB1778" t="str">
            <v>serum</v>
          </cell>
          <cell r="AF1778">
            <v>0.75</v>
          </cell>
        </row>
        <row r="1779">
          <cell r="A1779" t="str">
            <v>IS_alqt_plus</v>
          </cell>
          <cell r="K1779" t="str">
            <v>EMON</v>
          </cell>
          <cell r="M1779" t="str">
            <v>M</v>
          </cell>
          <cell r="AB1779" t="str">
            <v>serum</v>
          </cell>
          <cell r="AF1779">
            <v>0.6</v>
          </cell>
        </row>
        <row r="1780">
          <cell r="A1780" t="str">
            <v>gone</v>
          </cell>
          <cell r="K1780" t="str">
            <v>EMON</v>
          </cell>
          <cell r="M1780" t="str">
            <v>F</v>
          </cell>
          <cell r="AB1780" t="str">
            <v>serum</v>
          </cell>
          <cell r="AF1780">
            <v>0</v>
          </cell>
        </row>
        <row r="1781">
          <cell r="A1781" t="str">
            <v>IS_alqt_plus</v>
          </cell>
          <cell r="K1781" t="str">
            <v>DMAD</v>
          </cell>
          <cell r="M1781" t="str">
            <v>F</v>
          </cell>
          <cell r="AB1781" t="str">
            <v>serum</v>
          </cell>
          <cell r="AF1781">
            <v>0.6</v>
          </cell>
        </row>
        <row r="1782">
          <cell r="A1782" t="str">
            <v>gone</v>
          </cell>
          <cell r="K1782" t="str">
            <v>DMAD</v>
          </cell>
          <cell r="M1782" t="str">
            <v>F</v>
          </cell>
          <cell r="AB1782" t="str">
            <v>WB</v>
          </cell>
          <cell r="AF1782">
            <v>0</v>
          </cell>
        </row>
        <row r="1783">
          <cell r="A1783" t="str">
            <v>IS_alqt_plus</v>
          </cell>
          <cell r="K1783" t="str">
            <v>EFUL</v>
          </cell>
          <cell r="M1783" t="str">
            <v>F</v>
          </cell>
          <cell r="AB1783" t="str">
            <v>WB</v>
          </cell>
          <cell r="AF1783">
            <v>1.1000000000000001</v>
          </cell>
        </row>
        <row r="1784">
          <cell r="A1784" t="str">
            <v>IS_alqt_plus</v>
          </cell>
          <cell r="K1784" t="str">
            <v>EFUL</v>
          </cell>
          <cell r="M1784" t="str">
            <v>F</v>
          </cell>
          <cell r="AB1784" t="str">
            <v>serum</v>
          </cell>
          <cell r="AF1784">
            <v>1.3</v>
          </cell>
        </row>
        <row r="1785">
          <cell r="A1785" t="str">
            <v>IS_alqt_plus</v>
          </cell>
          <cell r="K1785" t="str">
            <v>ERUF</v>
          </cell>
          <cell r="M1785" t="str">
            <v>M</v>
          </cell>
          <cell r="AB1785" t="str">
            <v>WB</v>
          </cell>
          <cell r="AF1785">
            <v>1.2</v>
          </cell>
        </row>
        <row r="1786">
          <cell r="A1786" t="str">
            <v>IS_alqt_plus</v>
          </cell>
          <cell r="K1786" t="str">
            <v>ERUF</v>
          </cell>
          <cell r="M1786" t="str">
            <v>M</v>
          </cell>
          <cell r="AB1786" t="str">
            <v>serum</v>
          </cell>
          <cell r="AF1786">
            <v>1.2</v>
          </cell>
        </row>
        <row r="1787">
          <cell r="A1787" t="str">
            <v>IS_alqt_plus</v>
          </cell>
          <cell r="K1787" t="str">
            <v>EFLA</v>
          </cell>
          <cell r="M1787" t="str">
            <v>F</v>
          </cell>
          <cell r="AB1787" t="str">
            <v>WB</v>
          </cell>
          <cell r="AF1787">
            <v>0.5</v>
          </cell>
        </row>
        <row r="1788">
          <cell r="A1788" t="str">
            <v>gone</v>
          </cell>
          <cell r="K1788" t="str">
            <v>VVV</v>
          </cell>
          <cell r="M1788" t="str">
            <v>F</v>
          </cell>
          <cell r="AB1788" t="str">
            <v>WB</v>
          </cell>
          <cell r="AF1788">
            <v>0</v>
          </cell>
        </row>
        <row r="1789">
          <cell r="A1789" t="str">
            <v>IS_alqt_plus</v>
          </cell>
          <cell r="K1789" t="str">
            <v>EFLA</v>
          </cell>
          <cell r="M1789" t="str">
            <v>F</v>
          </cell>
          <cell r="AB1789" t="str">
            <v>serum</v>
          </cell>
          <cell r="AF1789">
            <v>0.2</v>
          </cell>
        </row>
        <row r="1790">
          <cell r="A1790" t="str">
            <v>IS_alqt_plus</v>
          </cell>
          <cell r="K1790" t="str">
            <v>EFLA</v>
          </cell>
          <cell r="M1790" t="str">
            <v>F</v>
          </cell>
          <cell r="AB1790" t="str">
            <v>serum</v>
          </cell>
          <cell r="AF1790">
            <v>0.2</v>
          </cell>
        </row>
        <row r="1791">
          <cell r="A1791" t="str">
            <v>IS_alqt_plus</v>
          </cell>
          <cell r="K1791" t="str">
            <v>EFLA</v>
          </cell>
          <cell r="M1791" t="str">
            <v>F</v>
          </cell>
          <cell r="AB1791" t="str">
            <v>serum</v>
          </cell>
          <cell r="AF1791">
            <v>0.2</v>
          </cell>
        </row>
        <row r="1792">
          <cell r="A1792" t="str">
            <v>IS_alqt_plus</v>
          </cell>
          <cell r="K1792" t="str">
            <v>EFLA</v>
          </cell>
          <cell r="M1792" t="str">
            <v>F</v>
          </cell>
          <cell r="AB1792" t="str">
            <v>serum</v>
          </cell>
          <cell r="AF1792">
            <v>0.2</v>
          </cell>
        </row>
        <row r="1793">
          <cell r="A1793" t="str">
            <v>IS_alqt_plus</v>
          </cell>
          <cell r="K1793" t="str">
            <v>EFLA</v>
          </cell>
          <cell r="M1793" t="str">
            <v>F</v>
          </cell>
          <cell r="AB1793" t="str">
            <v>serum</v>
          </cell>
          <cell r="AF1793">
            <v>0.2</v>
          </cell>
        </row>
        <row r="1794">
          <cell r="A1794" t="str">
            <v>IS_alqt_plus</v>
          </cell>
          <cell r="K1794" t="str">
            <v>EFLA</v>
          </cell>
          <cell r="M1794" t="str">
            <v>F</v>
          </cell>
          <cell r="AB1794" t="str">
            <v>serum</v>
          </cell>
          <cell r="AF1794">
            <v>0.2</v>
          </cell>
        </row>
        <row r="1795">
          <cell r="A1795" t="str">
            <v>IS_alqt_plus</v>
          </cell>
          <cell r="K1795" t="str">
            <v>VVV</v>
          </cell>
          <cell r="M1795" t="str">
            <v>F</v>
          </cell>
          <cell r="AB1795" t="str">
            <v>serum</v>
          </cell>
          <cell r="AF1795">
            <v>1.3</v>
          </cell>
        </row>
        <row r="1796">
          <cell r="A1796" t="str">
            <v>IS_alqt_plus</v>
          </cell>
          <cell r="K1796" t="str">
            <v>VVV</v>
          </cell>
          <cell r="M1796" t="str">
            <v>F</v>
          </cell>
          <cell r="AB1796" t="str">
            <v>serum</v>
          </cell>
          <cell r="AF1796">
            <v>1.1000000000000001</v>
          </cell>
        </row>
        <row r="1797">
          <cell r="A1797" t="str">
            <v>IS_alqt_plus</v>
          </cell>
          <cell r="K1797" t="str">
            <v>DMAD</v>
          </cell>
          <cell r="M1797" t="str">
            <v>M</v>
          </cell>
          <cell r="AB1797" t="str">
            <v>WB</v>
          </cell>
          <cell r="AF1797">
            <v>1.3</v>
          </cell>
        </row>
        <row r="1798">
          <cell r="A1798" t="str">
            <v>gone</v>
          </cell>
          <cell r="K1798" t="str">
            <v>VVV</v>
          </cell>
          <cell r="M1798" t="str">
            <v>M</v>
          </cell>
          <cell r="AB1798" t="str">
            <v>WB</v>
          </cell>
          <cell r="AF1798">
            <v>0</v>
          </cell>
        </row>
        <row r="1799">
          <cell r="A1799" t="str">
            <v>IS_alqt_plus</v>
          </cell>
          <cell r="K1799" t="str">
            <v>VVV</v>
          </cell>
          <cell r="M1799" t="str">
            <v>F</v>
          </cell>
          <cell r="AB1799" t="str">
            <v>WB</v>
          </cell>
          <cell r="AF1799">
            <v>0.7</v>
          </cell>
        </row>
        <row r="1800">
          <cell r="A1800" t="str">
            <v>gone</v>
          </cell>
          <cell r="K1800" t="str">
            <v>DMAD</v>
          </cell>
          <cell r="M1800" t="str">
            <v>M</v>
          </cell>
          <cell r="AB1800" t="str">
            <v>serum</v>
          </cell>
          <cell r="AF1800">
            <v>0</v>
          </cell>
        </row>
        <row r="1801">
          <cell r="A1801" t="str">
            <v>IS_alqt_plus</v>
          </cell>
          <cell r="K1801" t="str">
            <v>VVV</v>
          </cell>
          <cell r="M1801" t="str">
            <v>M</v>
          </cell>
          <cell r="AB1801" t="str">
            <v>serum</v>
          </cell>
          <cell r="AF1801">
            <v>1.6</v>
          </cell>
        </row>
        <row r="1802">
          <cell r="A1802" t="str">
            <v>IS_alqt_plus</v>
          </cell>
          <cell r="K1802" t="str">
            <v>VVV</v>
          </cell>
          <cell r="M1802" t="str">
            <v>F</v>
          </cell>
          <cell r="AB1802" t="str">
            <v>serum</v>
          </cell>
          <cell r="AF1802">
            <v>1.4</v>
          </cell>
        </row>
        <row r="1803">
          <cell r="A1803" t="str">
            <v>IS_alqt_plus</v>
          </cell>
          <cell r="K1803" t="str">
            <v>EUL</v>
          </cell>
          <cell r="M1803" t="str">
            <v>M</v>
          </cell>
          <cell r="AB1803" t="str">
            <v>WB</v>
          </cell>
          <cell r="AF1803">
            <v>0.9</v>
          </cell>
        </row>
        <row r="1804">
          <cell r="A1804" t="str">
            <v>IS_alqt_plus</v>
          </cell>
          <cell r="K1804" t="str">
            <v>EMON</v>
          </cell>
          <cell r="M1804" t="str">
            <v>F</v>
          </cell>
          <cell r="AB1804" t="str">
            <v>serum</v>
          </cell>
          <cell r="AF1804">
            <v>0.3</v>
          </cell>
        </row>
        <row r="1805">
          <cell r="A1805" t="str">
            <v>IS_alqt_plus</v>
          </cell>
          <cell r="K1805" t="str">
            <v>EMON</v>
          </cell>
          <cell r="M1805" t="str">
            <v>F</v>
          </cell>
          <cell r="AB1805" t="str">
            <v>serum</v>
          </cell>
          <cell r="AF1805">
            <v>0.25</v>
          </cell>
        </row>
        <row r="1806">
          <cell r="A1806" t="str">
            <v>IS_alqt_plus</v>
          </cell>
          <cell r="K1806" t="str">
            <v>EUL</v>
          </cell>
          <cell r="M1806" t="str">
            <v>M</v>
          </cell>
          <cell r="AB1806" t="str">
            <v>serum</v>
          </cell>
          <cell r="AF1806">
            <v>1.4</v>
          </cell>
        </row>
        <row r="1807">
          <cell r="A1807" t="str">
            <v>IS_alqt_plus</v>
          </cell>
          <cell r="K1807" t="str">
            <v>EMON</v>
          </cell>
          <cell r="M1807" t="str">
            <v>F</v>
          </cell>
          <cell r="AB1807" t="str">
            <v>serum</v>
          </cell>
          <cell r="AF1807">
            <v>0.4</v>
          </cell>
        </row>
        <row r="1808">
          <cell r="A1808" t="str">
            <v>gone</v>
          </cell>
          <cell r="K1808" t="str">
            <v>EMON</v>
          </cell>
          <cell r="M1808" t="str">
            <v>F</v>
          </cell>
          <cell r="AB1808" t="str">
            <v>serum</v>
          </cell>
          <cell r="AF1808">
            <v>0</v>
          </cell>
        </row>
        <row r="1809">
          <cell r="A1809" t="str">
            <v>gone</v>
          </cell>
          <cell r="K1809" t="str">
            <v>DMAD</v>
          </cell>
          <cell r="M1809" t="str">
            <v>F</v>
          </cell>
          <cell r="AB1809" t="str">
            <v>serum</v>
          </cell>
          <cell r="AF1809">
            <v>0</v>
          </cell>
        </row>
        <row r="1810">
          <cell r="A1810" t="str">
            <v>gone</v>
          </cell>
          <cell r="K1810" t="str">
            <v>DMAD</v>
          </cell>
          <cell r="M1810" t="str">
            <v>F</v>
          </cell>
          <cell r="AB1810" t="str">
            <v>WB</v>
          </cell>
          <cell r="AF1810">
            <v>0</v>
          </cell>
        </row>
        <row r="1811">
          <cell r="A1811" t="str">
            <v>gone</v>
          </cell>
          <cell r="K1811" t="str">
            <v>EFLA</v>
          </cell>
          <cell r="M1811" t="str">
            <v>M</v>
          </cell>
          <cell r="AB1811" t="str">
            <v>WB</v>
          </cell>
          <cell r="AF1811">
            <v>0</v>
          </cell>
        </row>
        <row r="1812">
          <cell r="A1812" t="str">
            <v>IS_alqt_plus</v>
          </cell>
          <cell r="K1812" t="str">
            <v>EFLA</v>
          </cell>
          <cell r="M1812" t="str">
            <v>M</v>
          </cell>
          <cell r="AB1812" t="str">
            <v>serum</v>
          </cell>
          <cell r="AF1812">
            <v>1</v>
          </cell>
        </row>
        <row r="1813">
          <cell r="A1813" t="str">
            <v>IS_alqt_plus</v>
          </cell>
          <cell r="K1813" t="str">
            <v>PCOQ</v>
          </cell>
          <cell r="M1813" t="str">
            <v>F</v>
          </cell>
          <cell r="AB1813" t="str">
            <v>serum</v>
          </cell>
          <cell r="AF1813">
            <v>1.7</v>
          </cell>
        </row>
        <row r="1814">
          <cell r="A1814" t="str">
            <v>IS_alqt_plus</v>
          </cell>
          <cell r="K1814" t="str">
            <v>EFLA</v>
          </cell>
          <cell r="M1814" t="str">
            <v>M</v>
          </cell>
          <cell r="AB1814" t="str">
            <v>WB</v>
          </cell>
          <cell r="AF1814">
            <v>1.2</v>
          </cell>
        </row>
        <row r="1815">
          <cell r="A1815" t="str">
            <v>IS_alqt_plus</v>
          </cell>
          <cell r="K1815" t="str">
            <v>EFLA</v>
          </cell>
          <cell r="M1815" t="str">
            <v>M</v>
          </cell>
          <cell r="AB1815" t="str">
            <v>WB</v>
          </cell>
          <cell r="AF1815">
            <v>0.75</v>
          </cell>
        </row>
        <row r="1816">
          <cell r="A1816" t="str">
            <v>IS_alqt_plus</v>
          </cell>
          <cell r="K1816" t="str">
            <v>EFLA</v>
          </cell>
          <cell r="M1816" t="str">
            <v>M</v>
          </cell>
          <cell r="AB1816" t="str">
            <v>serum</v>
          </cell>
          <cell r="AF1816">
            <v>1.1499999999999999</v>
          </cell>
        </row>
        <row r="1817">
          <cell r="A1817" t="str">
            <v>IS_alqt_plus</v>
          </cell>
          <cell r="K1817" t="str">
            <v>EFLA</v>
          </cell>
          <cell r="M1817" t="str">
            <v>M</v>
          </cell>
          <cell r="AB1817" t="str">
            <v>serum</v>
          </cell>
          <cell r="AF1817">
            <v>0.7</v>
          </cell>
        </row>
        <row r="1818">
          <cell r="A1818" t="str">
            <v>IS_alqt_plus</v>
          </cell>
          <cell r="K1818" t="str">
            <v>LCAT</v>
          </cell>
          <cell r="M1818" t="str">
            <v>M</v>
          </cell>
          <cell r="AB1818" t="str">
            <v>serum</v>
          </cell>
          <cell r="AF1818">
            <v>1.2</v>
          </cell>
        </row>
        <row r="1819">
          <cell r="A1819" t="str">
            <v>IS_alqt_plus</v>
          </cell>
          <cell r="K1819" t="str">
            <v>LCAT</v>
          </cell>
          <cell r="M1819" t="str">
            <v>M</v>
          </cell>
          <cell r="AB1819" t="str">
            <v>serum</v>
          </cell>
          <cell r="AF1819">
            <v>0.75</v>
          </cell>
        </row>
        <row r="1820">
          <cell r="A1820" t="str">
            <v>IS_alqt_plus</v>
          </cell>
          <cell r="K1820" t="str">
            <v>LCAT</v>
          </cell>
          <cell r="M1820" t="str">
            <v>M</v>
          </cell>
          <cell r="AB1820" t="str">
            <v>serum</v>
          </cell>
          <cell r="AF1820">
            <v>0.8</v>
          </cell>
        </row>
        <row r="1821">
          <cell r="A1821" t="str">
            <v>IS_alqt_plus</v>
          </cell>
          <cell r="K1821" t="str">
            <v>EFLA</v>
          </cell>
          <cell r="M1821" t="str">
            <v>F</v>
          </cell>
          <cell r="AB1821" t="str">
            <v>serum</v>
          </cell>
          <cell r="AF1821">
            <v>1.2</v>
          </cell>
        </row>
        <row r="1822">
          <cell r="A1822" t="str">
            <v>IS_alqt_plus</v>
          </cell>
          <cell r="K1822" t="str">
            <v>EFLA</v>
          </cell>
          <cell r="M1822" t="str">
            <v>F</v>
          </cell>
          <cell r="AB1822" t="str">
            <v>serum</v>
          </cell>
          <cell r="AF1822">
            <v>1.2</v>
          </cell>
        </row>
        <row r="1823">
          <cell r="A1823" t="str">
            <v>IS_alqt_plus</v>
          </cell>
          <cell r="K1823" t="str">
            <v>EFLA</v>
          </cell>
          <cell r="M1823" t="str">
            <v>M</v>
          </cell>
          <cell r="AB1823" t="str">
            <v>WB</v>
          </cell>
          <cell r="AF1823">
            <v>0.75</v>
          </cell>
        </row>
        <row r="1824">
          <cell r="A1824" t="str">
            <v>IS_alqt_plus</v>
          </cell>
          <cell r="K1824" t="str">
            <v>EFLA</v>
          </cell>
          <cell r="M1824" t="str">
            <v>M</v>
          </cell>
          <cell r="AB1824" t="str">
            <v>WB</v>
          </cell>
          <cell r="AF1824">
            <v>1</v>
          </cell>
        </row>
        <row r="1825">
          <cell r="A1825" t="str">
            <v>IS_alqt_plus</v>
          </cell>
          <cell r="K1825" t="str">
            <v>EFLA</v>
          </cell>
          <cell r="M1825" t="str">
            <v>M</v>
          </cell>
          <cell r="AB1825" t="str">
            <v>WB</v>
          </cell>
          <cell r="AF1825">
            <v>1</v>
          </cell>
        </row>
        <row r="1826">
          <cell r="A1826" t="str">
            <v>IS_alqt_plus</v>
          </cell>
          <cell r="K1826" t="str">
            <v>EFLA</v>
          </cell>
          <cell r="M1826" t="str">
            <v>M</v>
          </cell>
          <cell r="AB1826" t="str">
            <v>WB</v>
          </cell>
          <cell r="AF1826">
            <v>1</v>
          </cell>
        </row>
        <row r="1827">
          <cell r="A1827" t="str">
            <v>gone</v>
          </cell>
          <cell r="K1827" t="str">
            <v>EFLA</v>
          </cell>
          <cell r="M1827" t="str">
            <v>F</v>
          </cell>
          <cell r="AB1827" t="str">
            <v>WB</v>
          </cell>
          <cell r="AF1827">
            <v>0</v>
          </cell>
        </row>
        <row r="1828">
          <cell r="A1828" t="str">
            <v>IS_alqt_plus</v>
          </cell>
          <cell r="K1828" t="str">
            <v>EFLA</v>
          </cell>
          <cell r="M1828" t="str">
            <v>M</v>
          </cell>
          <cell r="AB1828" t="str">
            <v>serum</v>
          </cell>
          <cell r="AF1828">
            <v>0.2</v>
          </cell>
        </row>
        <row r="1829">
          <cell r="A1829" t="str">
            <v>IS_alqt_plus</v>
          </cell>
          <cell r="K1829" t="str">
            <v>EFLA</v>
          </cell>
          <cell r="M1829" t="str">
            <v>M</v>
          </cell>
          <cell r="AB1829" t="str">
            <v>serum</v>
          </cell>
          <cell r="AF1829">
            <v>0.2</v>
          </cell>
        </row>
        <row r="1830">
          <cell r="A1830" t="str">
            <v>IS_alqt_plus</v>
          </cell>
          <cell r="K1830" t="str">
            <v>EFLA</v>
          </cell>
          <cell r="M1830" t="str">
            <v>M</v>
          </cell>
          <cell r="AB1830" t="str">
            <v>serum</v>
          </cell>
          <cell r="AF1830">
            <v>0.2</v>
          </cell>
        </row>
        <row r="1831">
          <cell r="A1831" t="str">
            <v>IS_alqt_plus</v>
          </cell>
          <cell r="K1831" t="str">
            <v>EFLA</v>
          </cell>
          <cell r="M1831" t="str">
            <v>M</v>
          </cell>
          <cell r="AB1831" t="str">
            <v>serum</v>
          </cell>
          <cell r="AF1831">
            <v>0.2</v>
          </cell>
        </row>
        <row r="1832">
          <cell r="A1832" t="str">
            <v>IS_alqt_plus</v>
          </cell>
          <cell r="K1832" t="str">
            <v>EFLA</v>
          </cell>
          <cell r="M1832" t="str">
            <v>M</v>
          </cell>
          <cell r="AB1832" t="str">
            <v>serum</v>
          </cell>
          <cell r="AF1832">
            <v>1</v>
          </cell>
        </row>
        <row r="1833">
          <cell r="A1833" t="str">
            <v>IS_alqt_plus</v>
          </cell>
          <cell r="K1833" t="str">
            <v>EFLA</v>
          </cell>
          <cell r="M1833" t="str">
            <v>M</v>
          </cell>
          <cell r="AB1833" t="str">
            <v>serum</v>
          </cell>
          <cell r="AF1833">
            <v>0.3</v>
          </cell>
        </row>
        <row r="1834">
          <cell r="A1834" t="str">
            <v>IS_alqt_plus</v>
          </cell>
          <cell r="K1834" t="str">
            <v>EFLA</v>
          </cell>
          <cell r="M1834" t="str">
            <v>M</v>
          </cell>
          <cell r="AB1834" t="str">
            <v>serum</v>
          </cell>
          <cell r="AF1834">
            <v>1.1000000000000001</v>
          </cell>
        </row>
        <row r="1835">
          <cell r="A1835" t="str">
            <v>IS_alqt_plus</v>
          </cell>
          <cell r="K1835" t="str">
            <v>EFLA</v>
          </cell>
          <cell r="M1835" t="str">
            <v>F</v>
          </cell>
          <cell r="AB1835" t="str">
            <v>serum</v>
          </cell>
          <cell r="AF1835">
            <v>0.25</v>
          </cell>
        </row>
        <row r="1836">
          <cell r="A1836" t="str">
            <v>IS_alqt_plus</v>
          </cell>
          <cell r="K1836" t="str">
            <v>EFLA</v>
          </cell>
          <cell r="M1836" t="str">
            <v>F</v>
          </cell>
          <cell r="AB1836" t="str">
            <v>serum</v>
          </cell>
          <cell r="AF1836">
            <v>0.25</v>
          </cell>
        </row>
        <row r="1837">
          <cell r="A1837" t="str">
            <v>gone</v>
          </cell>
          <cell r="K1837" t="str">
            <v>ESAN</v>
          </cell>
          <cell r="M1837" t="str">
            <v>F</v>
          </cell>
          <cell r="AB1837" t="str">
            <v>WB</v>
          </cell>
          <cell r="AF1837">
            <v>0</v>
          </cell>
        </row>
        <row r="1838">
          <cell r="A1838" t="str">
            <v>IS_alqt_plus</v>
          </cell>
          <cell r="K1838" t="str">
            <v>ESAN</v>
          </cell>
          <cell r="M1838" t="str">
            <v>F</v>
          </cell>
          <cell r="AB1838" t="str">
            <v>WB</v>
          </cell>
          <cell r="AF1838">
            <v>0.2</v>
          </cell>
        </row>
        <row r="1839">
          <cell r="A1839" t="str">
            <v>IS_alqt_plus</v>
          </cell>
          <cell r="K1839" t="str">
            <v>ESAN</v>
          </cell>
          <cell r="M1839" t="str">
            <v>F</v>
          </cell>
          <cell r="AB1839" t="str">
            <v>WB</v>
          </cell>
          <cell r="AF1839">
            <v>0.2</v>
          </cell>
        </row>
        <row r="1840">
          <cell r="A1840" t="str">
            <v>IS_alqt_plus</v>
          </cell>
          <cell r="K1840" t="str">
            <v>ESAN</v>
          </cell>
          <cell r="M1840" t="str">
            <v>F</v>
          </cell>
          <cell r="AB1840" t="str">
            <v>WB</v>
          </cell>
          <cell r="AF1840">
            <v>0.2</v>
          </cell>
        </row>
        <row r="1841">
          <cell r="A1841" t="str">
            <v>gone</v>
          </cell>
          <cell r="K1841" t="str">
            <v>ESAN</v>
          </cell>
          <cell r="M1841" t="str">
            <v>F</v>
          </cell>
          <cell r="AB1841" t="str">
            <v>WB</v>
          </cell>
          <cell r="AF1841">
            <v>0</v>
          </cell>
        </row>
        <row r="1842">
          <cell r="A1842" t="str">
            <v>IS_alqt_plus</v>
          </cell>
          <cell r="K1842" t="str">
            <v>ESAN</v>
          </cell>
          <cell r="M1842" t="str">
            <v>M</v>
          </cell>
          <cell r="AB1842" t="str">
            <v>WB</v>
          </cell>
          <cell r="AF1842">
            <v>1.2</v>
          </cell>
        </row>
        <row r="1843">
          <cell r="A1843" t="str">
            <v>IS_alqt_plus</v>
          </cell>
          <cell r="K1843" t="str">
            <v>ESAN</v>
          </cell>
          <cell r="M1843" t="str">
            <v>M</v>
          </cell>
          <cell r="AB1843" t="str">
            <v>WB</v>
          </cell>
          <cell r="AF1843">
            <v>1.1000000000000001</v>
          </cell>
        </row>
        <row r="1844">
          <cell r="A1844" t="str">
            <v>gone</v>
          </cell>
          <cell r="K1844" t="str">
            <v>ESAN</v>
          </cell>
          <cell r="M1844" t="str">
            <v>F</v>
          </cell>
          <cell r="AB1844" t="str">
            <v>WB</v>
          </cell>
          <cell r="AF1844">
            <v>0</v>
          </cell>
        </row>
        <row r="1845">
          <cell r="A1845" t="str">
            <v>IS_alqt_plus</v>
          </cell>
          <cell r="K1845" t="str">
            <v>ESAN</v>
          </cell>
          <cell r="M1845" t="str">
            <v>F</v>
          </cell>
          <cell r="AB1845" t="str">
            <v>serum</v>
          </cell>
          <cell r="AF1845">
            <v>1.2</v>
          </cell>
        </row>
        <row r="1846">
          <cell r="A1846" t="str">
            <v>IS_alqt_plus</v>
          </cell>
          <cell r="K1846" t="str">
            <v>ESAN</v>
          </cell>
          <cell r="M1846" t="str">
            <v>F</v>
          </cell>
          <cell r="AB1846" t="str">
            <v>serum</v>
          </cell>
          <cell r="AF1846">
            <v>0.75</v>
          </cell>
        </row>
        <row r="1847">
          <cell r="A1847" t="str">
            <v>IS_alqt_plus</v>
          </cell>
          <cell r="K1847" t="str">
            <v>ESAN</v>
          </cell>
          <cell r="M1847" t="str">
            <v>M</v>
          </cell>
          <cell r="AB1847" t="str">
            <v>serum</v>
          </cell>
          <cell r="AF1847">
            <v>1.1499999999999999</v>
          </cell>
        </row>
        <row r="1848">
          <cell r="A1848" t="str">
            <v>IS_alqt_plus</v>
          </cell>
          <cell r="K1848" t="str">
            <v>ESAN</v>
          </cell>
          <cell r="M1848" t="str">
            <v>M</v>
          </cell>
          <cell r="AB1848" t="str">
            <v>serum</v>
          </cell>
          <cell r="AF1848">
            <v>1.4</v>
          </cell>
        </row>
        <row r="1849">
          <cell r="A1849" t="str">
            <v>IS_alqt_plus</v>
          </cell>
          <cell r="K1849" t="str">
            <v>ESAN</v>
          </cell>
          <cell r="M1849" t="str">
            <v>F</v>
          </cell>
          <cell r="AB1849" t="str">
            <v>serum</v>
          </cell>
          <cell r="AF1849">
            <v>1.8</v>
          </cell>
        </row>
        <row r="1850">
          <cell r="A1850" t="str">
            <v>IS_alqt_minus</v>
          </cell>
          <cell r="K1850" t="str">
            <v>EMON</v>
          </cell>
          <cell r="M1850" t="str">
            <v>M</v>
          </cell>
          <cell r="AB1850" t="str">
            <v>serum</v>
          </cell>
          <cell r="AF1850">
            <v>0.1</v>
          </cell>
        </row>
        <row r="1851">
          <cell r="A1851" t="str">
            <v>IS_alqt_plus</v>
          </cell>
          <cell r="K1851" t="str">
            <v>EMON</v>
          </cell>
          <cell r="M1851" t="str">
            <v>M</v>
          </cell>
          <cell r="AB1851" t="str">
            <v>serum</v>
          </cell>
          <cell r="AF1851">
            <v>0.6</v>
          </cell>
        </row>
        <row r="1852">
          <cell r="A1852" t="str">
            <v>IS_alqt_plus</v>
          </cell>
          <cell r="K1852" t="str">
            <v>EMON</v>
          </cell>
          <cell r="M1852" t="str">
            <v>F</v>
          </cell>
          <cell r="AB1852" t="str">
            <v>serum</v>
          </cell>
          <cell r="AF1852">
            <v>0.5</v>
          </cell>
        </row>
        <row r="1853">
          <cell r="A1853" t="str">
            <v>IS_alqt_plus</v>
          </cell>
          <cell r="K1853" t="str">
            <v>EMON</v>
          </cell>
          <cell r="M1853" t="str">
            <v>F</v>
          </cell>
          <cell r="AB1853" t="str">
            <v>serum</v>
          </cell>
          <cell r="AF1853">
            <v>0.5</v>
          </cell>
        </row>
        <row r="1854">
          <cell r="A1854" t="str">
            <v>IS_alqt_plus</v>
          </cell>
          <cell r="K1854" t="str">
            <v>EMON</v>
          </cell>
          <cell r="M1854" t="str">
            <v>F</v>
          </cell>
          <cell r="AB1854" t="str">
            <v>serum</v>
          </cell>
          <cell r="AF1854">
            <v>1.7</v>
          </cell>
        </row>
        <row r="1855">
          <cell r="A1855" t="str">
            <v>IS_alqt_plus</v>
          </cell>
          <cell r="K1855" t="str">
            <v>EMON</v>
          </cell>
          <cell r="M1855" t="str">
            <v>M</v>
          </cell>
          <cell r="AB1855" t="str">
            <v>serum</v>
          </cell>
          <cell r="AF1855">
            <v>0.45</v>
          </cell>
        </row>
        <row r="1856">
          <cell r="A1856" t="str">
            <v>IS_alqt_plus</v>
          </cell>
          <cell r="K1856" t="str">
            <v>EMON</v>
          </cell>
          <cell r="M1856" t="str">
            <v>M</v>
          </cell>
          <cell r="AB1856" t="str">
            <v>serum</v>
          </cell>
          <cell r="AF1856">
            <v>0.6</v>
          </cell>
        </row>
        <row r="1857">
          <cell r="A1857" t="str">
            <v>IS_alqt_plus</v>
          </cell>
          <cell r="K1857" t="str">
            <v>EMON</v>
          </cell>
          <cell r="M1857" t="str">
            <v>F</v>
          </cell>
          <cell r="AB1857" t="str">
            <v>serum</v>
          </cell>
          <cell r="AF1857">
            <v>0.9</v>
          </cell>
        </row>
        <row r="1858">
          <cell r="A1858" t="str">
            <v>IS_alqt_plus</v>
          </cell>
          <cell r="K1858" t="str">
            <v>EMON</v>
          </cell>
          <cell r="M1858" t="str">
            <v>F</v>
          </cell>
          <cell r="AB1858" t="str">
            <v>serum</v>
          </cell>
          <cell r="AF1858">
            <v>1</v>
          </cell>
        </row>
        <row r="1859">
          <cell r="A1859" t="str">
            <v>IS_alqt_plus</v>
          </cell>
          <cell r="K1859" t="str">
            <v>EMON</v>
          </cell>
          <cell r="M1859" t="str">
            <v>F</v>
          </cell>
          <cell r="AB1859" t="str">
            <v>serum</v>
          </cell>
          <cell r="AF1859">
            <v>0.8</v>
          </cell>
        </row>
        <row r="1860">
          <cell r="A1860" t="str">
            <v>IS_alqt_plus</v>
          </cell>
          <cell r="K1860" t="str">
            <v>EMON</v>
          </cell>
          <cell r="M1860" t="str">
            <v>M</v>
          </cell>
          <cell r="AB1860" t="str">
            <v>serum</v>
          </cell>
          <cell r="AF1860">
            <v>0.5</v>
          </cell>
        </row>
        <row r="1861">
          <cell r="A1861" t="str">
            <v>gone</v>
          </cell>
          <cell r="K1861" t="str">
            <v>VRUB</v>
          </cell>
          <cell r="M1861" t="str">
            <v>F</v>
          </cell>
          <cell r="AB1861" t="str">
            <v>WB</v>
          </cell>
          <cell r="AF1861">
            <v>0</v>
          </cell>
        </row>
        <row r="1862">
          <cell r="A1862" t="str">
            <v>gone</v>
          </cell>
          <cell r="K1862" t="str">
            <v>VRUB</v>
          </cell>
          <cell r="M1862" t="str">
            <v>M</v>
          </cell>
          <cell r="AB1862" t="str">
            <v>WB</v>
          </cell>
          <cell r="AF1862">
            <v>0</v>
          </cell>
        </row>
        <row r="1863">
          <cell r="A1863" t="str">
            <v>IS_alqt_plus</v>
          </cell>
          <cell r="K1863" t="str">
            <v>VRUB</v>
          </cell>
          <cell r="M1863" t="str">
            <v>F</v>
          </cell>
          <cell r="AB1863" t="str">
            <v>serum</v>
          </cell>
          <cell r="AF1863">
            <v>1.1000000000000001</v>
          </cell>
        </row>
        <row r="1864">
          <cell r="A1864" t="str">
            <v>IS_alqt_plus</v>
          </cell>
          <cell r="K1864" t="str">
            <v>VRUB</v>
          </cell>
          <cell r="M1864" t="str">
            <v>M</v>
          </cell>
          <cell r="AB1864" t="str">
            <v>serum</v>
          </cell>
          <cell r="AF1864">
            <v>0.9</v>
          </cell>
        </row>
        <row r="1865">
          <cell r="A1865" t="str">
            <v>IS_alqt_plus</v>
          </cell>
          <cell r="K1865" t="str">
            <v>EUL</v>
          </cell>
          <cell r="M1865" t="str">
            <v>M</v>
          </cell>
          <cell r="AB1865" t="str">
            <v>WB</v>
          </cell>
          <cell r="AF1865">
            <v>1.2</v>
          </cell>
        </row>
        <row r="1866">
          <cell r="A1866" t="str">
            <v>gone</v>
          </cell>
          <cell r="K1866" t="str">
            <v>EFLA</v>
          </cell>
          <cell r="M1866" t="str">
            <v>F</v>
          </cell>
          <cell r="AB1866" t="str">
            <v>WB</v>
          </cell>
          <cell r="AF1866">
            <v>0</v>
          </cell>
        </row>
        <row r="1867">
          <cell r="A1867" t="str">
            <v>IS_alqt_plus</v>
          </cell>
          <cell r="K1867" t="str">
            <v>EFLA</v>
          </cell>
          <cell r="M1867" t="str">
            <v>M</v>
          </cell>
          <cell r="AB1867" t="str">
            <v>WB</v>
          </cell>
          <cell r="AF1867">
            <v>1.2</v>
          </cell>
        </row>
        <row r="1868">
          <cell r="A1868" t="str">
            <v>gone</v>
          </cell>
          <cell r="K1868" t="str">
            <v>EFLA</v>
          </cell>
          <cell r="M1868" t="str">
            <v>M</v>
          </cell>
          <cell r="AB1868" t="str">
            <v>WB</v>
          </cell>
          <cell r="AF1868">
            <v>0</v>
          </cell>
        </row>
        <row r="1869">
          <cell r="A1869" t="str">
            <v>IS_alqt_plus</v>
          </cell>
          <cell r="K1869" t="str">
            <v>EUL</v>
          </cell>
          <cell r="M1869" t="str">
            <v>M</v>
          </cell>
          <cell r="AB1869" t="str">
            <v>serum</v>
          </cell>
          <cell r="AF1869">
            <v>1.6</v>
          </cell>
        </row>
        <row r="1870">
          <cell r="A1870" t="str">
            <v>IS_alqt_plus</v>
          </cell>
          <cell r="K1870" t="str">
            <v>EFLA</v>
          </cell>
          <cell r="M1870" t="str">
            <v>F</v>
          </cell>
          <cell r="AB1870" t="str">
            <v>serum</v>
          </cell>
          <cell r="AF1870">
            <v>1</v>
          </cell>
        </row>
        <row r="1871">
          <cell r="A1871" t="str">
            <v>IS_alqt_plus</v>
          </cell>
          <cell r="K1871" t="str">
            <v>EFLA</v>
          </cell>
          <cell r="M1871" t="str">
            <v>M</v>
          </cell>
          <cell r="AB1871" t="str">
            <v>serum</v>
          </cell>
          <cell r="AF1871">
            <v>0.2</v>
          </cell>
        </row>
        <row r="1872">
          <cell r="A1872" t="str">
            <v>IS_alqt_plus</v>
          </cell>
          <cell r="K1872" t="str">
            <v>EFLA</v>
          </cell>
          <cell r="M1872" t="str">
            <v>M</v>
          </cell>
          <cell r="AB1872" t="str">
            <v>serum</v>
          </cell>
          <cell r="AF1872">
            <v>0.2</v>
          </cell>
        </row>
        <row r="1873">
          <cell r="A1873" t="str">
            <v>IS_alqt_plus</v>
          </cell>
          <cell r="K1873" t="str">
            <v>EFLA</v>
          </cell>
          <cell r="M1873" t="str">
            <v>M</v>
          </cell>
          <cell r="AB1873" t="str">
            <v>serum</v>
          </cell>
          <cell r="AF1873">
            <v>0.2</v>
          </cell>
        </row>
        <row r="1874">
          <cell r="A1874" t="str">
            <v>IS_alqt_plus</v>
          </cell>
          <cell r="K1874" t="str">
            <v>EFLA</v>
          </cell>
          <cell r="M1874" t="str">
            <v>M</v>
          </cell>
          <cell r="AB1874" t="str">
            <v>serum</v>
          </cell>
          <cell r="AF1874">
            <v>0.25</v>
          </cell>
        </row>
        <row r="1875">
          <cell r="A1875" t="str">
            <v>IS_alqt_plus</v>
          </cell>
          <cell r="K1875" t="str">
            <v>EFLA</v>
          </cell>
          <cell r="M1875" t="str">
            <v>M</v>
          </cell>
          <cell r="AB1875" t="str">
            <v>serum</v>
          </cell>
          <cell r="AF1875">
            <v>0.25</v>
          </cell>
        </row>
        <row r="1876">
          <cell r="A1876" t="str">
            <v>gone</v>
          </cell>
          <cell r="K1876" t="str">
            <v>HGG</v>
          </cell>
          <cell r="M1876" t="str">
            <v>M</v>
          </cell>
          <cell r="AB1876" t="str">
            <v>WB</v>
          </cell>
          <cell r="AF1876">
            <v>0</v>
          </cell>
        </row>
        <row r="1877">
          <cell r="A1877" t="str">
            <v>gone</v>
          </cell>
          <cell r="K1877" t="str">
            <v>HGG</v>
          </cell>
          <cell r="M1877" t="str">
            <v>F</v>
          </cell>
          <cell r="AB1877" t="str">
            <v>WB</v>
          </cell>
          <cell r="AF1877">
            <v>0</v>
          </cell>
        </row>
        <row r="1878">
          <cell r="A1878" t="str">
            <v>gone</v>
          </cell>
          <cell r="K1878" t="str">
            <v>HGG</v>
          </cell>
          <cell r="M1878" t="str">
            <v>F</v>
          </cell>
          <cell r="AB1878" t="str">
            <v>WB</v>
          </cell>
          <cell r="AF1878">
            <v>0</v>
          </cell>
        </row>
        <row r="1879">
          <cell r="A1879" t="str">
            <v>IS_alqt_plus</v>
          </cell>
          <cell r="K1879" t="str">
            <v>HGG</v>
          </cell>
          <cell r="M1879" t="str">
            <v>M</v>
          </cell>
          <cell r="AB1879" t="str">
            <v>serum</v>
          </cell>
          <cell r="AF1879">
            <v>0.8</v>
          </cell>
        </row>
        <row r="1880">
          <cell r="A1880" t="str">
            <v>IS_alqt_plus</v>
          </cell>
          <cell r="K1880" t="str">
            <v>HGG</v>
          </cell>
          <cell r="M1880" t="str">
            <v>F</v>
          </cell>
          <cell r="AB1880" t="str">
            <v>serum</v>
          </cell>
          <cell r="AF1880">
            <v>0.7</v>
          </cell>
        </row>
        <row r="1881">
          <cell r="A1881" t="str">
            <v>IS_alqt_plus</v>
          </cell>
          <cell r="K1881" t="str">
            <v>HGG</v>
          </cell>
          <cell r="M1881" t="str">
            <v>F</v>
          </cell>
          <cell r="AB1881" t="str">
            <v>serum</v>
          </cell>
          <cell r="AF1881">
            <v>0.4</v>
          </cell>
        </row>
        <row r="1882">
          <cell r="A1882" t="str">
            <v>IS_alqt_plus</v>
          </cell>
          <cell r="K1882" t="str">
            <v>EFLA</v>
          </cell>
          <cell r="M1882" t="str">
            <v>M</v>
          </cell>
          <cell r="AB1882" t="str">
            <v>WB</v>
          </cell>
          <cell r="AF1882">
            <v>1.3</v>
          </cell>
        </row>
        <row r="1883">
          <cell r="A1883" t="str">
            <v>IS_alqt_plus</v>
          </cell>
          <cell r="K1883" t="str">
            <v>EFLA</v>
          </cell>
          <cell r="M1883" t="str">
            <v>M</v>
          </cell>
          <cell r="AB1883" t="str">
            <v>WB</v>
          </cell>
          <cell r="AF1883">
            <v>0.5</v>
          </cell>
        </row>
        <row r="1884">
          <cell r="A1884" t="str">
            <v>IS_alqt_plus</v>
          </cell>
          <cell r="K1884" t="str">
            <v>EFLA</v>
          </cell>
          <cell r="M1884" t="str">
            <v>M</v>
          </cell>
          <cell r="AB1884" t="str">
            <v>WB</v>
          </cell>
          <cell r="AF1884">
            <v>1</v>
          </cell>
        </row>
        <row r="1885">
          <cell r="A1885" t="str">
            <v>IS_alqt_plus</v>
          </cell>
          <cell r="K1885" t="str">
            <v>EFLA</v>
          </cell>
          <cell r="M1885" t="str">
            <v>M</v>
          </cell>
          <cell r="AB1885" t="str">
            <v>WB</v>
          </cell>
          <cell r="AF1885">
            <v>1.2</v>
          </cell>
        </row>
        <row r="1886">
          <cell r="A1886" t="str">
            <v>IS_alqt_plus</v>
          </cell>
          <cell r="K1886" t="str">
            <v>EFLA</v>
          </cell>
          <cell r="M1886" t="str">
            <v>M</v>
          </cell>
          <cell r="AB1886" t="str">
            <v>serum</v>
          </cell>
          <cell r="AF1886">
            <v>0.3</v>
          </cell>
        </row>
        <row r="1887">
          <cell r="A1887" t="str">
            <v>IS_alqt_plus</v>
          </cell>
          <cell r="K1887" t="str">
            <v>EFLA</v>
          </cell>
          <cell r="M1887" t="str">
            <v>M</v>
          </cell>
          <cell r="AB1887" t="str">
            <v>serum</v>
          </cell>
          <cell r="AF1887">
            <v>0.2</v>
          </cell>
        </row>
        <row r="1888">
          <cell r="A1888" t="str">
            <v>IS_alqt_plus</v>
          </cell>
          <cell r="K1888" t="str">
            <v>EFLA</v>
          </cell>
          <cell r="M1888" t="str">
            <v>M</v>
          </cell>
          <cell r="AB1888" t="str">
            <v>serum</v>
          </cell>
          <cell r="AF1888">
            <v>0.2</v>
          </cell>
        </row>
        <row r="1889">
          <cell r="A1889" t="str">
            <v>IS_alqt_plus</v>
          </cell>
          <cell r="K1889" t="str">
            <v>EFLA</v>
          </cell>
          <cell r="M1889" t="str">
            <v>M</v>
          </cell>
          <cell r="AB1889" t="str">
            <v>serum</v>
          </cell>
          <cell r="AF1889">
            <v>0.2</v>
          </cell>
        </row>
        <row r="1890">
          <cell r="A1890" t="str">
            <v>IS_alqt_plus</v>
          </cell>
          <cell r="K1890" t="str">
            <v>EFLA</v>
          </cell>
          <cell r="M1890" t="str">
            <v>M</v>
          </cell>
          <cell r="AB1890" t="str">
            <v>serum</v>
          </cell>
          <cell r="AF1890">
            <v>0.2</v>
          </cell>
        </row>
        <row r="1891">
          <cell r="A1891" t="str">
            <v>IS_alqt_plus</v>
          </cell>
          <cell r="K1891" t="str">
            <v>EFLA</v>
          </cell>
          <cell r="M1891" t="str">
            <v>M</v>
          </cell>
          <cell r="AB1891" t="str">
            <v>serum</v>
          </cell>
          <cell r="AF1891">
            <v>0.8</v>
          </cell>
        </row>
        <row r="1892">
          <cell r="A1892" t="str">
            <v>IS_alqt_plus</v>
          </cell>
          <cell r="K1892" t="str">
            <v>EUL</v>
          </cell>
          <cell r="M1892" t="str">
            <v>M</v>
          </cell>
          <cell r="AB1892" t="str">
            <v>WB</v>
          </cell>
          <cell r="AF1892">
            <v>1</v>
          </cell>
        </row>
        <row r="1893">
          <cell r="A1893" t="str">
            <v>IS_alqt_plus</v>
          </cell>
          <cell r="K1893" t="str">
            <v>EUL</v>
          </cell>
          <cell r="M1893" t="str">
            <v>M</v>
          </cell>
          <cell r="AB1893" t="str">
            <v>WB</v>
          </cell>
          <cell r="AF1893">
            <v>1.2</v>
          </cell>
        </row>
        <row r="1894">
          <cell r="A1894" t="str">
            <v>IS_alqt_plus</v>
          </cell>
          <cell r="K1894" t="str">
            <v>EUL</v>
          </cell>
          <cell r="M1894" t="str">
            <v>M</v>
          </cell>
          <cell r="AB1894" t="str">
            <v>serum</v>
          </cell>
          <cell r="AF1894">
            <v>1.8</v>
          </cell>
        </row>
        <row r="1895">
          <cell r="A1895" t="str">
            <v>IS_alqt_plus</v>
          </cell>
          <cell r="K1895" t="str">
            <v>EUL</v>
          </cell>
          <cell r="M1895" t="str">
            <v>M</v>
          </cell>
          <cell r="AB1895" t="str">
            <v>serum</v>
          </cell>
          <cell r="AF1895">
            <v>1.8</v>
          </cell>
        </row>
        <row r="1896">
          <cell r="A1896" t="str">
            <v>IS_alqt_plus</v>
          </cell>
          <cell r="K1896" t="str">
            <v>DMAD</v>
          </cell>
          <cell r="M1896" t="str">
            <v>F</v>
          </cell>
          <cell r="AB1896" t="str">
            <v>serum</v>
          </cell>
          <cell r="AF1896">
            <v>0.7</v>
          </cell>
        </row>
        <row r="1897">
          <cell r="A1897" t="str">
            <v>IS_alqt_plus</v>
          </cell>
          <cell r="K1897" t="str">
            <v>DMAD</v>
          </cell>
          <cell r="M1897" t="str">
            <v>F</v>
          </cell>
          <cell r="AB1897" t="str">
            <v>serum</v>
          </cell>
          <cell r="AF1897">
            <v>1.7</v>
          </cell>
        </row>
        <row r="1898">
          <cell r="A1898" t="str">
            <v>gone</v>
          </cell>
          <cell r="K1898" t="str">
            <v>DMAD</v>
          </cell>
          <cell r="M1898" t="str">
            <v>F</v>
          </cell>
          <cell r="AB1898" t="str">
            <v>WB</v>
          </cell>
          <cell r="AF1898">
            <v>0</v>
          </cell>
        </row>
        <row r="1899">
          <cell r="A1899" t="str">
            <v>IS_alqt_plus</v>
          </cell>
          <cell r="K1899" t="str">
            <v>DMAD</v>
          </cell>
          <cell r="M1899" t="str">
            <v>F</v>
          </cell>
          <cell r="AB1899" t="str">
            <v>WB</v>
          </cell>
          <cell r="AF1899">
            <v>0.25</v>
          </cell>
        </row>
        <row r="1900">
          <cell r="A1900" t="str">
            <v>gone</v>
          </cell>
          <cell r="K1900" t="str">
            <v>DMAD</v>
          </cell>
          <cell r="M1900" t="str">
            <v>M</v>
          </cell>
          <cell r="AB1900" t="str">
            <v>WB</v>
          </cell>
          <cell r="AF1900">
            <v>0</v>
          </cell>
        </row>
        <row r="1901">
          <cell r="A1901" t="str">
            <v>IS_alqt_plus</v>
          </cell>
          <cell r="K1901" t="str">
            <v>DMAD</v>
          </cell>
          <cell r="M1901" t="str">
            <v>M</v>
          </cell>
          <cell r="AB1901" t="str">
            <v>serum</v>
          </cell>
          <cell r="AF1901">
            <v>0.7</v>
          </cell>
        </row>
        <row r="1902">
          <cell r="A1902" t="str">
            <v>gone</v>
          </cell>
          <cell r="K1902" t="str">
            <v>VRUB</v>
          </cell>
          <cell r="M1902" t="str">
            <v>M</v>
          </cell>
          <cell r="AB1902" t="str">
            <v>WB</v>
          </cell>
          <cell r="AF1902">
            <v>0</v>
          </cell>
        </row>
        <row r="1903">
          <cell r="A1903" t="str">
            <v>gone</v>
          </cell>
          <cell r="K1903" t="str">
            <v>VRUB</v>
          </cell>
          <cell r="M1903" t="str">
            <v>F</v>
          </cell>
          <cell r="AB1903" t="str">
            <v>WB</v>
          </cell>
          <cell r="AF1903">
            <v>0</v>
          </cell>
        </row>
        <row r="1904">
          <cell r="A1904" t="str">
            <v>IS_alqt_plus</v>
          </cell>
          <cell r="K1904" t="str">
            <v>VRUB</v>
          </cell>
          <cell r="M1904" t="str">
            <v>M</v>
          </cell>
          <cell r="AB1904" t="str">
            <v>serum</v>
          </cell>
          <cell r="AF1904">
            <v>0.2</v>
          </cell>
        </row>
        <row r="1905">
          <cell r="A1905" t="str">
            <v>IS_alqt_plus</v>
          </cell>
          <cell r="K1905" t="str">
            <v>VRUB</v>
          </cell>
          <cell r="M1905" t="str">
            <v>F</v>
          </cell>
          <cell r="AB1905" t="str">
            <v>serum</v>
          </cell>
          <cell r="AF1905">
            <v>1.2</v>
          </cell>
        </row>
        <row r="1906">
          <cell r="A1906" t="str">
            <v>IS_alqt_plus</v>
          </cell>
          <cell r="K1906" t="str">
            <v>VRUB</v>
          </cell>
          <cell r="M1906" t="str">
            <v>F</v>
          </cell>
          <cell r="AB1906" t="str">
            <v>serum</v>
          </cell>
          <cell r="AF1906">
            <v>1.2</v>
          </cell>
        </row>
        <row r="1907">
          <cell r="A1907" t="str">
            <v>IS_alqt_plus</v>
          </cell>
          <cell r="K1907" t="str">
            <v>VRUB</v>
          </cell>
          <cell r="M1907" t="str">
            <v>F</v>
          </cell>
          <cell r="AB1907" t="str">
            <v>serum</v>
          </cell>
          <cell r="AF1907">
            <v>1</v>
          </cell>
        </row>
        <row r="1908">
          <cell r="A1908" t="str">
            <v>IS_alqt_plus</v>
          </cell>
          <cell r="K1908" t="str">
            <v>EALB</v>
          </cell>
          <cell r="M1908" t="str">
            <v>F</v>
          </cell>
          <cell r="AB1908" t="str">
            <v>WB</v>
          </cell>
          <cell r="AF1908">
            <v>0.85</v>
          </cell>
        </row>
        <row r="1909">
          <cell r="A1909" t="str">
            <v>IS_alqt_plus</v>
          </cell>
          <cell r="K1909" t="str">
            <v>EUL</v>
          </cell>
          <cell r="M1909" t="str">
            <v>F</v>
          </cell>
          <cell r="AB1909" t="str">
            <v>WB</v>
          </cell>
          <cell r="AF1909">
            <v>1.2</v>
          </cell>
        </row>
        <row r="1910">
          <cell r="A1910" t="str">
            <v>IS_alqt_plus</v>
          </cell>
          <cell r="K1910" t="str">
            <v>EALB</v>
          </cell>
          <cell r="M1910" t="str">
            <v>F</v>
          </cell>
          <cell r="AB1910" t="str">
            <v>serum</v>
          </cell>
          <cell r="AF1910">
            <v>1.8</v>
          </cell>
        </row>
        <row r="1911">
          <cell r="A1911" t="str">
            <v>IS_alqt_plus</v>
          </cell>
          <cell r="K1911" t="str">
            <v>EUL</v>
          </cell>
          <cell r="M1911" t="str">
            <v>F</v>
          </cell>
          <cell r="AB1911" t="str">
            <v>serum</v>
          </cell>
          <cell r="AF1911">
            <v>1.5</v>
          </cell>
        </row>
        <row r="1912">
          <cell r="A1912" t="str">
            <v>IS_alqt_plus</v>
          </cell>
          <cell r="K1912" t="str">
            <v>LCAT</v>
          </cell>
          <cell r="M1912" t="str">
            <v>M</v>
          </cell>
          <cell r="AB1912" t="str">
            <v>serum</v>
          </cell>
          <cell r="AF1912">
            <v>1.3</v>
          </cell>
        </row>
        <row r="1913">
          <cell r="A1913" t="str">
            <v>unk</v>
          </cell>
          <cell r="K1913" t="str">
            <v>DMAD</v>
          </cell>
          <cell r="M1913" t="str">
            <v>M</v>
          </cell>
          <cell r="AB1913" t="str">
            <v>serum</v>
          </cell>
        </row>
        <row r="1914">
          <cell r="A1914" t="str">
            <v>IS_alqt_plus</v>
          </cell>
          <cell r="K1914" t="str">
            <v>DMAD</v>
          </cell>
          <cell r="M1914" t="str">
            <v>M</v>
          </cell>
          <cell r="AB1914" t="str">
            <v>WB</v>
          </cell>
          <cell r="AF1914">
            <v>1.2</v>
          </cell>
        </row>
        <row r="1915">
          <cell r="A1915" t="str">
            <v>gone</v>
          </cell>
          <cell r="K1915" t="str">
            <v>DMAD</v>
          </cell>
          <cell r="M1915" t="str">
            <v>M</v>
          </cell>
          <cell r="AB1915" t="str">
            <v>WB</v>
          </cell>
          <cell r="AF1915">
            <v>0</v>
          </cell>
        </row>
        <row r="1916">
          <cell r="A1916" t="str">
            <v>IS_alqt_plus</v>
          </cell>
          <cell r="K1916" t="str">
            <v>DMAD</v>
          </cell>
          <cell r="M1916" t="str">
            <v>M</v>
          </cell>
          <cell r="AB1916" t="str">
            <v>serum</v>
          </cell>
          <cell r="AF1916">
            <v>1.1499999999999999</v>
          </cell>
        </row>
        <row r="1917">
          <cell r="A1917" t="str">
            <v>IS_alqt_plus</v>
          </cell>
          <cell r="K1917" t="str">
            <v>DMAD</v>
          </cell>
          <cell r="M1917" t="str">
            <v>M</v>
          </cell>
          <cell r="AB1917" t="str">
            <v>serum</v>
          </cell>
          <cell r="AF1917">
            <v>1.1000000000000001</v>
          </cell>
        </row>
        <row r="1918">
          <cell r="A1918" t="str">
            <v>gone</v>
          </cell>
          <cell r="K1918" t="str">
            <v>DMAD</v>
          </cell>
          <cell r="M1918" t="str">
            <v>M</v>
          </cell>
          <cell r="AB1918" t="str">
            <v>WB</v>
          </cell>
          <cell r="AF1918">
            <v>0</v>
          </cell>
        </row>
        <row r="1919">
          <cell r="A1919" t="str">
            <v>IS_alqt_plus</v>
          </cell>
          <cell r="K1919" t="str">
            <v>DMAD</v>
          </cell>
          <cell r="M1919" t="str">
            <v>F</v>
          </cell>
          <cell r="AB1919" t="str">
            <v>WB</v>
          </cell>
          <cell r="AF1919">
            <v>1</v>
          </cell>
        </row>
        <row r="1920">
          <cell r="A1920" t="str">
            <v>IS_alqt_plus</v>
          </cell>
          <cell r="K1920" t="str">
            <v>ERUF</v>
          </cell>
          <cell r="M1920" t="str">
            <v>M</v>
          </cell>
          <cell r="AB1920" t="str">
            <v>WB</v>
          </cell>
          <cell r="AF1920">
            <v>0.8</v>
          </cell>
        </row>
        <row r="1921">
          <cell r="A1921" t="str">
            <v>gone</v>
          </cell>
          <cell r="K1921" t="str">
            <v>DMAD</v>
          </cell>
          <cell r="M1921" t="str">
            <v>F</v>
          </cell>
          <cell r="AB1921" t="str">
            <v>serum</v>
          </cell>
          <cell r="AF1921">
            <v>0</v>
          </cell>
        </row>
        <row r="1922">
          <cell r="A1922" t="str">
            <v>IS_alqt_plus</v>
          </cell>
          <cell r="K1922" t="str">
            <v>ERUF</v>
          </cell>
          <cell r="M1922" t="str">
            <v>M</v>
          </cell>
          <cell r="AB1922" t="str">
            <v>serum</v>
          </cell>
          <cell r="AF1922">
            <v>1.5</v>
          </cell>
        </row>
        <row r="1923">
          <cell r="A1923" t="str">
            <v>IS_alqt_plus</v>
          </cell>
          <cell r="K1923" t="str">
            <v>DMAD</v>
          </cell>
          <cell r="M1923" t="str">
            <v>F</v>
          </cell>
          <cell r="AB1923" t="str">
            <v>serum</v>
          </cell>
          <cell r="AF1923">
            <v>0.9</v>
          </cell>
        </row>
        <row r="1924">
          <cell r="A1924" t="str">
            <v>IS_alqt_plus</v>
          </cell>
          <cell r="K1924" t="str">
            <v>DMAD</v>
          </cell>
          <cell r="M1924" t="str">
            <v>F</v>
          </cell>
          <cell r="AB1924" t="str">
            <v>WB</v>
          </cell>
          <cell r="AF1924">
            <v>1.2</v>
          </cell>
        </row>
        <row r="1925">
          <cell r="A1925" t="str">
            <v>IS_alqt_plus</v>
          </cell>
          <cell r="K1925" t="str">
            <v>DMAD</v>
          </cell>
          <cell r="M1925" t="str">
            <v>M</v>
          </cell>
          <cell r="AB1925" t="str">
            <v>WB</v>
          </cell>
          <cell r="AF1925">
            <v>1.2</v>
          </cell>
        </row>
        <row r="1926">
          <cell r="A1926" t="str">
            <v>gone</v>
          </cell>
          <cell r="K1926" t="str">
            <v>DMAD</v>
          </cell>
          <cell r="M1926" t="str">
            <v>M</v>
          </cell>
          <cell r="AB1926" t="str">
            <v>serum</v>
          </cell>
          <cell r="AF1926">
            <v>0</v>
          </cell>
        </row>
        <row r="1927">
          <cell r="A1927" t="str">
            <v>gone</v>
          </cell>
          <cell r="K1927" t="str">
            <v>DMAD</v>
          </cell>
          <cell r="M1927" t="str">
            <v>M</v>
          </cell>
          <cell r="AB1927" t="str">
            <v>WB</v>
          </cell>
          <cell r="AF1927">
            <v>0</v>
          </cell>
        </row>
        <row r="1928">
          <cell r="A1928" t="str">
            <v>IS_alqt_plus</v>
          </cell>
          <cell r="K1928" t="str">
            <v>EFLA</v>
          </cell>
          <cell r="M1928" t="str">
            <v>M</v>
          </cell>
          <cell r="AB1928" t="str">
            <v>WB</v>
          </cell>
          <cell r="AF1928">
            <v>0.75</v>
          </cell>
        </row>
        <row r="1929">
          <cell r="A1929" t="str">
            <v>IS_alqt_plus</v>
          </cell>
          <cell r="K1929" t="str">
            <v>DMAD</v>
          </cell>
          <cell r="M1929" t="str">
            <v>M</v>
          </cell>
          <cell r="AB1929" t="str">
            <v>serum</v>
          </cell>
          <cell r="AF1929">
            <v>1</v>
          </cell>
        </row>
        <row r="1930">
          <cell r="A1930" t="str">
            <v>IS_alqt_plus</v>
          </cell>
          <cell r="K1930" t="str">
            <v>EFLA</v>
          </cell>
          <cell r="M1930" t="str">
            <v>M</v>
          </cell>
          <cell r="AB1930" t="str">
            <v>serum</v>
          </cell>
          <cell r="AF1930">
            <v>0.2</v>
          </cell>
        </row>
        <row r="1931">
          <cell r="A1931" t="str">
            <v>IS_alqt_plus</v>
          </cell>
          <cell r="K1931" t="str">
            <v>EFLA</v>
          </cell>
          <cell r="M1931" t="str">
            <v>M</v>
          </cell>
          <cell r="AB1931" t="str">
            <v>serum</v>
          </cell>
          <cell r="AF1931">
            <v>0.2</v>
          </cell>
        </row>
        <row r="1932">
          <cell r="A1932" t="str">
            <v>IS_alqt_plus</v>
          </cell>
          <cell r="K1932" t="str">
            <v>EFLA</v>
          </cell>
          <cell r="M1932" t="str">
            <v>M</v>
          </cell>
          <cell r="AB1932" t="str">
            <v>serum</v>
          </cell>
          <cell r="AF1932">
            <v>0.2</v>
          </cell>
        </row>
        <row r="1933">
          <cell r="A1933" t="str">
            <v>IS_alqt_plus</v>
          </cell>
          <cell r="K1933" t="str">
            <v>EFLA</v>
          </cell>
          <cell r="M1933" t="str">
            <v>M</v>
          </cell>
          <cell r="AB1933" t="str">
            <v>serum</v>
          </cell>
          <cell r="AF1933">
            <v>0.2</v>
          </cell>
        </row>
        <row r="1934">
          <cell r="A1934" t="str">
            <v>IS_alqt_plus</v>
          </cell>
          <cell r="K1934" t="str">
            <v>EFLA</v>
          </cell>
          <cell r="M1934" t="str">
            <v>M</v>
          </cell>
          <cell r="AB1934" t="str">
            <v>serum</v>
          </cell>
          <cell r="AF1934">
            <v>0.2</v>
          </cell>
        </row>
        <row r="1935">
          <cell r="A1935" t="str">
            <v>IS_alqt_plus</v>
          </cell>
          <cell r="K1935" t="str">
            <v>EFLA</v>
          </cell>
          <cell r="M1935" t="str">
            <v>M</v>
          </cell>
          <cell r="AB1935" t="str">
            <v>serum</v>
          </cell>
          <cell r="AF1935">
            <v>0.2</v>
          </cell>
        </row>
        <row r="1936">
          <cell r="A1936" t="str">
            <v>gone</v>
          </cell>
          <cell r="K1936" t="str">
            <v>GMOH</v>
          </cell>
          <cell r="M1936" t="str">
            <v>M</v>
          </cell>
          <cell r="AB1936" t="str">
            <v>WB</v>
          </cell>
          <cell r="AF1936">
            <v>0</v>
          </cell>
        </row>
        <row r="1937">
          <cell r="A1937" t="str">
            <v>IS_alqt_plus</v>
          </cell>
          <cell r="K1937" t="str">
            <v>LCAT</v>
          </cell>
          <cell r="M1937" t="str">
            <v>M</v>
          </cell>
          <cell r="AB1937" t="str">
            <v>WB</v>
          </cell>
          <cell r="AF1937">
            <v>0.45</v>
          </cell>
        </row>
        <row r="1938">
          <cell r="A1938" t="str">
            <v>IS_alqt_plus</v>
          </cell>
          <cell r="K1938" t="str">
            <v>LCAT</v>
          </cell>
          <cell r="M1938" t="str">
            <v>F</v>
          </cell>
          <cell r="AB1938" t="str">
            <v>WB</v>
          </cell>
          <cell r="AF1938">
            <v>1.3</v>
          </cell>
        </row>
        <row r="1939">
          <cell r="A1939" t="str">
            <v>IS_alqt_plus</v>
          </cell>
          <cell r="K1939" t="str">
            <v>LCAT</v>
          </cell>
          <cell r="M1939" t="str">
            <v>F</v>
          </cell>
          <cell r="AB1939" t="str">
            <v>WB</v>
          </cell>
          <cell r="AF1939">
            <v>0.7</v>
          </cell>
        </row>
        <row r="1940">
          <cell r="A1940" t="str">
            <v>IS_alqt_plus</v>
          </cell>
          <cell r="K1940" t="str">
            <v>LCAT</v>
          </cell>
          <cell r="M1940" t="str">
            <v>M</v>
          </cell>
          <cell r="AB1940" t="str">
            <v>WB</v>
          </cell>
          <cell r="AF1940">
            <v>1</v>
          </cell>
        </row>
        <row r="1941">
          <cell r="A1941" t="str">
            <v>gone</v>
          </cell>
          <cell r="K1941" t="str">
            <v>LCAT</v>
          </cell>
          <cell r="M1941" t="str">
            <v>M</v>
          </cell>
          <cell r="AB1941" t="str">
            <v>serum</v>
          </cell>
          <cell r="AF1941">
            <v>0</v>
          </cell>
        </row>
        <row r="1942">
          <cell r="A1942" t="str">
            <v>IS_alqt_plus</v>
          </cell>
          <cell r="K1942" t="str">
            <v>LCAT</v>
          </cell>
          <cell r="M1942" t="str">
            <v>M</v>
          </cell>
          <cell r="AB1942" t="str">
            <v>serum</v>
          </cell>
          <cell r="AF1942">
            <v>1.1000000000000001</v>
          </cell>
        </row>
        <row r="1943">
          <cell r="A1943" t="str">
            <v>IS_alqt_plus</v>
          </cell>
          <cell r="K1943" t="str">
            <v>LCAT</v>
          </cell>
          <cell r="M1943" t="str">
            <v>M</v>
          </cell>
          <cell r="AB1943" t="str">
            <v>WB</v>
          </cell>
          <cell r="AF1943">
            <v>1.2</v>
          </cell>
        </row>
        <row r="1944">
          <cell r="A1944" t="str">
            <v>IS_alqt_plus</v>
          </cell>
          <cell r="K1944" t="str">
            <v>DMAD</v>
          </cell>
          <cell r="M1944" t="str">
            <v>M</v>
          </cell>
          <cell r="AB1944" t="str">
            <v>serum</v>
          </cell>
          <cell r="AF1944">
            <v>0.5</v>
          </cell>
        </row>
        <row r="1945">
          <cell r="A1945" t="str">
            <v>IS_alqt_plus</v>
          </cell>
          <cell r="K1945" t="str">
            <v>LCAT</v>
          </cell>
          <cell r="M1945" t="str">
            <v>F</v>
          </cell>
          <cell r="AB1945" t="str">
            <v>serum</v>
          </cell>
          <cell r="AF1945">
            <v>0.75</v>
          </cell>
        </row>
        <row r="1946">
          <cell r="A1946" t="str">
            <v>IS_alqt_plus</v>
          </cell>
          <cell r="K1946" t="str">
            <v>PCOQ</v>
          </cell>
          <cell r="M1946" t="str">
            <v>F</v>
          </cell>
          <cell r="AB1946" t="str">
            <v>serum</v>
          </cell>
          <cell r="AF1946">
            <v>0.5</v>
          </cell>
        </row>
        <row r="1947">
          <cell r="A1947" t="str">
            <v>IS_alqt_plus</v>
          </cell>
          <cell r="K1947" t="str">
            <v>ERUB</v>
          </cell>
          <cell r="M1947" t="str">
            <v>M</v>
          </cell>
          <cell r="AB1947" t="str">
            <v>WB</v>
          </cell>
          <cell r="AF1947">
            <v>1.2</v>
          </cell>
        </row>
        <row r="1948">
          <cell r="A1948" t="str">
            <v>IS_alqt_plus</v>
          </cell>
          <cell r="K1948" t="str">
            <v>ERUB</v>
          </cell>
          <cell r="M1948" t="str">
            <v>M</v>
          </cell>
          <cell r="AB1948" t="str">
            <v>serum</v>
          </cell>
          <cell r="AF1948">
            <v>1.8</v>
          </cell>
        </row>
        <row r="1949">
          <cell r="A1949" t="str">
            <v>unk</v>
          </cell>
          <cell r="K1949" t="str">
            <v>ECOL</v>
          </cell>
          <cell r="M1949" t="str">
            <v>F</v>
          </cell>
          <cell r="AB1949" t="str">
            <v>unk</v>
          </cell>
          <cell r="AF1949">
            <v>1</v>
          </cell>
        </row>
        <row r="1950">
          <cell r="A1950" t="str">
            <v>IS_alqt_plus</v>
          </cell>
          <cell r="K1950" t="str">
            <v>NPYG</v>
          </cell>
          <cell r="M1950" t="str">
            <v>F</v>
          </cell>
          <cell r="AB1950" t="str">
            <v>WB</v>
          </cell>
          <cell r="AF1950">
            <v>0.2</v>
          </cell>
        </row>
        <row r="1951">
          <cell r="A1951" t="str">
            <v>gone</v>
          </cell>
          <cell r="K1951" t="str">
            <v>EMAC</v>
          </cell>
          <cell r="M1951" t="str">
            <v>M</v>
          </cell>
          <cell r="AB1951" t="str">
            <v>WB</v>
          </cell>
          <cell r="AF1951">
            <v>0</v>
          </cell>
        </row>
        <row r="1952">
          <cell r="A1952" t="str">
            <v>IS_alqt_plus</v>
          </cell>
          <cell r="K1952" t="str">
            <v>EMAC</v>
          </cell>
          <cell r="M1952" t="str">
            <v>M</v>
          </cell>
          <cell r="AB1952" t="str">
            <v>serum</v>
          </cell>
          <cell r="AF1952">
            <v>0.8</v>
          </cell>
        </row>
        <row r="1953">
          <cell r="A1953" t="str">
            <v>gone</v>
          </cell>
          <cell r="K1953" t="str">
            <v>HGG</v>
          </cell>
          <cell r="M1953" t="str">
            <v>M</v>
          </cell>
          <cell r="AB1953" t="str">
            <v>WB</v>
          </cell>
          <cell r="AF1953">
            <v>0</v>
          </cell>
        </row>
        <row r="1954">
          <cell r="A1954" t="str">
            <v>IS_alqt_plus</v>
          </cell>
          <cell r="K1954" t="str">
            <v>HGG</v>
          </cell>
          <cell r="M1954" t="str">
            <v>F</v>
          </cell>
          <cell r="AB1954" t="str">
            <v>WB</v>
          </cell>
          <cell r="AF1954">
            <v>1</v>
          </cell>
        </row>
        <row r="1955">
          <cell r="A1955" t="str">
            <v>IS_alqt_plus</v>
          </cell>
          <cell r="K1955" t="str">
            <v>HGG</v>
          </cell>
          <cell r="M1955" t="str">
            <v>F</v>
          </cell>
          <cell r="AB1955" t="str">
            <v>WB</v>
          </cell>
          <cell r="AF1955">
            <v>1.2</v>
          </cell>
        </row>
        <row r="1956">
          <cell r="A1956" t="str">
            <v>IS_alqt_plus</v>
          </cell>
          <cell r="K1956" t="str">
            <v>HGG</v>
          </cell>
          <cell r="M1956" t="str">
            <v>M</v>
          </cell>
          <cell r="AB1956" t="str">
            <v>serum</v>
          </cell>
          <cell r="AF1956">
            <v>1</v>
          </cell>
        </row>
        <row r="1957">
          <cell r="A1957" t="str">
            <v>IS_alqt_plus</v>
          </cell>
          <cell r="K1957" t="str">
            <v>HGG</v>
          </cell>
          <cell r="M1957" t="str">
            <v>F</v>
          </cell>
          <cell r="AB1957" t="str">
            <v>serum</v>
          </cell>
          <cell r="AF1957">
            <v>0.8</v>
          </cell>
        </row>
        <row r="1958">
          <cell r="A1958" t="str">
            <v>IS_alqt_plus</v>
          </cell>
          <cell r="K1958" t="str">
            <v>HGG</v>
          </cell>
          <cell r="M1958" t="str">
            <v>F</v>
          </cell>
          <cell r="AB1958" t="str">
            <v>serum</v>
          </cell>
          <cell r="AF1958">
            <v>0.6</v>
          </cell>
        </row>
        <row r="1959">
          <cell r="A1959" t="str">
            <v>IS_alqt_plus</v>
          </cell>
          <cell r="K1959" t="str">
            <v>EFLA</v>
          </cell>
          <cell r="M1959" t="str">
            <v>M</v>
          </cell>
          <cell r="AB1959" t="str">
            <v>WB</v>
          </cell>
          <cell r="AF1959">
            <v>1.2</v>
          </cell>
        </row>
        <row r="1960">
          <cell r="A1960" t="str">
            <v>IS_alqt_plus</v>
          </cell>
          <cell r="K1960" t="str">
            <v>EFLA</v>
          </cell>
          <cell r="M1960" t="str">
            <v>M</v>
          </cell>
          <cell r="AB1960" t="str">
            <v>serum</v>
          </cell>
          <cell r="AF1960">
            <v>0.2</v>
          </cell>
        </row>
        <row r="1961">
          <cell r="A1961" t="str">
            <v>IS_alqt_plus</v>
          </cell>
          <cell r="K1961" t="str">
            <v>LCAT</v>
          </cell>
          <cell r="M1961" t="str">
            <v>M</v>
          </cell>
          <cell r="AB1961" t="str">
            <v>WB</v>
          </cell>
          <cell r="AF1961">
            <v>1.5</v>
          </cell>
        </row>
        <row r="1962">
          <cell r="A1962" t="str">
            <v>gone</v>
          </cell>
          <cell r="K1962" t="str">
            <v>ESAN</v>
          </cell>
          <cell r="M1962" t="str">
            <v>M</v>
          </cell>
          <cell r="AB1962" t="str">
            <v>WB</v>
          </cell>
          <cell r="AF1962">
            <v>0</v>
          </cell>
        </row>
        <row r="1963">
          <cell r="A1963" t="str">
            <v>IS_alqt_plus</v>
          </cell>
          <cell r="K1963" t="str">
            <v>ESAN</v>
          </cell>
          <cell r="M1963" t="str">
            <v>F</v>
          </cell>
          <cell r="AB1963" t="str">
            <v>WB</v>
          </cell>
          <cell r="AF1963">
            <v>0.6</v>
          </cell>
        </row>
        <row r="1964">
          <cell r="A1964" t="str">
            <v>gone</v>
          </cell>
          <cell r="K1964" t="str">
            <v>LCAT</v>
          </cell>
          <cell r="M1964" t="str">
            <v>M</v>
          </cell>
          <cell r="AB1964" t="str">
            <v>serum</v>
          </cell>
          <cell r="AF1964">
            <v>0</v>
          </cell>
        </row>
        <row r="1965">
          <cell r="A1965" t="str">
            <v>IS_alqt_plus</v>
          </cell>
          <cell r="K1965" t="str">
            <v>ESAN</v>
          </cell>
          <cell r="M1965" t="str">
            <v>M</v>
          </cell>
          <cell r="AB1965" t="str">
            <v>serum</v>
          </cell>
          <cell r="AF1965">
            <v>0.5</v>
          </cell>
        </row>
        <row r="1966">
          <cell r="A1966" t="str">
            <v>IS_alqt_plus</v>
          </cell>
          <cell r="K1966" t="str">
            <v>ESAN</v>
          </cell>
          <cell r="M1966" t="str">
            <v>F</v>
          </cell>
          <cell r="AB1966" t="str">
            <v>serum</v>
          </cell>
          <cell r="AF1966">
            <v>1.7</v>
          </cell>
        </row>
        <row r="1967">
          <cell r="A1967" t="str">
            <v>IS_alqt_plus</v>
          </cell>
          <cell r="K1967" t="str">
            <v>DMAD</v>
          </cell>
          <cell r="M1967" t="str">
            <v>M</v>
          </cell>
          <cell r="AB1967" t="str">
            <v>serum</v>
          </cell>
          <cell r="AF1967">
            <v>0.7</v>
          </cell>
        </row>
        <row r="1968">
          <cell r="A1968" t="str">
            <v>IS_alqt_plus</v>
          </cell>
          <cell r="K1968" t="str">
            <v>LCAT</v>
          </cell>
          <cell r="M1968" t="str">
            <v>M</v>
          </cell>
          <cell r="AB1968" t="str">
            <v>WB</v>
          </cell>
          <cell r="AF1968">
            <v>1.2</v>
          </cell>
        </row>
        <row r="1969">
          <cell r="A1969" t="str">
            <v>IS_alqt_minus</v>
          </cell>
          <cell r="K1969" t="str">
            <v>CMED</v>
          </cell>
          <cell r="M1969" t="str">
            <v>F</v>
          </cell>
          <cell r="AB1969" t="str">
            <v>Fluid- abdominal</v>
          </cell>
          <cell r="AF1969">
            <v>0.1</v>
          </cell>
        </row>
        <row r="1970">
          <cell r="A1970" t="str">
            <v>IS_alqt_plus</v>
          </cell>
          <cell r="K1970" t="str">
            <v>LCAT</v>
          </cell>
          <cell r="M1970" t="str">
            <v>M</v>
          </cell>
          <cell r="AB1970" t="str">
            <v>WB</v>
          </cell>
          <cell r="AF1970">
            <v>0.6</v>
          </cell>
        </row>
        <row r="1971">
          <cell r="A1971" t="str">
            <v>IS_alqt_plus</v>
          </cell>
          <cell r="K1971" t="str">
            <v>LCAT</v>
          </cell>
          <cell r="M1971" t="str">
            <v>F</v>
          </cell>
          <cell r="AB1971" t="str">
            <v>serum</v>
          </cell>
          <cell r="AF1971">
            <v>1.3</v>
          </cell>
        </row>
        <row r="1972">
          <cell r="A1972" t="str">
            <v>IS_alqt_plus</v>
          </cell>
          <cell r="K1972" t="str">
            <v>LCAT</v>
          </cell>
          <cell r="M1972" t="str">
            <v>M</v>
          </cell>
          <cell r="AB1972" t="str">
            <v>serum</v>
          </cell>
          <cell r="AF1972">
            <v>1</v>
          </cell>
        </row>
        <row r="1973">
          <cell r="A1973" t="str">
            <v>IS_alqt_plus</v>
          </cell>
          <cell r="K1973" t="str">
            <v>LCAT</v>
          </cell>
          <cell r="M1973" t="str">
            <v>F</v>
          </cell>
          <cell r="AB1973" t="str">
            <v>serum</v>
          </cell>
          <cell r="AF1973">
            <v>1</v>
          </cell>
        </row>
        <row r="1974">
          <cell r="A1974" t="str">
            <v>IS_alqt_plus</v>
          </cell>
          <cell r="K1974" t="str">
            <v>ECOL</v>
          </cell>
          <cell r="M1974" t="str">
            <v>F</v>
          </cell>
          <cell r="AB1974" t="str">
            <v>serum</v>
          </cell>
          <cell r="AF1974">
            <v>0.7</v>
          </cell>
        </row>
        <row r="1975">
          <cell r="A1975" t="str">
            <v>IS_alqt_plus</v>
          </cell>
          <cell r="K1975" t="str">
            <v>LCAT</v>
          </cell>
          <cell r="M1975" t="str">
            <v>F</v>
          </cell>
          <cell r="AB1975" t="str">
            <v>WB</v>
          </cell>
          <cell r="AF1975">
            <v>0.5</v>
          </cell>
        </row>
        <row r="1976">
          <cell r="A1976" t="str">
            <v>IS_alqt_plus</v>
          </cell>
          <cell r="K1976" t="str">
            <v>CMED</v>
          </cell>
          <cell r="M1976" t="str">
            <v>F</v>
          </cell>
          <cell r="AB1976" t="str">
            <v>Fluid- abdominal</v>
          </cell>
          <cell r="AF1976">
            <v>0.5</v>
          </cell>
        </row>
        <row r="1977">
          <cell r="A1977" t="str">
            <v>IS_alqt_plus</v>
          </cell>
          <cell r="K1977" t="str">
            <v>PTAT</v>
          </cell>
          <cell r="M1977" t="str">
            <v>M</v>
          </cell>
          <cell r="AB1977" t="str">
            <v>WB</v>
          </cell>
          <cell r="AF1977">
            <v>0.5</v>
          </cell>
        </row>
        <row r="1978">
          <cell r="A1978" t="str">
            <v>IS_alqt_plus</v>
          </cell>
          <cell r="K1978" t="str">
            <v>CMED</v>
          </cell>
          <cell r="M1978" t="str">
            <v>F</v>
          </cell>
          <cell r="AB1978" t="str">
            <v>Fluid- abdominal</v>
          </cell>
          <cell r="AF1978">
            <v>0.5</v>
          </cell>
        </row>
        <row r="1979">
          <cell r="A1979" t="str">
            <v>IS_alqt_plus</v>
          </cell>
          <cell r="K1979" t="str">
            <v>PCOQ</v>
          </cell>
          <cell r="M1979" t="str">
            <v>M</v>
          </cell>
          <cell r="AB1979" t="str">
            <v>serum</v>
          </cell>
          <cell r="AF1979">
            <v>0.8</v>
          </cell>
        </row>
        <row r="1980">
          <cell r="A1980" t="str">
            <v>unk</v>
          </cell>
          <cell r="K1980" t="str">
            <v>PCOQ</v>
          </cell>
          <cell r="M1980" t="str">
            <v>M</v>
          </cell>
          <cell r="AB1980" t="str">
            <v>serum</v>
          </cell>
        </row>
        <row r="1981">
          <cell r="A1981" t="str">
            <v>IS_alqt_plus</v>
          </cell>
          <cell r="K1981" t="str">
            <v>CMED</v>
          </cell>
          <cell r="M1981" t="str">
            <v>F</v>
          </cell>
          <cell r="AB1981" t="str">
            <v>Fluid- abdominal</v>
          </cell>
          <cell r="AF1981">
            <v>0.5</v>
          </cell>
        </row>
        <row r="1982">
          <cell r="A1982" t="str">
            <v>IS_alqt_plus</v>
          </cell>
          <cell r="K1982" t="str">
            <v>PTAT</v>
          </cell>
          <cell r="M1982" t="str">
            <v>M</v>
          </cell>
          <cell r="AB1982" t="str">
            <v>serum</v>
          </cell>
          <cell r="AF1982">
            <v>1.1000000000000001</v>
          </cell>
        </row>
        <row r="1983">
          <cell r="A1983" t="str">
            <v>IS_alqt_plus</v>
          </cell>
          <cell r="K1983" t="str">
            <v>PTAT</v>
          </cell>
          <cell r="M1983" t="str">
            <v>M</v>
          </cell>
          <cell r="AB1983" t="str">
            <v>serum</v>
          </cell>
          <cell r="AF1983">
            <v>0.7</v>
          </cell>
        </row>
        <row r="1984">
          <cell r="A1984" t="str">
            <v>IS_alqt_plus</v>
          </cell>
          <cell r="K1984" t="str">
            <v>PCOQ</v>
          </cell>
          <cell r="M1984" t="str">
            <v>M</v>
          </cell>
          <cell r="AB1984" t="str">
            <v>serum</v>
          </cell>
          <cell r="AF1984">
            <v>0.6</v>
          </cell>
        </row>
        <row r="1985">
          <cell r="A1985" t="str">
            <v>IS_alqt_plus</v>
          </cell>
          <cell r="K1985" t="str">
            <v>ERUB</v>
          </cell>
          <cell r="M1985" t="str">
            <v>F</v>
          </cell>
          <cell r="AB1985" t="str">
            <v>WB</v>
          </cell>
          <cell r="AF1985">
            <v>0.75</v>
          </cell>
        </row>
        <row r="1986">
          <cell r="A1986" t="str">
            <v>gone</v>
          </cell>
          <cell r="K1986" t="str">
            <v>ERUB</v>
          </cell>
          <cell r="M1986" t="str">
            <v>F</v>
          </cell>
          <cell r="AB1986" t="str">
            <v>WB</v>
          </cell>
          <cell r="AF1986">
            <v>0</v>
          </cell>
        </row>
        <row r="1987">
          <cell r="A1987" t="str">
            <v>IS_alqt_plus</v>
          </cell>
          <cell r="K1987" t="str">
            <v>ERUB</v>
          </cell>
          <cell r="M1987" t="str">
            <v>M</v>
          </cell>
          <cell r="AB1987" t="str">
            <v>serum</v>
          </cell>
          <cell r="AF1987">
            <v>1.2</v>
          </cell>
        </row>
        <row r="1988">
          <cell r="A1988" t="str">
            <v>IS_alqt_plus</v>
          </cell>
          <cell r="K1988" t="str">
            <v>ERUB</v>
          </cell>
          <cell r="M1988" t="str">
            <v>F</v>
          </cell>
          <cell r="AB1988" t="str">
            <v>serum</v>
          </cell>
          <cell r="AF1988">
            <v>1</v>
          </cell>
        </row>
        <row r="1989">
          <cell r="A1989" t="str">
            <v>IS_alqt_plus</v>
          </cell>
          <cell r="K1989" t="str">
            <v>ERUB</v>
          </cell>
          <cell r="M1989" t="str">
            <v>F</v>
          </cell>
          <cell r="AB1989" t="str">
            <v>serum</v>
          </cell>
          <cell r="AF1989">
            <v>0.4</v>
          </cell>
        </row>
        <row r="1990">
          <cell r="A1990" t="str">
            <v>IS_alqt_plus</v>
          </cell>
          <cell r="K1990" t="str">
            <v>EMON</v>
          </cell>
          <cell r="M1990" t="str">
            <v>M</v>
          </cell>
          <cell r="AB1990" t="str">
            <v>serum</v>
          </cell>
          <cell r="AF1990">
            <v>0.9</v>
          </cell>
        </row>
        <row r="1991">
          <cell r="A1991" t="str">
            <v>IS_alqt_plus</v>
          </cell>
          <cell r="K1991" t="str">
            <v>EMON</v>
          </cell>
          <cell r="M1991" t="str">
            <v>M</v>
          </cell>
          <cell r="AB1991" t="str">
            <v>WB</v>
          </cell>
          <cell r="AF1991">
            <v>0.2</v>
          </cell>
        </row>
        <row r="1992">
          <cell r="A1992" t="str">
            <v>IS_alqt_plus</v>
          </cell>
          <cell r="K1992" t="str">
            <v>EMON</v>
          </cell>
          <cell r="M1992" t="str">
            <v>M</v>
          </cell>
          <cell r="AB1992" t="str">
            <v>WB</v>
          </cell>
          <cell r="AF1992">
            <v>0.2</v>
          </cell>
        </row>
        <row r="1993">
          <cell r="A1993" t="str">
            <v>gone</v>
          </cell>
          <cell r="K1993" t="str">
            <v>EMON</v>
          </cell>
          <cell r="M1993" t="str">
            <v>M</v>
          </cell>
          <cell r="AB1993" t="str">
            <v>WB</v>
          </cell>
          <cell r="AF1993">
            <v>0</v>
          </cell>
        </row>
        <row r="1994">
          <cell r="A1994" t="str">
            <v>IS_alqt_plus</v>
          </cell>
          <cell r="K1994" t="str">
            <v>EMON</v>
          </cell>
          <cell r="M1994" t="str">
            <v>M</v>
          </cell>
          <cell r="AB1994" t="str">
            <v>WB</v>
          </cell>
          <cell r="AF1994">
            <v>0.2</v>
          </cell>
        </row>
        <row r="1995">
          <cell r="A1995" t="str">
            <v>IS_alqt_plus</v>
          </cell>
          <cell r="K1995" t="str">
            <v>EMON</v>
          </cell>
          <cell r="M1995" t="str">
            <v>M</v>
          </cell>
          <cell r="AB1995" t="str">
            <v>WB</v>
          </cell>
          <cell r="AF1995">
            <v>0.2</v>
          </cell>
        </row>
        <row r="1996">
          <cell r="A1996" t="str">
            <v>IS_alqt_plus</v>
          </cell>
          <cell r="K1996" t="str">
            <v>EMON</v>
          </cell>
          <cell r="M1996" t="str">
            <v>M</v>
          </cell>
          <cell r="AB1996" t="str">
            <v>serum</v>
          </cell>
          <cell r="AF1996">
            <v>0.5</v>
          </cell>
        </row>
        <row r="1997">
          <cell r="A1997" t="str">
            <v>IS_alqt_plus</v>
          </cell>
          <cell r="K1997" t="str">
            <v>EMON</v>
          </cell>
          <cell r="M1997" t="str">
            <v>M</v>
          </cell>
          <cell r="AB1997" t="str">
            <v>serum</v>
          </cell>
          <cell r="AF1997">
            <v>1</v>
          </cell>
        </row>
        <row r="1998">
          <cell r="A1998" t="str">
            <v>IS_alqt_plus</v>
          </cell>
          <cell r="K1998" t="str">
            <v>EMON</v>
          </cell>
          <cell r="M1998" t="str">
            <v>M</v>
          </cell>
          <cell r="AB1998" t="str">
            <v>serum</v>
          </cell>
          <cell r="AF1998">
            <v>0.9</v>
          </cell>
        </row>
        <row r="1999">
          <cell r="A1999" t="str">
            <v>IS_alqt_plus</v>
          </cell>
          <cell r="K1999" t="str">
            <v>EMON</v>
          </cell>
          <cell r="M1999" t="str">
            <v>M</v>
          </cell>
          <cell r="AB1999" t="str">
            <v>serum</v>
          </cell>
          <cell r="AF1999">
            <v>0.9</v>
          </cell>
        </row>
        <row r="2000">
          <cell r="A2000" t="str">
            <v>IS_alqt_plus</v>
          </cell>
          <cell r="K2000" t="str">
            <v>LCAT</v>
          </cell>
          <cell r="M2000" t="str">
            <v>F</v>
          </cell>
          <cell r="AB2000" t="str">
            <v>WB</v>
          </cell>
          <cell r="AF2000">
            <v>0.4</v>
          </cell>
        </row>
        <row r="2001">
          <cell r="A2001" t="str">
            <v>IS_alqt_plus</v>
          </cell>
          <cell r="K2001" t="str">
            <v>LCAT</v>
          </cell>
          <cell r="M2001" t="str">
            <v>M</v>
          </cell>
          <cell r="AB2001" t="str">
            <v>WB</v>
          </cell>
          <cell r="AF2001">
            <v>0.4</v>
          </cell>
        </row>
        <row r="2002">
          <cell r="A2002" t="str">
            <v>IS_alqt_plus</v>
          </cell>
          <cell r="K2002" t="str">
            <v>LCAT</v>
          </cell>
          <cell r="M2002" t="str">
            <v>F</v>
          </cell>
          <cell r="AB2002" t="str">
            <v>serum</v>
          </cell>
          <cell r="AF2002">
            <v>0.25</v>
          </cell>
        </row>
        <row r="2003">
          <cell r="A2003" t="str">
            <v>IS_alqt_plus</v>
          </cell>
          <cell r="K2003" t="str">
            <v>LCAT</v>
          </cell>
          <cell r="M2003" t="str">
            <v>F</v>
          </cell>
          <cell r="AB2003" t="str">
            <v>serum</v>
          </cell>
          <cell r="AF2003">
            <v>1</v>
          </cell>
        </row>
        <row r="2004">
          <cell r="A2004" t="str">
            <v>gone</v>
          </cell>
          <cell r="K2004" t="str">
            <v>ERUB</v>
          </cell>
          <cell r="M2004" t="str">
            <v>F</v>
          </cell>
          <cell r="AB2004" t="str">
            <v>WB</v>
          </cell>
          <cell r="AF2004">
            <v>0</v>
          </cell>
        </row>
        <row r="2005">
          <cell r="A2005" t="str">
            <v>gone</v>
          </cell>
          <cell r="K2005" t="str">
            <v>ERUB</v>
          </cell>
          <cell r="M2005" t="str">
            <v>M</v>
          </cell>
          <cell r="AB2005" t="str">
            <v>WB</v>
          </cell>
          <cell r="AF2005">
            <v>0</v>
          </cell>
        </row>
        <row r="2006">
          <cell r="A2006" t="str">
            <v>IS_alqt_plus</v>
          </cell>
          <cell r="K2006" t="str">
            <v>ERUB</v>
          </cell>
          <cell r="M2006" t="str">
            <v>F</v>
          </cell>
          <cell r="AB2006" t="str">
            <v>serum</v>
          </cell>
          <cell r="AF2006">
            <v>1</v>
          </cell>
        </row>
        <row r="2007">
          <cell r="A2007" t="str">
            <v>IS_alqt_plus</v>
          </cell>
          <cell r="K2007" t="str">
            <v>ERUB</v>
          </cell>
          <cell r="M2007" t="str">
            <v>M</v>
          </cell>
          <cell r="AB2007" t="str">
            <v>serum</v>
          </cell>
          <cell r="AF2007">
            <v>1.1000000000000001</v>
          </cell>
        </row>
        <row r="2008">
          <cell r="A2008" t="str">
            <v>IS_alqt_plus</v>
          </cell>
          <cell r="K2008" t="str">
            <v>LCAT</v>
          </cell>
          <cell r="M2008" t="str">
            <v>F</v>
          </cell>
          <cell r="AB2008" t="str">
            <v>WB</v>
          </cell>
          <cell r="AF2008">
            <v>1.3</v>
          </cell>
        </row>
        <row r="2009">
          <cell r="A2009" t="str">
            <v>IS_alqt_plus</v>
          </cell>
          <cell r="K2009" t="str">
            <v>LCAT</v>
          </cell>
          <cell r="M2009" t="str">
            <v>F</v>
          </cell>
          <cell r="AB2009" t="str">
            <v>WB</v>
          </cell>
          <cell r="AF2009">
            <v>1</v>
          </cell>
        </row>
        <row r="2010">
          <cell r="A2010" t="str">
            <v>IS_alqt_plus</v>
          </cell>
          <cell r="K2010" t="str">
            <v>LCAT</v>
          </cell>
          <cell r="M2010" t="str">
            <v>F</v>
          </cell>
          <cell r="AB2010" t="str">
            <v>serum</v>
          </cell>
          <cell r="AF2010">
            <v>0.6</v>
          </cell>
        </row>
        <row r="2011">
          <cell r="A2011" t="str">
            <v>gone</v>
          </cell>
          <cell r="K2011" t="str">
            <v>PCOQ</v>
          </cell>
          <cell r="M2011" t="str">
            <v>M</v>
          </cell>
          <cell r="AB2011" t="str">
            <v>serum</v>
          </cell>
          <cell r="AF2011">
            <v>0</v>
          </cell>
        </row>
        <row r="2012">
          <cell r="A2012" t="str">
            <v>IS_alqt_plus</v>
          </cell>
          <cell r="K2012" t="str">
            <v>EUL</v>
          </cell>
          <cell r="M2012" t="str">
            <v>F</v>
          </cell>
          <cell r="AB2012" t="str">
            <v>WB</v>
          </cell>
          <cell r="AF2012">
            <v>0.75</v>
          </cell>
        </row>
        <row r="2013">
          <cell r="A2013" t="str">
            <v>IS_alqt_plus</v>
          </cell>
          <cell r="K2013" t="str">
            <v>ESAN</v>
          </cell>
          <cell r="M2013" t="str">
            <v>F</v>
          </cell>
          <cell r="AB2013" t="str">
            <v>WB</v>
          </cell>
          <cell r="AF2013">
            <v>1.1000000000000001</v>
          </cell>
        </row>
        <row r="2014">
          <cell r="A2014" t="str">
            <v>IS_alqt_plus</v>
          </cell>
          <cell r="K2014" t="str">
            <v>EUL</v>
          </cell>
          <cell r="M2014" t="str">
            <v>F</v>
          </cell>
          <cell r="AB2014" t="str">
            <v>serum</v>
          </cell>
          <cell r="AF2014">
            <v>0.7</v>
          </cell>
        </row>
        <row r="2015">
          <cell r="A2015" t="str">
            <v>IS_alqt_plus</v>
          </cell>
          <cell r="K2015" t="str">
            <v>ESAN</v>
          </cell>
          <cell r="M2015" t="str">
            <v>F</v>
          </cell>
          <cell r="AB2015" t="str">
            <v>serum</v>
          </cell>
          <cell r="AF2015">
            <v>1.3</v>
          </cell>
        </row>
        <row r="2016">
          <cell r="A2016" t="str">
            <v>IS_alqt_plus</v>
          </cell>
          <cell r="K2016" t="str">
            <v>ESAN</v>
          </cell>
          <cell r="M2016" t="str">
            <v>F</v>
          </cell>
          <cell r="AB2016" t="str">
            <v>WB</v>
          </cell>
          <cell r="AF2016">
            <v>1.1000000000000001</v>
          </cell>
        </row>
        <row r="2017">
          <cell r="A2017" t="str">
            <v>IS_alqt_plus</v>
          </cell>
          <cell r="K2017" t="str">
            <v>ESAN</v>
          </cell>
          <cell r="M2017" t="str">
            <v>F</v>
          </cell>
          <cell r="AB2017" t="str">
            <v>serum</v>
          </cell>
          <cell r="AF2017">
            <v>0.7</v>
          </cell>
        </row>
        <row r="2018">
          <cell r="A2018" t="str">
            <v>gone</v>
          </cell>
          <cell r="K2018" t="str">
            <v>GMOH</v>
          </cell>
          <cell r="M2018" t="str">
            <v>F</v>
          </cell>
          <cell r="AB2018" t="str">
            <v>serum</v>
          </cell>
          <cell r="AF2018">
            <v>0</v>
          </cell>
        </row>
        <row r="2019">
          <cell r="A2019" t="str">
            <v>IS_alqt_plus</v>
          </cell>
          <cell r="K2019" t="str">
            <v>NPYG</v>
          </cell>
          <cell r="M2019" t="str">
            <v>F</v>
          </cell>
          <cell r="AB2019" t="str">
            <v>plasma</v>
          </cell>
          <cell r="AF2019" t="str">
            <v>.</v>
          </cell>
        </row>
        <row r="2020">
          <cell r="A2020" t="str">
            <v>IS_alqt_plus</v>
          </cell>
          <cell r="K2020" t="str">
            <v>DMAD</v>
          </cell>
          <cell r="M2020" t="str">
            <v>F</v>
          </cell>
          <cell r="AB2020" t="str">
            <v>serum</v>
          </cell>
          <cell r="AF2020">
            <v>1</v>
          </cell>
        </row>
        <row r="2021">
          <cell r="A2021" t="str">
            <v>IS_alqt_plus</v>
          </cell>
          <cell r="K2021" t="str">
            <v>DMAD</v>
          </cell>
          <cell r="M2021" t="str">
            <v>F</v>
          </cell>
          <cell r="AB2021" t="str">
            <v>WB</v>
          </cell>
          <cell r="AF2021">
            <v>1.1000000000000001</v>
          </cell>
        </row>
        <row r="2022">
          <cell r="A2022" t="str">
            <v>gone</v>
          </cell>
          <cell r="K2022" t="str">
            <v>ECOL</v>
          </cell>
          <cell r="M2022" t="str">
            <v>M</v>
          </cell>
          <cell r="AB2022" t="str">
            <v>WB</v>
          </cell>
          <cell r="AF2022">
            <v>0</v>
          </cell>
        </row>
        <row r="2023">
          <cell r="A2023" t="str">
            <v>IS_alqt_plus</v>
          </cell>
          <cell r="K2023" t="str">
            <v>ECOL</v>
          </cell>
          <cell r="M2023" t="str">
            <v>F</v>
          </cell>
          <cell r="AB2023" t="str">
            <v>WB</v>
          </cell>
          <cell r="AF2023">
            <v>0.75</v>
          </cell>
        </row>
        <row r="2024">
          <cell r="A2024" t="str">
            <v>IS_alqt_plus</v>
          </cell>
          <cell r="K2024" t="str">
            <v>ECOL</v>
          </cell>
          <cell r="M2024" t="str">
            <v>M</v>
          </cell>
          <cell r="AB2024" t="str">
            <v>serum</v>
          </cell>
          <cell r="AF2024">
            <v>1.4</v>
          </cell>
        </row>
        <row r="2025">
          <cell r="A2025" t="str">
            <v>IS_alqt_plus</v>
          </cell>
          <cell r="K2025" t="str">
            <v>ECOL</v>
          </cell>
          <cell r="M2025" t="str">
            <v>F</v>
          </cell>
          <cell r="AB2025" t="str">
            <v>serum</v>
          </cell>
          <cell r="AF2025">
            <v>1.6</v>
          </cell>
        </row>
        <row r="2026">
          <cell r="A2026" t="str">
            <v>IS_alqt_plus</v>
          </cell>
          <cell r="K2026" t="str">
            <v>LCAT</v>
          </cell>
          <cell r="M2026" t="str">
            <v>F</v>
          </cell>
          <cell r="AB2026" t="str">
            <v>WB</v>
          </cell>
          <cell r="AF2026">
            <v>0.6</v>
          </cell>
        </row>
        <row r="2027">
          <cell r="A2027" t="str">
            <v>IS_alqt_plus</v>
          </cell>
          <cell r="K2027" t="str">
            <v>LCAT</v>
          </cell>
          <cell r="M2027" t="str">
            <v>F</v>
          </cell>
          <cell r="AB2027" t="str">
            <v>WB</v>
          </cell>
          <cell r="AF2027">
            <v>1.5</v>
          </cell>
        </row>
        <row r="2028">
          <cell r="A2028" t="str">
            <v>IS_alqt_plus</v>
          </cell>
          <cell r="K2028" t="str">
            <v>LCAT</v>
          </cell>
          <cell r="M2028" t="str">
            <v>M</v>
          </cell>
          <cell r="AB2028" t="str">
            <v>serum</v>
          </cell>
          <cell r="AF2028">
            <v>0.5</v>
          </cell>
        </row>
        <row r="2029">
          <cell r="A2029" t="str">
            <v>gone</v>
          </cell>
          <cell r="K2029" t="str">
            <v>LCAT</v>
          </cell>
          <cell r="M2029" t="str">
            <v>M</v>
          </cell>
          <cell r="AB2029" t="str">
            <v>serum</v>
          </cell>
          <cell r="AF2029">
            <v>0</v>
          </cell>
        </row>
        <row r="2030">
          <cell r="A2030" t="str">
            <v>IS_alqt_plus</v>
          </cell>
          <cell r="K2030" t="str">
            <v>EUL</v>
          </cell>
          <cell r="M2030" t="str">
            <v>M</v>
          </cell>
          <cell r="AB2030" t="str">
            <v>WB</v>
          </cell>
          <cell r="AF2030">
            <v>0.6</v>
          </cell>
        </row>
        <row r="2031">
          <cell r="A2031" t="str">
            <v>IS_alqt_plus</v>
          </cell>
          <cell r="K2031" t="str">
            <v>LCAT</v>
          </cell>
          <cell r="M2031" t="str">
            <v>M</v>
          </cell>
          <cell r="AB2031" t="str">
            <v>WB</v>
          </cell>
          <cell r="AF2031">
            <v>0.4</v>
          </cell>
        </row>
        <row r="2032">
          <cell r="A2032" t="str">
            <v>IS_alqt_plus</v>
          </cell>
          <cell r="K2032" t="str">
            <v>EUL</v>
          </cell>
          <cell r="M2032" t="str">
            <v>M</v>
          </cell>
          <cell r="AB2032" t="str">
            <v>serum</v>
          </cell>
          <cell r="AF2032">
            <v>1</v>
          </cell>
        </row>
        <row r="2033">
          <cell r="A2033" t="str">
            <v>IS_alqt_plus</v>
          </cell>
          <cell r="K2033" t="str">
            <v>EUL</v>
          </cell>
          <cell r="M2033" t="str">
            <v>M</v>
          </cell>
          <cell r="AB2033" t="str">
            <v>serum</v>
          </cell>
          <cell r="AF2033">
            <v>0.9</v>
          </cell>
        </row>
        <row r="2034">
          <cell r="A2034" t="str">
            <v>IS_alqt_plus</v>
          </cell>
          <cell r="K2034" t="str">
            <v>PCOQ</v>
          </cell>
          <cell r="M2034" t="str">
            <v>M</v>
          </cell>
          <cell r="AB2034" t="str">
            <v>serum</v>
          </cell>
          <cell r="AF2034">
            <v>0.3</v>
          </cell>
        </row>
        <row r="2035">
          <cell r="A2035" t="str">
            <v>IS_alqt_plus</v>
          </cell>
          <cell r="K2035" t="str">
            <v>LCAT</v>
          </cell>
          <cell r="M2035" t="str">
            <v>F</v>
          </cell>
          <cell r="AB2035" t="str">
            <v>WB</v>
          </cell>
          <cell r="AF2035">
            <v>1.25</v>
          </cell>
        </row>
        <row r="2036">
          <cell r="A2036" t="str">
            <v>IS_alqt_plus</v>
          </cell>
          <cell r="K2036" t="str">
            <v>LCAT</v>
          </cell>
          <cell r="M2036" t="str">
            <v>F</v>
          </cell>
          <cell r="AB2036" t="str">
            <v>serum</v>
          </cell>
          <cell r="AF2036">
            <v>0.7</v>
          </cell>
        </row>
        <row r="2037">
          <cell r="A2037" t="str">
            <v>IS_alqt_plus</v>
          </cell>
          <cell r="K2037" t="str">
            <v>LCAT</v>
          </cell>
          <cell r="M2037" t="str">
            <v>M</v>
          </cell>
          <cell r="AB2037" t="str">
            <v>serum</v>
          </cell>
          <cell r="AF2037">
            <v>0.7</v>
          </cell>
        </row>
        <row r="2038">
          <cell r="A2038" t="str">
            <v>IS_alqt_plus</v>
          </cell>
          <cell r="K2038" t="str">
            <v>LCAT</v>
          </cell>
          <cell r="M2038" t="str">
            <v>M</v>
          </cell>
          <cell r="AB2038" t="str">
            <v>serum</v>
          </cell>
          <cell r="AF2038">
            <v>0.55000000000000004</v>
          </cell>
        </row>
        <row r="2039">
          <cell r="A2039" t="str">
            <v>IS_alqt_plus</v>
          </cell>
          <cell r="K2039" t="str">
            <v>EFLA</v>
          </cell>
          <cell r="M2039" t="str">
            <v>M</v>
          </cell>
          <cell r="AB2039" t="str">
            <v>WB</v>
          </cell>
          <cell r="AF2039">
            <v>0.4</v>
          </cell>
        </row>
        <row r="2040">
          <cell r="A2040" t="str">
            <v>IS_alqt_plus</v>
          </cell>
          <cell r="K2040" t="str">
            <v>EFLA</v>
          </cell>
          <cell r="M2040" t="str">
            <v>M</v>
          </cell>
          <cell r="AB2040" t="str">
            <v>WB</v>
          </cell>
          <cell r="AF2040">
            <v>0.5</v>
          </cell>
        </row>
        <row r="2041">
          <cell r="A2041" t="str">
            <v>IS_alqt_plus</v>
          </cell>
          <cell r="K2041" t="str">
            <v>EFLA</v>
          </cell>
          <cell r="M2041" t="str">
            <v>M</v>
          </cell>
          <cell r="AB2041" t="str">
            <v>serum</v>
          </cell>
          <cell r="AF2041">
            <v>0.7</v>
          </cell>
        </row>
        <row r="2042">
          <cell r="A2042" t="str">
            <v>IS_alqt_plus</v>
          </cell>
          <cell r="K2042" t="str">
            <v>EFLA</v>
          </cell>
          <cell r="M2042" t="str">
            <v>M</v>
          </cell>
          <cell r="AB2042" t="str">
            <v>serum</v>
          </cell>
          <cell r="AF2042">
            <v>0.2</v>
          </cell>
        </row>
        <row r="2043">
          <cell r="A2043" t="str">
            <v>IS_alqt_plus</v>
          </cell>
          <cell r="K2043" t="str">
            <v>EFLA</v>
          </cell>
          <cell r="M2043" t="str">
            <v>M</v>
          </cell>
          <cell r="AB2043" t="str">
            <v>serum</v>
          </cell>
          <cell r="AF2043">
            <v>0.6</v>
          </cell>
        </row>
        <row r="2044">
          <cell r="A2044" t="str">
            <v>IS_alqt_plus</v>
          </cell>
          <cell r="K2044" t="str">
            <v>LCAT</v>
          </cell>
          <cell r="M2044" t="str">
            <v>F</v>
          </cell>
          <cell r="AB2044" t="str">
            <v>WB</v>
          </cell>
          <cell r="AF2044">
            <v>1</v>
          </cell>
        </row>
        <row r="2045">
          <cell r="A2045" t="str">
            <v>IS_alqt_plus</v>
          </cell>
          <cell r="K2045" t="str">
            <v>LCAT</v>
          </cell>
          <cell r="M2045" t="str">
            <v>M</v>
          </cell>
          <cell r="AB2045" t="str">
            <v>WB</v>
          </cell>
          <cell r="AF2045">
            <v>0.25</v>
          </cell>
        </row>
        <row r="2046">
          <cell r="A2046" t="str">
            <v>IS_alqt_plus</v>
          </cell>
          <cell r="K2046" t="str">
            <v>LCAT</v>
          </cell>
          <cell r="M2046" t="str">
            <v>M</v>
          </cell>
          <cell r="AB2046" t="str">
            <v>WB</v>
          </cell>
          <cell r="AF2046">
            <v>0.4</v>
          </cell>
        </row>
        <row r="2047">
          <cell r="A2047" t="str">
            <v>IS_alqt_plus</v>
          </cell>
          <cell r="K2047" t="str">
            <v>VRUB</v>
          </cell>
          <cell r="M2047" t="str">
            <v>F</v>
          </cell>
          <cell r="AB2047" t="str">
            <v>WB</v>
          </cell>
          <cell r="AF2047">
            <v>0.6</v>
          </cell>
        </row>
        <row r="2048">
          <cell r="A2048" t="str">
            <v>IS_alqt_plus</v>
          </cell>
          <cell r="K2048" t="str">
            <v>VRUB</v>
          </cell>
          <cell r="M2048" t="str">
            <v>F</v>
          </cell>
          <cell r="AB2048" t="str">
            <v>WB</v>
          </cell>
          <cell r="AF2048">
            <v>0.65</v>
          </cell>
        </row>
        <row r="2049">
          <cell r="A2049" t="str">
            <v>IS_alqt_plus</v>
          </cell>
          <cell r="K2049" t="str">
            <v>LCAT</v>
          </cell>
          <cell r="M2049" t="str">
            <v>F</v>
          </cell>
          <cell r="AB2049" t="str">
            <v>serum</v>
          </cell>
          <cell r="AF2049">
            <v>0.75</v>
          </cell>
        </row>
        <row r="2050">
          <cell r="A2050" t="str">
            <v>IS_alqt_plus</v>
          </cell>
          <cell r="K2050" t="str">
            <v>LCAT</v>
          </cell>
          <cell r="M2050" t="str">
            <v>F</v>
          </cell>
          <cell r="AB2050" t="str">
            <v>serum</v>
          </cell>
          <cell r="AF2050">
            <v>0.7</v>
          </cell>
        </row>
        <row r="2051">
          <cell r="A2051" t="str">
            <v>IS_alqt_plus</v>
          </cell>
          <cell r="K2051" t="str">
            <v>LCAT</v>
          </cell>
          <cell r="M2051" t="str">
            <v>M</v>
          </cell>
          <cell r="AB2051" t="str">
            <v>serum</v>
          </cell>
          <cell r="AF2051">
            <v>0.6</v>
          </cell>
        </row>
        <row r="2052">
          <cell r="A2052" t="str">
            <v>IS_alqt_plus</v>
          </cell>
          <cell r="K2052" t="str">
            <v>VRUB</v>
          </cell>
          <cell r="M2052" t="str">
            <v>F</v>
          </cell>
          <cell r="AB2052" t="str">
            <v>serum</v>
          </cell>
          <cell r="AF2052">
            <v>0.5</v>
          </cell>
        </row>
        <row r="2053">
          <cell r="A2053" t="str">
            <v>IS_alqt_plus</v>
          </cell>
          <cell r="K2053" t="str">
            <v>VRUB</v>
          </cell>
          <cell r="M2053" t="str">
            <v>F</v>
          </cell>
          <cell r="AB2053" t="str">
            <v>serum</v>
          </cell>
          <cell r="AF2053">
            <v>0.4</v>
          </cell>
        </row>
        <row r="2054">
          <cell r="A2054" t="str">
            <v>IS_alqt_minus</v>
          </cell>
          <cell r="K2054" t="str">
            <v>MZAZ</v>
          </cell>
          <cell r="M2054" t="str">
            <v>M</v>
          </cell>
          <cell r="AB2054" t="str">
            <v>WB</v>
          </cell>
          <cell r="AF2054">
            <v>0.05</v>
          </cell>
        </row>
        <row r="2055">
          <cell r="A2055" t="str">
            <v>IS_alqt_plus</v>
          </cell>
          <cell r="K2055" t="str">
            <v>MZAZ</v>
          </cell>
          <cell r="M2055" t="str">
            <v>M</v>
          </cell>
          <cell r="AB2055" t="str">
            <v>WB</v>
          </cell>
          <cell r="AF2055">
            <v>0.2</v>
          </cell>
        </row>
        <row r="2056">
          <cell r="A2056" t="str">
            <v>IS_alqt_plus</v>
          </cell>
          <cell r="K2056" t="str">
            <v>MZAZ</v>
          </cell>
          <cell r="M2056" t="str">
            <v>M</v>
          </cell>
          <cell r="AB2056" t="str">
            <v>PRBC</v>
          </cell>
          <cell r="AF2056">
            <v>0.3</v>
          </cell>
        </row>
        <row r="2057">
          <cell r="A2057" t="str">
            <v>IS_alqt_plus</v>
          </cell>
          <cell r="K2057" t="str">
            <v>MZAZ</v>
          </cell>
          <cell r="M2057" t="str">
            <v>M</v>
          </cell>
          <cell r="AB2057" t="str">
            <v>serum</v>
          </cell>
          <cell r="AF2057">
            <v>0.6</v>
          </cell>
        </row>
        <row r="2058">
          <cell r="A2058" t="str">
            <v>IS_alqt_minus</v>
          </cell>
          <cell r="K2058" t="str">
            <v>MMUR</v>
          </cell>
          <cell r="M2058" t="str">
            <v>F</v>
          </cell>
          <cell r="AB2058" t="str">
            <v>PRBC</v>
          </cell>
          <cell r="AF2058">
            <v>0.1</v>
          </cell>
        </row>
        <row r="2059">
          <cell r="A2059" t="str">
            <v>IS_alqt_plus</v>
          </cell>
          <cell r="K2059" t="str">
            <v>LCAT</v>
          </cell>
          <cell r="M2059" t="str">
            <v>F</v>
          </cell>
          <cell r="AB2059" t="str">
            <v>WB</v>
          </cell>
          <cell r="AF2059">
            <v>0.7</v>
          </cell>
        </row>
        <row r="2060">
          <cell r="A2060" t="str">
            <v>IS_alqt_plus</v>
          </cell>
          <cell r="K2060" t="str">
            <v>LCAT</v>
          </cell>
          <cell r="M2060" t="str">
            <v>F</v>
          </cell>
          <cell r="AB2060" t="str">
            <v>WB</v>
          </cell>
          <cell r="AF2060">
            <v>0.75</v>
          </cell>
        </row>
        <row r="2061">
          <cell r="A2061" t="str">
            <v>IS_alqt_plus</v>
          </cell>
          <cell r="K2061" t="str">
            <v>LCAT</v>
          </cell>
          <cell r="M2061" t="str">
            <v>M</v>
          </cell>
          <cell r="AB2061" t="str">
            <v>WB</v>
          </cell>
          <cell r="AF2061">
            <v>0.5</v>
          </cell>
        </row>
        <row r="2062">
          <cell r="A2062" t="str">
            <v>IS_alqt_plus</v>
          </cell>
          <cell r="K2062" t="str">
            <v>LCAT</v>
          </cell>
          <cell r="M2062" t="str">
            <v>M</v>
          </cell>
          <cell r="AB2062" t="str">
            <v>WB</v>
          </cell>
          <cell r="AF2062">
            <v>0.75</v>
          </cell>
        </row>
        <row r="2063">
          <cell r="A2063" t="str">
            <v>IS_alqt_plus</v>
          </cell>
          <cell r="K2063" t="str">
            <v>LCAT</v>
          </cell>
          <cell r="M2063" t="str">
            <v>F</v>
          </cell>
          <cell r="AB2063" t="str">
            <v>serum</v>
          </cell>
          <cell r="AF2063">
            <v>0.5</v>
          </cell>
        </row>
        <row r="2064">
          <cell r="A2064" t="str">
            <v>IS_alqt_plus</v>
          </cell>
          <cell r="K2064" t="str">
            <v>LCAT</v>
          </cell>
          <cell r="M2064" t="str">
            <v>F</v>
          </cell>
          <cell r="AB2064" t="str">
            <v>serum</v>
          </cell>
          <cell r="AF2064">
            <v>0.6</v>
          </cell>
        </row>
        <row r="2065">
          <cell r="A2065" t="str">
            <v>IS_alqt_plus</v>
          </cell>
          <cell r="K2065" t="str">
            <v>LCAT</v>
          </cell>
          <cell r="M2065" t="str">
            <v>F</v>
          </cell>
          <cell r="AB2065" t="str">
            <v>serum</v>
          </cell>
          <cell r="AF2065">
            <v>0.8</v>
          </cell>
        </row>
        <row r="2066">
          <cell r="A2066" t="str">
            <v>IS_alqt_plus</v>
          </cell>
          <cell r="K2066" t="str">
            <v>LCAT</v>
          </cell>
          <cell r="M2066" t="str">
            <v>F</v>
          </cell>
          <cell r="AB2066" t="str">
            <v>serum</v>
          </cell>
          <cell r="AF2066">
            <v>0.6</v>
          </cell>
        </row>
        <row r="2067">
          <cell r="A2067" t="str">
            <v>IS_alqt_plus</v>
          </cell>
          <cell r="K2067" t="str">
            <v>LCAT</v>
          </cell>
          <cell r="M2067" t="str">
            <v>F</v>
          </cell>
          <cell r="AB2067" t="str">
            <v>serum</v>
          </cell>
          <cell r="AF2067">
            <v>0.7</v>
          </cell>
        </row>
        <row r="2068">
          <cell r="A2068" t="str">
            <v>IS_alqt_plus</v>
          </cell>
          <cell r="K2068" t="str">
            <v>ECOL</v>
          </cell>
          <cell r="M2068" t="str">
            <v>M</v>
          </cell>
          <cell r="AB2068" t="str">
            <v>WB</v>
          </cell>
          <cell r="AF2068">
            <v>0.6</v>
          </cell>
        </row>
        <row r="2069">
          <cell r="A2069" t="str">
            <v>IS_alqt_plus</v>
          </cell>
          <cell r="K2069" t="str">
            <v>ECOL</v>
          </cell>
          <cell r="M2069" t="str">
            <v>M</v>
          </cell>
          <cell r="AB2069" t="str">
            <v>WB</v>
          </cell>
          <cell r="AF2069">
            <v>0.65</v>
          </cell>
        </row>
        <row r="2070">
          <cell r="A2070" t="str">
            <v>unk</v>
          </cell>
          <cell r="K2070" t="str">
            <v>LCAT</v>
          </cell>
          <cell r="M2070" t="str">
            <v>M</v>
          </cell>
          <cell r="AB2070" t="str">
            <v>WB</v>
          </cell>
          <cell r="AF2070">
            <v>1</v>
          </cell>
        </row>
        <row r="2071">
          <cell r="A2071" t="str">
            <v>IS_alqt_plus</v>
          </cell>
          <cell r="K2071" t="str">
            <v>ECOL</v>
          </cell>
          <cell r="M2071" t="str">
            <v>M</v>
          </cell>
          <cell r="AB2071" t="str">
            <v>WB</v>
          </cell>
          <cell r="AF2071">
            <v>0.4</v>
          </cell>
        </row>
        <row r="2072">
          <cell r="A2072" t="str">
            <v>gone</v>
          </cell>
          <cell r="K2072" t="str">
            <v>ECOL</v>
          </cell>
          <cell r="M2072" t="str">
            <v>M</v>
          </cell>
          <cell r="AB2072" t="str">
            <v>WB</v>
          </cell>
          <cell r="AF2072">
            <v>0</v>
          </cell>
        </row>
        <row r="2073">
          <cell r="A2073" t="str">
            <v>IS_alqt_plus</v>
          </cell>
          <cell r="K2073" t="str">
            <v>ECOL</v>
          </cell>
          <cell r="M2073" t="str">
            <v>M</v>
          </cell>
          <cell r="AB2073" t="str">
            <v>serum</v>
          </cell>
          <cell r="AF2073">
            <v>0.7</v>
          </cell>
        </row>
        <row r="2074">
          <cell r="A2074" t="str">
            <v>IS_alqt_plus</v>
          </cell>
          <cell r="K2074" t="str">
            <v>ECOL</v>
          </cell>
          <cell r="M2074" t="str">
            <v>M</v>
          </cell>
          <cell r="AB2074" t="str">
            <v>serum</v>
          </cell>
          <cell r="AF2074">
            <v>0.7</v>
          </cell>
        </row>
        <row r="2075">
          <cell r="A2075" t="str">
            <v>IS_alqt_plus</v>
          </cell>
          <cell r="K2075" t="str">
            <v>ECOL</v>
          </cell>
          <cell r="M2075" t="str">
            <v>M</v>
          </cell>
          <cell r="AB2075" t="str">
            <v>serum</v>
          </cell>
          <cell r="AF2075">
            <v>1</v>
          </cell>
        </row>
        <row r="2076">
          <cell r="A2076" t="str">
            <v>IS_alqt_plus</v>
          </cell>
          <cell r="K2076" t="str">
            <v>ECOL</v>
          </cell>
          <cell r="M2076" t="str">
            <v>M</v>
          </cell>
          <cell r="AB2076" t="str">
            <v>serum</v>
          </cell>
          <cell r="AF2076">
            <v>1</v>
          </cell>
        </row>
        <row r="2077">
          <cell r="A2077" t="str">
            <v>IS_alqt_plus</v>
          </cell>
          <cell r="K2077" t="str">
            <v>MMUR</v>
          </cell>
          <cell r="M2077" t="str">
            <v>M</v>
          </cell>
          <cell r="AB2077" t="str">
            <v>PRBC</v>
          </cell>
          <cell r="AF2077">
            <v>0.2</v>
          </cell>
        </row>
        <row r="2078">
          <cell r="A2078" t="str">
            <v>IS_alqt_plus</v>
          </cell>
          <cell r="K2078" t="str">
            <v>MMUR</v>
          </cell>
          <cell r="M2078" t="str">
            <v>F</v>
          </cell>
          <cell r="AB2078" t="str">
            <v>PRBC</v>
          </cell>
          <cell r="AF2078">
            <v>0.2</v>
          </cell>
        </row>
        <row r="2079">
          <cell r="A2079" t="str">
            <v>IS_alqt_plus</v>
          </cell>
          <cell r="K2079" t="str">
            <v>LCAT</v>
          </cell>
          <cell r="M2079" t="str">
            <v>F</v>
          </cell>
          <cell r="AB2079" t="str">
            <v>WB</v>
          </cell>
          <cell r="AF2079">
            <v>0.6</v>
          </cell>
        </row>
        <row r="2080">
          <cell r="A2080" t="str">
            <v>IS_alqt_plus</v>
          </cell>
          <cell r="K2080" t="str">
            <v>LCAT</v>
          </cell>
          <cell r="M2080" t="str">
            <v>F</v>
          </cell>
          <cell r="AB2080" t="str">
            <v>WB</v>
          </cell>
          <cell r="AF2080">
            <v>0.75</v>
          </cell>
        </row>
        <row r="2081">
          <cell r="A2081" t="str">
            <v>IS_alqt_plus</v>
          </cell>
          <cell r="K2081" t="str">
            <v>LCAT</v>
          </cell>
          <cell r="M2081" t="str">
            <v>F</v>
          </cell>
          <cell r="AB2081" t="str">
            <v>WB</v>
          </cell>
          <cell r="AF2081">
            <v>0.75</v>
          </cell>
        </row>
        <row r="2082">
          <cell r="A2082" t="str">
            <v>IS_alqt_plus</v>
          </cell>
          <cell r="K2082" t="str">
            <v>LCAT</v>
          </cell>
          <cell r="M2082" t="str">
            <v>F</v>
          </cell>
          <cell r="AB2082" t="str">
            <v>WB</v>
          </cell>
          <cell r="AF2082">
            <v>0.7</v>
          </cell>
        </row>
        <row r="2083">
          <cell r="A2083" t="str">
            <v>gone</v>
          </cell>
          <cell r="K2083" t="str">
            <v>PCOQ</v>
          </cell>
          <cell r="M2083" t="str">
            <v>F</v>
          </cell>
          <cell r="AB2083" t="str">
            <v>serum</v>
          </cell>
          <cell r="AF2083">
            <v>0</v>
          </cell>
        </row>
        <row r="2084">
          <cell r="A2084" t="str">
            <v>gone</v>
          </cell>
          <cell r="K2084" t="str">
            <v>PCOQ</v>
          </cell>
          <cell r="M2084" t="str">
            <v>M</v>
          </cell>
          <cell r="AB2084" t="str">
            <v>serum</v>
          </cell>
          <cell r="AF2084">
            <v>0</v>
          </cell>
        </row>
        <row r="2085">
          <cell r="A2085" t="str">
            <v>IS_alqt_plus</v>
          </cell>
          <cell r="K2085" t="str">
            <v>PCOQ</v>
          </cell>
          <cell r="M2085" t="str">
            <v>M</v>
          </cell>
          <cell r="AB2085" t="str">
            <v>serum</v>
          </cell>
          <cell r="AF2085">
            <v>0.5</v>
          </cell>
        </row>
        <row r="2086">
          <cell r="A2086" t="str">
            <v>IS_alqt_plus</v>
          </cell>
          <cell r="K2086" t="str">
            <v>LCAT</v>
          </cell>
          <cell r="M2086" t="str">
            <v>F</v>
          </cell>
          <cell r="AB2086" t="str">
            <v>WB</v>
          </cell>
          <cell r="AF2086">
            <v>0.6</v>
          </cell>
        </row>
        <row r="2087">
          <cell r="A2087" t="str">
            <v>IS_alqt_plus</v>
          </cell>
          <cell r="K2087" t="str">
            <v>LCAT</v>
          </cell>
          <cell r="M2087" t="str">
            <v>M</v>
          </cell>
          <cell r="AB2087" t="str">
            <v>WB</v>
          </cell>
          <cell r="AF2087">
            <v>0.5</v>
          </cell>
        </row>
        <row r="2088">
          <cell r="A2088" t="str">
            <v>IS_alqt_plus</v>
          </cell>
          <cell r="K2088" t="str">
            <v>LCAT</v>
          </cell>
          <cell r="M2088" t="str">
            <v>F</v>
          </cell>
          <cell r="AB2088" t="str">
            <v>WB</v>
          </cell>
          <cell r="AF2088">
            <v>0.7</v>
          </cell>
        </row>
        <row r="2089">
          <cell r="A2089" t="str">
            <v>IS_alqt_plus</v>
          </cell>
          <cell r="K2089" t="str">
            <v>LCAT</v>
          </cell>
          <cell r="M2089" t="str">
            <v>F</v>
          </cell>
          <cell r="AB2089" t="str">
            <v>WB</v>
          </cell>
          <cell r="AF2089">
            <v>0.7</v>
          </cell>
        </row>
        <row r="2090">
          <cell r="A2090" t="str">
            <v>IS_alqt_plus</v>
          </cell>
          <cell r="K2090" t="str">
            <v>LCAT</v>
          </cell>
          <cell r="M2090" t="str">
            <v>F</v>
          </cell>
          <cell r="AB2090" t="str">
            <v>WB</v>
          </cell>
          <cell r="AF2090">
            <v>0.65</v>
          </cell>
        </row>
        <row r="2091">
          <cell r="A2091" t="str">
            <v>IS_alqt_plus</v>
          </cell>
          <cell r="K2091" t="str">
            <v>LCAT</v>
          </cell>
          <cell r="M2091" t="str">
            <v>M</v>
          </cell>
          <cell r="AB2091" t="str">
            <v>serum</v>
          </cell>
          <cell r="AF2091">
            <v>0.5</v>
          </cell>
        </row>
        <row r="2092">
          <cell r="A2092" t="str">
            <v>IS_alqt_plus</v>
          </cell>
          <cell r="K2092" t="str">
            <v>LCAT</v>
          </cell>
          <cell r="M2092" t="str">
            <v>M</v>
          </cell>
          <cell r="AB2092" t="str">
            <v>serum</v>
          </cell>
          <cell r="AF2092">
            <v>0.7</v>
          </cell>
        </row>
        <row r="2093">
          <cell r="A2093" t="str">
            <v>IS_alqt_plus</v>
          </cell>
          <cell r="K2093" t="str">
            <v>LCAT</v>
          </cell>
          <cell r="M2093" t="str">
            <v>M</v>
          </cell>
          <cell r="AB2093" t="str">
            <v>serum</v>
          </cell>
          <cell r="AF2093">
            <v>0.5</v>
          </cell>
        </row>
        <row r="2094">
          <cell r="A2094" t="str">
            <v>IS_alqt_plus</v>
          </cell>
          <cell r="K2094" t="str">
            <v>LCAT</v>
          </cell>
          <cell r="M2094" t="str">
            <v>M</v>
          </cell>
          <cell r="AB2094" t="str">
            <v>serum</v>
          </cell>
          <cell r="AF2094">
            <v>0.7</v>
          </cell>
        </row>
        <row r="2095">
          <cell r="A2095" t="str">
            <v>IS_alqt_minus</v>
          </cell>
          <cell r="K2095" t="str">
            <v>CMED</v>
          </cell>
          <cell r="M2095" t="str">
            <v>M</v>
          </cell>
          <cell r="AB2095" t="str">
            <v>plasma</v>
          </cell>
          <cell r="AF2095">
            <v>0.1</v>
          </cell>
        </row>
        <row r="2096">
          <cell r="A2096" t="str">
            <v>IS_alqt_minus</v>
          </cell>
          <cell r="K2096" t="str">
            <v>CMED</v>
          </cell>
          <cell r="M2096" t="str">
            <v>F</v>
          </cell>
          <cell r="AB2096" t="str">
            <v>plasma</v>
          </cell>
          <cell r="AF2096">
            <v>0.1</v>
          </cell>
        </row>
        <row r="2097">
          <cell r="A2097" t="str">
            <v>IS_alqt_plus</v>
          </cell>
          <cell r="K2097" t="str">
            <v>EFLA</v>
          </cell>
          <cell r="M2097" t="str">
            <v>F</v>
          </cell>
          <cell r="AB2097" t="str">
            <v>WB</v>
          </cell>
          <cell r="AF2097">
            <v>1.2</v>
          </cell>
        </row>
        <row r="2098">
          <cell r="A2098" t="str">
            <v>IS_alqt_plus</v>
          </cell>
          <cell r="K2098" t="str">
            <v>EFLA</v>
          </cell>
          <cell r="M2098" t="str">
            <v>F</v>
          </cell>
          <cell r="AB2098" t="str">
            <v>WB</v>
          </cell>
          <cell r="AF2098">
            <v>0.5</v>
          </cell>
        </row>
        <row r="2099">
          <cell r="A2099" t="str">
            <v>gone</v>
          </cell>
          <cell r="K2099" t="str">
            <v>EFLA</v>
          </cell>
          <cell r="M2099" t="str">
            <v>F</v>
          </cell>
          <cell r="AB2099" t="str">
            <v>WB</v>
          </cell>
          <cell r="AF2099">
            <v>0</v>
          </cell>
        </row>
        <row r="2100">
          <cell r="A2100" t="str">
            <v>IS_alqt_plus</v>
          </cell>
          <cell r="K2100" t="str">
            <v>EFLA</v>
          </cell>
          <cell r="M2100" t="str">
            <v>F</v>
          </cell>
          <cell r="AB2100" t="str">
            <v>serum</v>
          </cell>
          <cell r="AF2100">
            <v>0.75</v>
          </cell>
        </row>
        <row r="2101">
          <cell r="A2101" t="str">
            <v>IS_alqt_plus</v>
          </cell>
          <cell r="K2101" t="str">
            <v>EFLA</v>
          </cell>
          <cell r="M2101" t="str">
            <v>F</v>
          </cell>
          <cell r="AB2101" t="str">
            <v>serum</v>
          </cell>
          <cell r="AF2101">
            <v>1</v>
          </cell>
        </row>
        <row r="2102">
          <cell r="A2102" t="str">
            <v>IS_alqt_plus</v>
          </cell>
          <cell r="K2102" t="str">
            <v>EFLA</v>
          </cell>
          <cell r="M2102" t="str">
            <v>F</v>
          </cell>
          <cell r="AB2102" t="str">
            <v>serum</v>
          </cell>
          <cell r="AF2102">
            <v>1</v>
          </cell>
        </row>
        <row r="2103">
          <cell r="A2103" t="str">
            <v>IS_alqt_plus</v>
          </cell>
          <cell r="K2103" t="str">
            <v>EFLA</v>
          </cell>
          <cell r="M2103" t="str">
            <v>F</v>
          </cell>
          <cell r="AB2103" t="str">
            <v>serum</v>
          </cell>
          <cell r="AF2103">
            <v>1</v>
          </cell>
        </row>
        <row r="2104">
          <cell r="A2104" t="str">
            <v>IS_alqt_plus</v>
          </cell>
          <cell r="K2104" t="str">
            <v>EFLA</v>
          </cell>
          <cell r="M2104" t="str">
            <v>F</v>
          </cell>
          <cell r="AB2104" t="str">
            <v>serum</v>
          </cell>
          <cell r="AF2104">
            <v>1</v>
          </cell>
        </row>
        <row r="2105">
          <cell r="A2105" t="str">
            <v>IS_alqt_plus</v>
          </cell>
          <cell r="K2105" t="str">
            <v>EFLA</v>
          </cell>
          <cell r="M2105" t="str">
            <v>F</v>
          </cell>
          <cell r="AB2105" t="str">
            <v>serum</v>
          </cell>
          <cell r="AF2105">
            <v>1.1000000000000001</v>
          </cell>
        </row>
        <row r="2106">
          <cell r="A2106" t="str">
            <v>IS_alqt_plus</v>
          </cell>
          <cell r="K2106" t="str">
            <v>EFLA</v>
          </cell>
          <cell r="M2106" t="str">
            <v>F</v>
          </cell>
          <cell r="AB2106" t="str">
            <v>serum</v>
          </cell>
          <cell r="AF2106">
            <v>1.1000000000000001</v>
          </cell>
        </row>
        <row r="2107">
          <cell r="A2107" t="str">
            <v>IS_alqt_plus</v>
          </cell>
          <cell r="K2107" t="str">
            <v>EFLA</v>
          </cell>
          <cell r="M2107" t="str">
            <v>F</v>
          </cell>
          <cell r="AB2107" t="str">
            <v>serum</v>
          </cell>
          <cell r="AF2107">
            <v>0.85</v>
          </cell>
        </row>
        <row r="2108">
          <cell r="A2108" t="str">
            <v>IS_alqt_plus</v>
          </cell>
          <cell r="K2108" t="str">
            <v>ERUF</v>
          </cell>
          <cell r="M2108" t="str">
            <v>M</v>
          </cell>
          <cell r="AB2108" t="str">
            <v>serum</v>
          </cell>
          <cell r="AF2108">
            <v>0.5</v>
          </cell>
        </row>
        <row r="2109">
          <cell r="A2109" t="str">
            <v>IS_alqt_minus</v>
          </cell>
          <cell r="K2109" t="str">
            <v>CMED</v>
          </cell>
          <cell r="M2109" t="str">
            <v>M</v>
          </cell>
          <cell r="AB2109" t="str">
            <v>WB</v>
          </cell>
          <cell r="AF2109">
            <v>0.1</v>
          </cell>
        </row>
        <row r="2110">
          <cell r="A2110" t="str">
            <v>gone</v>
          </cell>
          <cell r="K2110" t="str">
            <v>LCAT</v>
          </cell>
          <cell r="M2110" t="str">
            <v>M</v>
          </cell>
          <cell r="AB2110" t="str">
            <v>WB</v>
          </cell>
          <cell r="AF2110">
            <v>0</v>
          </cell>
        </row>
        <row r="2111">
          <cell r="A2111" t="str">
            <v>IS_alqt_plus</v>
          </cell>
          <cell r="K2111" t="str">
            <v>LCAT</v>
          </cell>
          <cell r="M2111" t="str">
            <v>M</v>
          </cell>
          <cell r="AB2111" t="str">
            <v>WB</v>
          </cell>
          <cell r="AF2111">
            <v>1.3</v>
          </cell>
        </row>
        <row r="2112">
          <cell r="A2112" t="str">
            <v>IS_alqt_plus</v>
          </cell>
          <cell r="K2112" t="str">
            <v>PCOQ</v>
          </cell>
          <cell r="M2112" t="str">
            <v>M</v>
          </cell>
          <cell r="AB2112" t="str">
            <v>serum</v>
          </cell>
          <cell r="AF2112">
            <v>0.9</v>
          </cell>
        </row>
        <row r="2113">
          <cell r="A2113" t="str">
            <v>IS_alqt_plus</v>
          </cell>
          <cell r="K2113" t="str">
            <v>PCOQ</v>
          </cell>
          <cell r="M2113" t="str">
            <v>M</v>
          </cell>
          <cell r="AB2113" t="str">
            <v>serum</v>
          </cell>
          <cell r="AF2113">
            <v>0.5</v>
          </cell>
        </row>
        <row r="2114">
          <cell r="A2114" t="str">
            <v>IS_alqt_plus</v>
          </cell>
          <cell r="K2114" t="str">
            <v>LCAT</v>
          </cell>
          <cell r="M2114" t="str">
            <v>M</v>
          </cell>
          <cell r="AB2114" t="str">
            <v>WB</v>
          </cell>
          <cell r="AF2114">
            <v>0.6</v>
          </cell>
        </row>
        <row r="2115">
          <cell r="A2115" t="str">
            <v>IS_alqt_plus</v>
          </cell>
          <cell r="K2115" t="str">
            <v>LCAT</v>
          </cell>
          <cell r="M2115" t="str">
            <v>F</v>
          </cell>
          <cell r="AB2115" t="str">
            <v>WB</v>
          </cell>
          <cell r="AF2115">
            <v>1</v>
          </cell>
        </row>
        <row r="2116">
          <cell r="A2116" t="str">
            <v>IS_alqt_plus</v>
          </cell>
          <cell r="K2116" t="str">
            <v>PCOQ</v>
          </cell>
          <cell r="M2116" t="str">
            <v>F</v>
          </cell>
          <cell r="AB2116" t="str">
            <v>serum</v>
          </cell>
          <cell r="AF2116">
            <v>0.2</v>
          </cell>
        </row>
        <row r="2117">
          <cell r="A2117" t="str">
            <v>gone</v>
          </cell>
          <cell r="K2117" t="str">
            <v>PCOQ</v>
          </cell>
          <cell r="M2117" t="str">
            <v>F</v>
          </cell>
          <cell r="AB2117" t="str">
            <v>serum</v>
          </cell>
          <cell r="AF2117">
            <v>0</v>
          </cell>
        </row>
        <row r="2118">
          <cell r="A2118" t="str">
            <v>IS_alqt_plus</v>
          </cell>
          <cell r="K2118" t="str">
            <v>LCAT</v>
          </cell>
          <cell r="M2118" t="str">
            <v>M</v>
          </cell>
          <cell r="AB2118" t="str">
            <v>WB</v>
          </cell>
          <cell r="AF2118">
            <v>0.75</v>
          </cell>
        </row>
        <row r="2119">
          <cell r="A2119" t="str">
            <v>IS_alqt_plus</v>
          </cell>
          <cell r="K2119" t="str">
            <v>LCAT</v>
          </cell>
          <cell r="M2119" t="str">
            <v>M</v>
          </cell>
          <cell r="AB2119" t="str">
            <v>WB</v>
          </cell>
          <cell r="AF2119">
            <v>0.75</v>
          </cell>
        </row>
        <row r="2120">
          <cell r="A2120" t="str">
            <v>IS_alqt_plus</v>
          </cell>
          <cell r="K2120" t="str">
            <v>LCAT</v>
          </cell>
          <cell r="M2120" t="str">
            <v>M</v>
          </cell>
          <cell r="AB2120" t="str">
            <v>WB</v>
          </cell>
          <cell r="AF2120">
            <v>0.9</v>
          </cell>
        </row>
        <row r="2121">
          <cell r="A2121" t="str">
            <v>IS_alqt_plus</v>
          </cell>
          <cell r="K2121" t="str">
            <v>PCOQ</v>
          </cell>
          <cell r="M2121" t="str">
            <v>F</v>
          </cell>
          <cell r="AB2121" t="str">
            <v>serum</v>
          </cell>
          <cell r="AF2121">
            <v>0.5</v>
          </cell>
        </row>
        <row r="2122">
          <cell r="A2122" t="str">
            <v>gone</v>
          </cell>
          <cell r="K2122" t="str">
            <v>LCAT</v>
          </cell>
          <cell r="M2122" t="str">
            <v>M</v>
          </cell>
          <cell r="AB2122" t="str">
            <v>WB</v>
          </cell>
          <cell r="AF2122">
            <v>0</v>
          </cell>
        </row>
        <row r="2123">
          <cell r="A2123" t="str">
            <v>IS_alqt_plus</v>
          </cell>
          <cell r="K2123" t="str">
            <v>LCAT</v>
          </cell>
          <cell r="M2123" t="str">
            <v>F</v>
          </cell>
          <cell r="AB2123" t="str">
            <v>WB</v>
          </cell>
          <cell r="AF2123">
            <v>0.5</v>
          </cell>
        </row>
        <row r="2124">
          <cell r="A2124" t="str">
            <v>IS_alqt_plus</v>
          </cell>
          <cell r="K2124" t="str">
            <v>LCAT</v>
          </cell>
          <cell r="M2124" t="str">
            <v>F</v>
          </cell>
          <cell r="AB2124" t="str">
            <v>WB</v>
          </cell>
          <cell r="AF2124">
            <v>0.5</v>
          </cell>
        </row>
        <row r="2125">
          <cell r="A2125" t="str">
            <v>IS_alqt_plus</v>
          </cell>
          <cell r="K2125" t="str">
            <v>LCAT</v>
          </cell>
          <cell r="M2125" t="str">
            <v>M</v>
          </cell>
          <cell r="AB2125" t="str">
            <v>serum</v>
          </cell>
          <cell r="AF2125">
            <v>0.8</v>
          </cell>
        </row>
        <row r="2126">
          <cell r="A2126" t="str">
            <v>IS_alqt_plus</v>
          </cell>
          <cell r="K2126" t="str">
            <v>ECOL</v>
          </cell>
          <cell r="M2126" t="str">
            <v>M</v>
          </cell>
          <cell r="AB2126" t="str">
            <v>WB</v>
          </cell>
          <cell r="AF2126">
            <v>1</v>
          </cell>
        </row>
        <row r="2127">
          <cell r="A2127" t="str">
            <v>IS_alqt_plus</v>
          </cell>
          <cell r="K2127" t="str">
            <v>ECOL</v>
          </cell>
          <cell r="M2127" t="str">
            <v>M</v>
          </cell>
          <cell r="AB2127" t="str">
            <v>WB</v>
          </cell>
          <cell r="AF2127">
            <v>0.75</v>
          </cell>
        </row>
        <row r="2128">
          <cell r="A2128" t="str">
            <v>IS_alqt_plus</v>
          </cell>
          <cell r="K2128" t="str">
            <v>EMAC</v>
          </cell>
          <cell r="M2128" t="str">
            <v>F</v>
          </cell>
          <cell r="AB2128" t="str">
            <v>WB</v>
          </cell>
          <cell r="AF2128">
            <v>0.7</v>
          </cell>
        </row>
        <row r="2129">
          <cell r="A2129" t="str">
            <v>IS_alqt_plus</v>
          </cell>
          <cell r="K2129" t="str">
            <v>EMAC</v>
          </cell>
          <cell r="M2129" t="str">
            <v>F</v>
          </cell>
          <cell r="AB2129" t="str">
            <v>WB</v>
          </cell>
          <cell r="AF2129">
            <v>0.75</v>
          </cell>
        </row>
        <row r="2130">
          <cell r="A2130" t="str">
            <v>IS_alqt_minus</v>
          </cell>
          <cell r="K2130" t="str">
            <v>ECOL</v>
          </cell>
          <cell r="M2130" t="str">
            <v>M</v>
          </cell>
          <cell r="AB2130" t="str">
            <v>serum</v>
          </cell>
          <cell r="AF2130">
            <v>0.1</v>
          </cell>
        </row>
        <row r="2131">
          <cell r="A2131" t="str">
            <v>IS_alqt_plus</v>
          </cell>
          <cell r="K2131" t="str">
            <v>ECOL</v>
          </cell>
          <cell r="M2131" t="str">
            <v>M</v>
          </cell>
          <cell r="AB2131" t="str">
            <v>serum</v>
          </cell>
          <cell r="AF2131">
            <v>0.25</v>
          </cell>
        </row>
        <row r="2132">
          <cell r="A2132" t="str">
            <v>IS_alqt_plus</v>
          </cell>
          <cell r="K2132" t="str">
            <v>EMAC</v>
          </cell>
          <cell r="M2132" t="str">
            <v>F</v>
          </cell>
          <cell r="AB2132" t="str">
            <v>serum</v>
          </cell>
          <cell r="AF2132">
            <v>0.55000000000000004</v>
          </cell>
        </row>
        <row r="2133">
          <cell r="A2133" t="str">
            <v>IS_alqt_plus</v>
          </cell>
          <cell r="K2133" t="str">
            <v>EMAC</v>
          </cell>
          <cell r="M2133" t="str">
            <v>F</v>
          </cell>
          <cell r="AB2133" t="str">
            <v>serum</v>
          </cell>
          <cell r="AF2133">
            <v>0.5</v>
          </cell>
        </row>
        <row r="2134">
          <cell r="A2134" t="str">
            <v>IS_alqt_plus</v>
          </cell>
          <cell r="K2134" t="str">
            <v>EMAC</v>
          </cell>
          <cell r="M2134" t="str">
            <v>F</v>
          </cell>
          <cell r="AB2134" t="str">
            <v>serum</v>
          </cell>
          <cell r="AF2134">
            <v>0.5</v>
          </cell>
        </row>
        <row r="2135">
          <cell r="A2135" t="str">
            <v>IS_alqt_plus</v>
          </cell>
          <cell r="K2135" t="str">
            <v>LCAT</v>
          </cell>
          <cell r="M2135" t="str">
            <v>M</v>
          </cell>
          <cell r="AB2135" t="str">
            <v>serum</v>
          </cell>
          <cell r="AF2135">
            <v>0.45</v>
          </cell>
        </row>
        <row r="2136">
          <cell r="A2136" t="str">
            <v>gone</v>
          </cell>
          <cell r="K2136" t="str">
            <v>EMAC</v>
          </cell>
          <cell r="M2136" t="str">
            <v>F</v>
          </cell>
          <cell r="AB2136" t="str">
            <v>WB</v>
          </cell>
          <cell r="AF2136">
            <v>0</v>
          </cell>
        </row>
        <row r="2137">
          <cell r="A2137" t="str">
            <v>IS_alqt_plus</v>
          </cell>
          <cell r="K2137" t="str">
            <v>EMAC</v>
          </cell>
          <cell r="M2137" t="str">
            <v>F</v>
          </cell>
          <cell r="AB2137" t="str">
            <v>WB</v>
          </cell>
          <cell r="AF2137">
            <v>0.7</v>
          </cell>
        </row>
        <row r="2138">
          <cell r="A2138" t="str">
            <v>IS_alqt_plus</v>
          </cell>
          <cell r="K2138" t="str">
            <v>EMAC</v>
          </cell>
          <cell r="M2138" t="str">
            <v>F</v>
          </cell>
          <cell r="AB2138" t="str">
            <v>WB</v>
          </cell>
          <cell r="AF2138">
            <v>0.75</v>
          </cell>
        </row>
        <row r="2139">
          <cell r="A2139" t="str">
            <v>IS_alqt_plus</v>
          </cell>
          <cell r="K2139" t="str">
            <v>EMAC</v>
          </cell>
          <cell r="M2139" t="str">
            <v>M</v>
          </cell>
          <cell r="AB2139" t="str">
            <v>WB</v>
          </cell>
          <cell r="AF2139">
            <v>0.3</v>
          </cell>
        </row>
        <row r="2140">
          <cell r="A2140" t="str">
            <v>IS_alqt_plus</v>
          </cell>
          <cell r="K2140" t="str">
            <v>EMAC</v>
          </cell>
          <cell r="M2140" t="str">
            <v>M</v>
          </cell>
          <cell r="AB2140" t="str">
            <v>WB</v>
          </cell>
          <cell r="AF2140">
            <v>0.5</v>
          </cell>
        </row>
        <row r="2141">
          <cell r="A2141" t="str">
            <v>IS_alqt_plus</v>
          </cell>
          <cell r="K2141" t="str">
            <v>EMAC</v>
          </cell>
          <cell r="M2141" t="str">
            <v>F</v>
          </cell>
          <cell r="AB2141" t="str">
            <v>serum</v>
          </cell>
          <cell r="AF2141">
            <v>0.5</v>
          </cell>
        </row>
        <row r="2142">
          <cell r="A2142" t="str">
            <v>IS_alqt_plus</v>
          </cell>
          <cell r="K2142" t="str">
            <v>EMAC</v>
          </cell>
          <cell r="M2142" t="str">
            <v>F</v>
          </cell>
          <cell r="AB2142" t="str">
            <v>serum</v>
          </cell>
          <cell r="AF2142">
            <v>0.4</v>
          </cell>
        </row>
        <row r="2143">
          <cell r="A2143" t="str">
            <v>IS_alqt_plus</v>
          </cell>
          <cell r="K2143" t="str">
            <v>EMAC</v>
          </cell>
          <cell r="M2143" t="str">
            <v>M</v>
          </cell>
          <cell r="AB2143" t="str">
            <v>serum</v>
          </cell>
          <cell r="AF2143">
            <v>0.6</v>
          </cell>
        </row>
        <row r="2144">
          <cell r="A2144" t="str">
            <v>IS_alqt_plus</v>
          </cell>
          <cell r="K2144" t="str">
            <v>EMAC</v>
          </cell>
          <cell r="M2144" t="str">
            <v>M</v>
          </cell>
          <cell r="AB2144" t="str">
            <v>serum</v>
          </cell>
          <cell r="AF2144">
            <v>0.6</v>
          </cell>
        </row>
        <row r="2145">
          <cell r="A2145" t="str">
            <v>IS_alqt_plus</v>
          </cell>
          <cell r="K2145" t="str">
            <v>VRUB</v>
          </cell>
          <cell r="M2145" t="str">
            <v>F</v>
          </cell>
          <cell r="AB2145" t="str">
            <v>WB</v>
          </cell>
          <cell r="AF2145">
            <v>0.6</v>
          </cell>
        </row>
        <row r="2146">
          <cell r="A2146" t="str">
            <v>IS_alqt_plus</v>
          </cell>
          <cell r="K2146" t="str">
            <v>LCAT</v>
          </cell>
          <cell r="M2146" t="str">
            <v>M</v>
          </cell>
          <cell r="AB2146" t="str">
            <v>WB</v>
          </cell>
          <cell r="AF2146">
            <v>0.5</v>
          </cell>
        </row>
        <row r="2147">
          <cell r="A2147" t="str">
            <v>IS_alqt_plus</v>
          </cell>
          <cell r="K2147" t="str">
            <v>VRUB</v>
          </cell>
          <cell r="M2147" t="str">
            <v>F</v>
          </cell>
          <cell r="AB2147" t="str">
            <v>serum</v>
          </cell>
          <cell r="AF2147">
            <v>0.4</v>
          </cell>
        </row>
        <row r="2148">
          <cell r="A2148" t="str">
            <v>IS_alqt_plus</v>
          </cell>
          <cell r="K2148" t="str">
            <v>VRUB</v>
          </cell>
          <cell r="M2148" t="str">
            <v>F</v>
          </cell>
          <cell r="AB2148" t="str">
            <v>WB</v>
          </cell>
          <cell r="AF2148">
            <v>0.6</v>
          </cell>
        </row>
        <row r="2149">
          <cell r="A2149" t="str">
            <v>IS_alqt_plus</v>
          </cell>
          <cell r="K2149" t="str">
            <v>VRUB</v>
          </cell>
          <cell r="M2149" t="str">
            <v>F</v>
          </cell>
          <cell r="AB2149" t="str">
            <v>WB</v>
          </cell>
          <cell r="AF2149">
            <v>0.7</v>
          </cell>
        </row>
        <row r="2150">
          <cell r="A2150" t="str">
            <v>IS_alqt_plus</v>
          </cell>
          <cell r="K2150" t="str">
            <v>VRUB</v>
          </cell>
          <cell r="M2150" t="str">
            <v>F</v>
          </cell>
          <cell r="AB2150" t="str">
            <v>WB</v>
          </cell>
          <cell r="AF2150">
            <v>1</v>
          </cell>
        </row>
        <row r="2151">
          <cell r="A2151" t="str">
            <v>IS_alqt_plus</v>
          </cell>
          <cell r="K2151" t="str">
            <v>VRUB</v>
          </cell>
          <cell r="M2151" t="str">
            <v>F</v>
          </cell>
          <cell r="AB2151" t="str">
            <v>WB</v>
          </cell>
          <cell r="AF2151">
            <v>1.3</v>
          </cell>
        </row>
        <row r="2152">
          <cell r="A2152" t="str">
            <v>IS_alqt_plus</v>
          </cell>
          <cell r="K2152" t="str">
            <v>VRUB</v>
          </cell>
          <cell r="M2152" t="str">
            <v>F</v>
          </cell>
          <cell r="AB2152" t="str">
            <v>serum</v>
          </cell>
          <cell r="AF2152">
            <v>1</v>
          </cell>
        </row>
        <row r="2153">
          <cell r="A2153" t="str">
            <v>IS_alqt_plus</v>
          </cell>
          <cell r="K2153" t="str">
            <v>VRUB</v>
          </cell>
          <cell r="M2153" t="str">
            <v>F</v>
          </cell>
          <cell r="AB2153" t="str">
            <v>serum</v>
          </cell>
          <cell r="AF2153">
            <v>0.5</v>
          </cell>
        </row>
        <row r="2154">
          <cell r="A2154" t="str">
            <v>IS_alqt_plus</v>
          </cell>
          <cell r="K2154" t="str">
            <v>VRUB</v>
          </cell>
          <cell r="M2154" t="str">
            <v>F</v>
          </cell>
          <cell r="AB2154" t="str">
            <v>WB</v>
          </cell>
          <cell r="AF2154">
            <v>0.5</v>
          </cell>
        </row>
        <row r="2155">
          <cell r="A2155" t="str">
            <v>gone</v>
          </cell>
          <cell r="K2155" t="str">
            <v>VRUB</v>
          </cell>
          <cell r="M2155" t="str">
            <v>F</v>
          </cell>
          <cell r="AB2155" t="str">
            <v>WB</v>
          </cell>
          <cell r="AF2155">
            <v>0</v>
          </cell>
        </row>
        <row r="2156">
          <cell r="A2156" t="str">
            <v>IS_alqt_plus</v>
          </cell>
          <cell r="K2156" t="str">
            <v>VRUB</v>
          </cell>
          <cell r="M2156" t="str">
            <v>F</v>
          </cell>
          <cell r="AB2156" t="str">
            <v>serum</v>
          </cell>
          <cell r="AF2156">
            <v>0.5</v>
          </cell>
        </row>
        <row r="2157">
          <cell r="A2157" t="str">
            <v>IS_alqt_plus</v>
          </cell>
          <cell r="K2157" t="str">
            <v>VRUB</v>
          </cell>
          <cell r="M2157" t="str">
            <v>F</v>
          </cell>
          <cell r="AB2157" t="str">
            <v>serum</v>
          </cell>
          <cell r="AF2157">
            <v>0.5</v>
          </cell>
        </row>
        <row r="2158">
          <cell r="A2158" t="str">
            <v>IS_alqt_plus</v>
          </cell>
          <cell r="K2158" t="str">
            <v>LCAT</v>
          </cell>
          <cell r="M2158" t="str">
            <v>F</v>
          </cell>
          <cell r="AB2158" t="str">
            <v>WB</v>
          </cell>
          <cell r="AF2158">
            <v>0.65</v>
          </cell>
        </row>
        <row r="2159">
          <cell r="A2159" t="str">
            <v>IS_alqt_plus</v>
          </cell>
          <cell r="K2159" t="str">
            <v>LCAT</v>
          </cell>
          <cell r="M2159" t="str">
            <v>F</v>
          </cell>
          <cell r="AB2159" t="str">
            <v>WB</v>
          </cell>
          <cell r="AF2159">
            <v>0.55000000000000004</v>
          </cell>
        </row>
        <row r="2160">
          <cell r="A2160" t="str">
            <v>IS_alqt_minus</v>
          </cell>
          <cell r="K2160" t="str">
            <v>PCOQ</v>
          </cell>
          <cell r="M2160" t="str">
            <v>M</v>
          </cell>
          <cell r="AB2160" t="str">
            <v>serum</v>
          </cell>
          <cell r="AF2160">
            <v>0.1</v>
          </cell>
        </row>
        <row r="2161">
          <cell r="A2161" t="str">
            <v>IS_alqt_plus</v>
          </cell>
          <cell r="K2161" t="str">
            <v>ECOL</v>
          </cell>
          <cell r="M2161" t="str">
            <v>F</v>
          </cell>
          <cell r="AB2161" t="str">
            <v>WB</v>
          </cell>
          <cell r="AF2161">
            <v>0.75</v>
          </cell>
        </row>
        <row r="2162">
          <cell r="A2162" t="str">
            <v>IS_alqt_plus</v>
          </cell>
          <cell r="K2162" t="str">
            <v>ECOL</v>
          </cell>
          <cell r="M2162" t="str">
            <v>F</v>
          </cell>
          <cell r="AB2162" t="str">
            <v>WB</v>
          </cell>
          <cell r="AF2162">
            <v>0.4</v>
          </cell>
        </row>
        <row r="2163">
          <cell r="A2163" t="str">
            <v>gone</v>
          </cell>
          <cell r="K2163" t="str">
            <v>ECOL</v>
          </cell>
          <cell r="M2163" t="str">
            <v>M</v>
          </cell>
          <cell r="AB2163" t="str">
            <v>WB</v>
          </cell>
          <cell r="AF2163">
            <v>0</v>
          </cell>
        </row>
        <row r="2164">
          <cell r="A2164" t="str">
            <v>IS_alqt_plus</v>
          </cell>
          <cell r="K2164" t="str">
            <v>ECOL</v>
          </cell>
          <cell r="M2164" t="str">
            <v>M</v>
          </cell>
          <cell r="AB2164" t="str">
            <v>WB</v>
          </cell>
          <cell r="AF2164">
            <v>0.45</v>
          </cell>
        </row>
        <row r="2165">
          <cell r="A2165" t="str">
            <v>IS_alqt_plus</v>
          </cell>
          <cell r="K2165" t="str">
            <v>LCAT</v>
          </cell>
          <cell r="M2165" t="str">
            <v>F</v>
          </cell>
          <cell r="AB2165" t="str">
            <v>WB</v>
          </cell>
          <cell r="AF2165">
            <v>0.5</v>
          </cell>
        </row>
        <row r="2166">
          <cell r="A2166" t="str">
            <v>IS_alqt_plus</v>
          </cell>
          <cell r="K2166" t="str">
            <v>LCAT</v>
          </cell>
          <cell r="M2166" t="str">
            <v>F</v>
          </cell>
          <cell r="AB2166" t="str">
            <v>WB</v>
          </cell>
          <cell r="AF2166">
            <v>0.75</v>
          </cell>
        </row>
        <row r="2167">
          <cell r="A2167" t="str">
            <v>IS_alqt_minus</v>
          </cell>
          <cell r="K2167" t="str">
            <v>ECOL</v>
          </cell>
          <cell r="M2167" t="str">
            <v>F</v>
          </cell>
          <cell r="AB2167" t="str">
            <v>serum</v>
          </cell>
          <cell r="AF2167">
            <v>0.1</v>
          </cell>
        </row>
        <row r="2168">
          <cell r="A2168" t="str">
            <v>IS_alqt_plus</v>
          </cell>
          <cell r="K2168" t="str">
            <v>ECOL</v>
          </cell>
          <cell r="M2168" t="str">
            <v>F</v>
          </cell>
          <cell r="AB2168" t="str">
            <v>serum</v>
          </cell>
          <cell r="AF2168">
            <v>0.7</v>
          </cell>
        </row>
        <row r="2169">
          <cell r="A2169" t="str">
            <v>IS_alqt_plus</v>
          </cell>
          <cell r="K2169" t="str">
            <v>ECOL</v>
          </cell>
          <cell r="M2169" t="str">
            <v>M</v>
          </cell>
          <cell r="AB2169" t="str">
            <v>serum</v>
          </cell>
          <cell r="AF2169">
            <v>0.75</v>
          </cell>
        </row>
        <row r="2170">
          <cell r="A2170" t="str">
            <v>IS_alqt_plus</v>
          </cell>
          <cell r="K2170" t="str">
            <v>ECOL</v>
          </cell>
          <cell r="M2170" t="str">
            <v>M</v>
          </cell>
          <cell r="AB2170" t="str">
            <v>serum</v>
          </cell>
          <cell r="AF2170">
            <v>0.9</v>
          </cell>
        </row>
        <row r="2171">
          <cell r="A2171" t="str">
            <v>IS_alqt_plus</v>
          </cell>
          <cell r="K2171" t="str">
            <v>LCAT</v>
          </cell>
          <cell r="M2171" t="str">
            <v>F</v>
          </cell>
          <cell r="AB2171" t="str">
            <v>WB</v>
          </cell>
          <cell r="AF2171">
            <v>0.5</v>
          </cell>
        </row>
        <row r="2172">
          <cell r="A2172" t="str">
            <v>IS_alqt_plus</v>
          </cell>
          <cell r="K2172" t="str">
            <v>PCOQ</v>
          </cell>
          <cell r="M2172" t="str">
            <v>F</v>
          </cell>
          <cell r="AB2172" t="str">
            <v>serum</v>
          </cell>
          <cell r="AF2172">
            <v>0.5</v>
          </cell>
        </row>
        <row r="2173">
          <cell r="A2173" t="str">
            <v>IS_alqt_plus</v>
          </cell>
          <cell r="K2173" t="str">
            <v>ECOL</v>
          </cell>
          <cell r="M2173" t="str">
            <v>F</v>
          </cell>
          <cell r="AB2173" t="str">
            <v>WB</v>
          </cell>
          <cell r="AF2173">
            <v>0.4</v>
          </cell>
        </row>
        <row r="2174">
          <cell r="A2174" t="str">
            <v>gone</v>
          </cell>
          <cell r="K2174" t="str">
            <v>ECOL</v>
          </cell>
          <cell r="M2174" t="str">
            <v>F</v>
          </cell>
          <cell r="AB2174" t="str">
            <v>WB</v>
          </cell>
          <cell r="AF2174">
            <v>0</v>
          </cell>
        </row>
        <row r="2175">
          <cell r="A2175" t="str">
            <v>gone</v>
          </cell>
          <cell r="K2175" t="str">
            <v>EMAC</v>
          </cell>
          <cell r="M2175" t="str">
            <v>M</v>
          </cell>
          <cell r="AB2175" t="str">
            <v>WB</v>
          </cell>
          <cell r="AF2175">
            <v>0</v>
          </cell>
        </row>
        <row r="2176">
          <cell r="A2176" t="str">
            <v>IS_alqt_minus</v>
          </cell>
          <cell r="K2176" t="str">
            <v>EMAC</v>
          </cell>
          <cell r="M2176" t="str">
            <v>M</v>
          </cell>
          <cell r="AB2176" t="str">
            <v>WB</v>
          </cell>
          <cell r="AF2176">
            <v>0.1</v>
          </cell>
        </row>
        <row r="2177">
          <cell r="A2177" t="str">
            <v>IS_alqt_plus</v>
          </cell>
          <cell r="K2177" t="str">
            <v>LCAT</v>
          </cell>
          <cell r="M2177" t="str">
            <v>M</v>
          </cell>
          <cell r="AB2177" t="str">
            <v>WB</v>
          </cell>
          <cell r="AF2177">
            <v>0.65</v>
          </cell>
        </row>
        <row r="2178">
          <cell r="A2178" t="str">
            <v>IS_alqt_plus</v>
          </cell>
          <cell r="K2178" t="str">
            <v>LCAT</v>
          </cell>
          <cell r="M2178" t="str">
            <v>F</v>
          </cell>
          <cell r="AB2178" t="str">
            <v>WB</v>
          </cell>
          <cell r="AF2178">
            <v>1</v>
          </cell>
        </row>
        <row r="2179">
          <cell r="A2179" t="str">
            <v>IS_alqt_plus</v>
          </cell>
          <cell r="K2179" t="str">
            <v>ECOL</v>
          </cell>
          <cell r="M2179" t="str">
            <v>F</v>
          </cell>
          <cell r="AB2179" t="str">
            <v>serum</v>
          </cell>
          <cell r="AF2179">
            <v>1</v>
          </cell>
        </row>
        <row r="2180">
          <cell r="A2180" t="str">
            <v>IS_alqt_plus</v>
          </cell>
          <cell r="K2180" t="str">
            <v>EMAC</v>
          </cell>
          <cell r="M2180" t="str">
            <v>M</v>
          </cell>
          <cell r="AB2180" t="str">
            <v>serum</v>
          </cell>
          <cell r="AF2180">
            <v>0.7</v>
          </cell>
        </row>
        <row r="2181">
          <cell r="A2181" t="str">
            <v>IS_alqt_plus</v>
          </cell>
          <cell r="K2181" t="str">
            <v>EMAC</v>
          </cell>
          <cell r="M2181" t="str">
            <v>M</v>
          </cell>
          <cell r="AB2181" t="str">
            <v>serum</v>
          </cell>
          <cell r="AF2181">
            <v>0.6</v>
          </cell>
        </row>
        <row r="2182">
          <cell r="A2182" t="str">
            <v>IS_alqt_plus</v>
          </cell>
          <cell r="K2182" t="str">
            <v>DMAD</v>
          </cell>
          <cell r="M2182" t="str">
            <v>M</v>
          </cell>
          <cell r="AB2182" t="str">
            <v>serum</v>
          </cell>
          <cell r="AF2182">
            <v>0.7</v>
          </cell>
        </row>
        <row r="2183">
          <cell r="A2183" t="str">
            <v>IS_alqt_plus</v>
          </cell>
          <cell r="K2183" t="str">
            <v>DMAD</v>
          </cell>
          <cell r="M2183" t="str">
            <v>M</v>
          </cell>
          <cell r="AB2183" t="str">
            <v>serum</v>
          </cell>
          <cell r="AF2183">
            <v>0.6</v>
          </cell>
        </row>
        <row r="2184">
          <cell r="A2184" t="str">
            <v>gone</v>
          </cell>
          <cell r="K2184" t="str">
            <v>DMAD</v>
          </cell>
          <cell r="M2184" t="str">
            <v>M</v>
          </cell>
          <cell r="AB2184" t="str">
            <v>WB</v>
          </cell>
          <cell r="AF2184">
            <v>0</v>
          </cell>
        </row>
        <row r="2185">
          <cell r="A2185" t="str">
            <v>IS_alqt_plus</v>
          </cell>
          <cell r="K2185" t="str">
            <v>DMAD</v>
          </cell>
          <cell r="M2185" t="str">
            <v>M</v>
          </cell>
          <cell r="AB2185" t="str">
            <v>WB</v>
          </cell>
          <cell r="AF2185">
            <v>0.6</v>
          </cell>
        </row>
        <row r="2186">
          <cell r="A2186" t="str">
            <v>IS_alqt_plus</v>
          </cell>
          <cell r="K2186" t="str">
            <v>LCAT</v>
          </cell>
          <cell r="M2186" t="str">
            <v>F</v>
          </cell>
          <cell r="AB2186" t="str">
            <v>WB</v>
          </cell>
          <cell r="AF2186">
            <v>1.3</v>
          </cell>
        </row>
        <row r="2187">
          <cell r="A2187" t="str">
            <v>IS_alqt_plus</v>
          </cell>
          <cell r="K2187" t="str">
            <v>LCAT</v>
          </cell>
          <cell r="M2187" t="str">
            <v>F</v>
          </cell>
          <cell r="AB2187" t="str">
            <v>WB</v>
          </cell>
          <cell r="AF2187">
            <v>1.3</v>
          </cell>
        </row>
        <row r="2188">
          <cell r="A2188" t="str">
            <v>IS_alqt_plus</v>
          </cell>
          <cell r="K2188" t="str">
            <v>LCAT</v>
          </cell>
          <cell r="M2188" t="str">
            <v>F</v>
          </cell>
          <cell r="AB2188" t="str">
            <v>WB</v>
          </cell>
          <cell r="AF2188">
            <v>1.3</v>
          </cell>
        </row>
        <row r="2189">
          <cell r="A2189" t="str">
            <v>gone</v>
          </cell>
          <cell r="K2189" t="str">
            <v>LCAT</v>
          </cell>
          <cell r="M2189" t="str">
            <v>F</v>
          </cell>
          <cell r="AB2189" t="str">
            <v>WB</v>
          </cell>
          <cell r="AF2189">
            <v>0</v>
          </cell>
        </row>
        <row r="2190">
          <cell r="A2190" t="str">
            <v>IS_alqt_plus</v>
          </cell>
          <cell r="K2190" t="str">
            <v>LCAT</v>
          </cell>
          <cell r="M2190" t="str">
            <v>F</v>
          </cell>
          <cell r="AB2190" t="str">
            <v>WB</v>
          </cell>
          <cell r="AF2190">
            <v>1.8</v>
          </cell>
        </row>
        <row r="2191">
          <cell r="A2191" t="str">
            <v>IS_alqt_plus</v>
          </cell>
          <cell r="K2191" t="str">
            <v>LCAT</v>
          </cell>
          <cell r="M2191" t="str">
            <v>F</v>
          </cell>
          <cell r="AB2191" t="str">
            <v>WB</v>
          </cell>
          <cell r="AF2191">
            <v>0.55000000000000004</v>
          </cell>
        </row>
        <row r="2192">
          <cell r="A2192" t="str">
            <v>IS_alqt_plus</v>
          </cell>
          <cell r="K2192" t="str">
            <v>LCAT</v>
          </cell>
          <cell r="M2192" t="str">
            <v>F</v>
          </cell>
          <cell r="AB2192" t="str">
            <v>WB</v>
          </cell>
          <cell r="AF2192">
            <v>0.7</v>
          </cell>
        </row>
        <row r="2193">
          <cell r="A2193" t="str">
            <v>IS_alqt_plus</v>
          </cell>
          <cell r="K2193" t="str">
            <v>LCAT</v>
          </cell>
          <cell r="M2193" t="str">
            <v>F</v>
          </cell>
          <cell r="AB2193" t="str">
            <v>WB</v>
          </cell>
          <cell r="AF2193">
            <v>0.9</v>
          </cell>
        </row>
        <row r="2194">
          <cell r="A2194" t="str">
            <v>IS_alqt_plus</v>
          </cell>
          <cell r="K2194" t="str">
            <v>PCOQ</v>
          </cell>
          <cell r="M2194" t="str">
            <v>F</v>
          </cell>
          <cell r="AB2194" t="str">
            <v>serum</v>
          </cell>
          <cell r="AF2194">
            <v>0.5</v>
          </cell>
        </row>
        <row r="2195">
          <cell r="A2195" t="str">
            <v>IS_alqt_plus</v>
          </cell>
          <cell r="K2195" t="str">
            <v>PCOQ</v>
          </cell>
          <cell r="M2195" t="str">
            <v>M</v>
          </cell>
          <cell r="AB2195" t="str">
            <v>serum</v>
          </cell>
          <cell r="AF2195">
            <v>0.7</v>
          </cell>
        </row>
        <row r="2196">
          <cell r="A2196" t="str">
            <v>IS_alqt_plus</v>
          </cell>
          <cell r="K2196" t="str">
            <v>PCOQ</v>
          </cell>
          <cell r="M2196" t="str">
            <v>M</v>
          </cell>
          <cell r="AB2196" t="str">
            <v>serum</v>
          </cell>
          <cell r="AF2196">
            <v>0.45</v>
          </cell>
        </row>
        <row r="2197">
          <cell r="A2197" t="str">
            <v>IS_alqt_plus</v>
          </cell>
          <cell r="K2197" t="str">
            <v>ECOL</v>
          </cell>
          <cell r="M2197" t="str">
            <v>M</v>
          </cell>
          <cell r="AB2197" t="str">
            <v>WB</v>
          </cell>
          <cell r="AF2197">
            <v>0.7</v>
          </cell>
        </row>
        <row r="2198">
          <cell r="A2198" t="str">
            <v>IS_alqt_plus</v>
          </cell>
          <cell r="K2198" t="str">
            <v>ECOL</v>
          </cell>
          <cell r="M2198" t="str">
            <v>M</v>
          </cell>
          <cell r="AB2198" t="str">
            <v>WB</v>
          </cell>
          <cell r="AF2198">
            <v>0.4</v>
          </cell>
        </row>
        <row r="2199">
          <cell r="A2199" t="str">
            <v>IS_alqt_plus</v>
          </cell>
          <cell r="K2199" t="str">
            <v>LCAT</v>
          </cell>
          <cell r="M2199" t="str">
            <v>F</v>
          </cell>
          <cell r="AB2199" t="str">
            <v>WB</v>
          </cell>
          <cell r="AF2199">
            <v>0.8</v>
          </cell>
        </row>
        <row r="2200">
          <cell r="A2200" t="str">
            <v>IS_alqt_plus</v>
          </cell>
          <cell r="K2200" t="str">
            <v>LCAT</v>
          </cell>
          <cell r="M2200" t="str">
            <v>F</v>
          </cell>
          <cell r="AB2200" t="str">
            <v>WB</v>
          </cell>
          <cell r="AF2200">
            <v>0.2</v>
          </cell>
        </row>
        <row r="2201">
          <cell r="A2201" t="str">
            <v>IS_alqt_plus</v>
          </cell>
          <cell r="K2201" t="str">
            <v>ECOL</v>
          </cell>
          <cell r="M2201" t="str">
            <v>M</v>
          </cell>
          <cell r="AB2201" t="str">
            <v>serum</v>
          </cell>
          <cell r="AF2201">
            <v>1.3</v>
          </cell>
        </row>
        <row r="2202">
          <cell r="A2202" t="str">
            <v>IS_alqt_plus</v>
          </cell>
          <cell r="K2202" t="str">
            <v>ECOL</v>
          </cell>
          <cell r="M2202" t="str">
            <v>M</v>
          </cell>
          <cell r="AB2202" t="str">
            <v>serum</v>
          </cell>
          <cell r="AF2202">
            <v>1.2</v>
          </cell>
        </row>
        <row r="2203">
          <cell r="A2203" t="str">
            <v>IS_alqt_plus</v>
          </cell>
          <cell r="K2203" t="str">
            <v>LCAT</v>
          </cell>
          <cell r="M2203" t="str">
            <v>F</v>
          </cell>
          <cell r="AB2203" t="str">
            <v>serum</v>
          </cell>
          <cell r="AF2203">
            <v>0.6</v>
          </cell>
        </row>
        <row r="2204">
          <cell r="A2204" t="str">
            <v>IS_alqt_plus</v>
          </cell>
          <cell r="K2204" t="str">
            <v>LCAT</v>
          </cell>
          <cell r="M2204" t="str">
            <v>F</v>
          </cell>
          <cell r="AB2204" t="str">
            <v>serum</v>
          </cell>
          <cell r="AF2204">
            <v>0.4</v>
          </cell>
        </row>
        <row r="2205">
          <cell r="A2205" t="str">
            <v>IS_alqt_plus</v>
          </cell>
          <cell r="K2205" t="str">
            <v>ERUB</v>
          </cell>
          <cell r="M2205" t="str">
            <v>F</v>
          </cell>
          <cell r="AB2205" t="str">
            <v>WB</v>
          </cell>
          <cell r="AF2205">
            <v>1</v>
          </cell>
        </row>
        <row r="2206">
          <cell r="A2206" t="str">
            <v>IS_alqt_plus</v>
          </cell>
          <cell r="K2206" t="str">
            <v>LCAT</v>
          </cell>
          <cell r="M2206" t="str">
            <v>F</v>
          </cell>
          <cell r="AB2206" t="str">
            <v>WB</v>
          </cell>
          <cell r="AF2206">
            <v>0.2</v>
          </cell>
        </row>
        <row r="2207">
          <cell r="A2207" t="str">
            <v>IS_alqt_plus</v>
          </cell>
          <cell r="K2207" t="str">
            <v>LCAT</v>
          </cell>
          <cell r="M2207" t="str">
            <v>F</v>
          </cell>
          <cell r="AB2207" t="str">
            <v>WB</v>
          </cell>
          <cell r="AF2207">
            <v>0.2</v>
          </cell>
        </row>
        <row r="2208">
          <cell r="A2208" t="str">
            <v>IS_alqt_plus</v>
          </cell>
          <cell r="K2208" t="str">
            <v>LCAT</v>
          </cell>
          <cell r="M2208" t="str">
            <v>F</v>
          </cell>
          <cell r="AB2208" t="str">
            <v>WB</v>
          </cell>
          <cell r="AF2208">
            <v>0.2</v>
          </cell>
        </row>
        <row r="2209">
          <cell r="A2209" t="str">
            <v>IS_alqt_plus</v>
          </cell>
          <cell r="K2209" t="str">
            <v>LCAT</v>
          </cell>
          <cell r="M2209" t="str">
            <v>F</v>
          </cell>
          <cell r="AB2209" t="str">
            <v>WB</v>
          </cell>
          <cell r="AF2209">
            <v>0.2</v>
          </cell>
        </row>
        <row r="2210">
          <cell r="A2210" t="str">
            <v>gone</v>
          </cell>
          <cell r="K2210" t="str">
            <v>LCAT</v>
          </cell>
          <cell r="M2210" t="str">
            <v>F</v>
          </cell>
          <cell r="AB2210" t="str">
            <v>WB</v>
          </cell>
          <cell r="AF2210">
            <v>0</v>
          </cell>
        </row>
        <row r="2211">
          <cell r="A2211" t="str">
            <v>IS_alqt_plus</v>
          </cell>
          <cell r="K2211" t="str">
            <v>LCAT</v>
          </cell>
          <cell r="M2211" t="str">
            <v>F</v>
          </cell>
          <cell r="AB2211" t="str">
            <v>WB</v>
          </cell>
          <cell r="AF2211">
            <v>0.2</v>
          </cell>
        </row>
        <row r="2212">
          <cell r="A2212" t="str">
            <v>IS_alqt_plus</v>
          </cell>
          <cell r="K2212" t="str">
            <v>PCOQ</v>
          </cell>
          <cell r="M2212" t="str">
            <v>M</v>
          </cell>
          <cell r="AB2212" t="str">
            <v>serum</v>
          </cell>
          <cell r="AF2212">
            <v>0.2</v>
          </cell>
        </row>
        <row r="2213">
          <cell r="A2213" t="str">
            <v>IS_alqt_plus</v>
          </cell>
          <cell r="K2213" t="str">
            <v>PCOQ</v>
          </cell>
          <cell r="M2213" t="str">
            <v>M</v>
          </cell>
          <cell r="AB2213" t="str">
            <v>serum</v>
          </cell>
          <cell r="AF2213">
            <v>0.5</v>
          </cell>
        </row>
        <row r="2214">
          <cell r="A2214" t="str">
            <v>IS_alqt_plus</v>
          </cell>
          <cell r="K2214" t="str">
            <v>PCOQ</v>
          </cell>
          <cell r="M2214" t="str">
            <v>M</v>
          </cell>
          <cell r="AB2214" t="str">
            <v>serum</v>
          </cell>
          <cell r="AF2214">
            <v>0.5</v>
          </cell>
        </row>
        <row r="2215">
          <cell r="A2215" t="str">
            <v>IS_alqt_minus</v>
          </cell>
          <cell r="K2215" t="str">
            <v>PCOQ</v>
          </cell>
          <cell r="M2215" t="str">
            <v>M</v>
          </cell>
          <cell r="AB2215" t="str">
            <v>serum</v>
          </cell>
          <cell r="AF2215">
            <v>0.05</v>
          </cell>
        </row>
        <row r="2216">
          <cell r="A2216" t="str">
            <v>IS_alqt_plus</v>
          </cell>
          <cell r="K2216" t="str">
            <v>NCOU</v>
          </cell>
          <cell r="M2216" t="str">
            <v>F</v>
          </cell>
          <cell r="AB2216" t="str">
            <v>WB</v>
          </cell>
          <cell r="AF2216">
            <v>0.25</v>
          </cell>
        </row>
        <row r="2217">
          <cell r="A2217" t="str">
            <v>gone</v>
          </cell>
          <cell r="K2217" t="str">
            <v>NCOU</v>
          </cell>
          <cell r="M2217" t="str">
            <v>F</v>
          </cell>
          <cell r="AB2217" t="str">
            <v>WB</v>
          </cell>
          <cell r="AF2217">
            <v>0</v>
          </cell>
        </row>
        <row r="2218">
          <cell r="A2218" t="str">
            <v>IS_alqt_plus</v>
          </cell>
          <cell r="K2218" t="str">
            <v>LCAT</v>
          </cell>
          <cell r="M2218" t="str">
            <v>F</v>
          </cell>
          <cell r="AB2218" t="str">
            <v>WB</v>
          </cell>
          <cell r="AF2218">
            <v>0.2</v>
          </cell>
        </row>
        <row r="2219">
          <cell r="A2219" t="str">
            <v>IS_alqt_plus</v>
          </cell>
          <cell r="K2219" t="str">
            <v>LCAT</v>
          </cell>
          <cell r="M2219" t="str">
            <v>F</v>
          </cell>
          <cell r="AB2219" t="str">
            <v>WB</v>
          </cell>
          <cell r="AF2219">
            <v>0.5</v>
          </cell>
        </row>
        <row r="2220">
          <cell r="A2220" t="str">
            <v>IS_alqt_plus</v>
          </cell>
          <cell r="K2220" t="str">
            <v>LCAT</v>
          </cell>
          <cell r="M2220" t="str">
            <v>F</v>
          </cell>
          <cell r="AB2220" t="str">
            <v>WB</v>
          </cell>
          <cell r="AF2220">
            <v>0.2</v>
          </cell>
        </row>
        <row r="2221">
          <cell r="A2221" t="str">
            <v>IS_alqt_plus</v>
          </cell>
          <cell r="K2221" t="str">
            <v>LCAT</v>
          </cell>
          <cell r="M2221" t="str">
            <v>F</v>
          </cell>
          <cell r="AB2221" t="str">
            <v>WB</v>
          </cell>
          <cell r="AF2221">
            <v>0.2</v>
          </cell>
        </row>
        <row r="2222">
          <cell r="A2222" t="str">
            <v>IS_alqt_plus</v>
          </cell>
          <cell r="K2222" t="str">
            <v>PDIA</v>
          </cell>
          <cell r="M2222" t="str">
            <v>M</v>
          </cell>
          <cell r="AB2222" t="str">
            <v>WB</v>
          </cell>
          <cell r="AF2222">
            <v>0.7</v>
          </cell>
        </row>
        <row r="2223">
          <cell r="A2223" t="str">
            <v>IS_alqt_plus</v>
          </cell>
          <cell r="K2223" t="str">
            <v>PDIA</v>
          </cell>
          <cell r="M2223" t="str">
            <v>M</v>
          </cell>
          <cell r="AB2223" t="str">
            <v>WB</v>
          </cell>
          <cell r="AF2223">
            <v>0.7</v>
          </cell>
        </row>
        <row r="2224">
          <cell r="A2224" t="str">
            <v>IS_alqt_plus</v>
          </cell>
          <cell r="K2224" t="str">
            <v>PTAT</v>
          </cell>
          <cell r="M2224" t="str">
            <v>M</v>
          </cell>
          <cell r="AB2224" t="str">
            <v>WB</v>
          </cell>
          <cell r="AF2224">
            <v>0.75</v>
          </cell>
        </row>
        <row r="2225">
          <cell r="A2225" t="str">
            <v>IS_alqt_plus</v>
          </cell>
          <cell r="K2225" t="str">
            <v>NCOU</v>
          </cell>
          <cell r="M2225" t="str">
            <v>F</v>
          </cell>
          <cell r="AB2225" t="str">
            <v>serum</v>
          </cell>
          <cell r="AF2225">
            <v>0.6</v>
          </cell>
        </row>
        <row r="2226">
          <cell r="A2226" t="str">
            <v>IS_alqt_plus</v>
          </cell>
          <cell r="K2226" t="str">
            <v>NCOU</v>
          </cell>
          <cell r="M2226" t="str">
            <v>F</v>
          </cell>
          <cell r="AB2226" t="str">
            <v>serum</v>
          </cell>
          <cell r="AF2226">
            <v>0.4</v>
          </cell>
        </row>
        <row r="2227">
          <cell r="A2227" t="str">
            <v>IS_alqt_plus</v>
          </cell>
          <cell r="K2227" t="str">
            <v>PCOQ</v>
          </cell>
          <cell r="M2227" t="str">
            <v>F</v>
          </cell>
          <cell r="AB2227" t="str">
            <v>serum</v>
          </cell>
          <cell r="AF2227">
            <v>0.7</v>
          </cell>
        </row>
        <row r="2228">
          <cell r="A2228" t="str">
            <v>IS_alqt_plus</v>
          </cell>
          <cell r="K2228" t="str">
            <v>PCOQ</v>
          </cell>
          <cell r="M2228" t="str">
            <v>F</v>
          </cell>
          <cell r="AB2228" t="str">
            <v>serum</v>
          </cell>
          <cell r="AF2228">
            <v>0.6</v>
          </cell>
        </row>
        <row r="2229">
          <cell r="A2229" t="str">
            <v>IS_alqt_minus</v>
          </cell>
          <cell r="K2229" t="str">
            <v>PCOQ</v>
          </cell>
          <cell r="M2229" t="str">
            <v>M</v>
          </cell>
          <cell r="AB2229" t="str">
            <v>serum</v>
          </cell>
          <cell r="AF2229">
            <v>0.1</v>
          </cell>
        </row>
        <row r="2230">
          <cell r="A2230" t="str">
            <v>IS_alqt_minus</v>
          </cell>
          <cell r="K2230" t="str">
            <v>PDIA</v>
          </cell>
          <cell r="M2230" t="str">
            <v>M</v>
          </cell>
          <cell r="AB2230" t="str">
            <v>serum</v>
          </cell>
          <cell r="AF2230">
            <v>0.1</v>
          </cell>
        </row>
        <row r="2231">
          <cell r="A2231" t="str">
            <v>IS_alqt_plus</v>
          </cell>
          <cell r="K2231" t="str">
            <v>PTAT</v>
          </cell>
          <cell r="M2231" t="str">
            <v>M</v>
          </cell>
          <cell r="AB2231" t="str">
            <v>serum</v>
          </cell>
          <cell r="AF2231">
            <v>1</v>
          </cell>
        </row>
        <row r="2232">
          <cell r="A2232" t="str">
            <v>IS_alqt_minus</v>
          </cell>
          <cell r="K2232" t="str">
            <v>MMUR</v>
          </cell>
          <cell r="M2232" t="str">
            <v>M</v>
          </cell>
          <cell r="AB2232" t="str">
            <v>plasma</v>
          </cell>
          <cell r="AF2232">
            <v>0.15</v>
          </cell>
        </row>
        <row r="2233">
          <cell r="A2233" t="str">
            <v>IS_alqt_plus</v>
          </cell>
          <cell r="K2233" t="str">
            <v>MMUR</v>
          </cell>
          <cell r="M2233" t="str">
            <v>M</v>
          </cell>
          <cell r="AB2233" t="str">
            <v>plasma</v>
          </cell>
          <cell r="AF2233">
            <v>0.25</v>
          </cell>
        </row>
        <row r="2234">
          <cell r="A2234" t="str">
            <v>IS_alqt_plus</v>
          </cell>
          <cell r="K2234" t="str">
            <v>CMED</v>
          </cell>
          <cell r="M2234" t="str">
            <v>F</v>
          </cell>
          <cell r="AB2234" t="str">
            <v>PRBC</v>
          </cell>
          <cell r="AF2234">
            <v>0.2</v>
          </cell>
        </row>
        <row r="2235">
          <cell r="A2235" t="str">
            <v>IS_alqt_plus</v>
          </cell>
          <cell r="K2235" t="str">
            <v>CMED</v>
          </cell>
          <cell r="M2235" t="str">
            <v>F</v>
          </cell>
          <cell r="AB2235" t="str">
            <v>PRBC</v>
          </cell>
          <cell r="AF2235">
            <v>0.2</v>
          </cell>
        </row>
        <row r="2236">
          <cell r="A2236" t="str">
            <v>IS_alqt_plus</v>
          </cell>
          <cell r="K2236" t="str">
            <v>CMED</v>
          </cell>
          <cell r="M2236" t="str">
            <v>M</v>
          </cell>
          <cell r="AB2236" t="str">
            <v>PRBC</v>
          </cell>
          <cell r="AF2236">
            <v>0.4</v>
          </cell>
        </row>
        <row r="2237">
          <cell r="A2237" t="str">
            <v>IS_alqt_plus</v>
          </cell>
          <cell r="K2237" t="str">
            <v>PCOQ</v>
          </cell>
          <cell r="M2237" t="str">
            <v>M</v>
          </cell>
          <cell r="AB2237" t="str">
            <v>serum</v>
          </cell>
          <cell r="AF2237">
            <v>0.6</v>
          </cell>
        </row>
        <row r="2238">
          <cell r="A2238" t="str">
            <v>IS_alqt_minus</v>
          </cell>
          <cell r="K2238" t="str">
            <v>LCAT</v>
          </cell>
          <cell r="M2238" t="str">
            <v>F</v>
          </cell>
          <cell r="AB2238" t="str">
            <v>WB</v>
          </cell>
          <cell r="AF2238">
            <v>0.1</v>
          </cell>
        </row>
        <row r="2239">
          <cell r="A2239" t="str">
            <v>IS_alqt_plus</v>
          </cell>
          <cell r="K2239" t="str">
            <v>LCAT</v>
          </cell>
          <cell r="M2239" t="str">
            <v>F</v>
          </cell>
          <cell r="AB2239" t="str">
            <v>WB</v>
          </cell>
          <cell r="AF2239">
            <v>0.2</v>
          </cell>
        </row>
        <row r="2240">
          <cell r="A2240" t="str">
            <v>IS_alqt_plus</v>
          </cell>
          <cell r="K2240" t="str">
            <v>LCAT</v>
          </cell>
          <cell r="M2240" t="str">
            <v>F</v>
          </cell>
          <cell r="AB2240" t="str">
            <v>serum</v>
          </cell>
          <cell r="AF2240">
            <v>0.7</v>
          </cell>
        </row>
        <row r="2241">
          <cell r="A2241" t="str">
            <v>IS_alqt_plus</v>
          </cell>
          <cell r="K2241" t="str">
            <v>PCOQ</v>
          </cell>
          <cell r="M2241" t="str">
            <v>F</v>
          </cell>
          <cell r="AB2241" t="str">
            <v>serum</v>
          </cell>
          <cell r="AF2241">
            <v>1.2</v>
          </cell>
        </row>
        <row r="2242">
          <cell r="A2242" t="str">
            <v>IS_alqt_plus</v>
          </cell>
          <cell r="K2242" t="str">
            <v>PCOQ</v>
          </cell>
          <cell r="M2242" t="str">
            <v>F</v>
          </cell>
          <cell r="AB2242" t="str">
            <v>serum</v>
          </cell>
          <cell r="AF2242">
            <v>0.4</v>
          </cell>
        </row>
        <row r="2243">
          <cell r="A2243" t="str">
            <v>IS_alqt_plus</v>
          </cell>
          <cell r="K2243" t="str">
            <v>CMED</v>
          </cell>
          <cell r="M2243" t="str">
            <v>F</v>
          </cell>
          <cell r="AB2243" t="str">
            <v>Fluid- abdominal</v>
          </cell>
          <cell r="AF2243">
            <v>0.3</v>
          </cell>
        </row>
        <row r="2244">
          <cell r="A2244" t="str">
            <v>IS_alqt_plus</v>
          </cell>
          <cell r="K2244" t="str">
            <v>LCAT</v>
          </cell>
          <cell r="M2244" t="str">
            <v>F</v>
          </cell>
          <cell r="AB2244" t="str">
            <v>WB</v>
          </cell>
          <cell r="AF2244">
            <v>0.6</v>
          </cell>
        </row>
        <row r="2245">
          <cell r="A2245" t="str">
            <v>IS_alqt_plus</v>
          </cell>
          <cell r="K2245" t="str">
            <v>LCAT</v>
          </cell>
          <cell r="M2245" t="str">
            <v>F</v>
          </cell>
          <cell r="AB2245" t="str">
            <v>WB</v>
          </cell>
          <cell r="AF2245">
            <v>0.2</v>
          </cell>
        </row>
        <row r="2246">
          <cell r="A2246" t="str">
            <v>gone</v>
          </cell>
          <cell r="K2246" t="str">
            <v>PCOQ</v>
          </cell>
          <cell r="M2246" t="str">
            <v>F</v>
          </cell>
          <cell r="AB2246" t="str">
            <v>serum</v>
          </cell>
          <cell r="AF2246">
            <v>0</v>
          </cell>
        </row>
        <row r="2247">
          <cell r="A2247" t="str">
            <v>gone</v>
          </cell>
          <cell r="K2247" t="str">
            <v>PCOQ</v>
          </cell>
          <cell r="M2247" t="str">
            <v>M</v>
          </cell>
          <cell r="AB2247" t="str">
            <v>serum</v>
          </cell>
          <cell r="AF2247">
            <v>0</v>
          </cell>
        </row>
        <row r="2248">
          <cell r="A2248" t="str">
            <v>gone</v>
          </cell>
          <cell r="K2248" t="str">
            <v>PCOQ</v>
          </cell>
          <cell r="M2248" t="str">
            <v>M</v>
          </cell>
          <cell r="AB2248" t="str">
            <v>serum</v>
          </cell>
          <cell r="AF2248">
            <v>0</v>
          </cell>
        </row>
        <row r="2249">
          <cell r="A2249" t="str">
            <v>gone</v>
          </cell>
          <cell r="K2249" t="str">
            <v>LTAR</v>
          </cell>
          <cell r="M2249" t="str">
            <v>M</v>
          </cell>
          <cell r="AB2249" t="str">
            <v>WB</v>
          </cell>
          <cell r="AF2249">
            <v>0</v>
          </cell>
        </row>
        <row r="2250">
          <cell r="A2250" t="str">
            <v>IS_alqt_plus</v>
          </cell>
          <cell r="K2250" t="str">
            <v>LCAT</v>
          </cell>
          <cell r="M2250" t="str">
            <v>F</v>
          </cell>
          <cell r="AB2250" t="str">
            <v>WB</v>
          </cell>
          <cell r="AF2250">
            <v>0.2</v>
          </cell>
        </row>
        <row r="2251">
          <cell r="A2251" t="str">
            <v>IS_alqt_plus</v>
          </cell>
          <cell r="K2251" t="str">
            <v>NPYG</v>
          </cell>
          <cell r="M2251" t="str">
            <v>F</v>
          </cell>
          <cell r="AB2251" t="str">
            <v>PRBC</v>
          </cell>
          <cell r="AF2251">
            <v>0.4</v>
          </cell>
        </row>
        <row r="2252">
          <cell r="A2252" t="str">
            <v>IS_alqt_plus</v>
          </cell>
          <cell r="K2252" t="str">
            <v>PCOQ</v>
          </cell>
          <cell r="M2252" t="str">
            <v>F</v>
          </cell>
          <cell r="AB2252" t="str">
            <v>serum</v>
          </cell>
          <cell r="AF2252">
            <v>1</v>
          </cell>
        </row>
        <row r="2253">
          <cell r="A2253" t="str">
            <v>IS_alqt_plus</v>
          </cell>
          <cell r="K2253" t="str">
            <v>PCOQ</v>
          </cell>
          <cell r="M2253" t="str">
            <v>F</v>
          </cell>
          <cell r="AB2253" t="str">
            <v>serum</v>
          </cell>
          <cell r="AF2253">
            <v>1</v>
          </cell>
        </row>
        <row r="2254">
          <cell r="A2254" t="str">
            <v>IS_alqt_plus</v>
          </cell>
          <cell r="K2254" t="str">
            <v>EFLA</v>
          </cell>
          <cell r="M2254" t="str">
            <v>F</v>
          </cell>
          <cell r="AB2254" t="str">
            <v>WB</v>
          </cell>
          <cell r="AF2254">
            <v>0.25</v>
          </cell>
        </row>
        <row r="2255">
          <cell r="A2255" t="str">
            <v>gone</v>
          </cell>
          <cell r="K2255" t="str">
            <v>EFLA</v>
          </cell>
          <cell r="M2255" t="str">
            <v>F</v>
          </cell>
          <cell r="AB2255" t="str">
            <v>WB</v>
          </cell>
          <cell r="AF2255">
            <v>0</v>
          </cell>
        </row>
        <row r="2256">
          <cell r="A2256" t="str">
            <v>IS_alqt_plus</v>
          </cell>
          <cell r="K2256" t="str">
            <v>EFLA</v>
          </cell>
          <cell r="M2256" t="str">
            <v>F</v>
          </cell>
          <cell r="AB2256" t="str">
            <v>serum</v>
          </cell>
          <cell r="AF2256">
            <v>0.6</v>
          </cell>
        </row>
        <row r="2257">
          <cell r="A2257" t="str">
            <v>IS_alqt_plus</v>
          </cell>
          <cell r="K2257" t="str">
            <v>EFLA</v>
          </cell>
          <cell r="M2257" t="str">
            <v>F</v>
          </cell>
          <cell r="AB2257" t="str">
            <v>serum</v>
          </cell>
          <cell r="AF2257">
            <v>0.2</v>
          </cell>
        </row>
        <row r="2258">
          <cell r="A2258" t="str">
            <v>IS_alqt_plus</v>
          </cell>
          <cell r="K2258" t="str">
            <v>PCOQ</v>
          </cell>
          <cell r="M2258" t="str">
            <v>M</v>
          </cell>
          <cell r="AB2258" t="str">
            <v>serum</v>
          </cell>
          <cell r="AF2258">
            <v>0.6</v>
          </cell>
        </row>
        <row r="2259">
          <cell r="A2259" t="str">
            <v>IS_alqt_plus</v>
          </cell>
          <cell r="K2259" t="str">
            <v>PCOQ</v>
          </cell>
          <cell r="M2259" t="str">
            <v>F</v>
          </cell>
          <cell r="AB2259" t="str">
            <v>serum</v>
          </cell>
          <cell r="AF2259">
            <v>0.45</v>
          </cell>
        </row>
        <row r="2260">
          <cell r="A2260" t="str">
            <v>IS_alqt_plus</v>
          </cell>
          <cell r="K2260" t="str">
            <v>CMED</v>
          </cell>
          <cell r="M2260" t="str">
            <v>M</v>
          </cell>
          <cell r="AB2260" t="str">
            <v>PRBC</v>
          </cell>
          <cell r="AF2260">
            <v>0.25</v>
          </cell>
        </row>
        <row r="2261">
          <cell r="A2261" t="str">
            <v>IS_alqt_plus</v>
          </cell>
          <cell r="K2261" t="str">
            <v>LCAT</v>
          </cell>
          <cell r="M2261" t="str">
            <v>F</v>
          </cell>
          <cell r="AB2261" t="str">
            <v>WB</v>
          </cell>
          <cell r="AF2261">
            <v>0.2</v>
          </cell>
        </row>
        <row r="2262">
          <cell r="A2262" t="str">
            <v>IS_alqt_plus</v>
          </cell>
          <cell r="K2262" t="str">
            <v>LCAT</v>
          </cell>
          <cell r="M2262" t="str">
            <v>F</v>
          </cell>
          <cell r="AB2262" t="str">
            <v>WB</v>
          </cell>
          <cell r="AF2262">
            <v>0.2</v>
          </cell>
        </row>
        <row r="2263">
          <cell r="A2263" t="str">
            <v>IS_alqt_plus</v>
          </cell>
          <cell r="K2263" t="str">
            <v>PCOQ</v>
          </cell>
          <cell r="M2263" t="str">
            <v>M</v>
          </cell>
          <cell r="AB2263" t="str">
            <v>Fluid- abdominal</v>
          </cell>
          <cell r="AF2263">
            <v>0.75</v>
          </cell>
        </row>
        <row r="2264">
          <cell r="A2264" t="str">
            <v>IS_alqt_minus</v>
          </cell>
          <cell r="K2264" t="str">
            <v>LCAT</v>
          </cell>
          <cell r="M2264" t="str">
            <v>F</v>
          </cell>
          <cell r="AB2264" t="str">
            <v>WB</v>
          </cell>
          <cell r="AF2264">
            <v>0.1</v>
          </cell>
        </row>
        <row r="2265">
          <cell r="A2265" t="str">
            <v>IS_alqt_plus</v>
          </cell>
          <cell r="K2265" t="str">
            <v>ECOL</v>
          </cell>
          <cell r="M2265" t="str">
            <v>F</v>
          </cell>
          <cell r="AB2265" t="str">
            <v>serum</v>
          </cell>
          <cell r="AF2265">
            <v>1</v>
          </cell>
        </row>
        <row r="2266">
          <cell r="A2266" t="str">
            <v>IS_alqt_plus</v>
          </cell>
          <cell r="K2266" t="str">
            <v>ECOL</v>
          </cell>
          <cell r="M2266" t="str">
            <v>F</v>
          </cell>
          <cell r="AB2266" t="str">
            <v>serum</v>
          </cell>
          <cell r="AF2266">
            <v>0.5</v>
          </cell>
        </row>
        <row r="2267">
          <cell r="A2267" t="str">
            <v>IS_alqt_plus</v>
          </cell>
          <cell r="K2267" t="str">
            <v>LCAT</v>
          </cell>
          <cell r="M2267" t="str">
            <v>F</v>
          </cell>
          <cell r="AB2267" t="str">
            <v>serum</v>
          </cell>
          <cell r="AF2267">
            <v>0.25</v>
          </cell>
        </row>
        <row r="2268">
          <cell r="A2268" t="str">
            <v>gone</v>
          </cell>
          <cell r="K2268" t="str">
            <v>LCAT</v>
          </cell>
          <cell r="M2268" t="str">
            <v>F</v>
          </cell>
          <cell r="AB2268" t="str">
            <v>serum</v>
          </cell>
          <cell r="AF2268">
            <v>0</v>
          </cell>
        </row>
        <row r="2269">
          <cell r="A2269" t="str">
            <v>IS_alqt_plus</v>
          </cell>
          <cell r="K2269" t="str">
            <v>LCAT</v>
          </cell>
          <cell r="M2269" t="str">
            <v>M</v>
          </cell>
          <cell r="AB2269" t="str">
            <v>serum</v>
          </cell>
          <cell r="AF2269">
            <v>0.6</v>
          </cell>
        </row>
        <row r="2270">
          <cell r="A2270" t="str">
            <v>IS_alqt_plus</v>
          </cell>
          <cell r="K2270" t="str">
            <v>LCAT</v>
          </cell>
          <cell r="M2270" t="str">
            <v>M</v>
          </cell>
          <cell r="AB2270" t="str">
            <v>serum</v>
          </cell>
          <cell r="AF2270">
            <v>0.7</v>
          </cell>
        </row>
        <row r="2271">
          <cell r="A2271" t="str">
            <v>IS_alqt_plus</v>
          </cell>
          <cell r="K2271" t="str">
            <v>ECOL</v>
          </cell>
          <cell r="M2271" t="str">
            <v>M</v>
          </cell>
          <cell r="AB2271" t="str">
            <v>WB</v>
          </cell>
          <cell r="AF2271">
            <v>0.75</v>
          </cell>
        </row>
        <row r="2272">
          <cell r="A2272" t="str">
            <v>IS_alqt_plus</v>
          </cell>
          <cell r="K2272" t="str">
            <v>LCAT</v>
          </cell>
          <cell r="M2272" t="str">
            <v>M</v>
          </cell>
          <cell r="AB2272" t="str">
            <v>serum</v>
          </cell>
          <cell r="AF2272">
            <v>0.5</v>
          </cell>
        </row>
        <row r="2273">
          <cell r="A2273" t="str">
            <v>IS_alqt_plus</v>
          </cell>
          <cell r="K2273" t="str">
            <v>LCAT</v>
          </cell>
          <cell r="M2273" t="str">
            <v>M</v>
          </cell>
          <cell r="AB2273" t="str">
            <v>PRBC</v>
          </cell>
          <cell r="AF2273">
            <v>0.5</v>
          </cell>
        </row>
        <row r="2274">
          <cell r="A2274" t="str">
            <v>IS_alqt_plus</v>
          </cell>
          <cell r="K2274" t="str">
            <v>ECOL</v>
          </cell>
          <cell r="M2274" t="str">
            <v>M</v>
          </cell>
          <cell r="AB2274" t="str">
            <v>serum</v>
          </cell>
          <cell r="AF2274">
            <v>1</v>
          </cell>
        </row>
        <row r="2275">
          <cell r="A2275" t="str">
            <v>IS_alqt_plus</v>
          </cell>
          <cell r="K2275" t="str">
            <v>LCAT</v>
          </cell>
          <cell r="M2275" t="str">
            <v>M</v>
          </cell>
          <cell r="AB2275" t="str">
            <v>PRBC</v>
          </cell>
          <cell r="AF2275">
            <v>0.5</v>
          </cell>
        </row>
        <row r="2276">
          <cell r="A2276" t="str">
            <v>IS_alqt_plus</v>
          </cell>
          <cell r="K2276" t="str">
            <v>LCAT</v>
          </cell>
          <cell r="M2276" t="str">
            <v>M</v>
          </cell>
          <cell r="AB2276" t="str">
            <v>PRBC</v>
          </cell>
          <cell r="AF2276">
            <v>0.5</v>
          </cell>
        </row>
        <row r="2277">
          <cell r="A2277" t="str">
            <v>IS_alqt_plus</v>
          </cell>
          <cell r="K2277" t="str">
            <v>EMON</v>
          </cell>
          <cell r="M2277" t="str">
            <v>M</v>
          </cell>
          <cell r="AB2277" t="str">
            <v>serum</v>
          </cell>
          <cell r="AF2277">
            <v>0.7</v>
          </cell>
        </row>
        <row r="2278">
          <cell r="A2278" t="str">
            <v>IS_alqt_plus</v>
          </cell>
          <cell r="K2278" t="str">
            <v>EMON</v>
          </cell>
          <cell r="M2278" t="str">
            <v>M</v>
          </cell>
          <cell r="AB2278" t="str">
            <v>serum</v>
          </cell>
          <cell r="AF2278">
            <v>0.7</v>
          </cell>
        </row>
        <row r="2279">
          <cell r="A2279" t="str">
            <v>IS_alqt_plus</v>
          </cell>
          <cell r="K2279" t="str">
            <v>EMON</v>
          </cell>
          <cell r="M2279" t="str">
            <v>F</v>
          </cell>
          <cell r="AB2279" t="str">
            <v>serum</v>
          </cell>
          <cell r="AF2279">
            <v>0.8</v>
          </cell>
        </row>
        <row r="2280">
          <cell r="A2280" t="str">
            <v>gone</v>
          </cell>
          <cell r="K2280" t="str">
            <v>EMON</v>
          </cell>
          <cell r="M2280" t="str">
            <v>F</v>
          </cell>
          <cell r="AB2280" t="str">
            <v>serum</v>
          </cell>
          <cell r="AF2280">
            <v>0</v>
          </cell>
        </row>
        <row r="2281">
          <cell r="A2281" t="str">
            <v>IS_alqt_plus</v>
          </cell>
          <cell r="K2281" t="str">
            <v>EMON</v>
          </cell>
          <cell r="M2281" t="str">
            <v>M</v>
          </cell>
          <cell r="AB2281" t="str">
            <v>serum</v>
          </cell>
          <cell r="AF2281">
            <v>0.5</v>
          </cell>
        </row>
        <row r="2282">
          <cell r="A2282" t="str">
            <v>IS_alqt_plus</v>
          </cell>
          <cell r="K2282" t="str">
            <v>EMON</v>
          </cell>
          <cell r="M2282" t="str">
            <v>M</v>
          </cell>
          <cell r="AB2282" t="str">
            <v>serum</v>
          </cell>
          <cell r="AF2282">
            <v>0.5</v>
          </cell>
        </row>
        <row r="2283">
          <cell r="A2283" t="str">
            <v>IS_alqt_plus</v>
          </cell>
          <cell r="K2283" t="str">
            <v>CMED</v>
          </cell>
          <cell r="M2283" t="str">
            <v>F</v>
          </cell>
          <cell r="AB2283" t="str">
            <v>PRBC</v>
          </cell>
          <cell r="AF2283">
            <v>0.5</v>
          </cell>
        </row>
        <row r="2284">
          <cell r="A2284" t="str">
            <v>IS_alqt_plus</v>
          </cell>
          <cell r="K2284" t="str">
            <v>ECOL</v>
          </cell>
          <cell r="M2284" t="str">
            <v>M</v>
          </cell>
          <cell r="AB2284" t="str">
            <v>WB</v>
          </cell>
          <cell r="AF2284">
            <v>0.7</v>
          </cell>
        </row>
        <row r="2285">
          <cell r="A2285" t="str">
            <v>IS_alqt_plus</v>
          </cell>
          <cell r="K2285" t="str">
            <v>ECOL</v>
          </cell>
          <cell r="M2285" t="str">
            <v>M</v>
          </cell>
          <cell r="AB2285" t="str">
            <v>WB</v>
          </cell>
          <cell r="AF2285">
            <v>0.6</v>
          </cell>
        </row>
        <row r="2286">
          <cell r="A2286" t="str">
            <v>IS_alqt_plus</v>
          </cell>
          <cell r="K2286" t="str">
            <v>ECOL</v>
          </cell>
          <cell r="M2286" t="str">
            <v>M</v>
          </cell>
          <cell r="AB2286" t="str">
            <v>serum</v>
          </cell>
          <cell r="AF2286">
            <v>0.7</v>
          </cell>
        </row>
        <row r="2287">
          <cell r="A2287" t="str">
            <v>IS_alqt_plus</v>
          </cell>
          <cell r="K2287" t="str">
            <v>ECOL</v>
          </cell>
          <cell r="M2287" t="str">
            <v>M</v>
          </cell>
          <cell r="AB2287" t="str">
            <v>serum</v>
          </cell>
          <cell r="AF2287">
            <v>1</v>
          </cell>
        </row>
        <row r="2288">
          <cell r="A2288" t="str">
            <v>IS_alqt_plus</v>
          </cell>
          <cell r="K2288" t="str">
            <v>PCOQ</v>
          </cell>
          <cell r="M2288" t="str">
            <v>M</v>
          </cell>
          <cell r="AB2288" t="str">
            <v>Fluid- abdominal</v>
          </cell>
          <cell r="AF2288">
            <v>1.2</v>
          </cell>
        </row>
        <row r="2289">
          <cell r="A2289" t="str">
            <v>IS_alqt_plus</v>
          </cell>
          <cell r="K2289" t="str">
            <v>PCOQ</v>
          </cell>
          <cell r="M2289" t="str">
            <v>M</v>
          </cell>
          <cell r="AB2289" t="str">
            <v>Fluid- abdominal</v>
          </cell>
          <cell r="AF2289">
            <v>1.5</v>
          </cell>
        </row>
        <row r="2290">
          <cell r="A2290" t="str">
            <v>IS_alqt_plus</v>
          </cell>
          <cell r="K2290" t="str">
            <v>VRUB</v>
          </cell>
          <cell r="M2290" t="str">
            <v>F</v>
          </cell>
          <cell r="AB2290" t="str">
            <v>serum</v>
          </cell>
          <cell r="AF2290">
            <v>0.4</v>
          </cell>
        </row>
        <row r="2291">
          <cell r="A2291" t="str">
            <v>IS_alqt_plus</v>
          </cell>
          <cell r="K2291" t="str">
            <v>LCAT</v>
          </cell>
          <cell r="M2291" t="str">
            <v>F</v>
          </cell>
          <cell r="AB2291" t="str">
            <v>WB</v>
          </cell>
          <cell r="AF2291">
            <v>0.6</v>
          </cell>
        </row>
        <row r="2292">
          <cell r="A2292" t="str">
            <v>gone</v>
          </cell>
          <cell r="K2292" t="str">
            <v>LCAT</v>
          </cell>
          <cell r="M2292" t="str">
            <v>F</v>
          </cell>
          <cell r="AB2292" t="str">
            <v>WB</v>
          </cell>
          <cell r="AF2292">
            <v>0</v>
          </cell>
        </row>
        <row r="2293">
          <cell r="A2293" t="str">
            <v>IS_alqt_plus</v>
          </cell>
          <cell r="K2293" t="str">
            <v>LCAT</v>
          </cell>
          <cell r="M2293" t="str">
            <v>F</v>
          </cell>
          <cell r="AB2293" t="str">
            <v>WB</v>
          </cell>
          <cell r="AF2293">
            <v>0.5</v>
          </cell>
        </row>
        <row r="2294">
          <cell r="A2294" t="str">
            <v>IS_alqt_plus</v>
          </cell>
          <cell r="K2294" t="str">
            <v>LCAT</v>
          </cell>
          <cell r="M2294" t="str">
            <v>M</v>
          </cell>
          <cell r="AB2294" t="str">
            <v>WB</v>
          </cell>
          <cell r="AF2294">
            <v>0.65</v>
          </cell>
        </row>
        <row r="2295">
          <cell r="A2295" t="str">
            <v>gone</v>
          </cell>
          <cell r="K2295" t="str">
            <v>LCAT</v>
          </cell>
          <cell r="M2295" t="str">
            <v>M</v>
          </cell>
          <cell r="AB2295" t="str">
            <v>serum</v>
          </cell>
          <cell r="AF2295">
            <v>0</v>
          </cell>
        </row>
        <row r="2296">
          <cell r="A2296" t="str">
            <v>IS_alqt_plus</v>
          </cell>
          <cell r="K2296" t="str">
            <v>LCAT</v>
          </cell>
          <cell r="M2296" t="str">
            <v>M</v>
          </cell>
          <cell r="AB2296" t="str">
            <v>serum</v>
          </cell>
          <cell r="AF2296">
            <v>0.3</v>
          </cell>
        </row>
        <row r="2297">
          <cell r="A2297" t="str">
            <v>IS_alqt_plus</v>
          </cell>
          <cell r="K2297" t="str">
            <v>LCAT</v>
          </cell>
          <cell r="M2297" t="str">
            <v>F</v>
          </cell>
          <cell r="AB2297" t="str">
            <v>serum</v>
          </cell>
          <cell r="AF2297">
            <v>0.8</v>
          </cell>
        </row>
        <row r="2298">
          <cell r="A2298" t="str">
            <v>gone</v>
          </cell>
          <cell r="K2298" t="str">
            <v>ECOL</v>
          </cell>
          <cell r="M2298" t="str">
            <v>M</v>
          </cell>
          <cell r="AB2298" t="str">
            <v>WB</v>
          </cell>
          <cell r="AF2298">
            <v>0</v>
          </cell>
        </row>
        <row r="2299">
          <cell r="A2299" t="str">
            <v>IS_alqt_plus</v>
          </cell>
          <cell r="K2299" t="str">
            <v>ECOL</v>
          </cell>
          <cell r="M2299" t="str">
            <v>M</v>
          </cell>
          <cell r="AB2299" t="str">
            <v>serum</v>
          </cell>
          <cell r="AF2299">
            <v>0.6</v>
          </cell>
        </row>
        <row r="2300">
          <cell r="A2300" t="str">
            <v>gone</v>
          </cell>
          <cell r="K2300" t="str">
            <v>VRUB</v>
          </cell>
          <cell r="M2300" t="str">
            <v>M</v>
          </cell>
          <cell r="AB2300" t="str">
            <v>WB</v>
          </cell>
          <cell r="AF2300">
            <v>0</v>
          </cell>
        </row>
        <row r="2301">
          <cell r="A2301" t="str">
            <v>IS_alqt_plus</v>
          </cell>
          <cell r="K2301" t="str">
            <v>VRUB</v>
          </cell>
          <cell r="M2301" t="str">
            <v>M</v>
          </cell>
          <cell r="AB2301" t="str">
            <v>serum</v>
          </cell>
          <cell r="AF2301">
            <v>0.8</v>
          </cell>
        </row>
        <row r="2302">
          <cell r="A2302" t="str">
            <v>IS_alqt_plus</v>
          </cell>
          <cell r="K2302" t="str">
            <v>CMED</v>
          </cell>
          <cell r="M2302" t="str">
            <v>F</v>
          </cell>
          <cell r="AB2302" t="str">
            <v>PRBC</v>
          </cell>
          <cell r="AF2302">
            <v>0.5</v>
          </cell>
        </row>
        <row r="2303">
          <cell r="A2303" t="str">
            <v>IS_alqt_plus</v>
          </cell>
          <cell r="K2303" t="str">
            <v>LCAT</v>
          </cell>
          <cell r="M2303" t="str">
            <v>F</v>
          </cell>
          <cell r="AB2303" t="str">
            <v>WB</v>
          </cell>
          <cell r="AF2303">
            <v>0.7</v>
          </cell>
        </row>
        <row r="2304">
          <cell r="A2304" t="str">
            <v>IS_alqt_plus</v>
          </cell>
          <cell r="K2304" t="str">
            <v>LCAT</v>
          </cell>
          <cell r="M2304" t="str">
            <v>M</v>
          </cell>
          <cell r="AB2304" t="str">
            <v>WB</v>
          </cell>
          <cell r="AF2304">
            <v>0.5</v>
          </cell>
        </row>
        <row r="2305">
          <cell r="A2305" t="str">
            <v>IS_alqt_plus</v>
          </cell>
          <cell r="K2305" t="str">
            <v>LCAT</v>
          </cell>
          <cell r="M2305" t="str">
            <v>F</v>
          </cell>
          <cell r="AB2305" t="str">
            <v>serum</v>
          </cell>
          <cell r="AF2305">
            <v>0.5</v>
          </cell>
        </row>
        <row r="2306">
          <cell r="A2306" t="str">
            <v>IS_alqt_plus</v>
          </cell>
          <cell r="K2306" t="str">
            <v>LCAT</v>
          </cell>
          <cell r="M2306" t="str">
            <v>F</v>
          </cell>
          <cell r="AB2306" t="str">
            <v>serum</v>
          </cell>
          <cell r="AF2306">
            <v>0.45</v>
          </cell>
        </row>
        <row r="2307">
          <cell r="A2307" t="str">
            <v>IS_alqt_minus</v>
          </cell>
          <cell r="K2307" t="str">
            <v>LCAT</v>
          </cell>
          <cell r="M2307" t="str">
            <v>M</v>
          </cell>
          <cell r="AB2307" t="str">
            <v>serum</v>
          </cell>
          <cell r="AF2307">
            <v>0.02</v>
          </cell>
        </row>
        <row r="2308">
          <cell r="A2308" t="str">
            <v>IS_alqt_plus</v>
          </cell>
          <cell r="K2308" t="str">
            <v>EMON</v>
          </cell>
          <cell r="M2308" t="str">
            <v>F</v>
          </cell>
          <cell r="AB2308" t="str">
            <v>serum</v>
          </cell>
          <cell r="AF2308">
            <v>0.75</v>
          </cell>
        </row>
        <row r="2309">
          <cell r="A2309" t="str">
            <v>IS_alqt_plus</v>
          </cell>
          <cell r="K2309" t="str">
            <v>CMED</v>
          </cell>
          <cell r="M2309" t="str">
            <v>F</v>
          </cell>
          <cell r="AB2309" t="str">
            <v>PRBC</v>
          </cell>
          <cell r="AF2309">
            <v>0.2</v>
          </cell>
        </row>
        <row r="2310">
          <cell r="A2310" t="str">
            <v>IS_alqt_plus</v>
          </cell>
          <cell r="K2310" t="str">
            <v>CMED</v>
          </cell>
          <cell r="M2310" t="str">
            <v>F</v>
          </cell>
          <cell r="AB2310" t="str">
            <v>PRBC</v>
          </cell>
          <cell r="AF2310">
            <v>0.5</v>
          </cell>
        </row>
        <row r="2311">
          <cell r="A2311" t="str">
            <v>IS_alqt_plus</v>
          </cell>
          <cell r="K2311" t="str">
            <v>CMED</v>
          </cell>
          <cell r="M2311" t="str">
            <v>F</v>
          </cell>
          <cell r="AB2311" t="str">
            <v>PRBC</v>
          </cell>
          <cell r="AF2311">
            <v>0.5</v>
          </cell>
        </row>
        <row r="2312">
          <cell r="A2312" t="str">
            <v>IS_alqt_plus</v>
          </cell>
          <cell r="K2312" t="str">
            <v>CMED</v>
          </cell>
          <cell r="M2312" t="str">
            <v>F</v>
          </cell>
          <cell r="AB2312" t="str">
            <v>PRBC</v>
          </cell>
          <cell r="AF2312">
            <v>0.25</v>
          </cell>
        </row>
        <row r="2313">
          <cell r="A2313" t="str">
            <v>IS_alqt_plus</v>
          </cell>
          <cell r="K2313" t="str">
            <v>CMED</v>
          </cell>
          <cell r="M2313" t="str">
            <v>F</v>
          </cell>
          <cell r="AB2313" t="str">
            <v>PRBC</v>
          </cell>
          <cell r="AF2313">
            <v>0.5</v>
          </cell>
        </row>
        <row r="2314">
          <cell r="A2314" t="str">
            <v>IS_alqt_plus</v>
          </cell>
          <cell r="K2314" t="str">
            <v>CMED</v>
          </cell>
          <cell r="M2314" t="str">
            <v>F</v>
          </cell>
          <cell r="AB2314" t="str">
            <v>PRBC</v>
          </cell>
          <cell r="AF2314">
            <v>0.5</v>
          </cell>
        </row>
        <row r="2315">
          <cell r="A2315" t="str">
            <v>IS_alqt_plus</v>
          </cell>
          <cell r="K2315" t="str">
            <v>CMED</v>
          </cell>
          <cell r="M2315" t="str">
            <v>F</v>
          </cell>
          <cell r="AB2315" t="str">
            <v>serum</v>
          </cell>
          <cell r="AF2315">
            <v>0.35</v>
          </cell>
        </row>
        <row r="2316">
          <cell r="A2316" t="str">
            <v>IS_alqt_plus</v>
          </cell>
          <cell r="K2316" t="str">
            <v>ERUF</v>
          </cell>
          <cell r="M2316" t="str">
            <v>F</v>
          </cell>
          <cell r="AB2316" t="str">
            <v>WB</v>
          </cell>
          <cell r="AF2316">
            <v>0.75</v>
          </cell>
        </row>
        <row r="2317">
          <cell r="A2317" t="str">
            <v>IS_alqt_plus</v>
          </cell>
          <cell r="K2317" t="str">
            <v>ERUF</v>
          </cell>
          <cell r="M2317" t="str">
            <v>F</v>
          </cell>
          <cell r="AB2317" t="str">
            <v>WB</v>
          </cell>
          <cell r="AF2317">
            <v>0.75</v>
          </cell>
        </row>
        <row r="2318">
          <cell r="A2318" t="str">
            <v>IS_alqt_plus</v>
          </cell>
          <cell r="K2318" t="str">
            <v>ERUF</v>
          </cell>
          <cell r="M2318" t="str">
            <v>M</v>
          </cell>
          <cell r="AB2318" t="str">
            <v>WB</v>
          </cell>
          <cell r="AF2318">
            <v>0.7</v>
          </cell>
        </row>
        <row r="2319">
          <cell r="A2319" t="str">
            <v>IS_alqt_plus</v>
          </cell>
          <cell r="K2319" t="str">
            <v>ERUF</v>
          </cell>
          <cell r="M2319" t="str">
            <v>M</v>
          </cell>
          <cell r="AB2319" t="str">
            <v>WB</v>
          </cell>
          <cell r="AF2319">
            <v>0.2</v>
          </cell>
        </row>
        <row r="2320">
          <cell r="A2320" t="str">
            <v>IS_alqt_plus</v>
          </cell>
          <cell r="K2320" t="str">
            <v>ERUF</v>
          </cell>
          <cell r="M2320" t="str">
            <v>M</v>
          </cell>
          <cell r="AB2320" t="str">
            <v>WB</v>
          </cell>
          <cell r="AF2320">
            <v>0.2</v>
          </cell>
        </row>
        <row r="2321">
          <cell r="A2321" t="str">
            <v>IS_alqt_plus</v>
          </cell>
          <cell r="K2321" t="str">
            <v>ERUF</v>
          </cell>
          <cell r="M2321" t="str">
            <v>M</v>
          </cell>
          <cell r="AB2321" t="str">
            <v>WB</v>
          </cell>
          <cell r="AF2321">
            <v>0.2</v>
          </cell>
        </row>
        <row r="2322">
          <cell r="A2322" t="str">
            <v>IS_alqt_plus</v>
          </cell>
          <cell r="K2322" t="str">
            <v>ERUF</v>
          </cell>
          <cell r="M2322" t="str">
            <v>M</v>
          </cell>
          <cell r="AB2322" t="str">
            <v>WB</v>
          </cell>
          <cell r="AF2322">
            <v>0.2</v>
          </cell>
        </row>
        <row r="2323">
          <cell r="A2323" t="str">
            <v>IS_alqt_plus</v>
          </cell>
          <cell r="K2323" t="str">
            <v>ERUF</v>
          </cell>
          <cell r="M2323" t="str">
            <v>F</v>
          </cell>
          <cell r="AB2323" t="str">
            <v>WB</v>
          </cell>
          <cell r="AF2323">
            <v>0.5</v>
          </cell>
        </row>
        <row r="2324">
          <cell r="A2324" t="str">
            <v>IS_alqt_plus</v>
          </cell>
          <cell r="K2324" t="str">
            <v>ERUF</v>
          </cell>
          <cell r="M2324" t="str">
            <v>F</v>
          </cell>
          <cell r="AB2324" t="str">
            <v>WB</v>
          </cell>
          <cell r="AF2324">
            <v>0.5</v>
          </cell>
        </row>
        <row r="2325">
          <cell r="A2325" t="str">
            <v>IS_alqt_plus</v>
          </cell>
          <cell r="K2325" t="str">
            <v>ERUF</v>
          </cell>
          <cell r="M2325" t="str">
            <v>F</v>
          </cell>
          <cell r="AB2325" t="str">
            <v>serum</v>
          </cell>
          <cell r="AF2325">
            <v>0.7</v>
          </cell>
        </row>
        <row r="2326">
          <cell r="A2326" t="str">
            <v>IS_alqt_plus</v>
          </cell>
          <cell r="K2326" t="str">
            <v>ERUF</v>
          </cell>
          <cell r="M2326" t="str">
            <v>F</v>
          </cell>
          <cell r="AB2326" t="str">
            <v>serum</v>
          </cell>
          <cell r="AF2326">
            <v>0.6</v>
          </cell>
        </row>
        <row r="2327">
          <cell r="A2327" t="str">
            <v>IS_alqt_plus</v>
          </cell>
          <cell r="K2327" t="str">
            <v>ERUF</v>
          </cell>
          <cell r="M2327" t="str">
            <v>M</v>
          </cell>
          <cell r="AB2327" t="str">
            <v>serum</v>
          </cell>
          <cell r="AF2327">
            <v>1</v>
          </cell>
        </row>
        <row r="2328">
          <cell r="A2328" t="str">
            <v>IS_alqt_plus</v>
          </cell>
          <cell r="K2328" t="str">
            <v>ERUF</v>
          </cell>
          <cell r="M2328" t="str">
            <v>F</v>
          </cell>
          <cell r="AB2328" t="str">
            <v>serum</v>
          </cell>
          <cell r="AF2328">
            <v>0.7</v>
          </cell>
        </row>
        <row r="2329">
          <cell r="A2329" t="str">
            <v>IS_alqt_plus</v>
          </cell>
          <cell r="K2329" t="str">
            <v>ERUF</v>
          </cell>
          <cell r="M2329" t="str">
            <v>F</v>
          </cell>
          <cell r="AB2329" t="str">
            <v>serum</v>
          </cell>
          <cell r="AF2329">
            <v>0.5</v>
          </cell>
        </row>
        <row r="2330">
          <cell r="A2330" t="str">
            <v>gone</v>
          </cell>
          <cell r="K2330" t="str">
            <v>ERUB</v>
          </cell>
          <cell r="M2330" t="str">
            <v>F</v>
          </cell>
          <cell r="AB2330" t="str">
            <v>WB</v>
          </cell>
          <cell r="AF2330">
            <v>0</v>
          </cell>
        </row>
        <row r="2331">
          <cell r="A2331" t="str">
            <v>IS_alqt_plus</v>
          </cell>
          <cell r="K2331" t="str">
            <v>ERUB</v>
          </cell>
          <cell r="M2331" t="str">
            <v>F</v>
          </cell>
          <cell r="AB2331" t="str">
            <v>serum</v>
          </cell>
          <cell r="AF2331">
            <v>0.5</v>
          </cell>
        </row>
        <row r="2332">
          <cell r="A2332" t="str">
            <v>IS_alqt_plus</v>
          </cell>
          <cell r="K2332" t="str">
            <v>ERUB</v>
          </cell>
          <cell r="M2332" t="str">
            <v>F</v>
          </cell>
          <cell r="AB2332" t="str">
            <v>serum</v>
          </cell>
          <cell r="AF2332">
            <v>0.5</v>
          </cell>
        </row>
        <row r="2333">
          <cell r="A2333" t="str">
            <v>IS_alqt_plus</v>
          </cell>
          <cell r="K2333" t="str">
            <v>ERUB</v>
          </cell>
          <cell r="M2333" t="str">
            <v>F</v>
          </cell>
          <cell r="AB2333" t="str">
            <v>serum</v>
          </cell>
          <cell r="AF2333">
            <v>0.5</v>
          </cell>
        </row>
        <row r="2334">
          <cell r="A2334" t="str">
            <v>IS_alqt_plus</v>
          </cell>
          <cell r="K2334" t="str">
            <v>LCAT</v>
          </cell>
          <cell r="M2334" t="str">
            <v>F</v>
          </cell>
          <cell r="AB2334" t="str">
            <v>WB</v>
          </cell>
          <cell r="AF2334">
            <v>0.9</v>
          </cell>
        </row>
        <row r="2335">
          <cell r="A2335" t="str">
            <v>IS_alqt_plus</v>
          </cell>
          <cell r="K2335" t="str">
            <v>LCAT</v>
          </cell>
          <cell r="M2335" t="str">
            <v>M</v>
          </cell>
          <cell r="AB2335" t="str">
            <v>WB</v>
          </cell>
          <cell r="AF2335">
            <v>0.55000000000000004</v>
          </cell>
        </row>
        <row r="2336">
          <cell r="A2336" t="str">
            <v>IS_alqt_plus</v>
          </cell>
          <cell r="K2336" t="str">
            <v>PCOQ</v>
          </cell>
          <cell r="M2336" t="str">
            <v>M</v>
          </cell>
          <cell r="AB2336" t="str">
            <v>serum</v>
          </cell>
          <cell r="AF2336">
            <v>0.25</v>
          </cell>
        </row>
        <row r="2337">
          <cell r="A2337" t="str">
            <v>IS_alqt_plus</v>
          </cell>
          <cell r="K2337" t="str">
            <v>PCOQ</v>
          </cell>
          <cell r="M2337" t="str">
            <v>M</v>
          </cell>
          <cell r="AB2337" t="str">
            <v>serum</v>
          </cell>
          <cell r="AF2337">
            <v>0.5</v>
          </cell>
        </row>
        <row r="2338">
          <cell r="A2338" t="str">
            <v>IS_alqt_plus</v>
          </cell>
          <cell r="K2338" t="str">
            <v>PCOQ</v>
          </cell>
          <cell r="M2338" t="str">
            <v>M</v>
          </cell>
          <cell r="AB2338" t="str">
            <v>serum</v>
          </cell>
          <cell r="AF2338">
            <v>0.25</v>
          </cell>
        </row>
        <row r="2339">
          <cell r="A2339" t="str">
            <v>IS_alqt_plus</v>
          </cell>
          <cell r="K2339" t="str">
            <v>PCOQ</v>
          </cell>
          <cell r="M2339" t="str">
            <v>M</v>
          </cell>
          <cell r="AB2339" t="str">
            <v>serum</v>
          </cell>
          <cell r="AF2339">
            <v>0.4</v>
          </cell>
        </row>
        <row r="2340">
          <cell r="A2340" t="str">
            <v>IS_alqt_plus</v>
          </cell>
          <cell r="K2340" t="str">
            <v>EFLA</v>
          </cell>
          <cell r="M2340" t="str">
            <v>M</v>
          </cell>
          <cell r="AB2340" t="str">
            <v>serum</v>
          </cell>
          <cell r="AF2340">
            <v>1</v>
          </cell>
        </row>
        <row r="2341">
          <cell r="A2341" t="str">
            <v>IS_alqt_plus</v>
          </cell>
          <cell r="K2341" t="str">
            <v>ECOL</v>
          </cell>
          <cell r="M2341" t="str">
            <v>F</v>
          </cell>
          <cell r="AB2341" t="str">
            <v>WB</v>
          </cell>
          <cell r="AF2341">
            <v>0.8</v>
          </cell>
        </row>
        <row r="2342">
          <cell r="A2342" t="str">
            <v>IS_alqt_plus</v>
          </cell>
          <cell r="K2342" t="str">
            <v>ECOL</v>
          </cell>
          <cell r="M2342" t="str">
            <v>F</v>
          </cell>
          <cell r="AB2342" t="str">
            <v>WB</v>
          </cell>
          <cell r="AF2342">
            <v>0.8</v>
          </cell>
        </row>
        <row r="2343">
          <cell r="A2343" t="str">
            <v>IS_alqt_plus</v>
          </cell>
          <cell r="K2343" t="str">
            <v>ECOL</v>
          </cell>
          <cell r="M2343" t="str">
            <v>F</v>
          </cell>
          <cell r="AB2343" t="str">
            <v>WB</v>
          </cell>
          <cell r="AF2343">
            <v>0.8</v>
          </cell>
        </row>
        <row r="2344">
          <cell r="A2344" t="str">
            <v>IS_alqt_plus</v>
          </cell>
          <cell r="K2344" t="str">
            <v>ECOL</v>
          </cell>
          <cell r="M2344" t="str">
            <v>F</v>
          </cell>
          <cell r="AB2344" t="str">
            <v>WB</v>
          </cell>
          <cell r="AF2344">
            <v>0.9</v>
          </cell>
        </row>
        <row r="2345">
          <cell r="A2345" t="str">
            <v>IS_alqt_plus</v>
          </cell>
          <cell r="K2345" t="str">
            <v>ECOL</v>
          </cell>
          <cell r="M2345" t="str">
            <v>F</v>
          </cell>
          <cell r="AB2345" t="str">
            <v>WB</v>
          </cell>
          <cell r="AF2345">
            <v>0.7</v>
          </cell>
        </row>
        <row r="2346">
          <cell r="A2346" t="str">
            <v>IS_alqt_plus</v>
          </cell>
          <cell r="K2346" t="str">
            <v>ECOL</v>
          </cell>
          <cell r="M2346" t="str">
            <v>F</v>
          </cell>
          <cell r="AB2346" t="str">
            <v>WB</v>
          </cell>
          <cell r="AF2346">
            <v>0.75</v>
          </cell>
        </row>
        <row r="2347">
          <cell r="A2347" t="str">
            <v>IS_alqt_plus</v>
          </cell>
          <cell r="K2347" t="str">
            <v>ECOL</v>
          </cell>
          <cell r="M2347" t="str">
            <v>F</v>
          </cell>
          <cell r="AB2347" t="str">
            <v>WB</v>
          </cell>
          <cell r="AF2347">
            <v>0.8</v>
          </cell>
        </row>
        <row r="2348">
          <cell r="A2348" t="str">
            <v>IS_alqt_plus</v>
          </cell>
          <cell r="K2348" t="str">
            <v>ECOL</v>
          </cell>
          <cell r="M2348" t="str">
            <v>F</v>
          </cell>
          <cell r="AB2348" t="str">
            <v>serum</v>
          </cell>
          <cell r="AF2348">
            <v>0.85</v>
          </cell>
        </row>
        <row r="2349">
          <cell r="A2349" t="str">
            <v>IS_alqt_plus</v>
          </cell>
          <cell r="K2349" t="str">
            <v>ECOL</v>
          </cell>
          <cell r="M2349" t="str">
            <v>F</v>
          </cell>
          <cell r="AB2349" t="str">
            <v>serum</v>
          </cell>
          <cell r="AF2349">
            <v>0.6</v>
          </cell>
        </row>
        <row r="2350">
          <cell r="A2350" t="str">
            <v>IS_alqt_plus</v>
          </cell>
          <cell r="K2350" t="str">
            <v>ECOL</v>
          </cell>
          <cell r="M2350" t="str">
            <v>F</v>
          </cell>
          <cell r="AB2350" t="str">
            <v>serum</v>
          </cell>
          <cell r="AF2350">
            <v>0.65</v>
          </cell>
        </row>
        <row r="2351">
          <cell r="A2351" t="str">
            <v>IS_alqt_plus</v>
          </cell>
          <cell r="K2351" t="str">
            <v>ECOL</v>
          </cell>
          <cell r="M2351" t="str">
            <v>F</v>
          </cell>
          <cell r="AB2351" t="str">
            <v>serum</v>
          </cell>
          <cell r="AF2351">
            <v>0.7</v>
          </cell>
        </row>
        <row r="2352">
          <cell r="A2352" t="str">
            <v>IS_alqt_plus</v>
          </cell>
          <cell r="K2352" t="str">
            <v>ECOL</v>
          </cell>
          <cell r="M2352" t="str">
            <v>F</v>
          </cell>
          <cell r="AB2352" t="str">
            <v>serum</v>
          </cell>
          <cell r="AF2352">
            <v>0.6</v>
          </cell>
        </row>
        <row r="2353">
          <cell r="A2353" t="str">
            <v>IS_alqt_plus</v>
          </cell>
          <cell r="K2353" t="str">
            <v>ECOL</v>
          </cell>
          <cell r="M2353" t="str">
            <v>F</v>
          </cell>
          <cell r="AB2353" t="str">
            <v>serum</v>
          </cell>
          <cell r="AF2353">
            <v>0.5</v>
          </cell>
        </row>
        <row r="2354">
          <cell r="A2354" t="str">
            <v>IS_alqt_plus</v>
          </cell>
          <cell r="K2354" t="str">
            <v>ECOL</v>
          </cell>
          <cell r="M2354" t="str">
            <v>F</v>
          </cell>
          <cell r="AB2354" t="str">
            <v>serum</v>
          </cell>
          <cell r="AF2354">
            <v>0.6</v>
          </cell>
        </row>
        <row r="2355">
          <cell r="A2355" t="str">
            <v>IS_alqt_plus</v>
          </cell>
          <cell r="K2355" t="str">
            <v>ECOL</v>
          </cell>
          <cell r="M2355" t="str">
            <v>F</v>
          </cell>
          <cell r="AB2355" t="str">
            <v>serum</v>
          </cell>
          <cell r="AF2355">
            <v>0.7</v>
          </cell>
        </row>
        <row r="2356">
          <cell r="A2356" t="str">
            <v>IS_alqt_plus</v>
          </cell>
          <cell r="K2356" t="str">
            <v>CMED</v>
          </cell>
          <cell r="M2356" t="str">
            <v>M</v>
          </cell>
          <cell r="AB2356" t="str">
            <v>PRBC</v>
          </cell>
          <cell r="AF2356">
            <v>0.3</v>
          </cell>
        </row>
        <row r="2357">
          <cell r="A2357" t="str">
            <v>IS_alqt_plus</v>
          </cell>
          <cell r="K2357" t="str">
            <v>CMED</v>
          </cell>
          <cell r="M2357" t="str">
            <v>M</v>
          </cell>
          <cell r="AB2357" t="str">
            <v>PRBC</v>
          </cell>
          <cell r="AF2357">
            <v>0.4</v>
          </cell>
        </row>
        <row r="2358">
          <cell r="A2358" t="str">
            <v>IS_alqt_plus</v>
          </cell>
          <cell r="K2358" t="str">
            <v>VRUB</v>
          </cell>
          <cell r="M2358" t="str">
            <v>F</v>
          </cell>
          <cell r="AB2358" t="str">
            <v>WB</v>
          </cell>
          <cell r="AF2358">
            <v>0.5</v>
          </cell>
        </row>
        <row r="2359">
          <cell r="A2359" t="str">
            <v>IS_alqt_plus</v>
          </cell>
          <cell r="K2359" t="str">
            <v>EMON</v>
          </cell>
          <cell r="M2359" t="str">
            <v>M</v>
          </cell>
          <cell r="AB2359" t="str">
            <v>serum</v>
          </cell>
          <cell r="AF2359">
            <v>0.9</v>
          </cell>
        </row>
        <row r="2360">
          <cell r="A2360" t="str">
            <v>IS_alqt_plus</v>
          </cell>
          <cell r="K2360" t="str">
            <v>EMON</v>
          </cell>
          <cell r="M2360" t="str">
            <v>M</v>
          </cell>
          <cell r="AB2360" t="str">
            <v>serum</v>
          </cell>
          <cell r="AF2360">
            <v>0.6</v>
          </cell>
        </row>
        <row r="2361">
          <cell r="A2361" t="str">
            <v>IS_alqt_plus</v>
          </cell>
          <cell r="K2361" t="str">
            <v>EMON</v>
          </cell>
          <cell r="M2361" t="str">
            <v>F</v>
          </cell>
          <cell r="AB2361" t="str">
            <v>serum</v>
          </cell>
          <cell r="AF2361">
            <v>1</v>
          </cell>
        </row>
        <row r="2362">
          <cell r="A2362" t="str">
            <v>IS_alqt_plus</v>
          </cell>
          <cell r="K2362" t="str">
            <v>EMON</v>
          </cell>
          <cell r="M2362" t="str">
            <v>M</v>
          </cell>
          <cell r="AB2362" t="str">
            <v>serum</v>
          </cell>
          <cell r="AF2362">
            <v>0.9</v>
          </cell>
        </row>
        <row r="2363">
          <cell r="A2363" t="str">
            <v>IS_alqt_plus</v>
          </cell>
          <cell r="K2363" t="str">
            <v>EMON</v>
          </cell>
          <cell r="M2363" t="str">
            <v>M</v>
          </cell>
          <cell r="AB2363" t="str">
            <v>serum</v>
          </cell>
          <cell r="AF2363">
            <v>0.6</v>
          </cell>
        </row>
        <row r="2364">
          <cell r="A2364" t="str">
            <v>IS_alqt_plus</v>
          </cell>
          <cell r="K2364" t="str">
            <v>MMUR</v>
          </cell>
          <cell r="M2364" t="str">
            <v>F</v>
          </cell>
          <cell r="AB2364" t="str">
            <v>WB</v>
          </cell>
          <cell r="AF2364">
            <v>0.25</v>
          </cell>
        </row>
        <row r="2365">
          <cell r="A2365" t="str">
            <v>IS_alqt_plus</v>
          </cell>
          <cell r="K2365" t="str">
            <v>EMON</v>
          </cell>
          <cell r="M2365" t="str">
            <v>F</v>
          </cell>
          <cell r="AB2365" t="str">
            <v>serum</v>
          </cell>
          <cell r="AF2365">
            <v>0.45</v>
          </cell>
        </row>
        <row r="2366">
          <cell r="A2366" t="str">
            <v>IS_alqt_plus</v>
          </cell>
          <cell r="K2366" t="str">
            <v>EMON</v>
          </cell>
          <cell r="M2366" t="str">
            <v>F</v>
          </cell>
          <cell r="AB2366" t="str">
            <v>serum</v>
          </cell>
          <cell r="AF2366">
            <v>0.5</v>
          </cell>
        </row>
        <row r="2367">
          <cell r="A2367" t="str">
            <v>IS_alqt_plus</v>
          </cell>
          <cell r="K2367" t="str">
            <v>ERUB</v>
          </cell>
          <cell r="M2367" t="str">
            <v>F</v>
          </cell>
          <cell r="AB2367" t="str">
            <v>WB</v>
          </cell>
          <cell r="AF2367">
            <v>0.5</v>
          </cell>
        </row>
        <row r="2368">
          <cell r="A2368" t="str">
            <v>IS_alqt_plus</v>
          </cell>
          <cell r="K2368" t="str">
            <v>ERUB</v>
          </cell>
          <cell r="M2368" t="str">
            <v>F</v>
          </cell>
          <cell r="AB2368" t="str">
            <v>WB</v>
          </cell>
          <cell r="AF2368">
            <v>0.75</v>
          </cell>
        </row>
        <row r="2369">
          <cell r="A2369" t="str">
            <v>gone</v>
          </cell>
          <cell r="K2369" t="str">
            <v>VRUB</v>
          </cell>
          <cell r="M2369" t="str">
            <v>M</v>
          </cell>
          <cell r="AB2369" t="str">
            <v>WB</v>
          </cell>
          <cell r="AF2369">
            <v>0</v>
          </cell>
        </row>
        <row r="2370">
          <cell r="A2370" t="str">
            <v>IS_alqt_plus</v>
          </cell>
          <cell r="K2370" t="str">
            <v>VRUB</v>
          </cell>
          <cell r="M2370" t="str">
            <v>M</v>
          </cell>
          <cell r="AB2370" t="str">
            <v>WB</v>
          </cell>
          <cell r="AF2370">
            <v>0.6</v>
          </cell>
        </row>
        <row r="2371">
          <cell r="A2371" t="str">
            <v>IS_alqt_plus</v>
          </cell>
          <cell r="K2371" t="str">
            <v>ERUB</v>
          </cell>
          <cell r="M2371" t="str">
            <v>F</v>
          </cell>
          <cell r="AB2371" t="str">
            <v>serum</v>
          </cell>
          <cell r="AF2371">
            <v>0.5</v>
          </cell>
        </row>
        <row r="2372">
          <cell r="A2372" t="str">
            <v>IS_alqt_plus</v>
          </cell>
          <cell r="K2372" t="str">
            <v>ERUB</v>
          </cell>
          <cell r="M2372" t="str">
            <v>F</v>
          </cell>
          <cell r="AB2372" t="str">
            <v>serum</v>
          </cell>
          <cell r="AF2372">
            <v>0.5</v>
          </cell>
        </row>
        <row r="2373">
          <cell r="A2373" t="str">
            <v>IS_alqt_plus</v>
          </cell>
          <cell r="K2373" t="str">
            <v>VRUB</v>
          </cell>
          <cell r="M2373" t="str">
            <v>M</v>
          </cell>
          <cell r="AB2373" t="str">
            <v>serum</v>
          </cell>
          <cell r="AF2373">
            <v>0.5</v>
          </cell>
        </row>
        <row r="2374">
          <cell r="A2374" t="str">
            <v>IS_alqt_plus</v>
          </cell>
          <cell r="K2374" t="str">
            <v>VRUB</v>
          </cell>
          <cell r="M2374" t="str">
            <v>M</v>
          </cell>
          <cell r="AB2374" t="str">
            <v>serum</v>
          </cell>
          <cell r="AF2374">
            <v>0.5</v>
          </cell>
        </row>
        <row r="2375">
          <cell r="A2375" t="str">
            <v>IS_alqt_plus</v>
          </cell>
          <cell r="K2375" t="str">
            <v>NCOU</v>
          </cell>
          <cell r="M2375" t="str">
            <v>M</v>
          </cell>
          <cell r="AB2375" t="str">
            <v>WB</v>
          </cell>
          <cell r="AF2375">
            <v>0.35</v>
          </cell>
        </row>
        <row r="2376">
          <cell r="A2376" t="str">
            <v>IS_alqt_plus</v>
          </cell>
          <cell r="K2376" t="str">
            <v>ECOL</v>
          </cell>
          <cell r="M2376" t="str">
            <v>M</v>
          </cell>
          <cell r="AB2376" t="str">
            <v>serum</v>
          </cell>
          <cell r="AF2376">
            <v>0.7</v>
          </cell>
        </row>
        <row r="2377">
          <cell r="A2377" t="str">
            <v>IS_alqt_minus</v>
          </cell>
          <cell r="K2377" t="str">
            <v>MZAZ</v>
          </cell>
          <cell r="M2377" t="str">
            <v>M</v>
          </cell>
          <cell r="AB2377" t="str">
            <v>PRBC</v>
          </cell>
          <cell r="AF2377">
            <v>0.1</v>
          </cell>
        </row>
        <row r="2378">
          <cell r="A2378" t="str">
            <v>IS_alqt_minus</v>
          </cell>
          <cell r="K2378" t="str">
            <v>MZAZ</v>
          </cell>
          <cell r="M2378" t="str">
            <v>F</v>
          </cell>
          <cell r="AB2378" t="str">
            <v>PRBC</v>
          </cell>
          <cell r="AF2378">
            <v>0.1</v>
          </cell>
        </row>
        <row r="2379">
          <cell r="A2379" t="str">
            <v>IS_alqt_minus</v>
          </cell>
          <cell r="K2379" t="str">
            <v>MZAZ</v>
          </cell>
          <cell r="M2379" t="str">
            <v>M</v>
          </cell>
          <cell r="AB2379" t="str">
            <v>PRBC</v>
          </cell>
          <cell r="AF2379">
            <v>0.1</v>
          </cell>
        </row>
        <row r="2380">
          <cell r="A2380" t="str">
            <v>IS_alqt_plus</v>
          </cell>
          <cell r="K2380" t="str">
            <v>DMAD</v>
          </cell>
          <cell r="M2380" t="str">
            <v>F</v>
          </cell>
          <cell r="AB2380" t="str">
            <v>serum</v>
          </cell>
          <cell r="AF2380">
            <v>0.8</v>
          </cell>
        </row>
        <row r="2381">
          <cell r="A2381" t="str">
            <v>IS_alqt_plus</v>
          </cell>
          <cell r="K2381" t="str">
            <v>DMAD</v>
          </cell>
          <cell r="M2381" t="str">
            <v>M</v>
          </cell>
          <cell r="AB2381" t="str">
            <v>serum</v>
          </cell>
          <cell r="AF2381">
            <v>0.5</v>
          </cell>
        </row>
        <row r="2382">
          <cell r="A2382" t="str">
            <v>IS_alqt_plus</v>
          </cell>
          <cell r="K2382" t="str">
            <v>DMAD</v>
          </cell>
          <cell r="M2382" t="str">
            <v>M</v>
          </cell>
          <cell r="AB2382" t="str">
            <v>serum</v>
          </cell>
          <cell r="AF2382">
            <v>0.3</v>
          </cell>
        </row>
        <row r="2383">
          <cell r="A2383" t="str">
            <v>IS_alqt_plus</v>
          </cell>
          <cell r="K2383" t="str">
            <v>DMAD</v>
          </cell>
          <cell r="M2383" t="str">
            <v>F</v>
          </cell>
          <cell r="AB2383" t="str">
            <v>WB</v>
          </cell>
          <cell r="AF2383">
            <v>0.3</v>
          </cell>
        </row>
        <row r="2384">
          <cell r="A2384" t="str">
            <v>IS_alqt_plus</v>
          </cell>
          <cell r="K2384" t="str">
            <v>DMAD</v>
          </cell>
          <cell r="M2384" t="str">
            <v>F</v>
          </cell>
          <cell r="AB2384" t="str">
            <v>WB</v>
          </cell>
          <cell r="AF2384">
            <v>0.4</v>
          </cell>
        </row>
        <row r="2385">
          <cell r="A2385" t="str">
            <v>IS_alqt_plus</v>
          </cell>
          <cell r="K2385" t="str">
            <v>DMAD</v>
          </cell>
          <cell r="M2385" t="str">
            <v>M</v>
          </cell>
          <cell r="AB2385" t="str">
            <v>WB</v>
          </cell>
          <cell r="AF2385">
            <v>1</v>
          </cell>
        </row>
        <row r="2386">
          <cell r="A2386" t="str">
            <v>IS_alqt_plus</v>
          </cell>
          <cell r="K2386" t="str">
            <v>DMAD</v>
          </cell>
          <cell r="M2386" t="str">
            <v>M</v>
          </cell>
          <cell r="AB2386" t="str">
            <v>WB</v>
          </cell>
          <cell r="AF2386">
            <v>0.45</v>
          </cell>
        </row>
        <row r="2387">
          <cell r="A2387" t="str">
            <v>IS_alqt_minus</v>
          </cell>
          <cell r="K2387" t="str">
            <v>GMOH</v>
          </cell>
          <cell r="M2387" t="str">
            <v>F</v>
          </cell>
          <cell r="AB2387" t="str">
            <v>serum</v>
          </cell>
          <cell r="AF2387">
            <v>0.01</v>
          </cell>
        </row>
        <row r="2388">
          <cell r="A2388" t="str">
            <v>IS_alqt_plus</v>
          </cell>
          <cell r="K2388" t="str">
            <v>CMED</v>
          </cell>
          <cell r="M2388" t="str">
            <v>M</v>
          </cell>
          <cell r="AB2388" t="str">
            <v>PRBC</v>
          </cell>
          <cell r="AF2388">
            <v>0.35</v>
          </cell>
        </row>
        <row r="2389">
          <cell r="A2389" t="str">
            <v>IS_alqt_plus</v>
          </cell>
          <cell r="K2389" t="str">
            <v>MZAZ</v>
          </cell>
          <cell r="M2389" t="str">
            <v>F</v>
          </cell>
          <cell r="AB2389" t="str">
            <v>PRBC</v>
          </cell>
          <cell r="AF2389">
            <v>0.4</v>
          </cell>
        </row>
        <row r="2390">
          <cell r="A2390" t="str">
            <v>IS_alqt_plus</v>
          </cell>
          <cell r="K2390" t="str">
            <v>ECOL</v>
          </cell>
          <cell r="M2390" t="str">
            <v>M</v>
          </cell>
          <cell r="AB2390" t="str">
            <v>WB</v>
          </cell>
          <cell r="AF2390">
            <v>0.5</v>
          </cell>
        </row>
        <row r="2391">
          <cell r="A2391" t="str">
            <v>gone</v>
          </cell>
          <cell r="K2391" t="str">
            <v>ECOL</v>
          </cell>
          <cell r="M2391" t="str">
            <v>M</v>
          </cell>
          <cell r="AB2391" t="str">
            <v>WB</v>
          </cell>
          <cell r="AF2391">
            <v>0</v>
          </cell>
        </row>
        <row r="2392">
          <cell r="A2392" t="str">
            <v>IS_alqt_plus</v>
          </cell>
          <cell r="K2392" t="str">
            <v>ECOL</v>
          </cell>
          <cell r="M2392" t="str">
            <v>M</v>
          </cell>
          <cell r="AB2392" t="str">
            <v>serum</v>
          </cell>
          <cell r="AF2392">
            <v>0.8</v>
          </cell>
        </row>
        <row r="2393">
          <cell r="A2393" t="str">
            <v>IS_alqt_plus</v>
          </cell>
          <cell r="K2393" t="str">
            <v>ECOL</v>
          </cell>
          <cell r="M2393" t="str">
            <v>M</v>
          </cell>
          <cell r="AB2393" t="str">
            <v>serum</v>
          </cell>
          <cell r="AF2393">
            <v>0.8</v>
          </cell>
        </row>
        <row r="2394">
          <cell r="A2394" t="str">
            <v>IS_alqt_plus</v>
          </cell>
          <cell r="K2394" t="str">
            <v>GMOH</v>
          </cell>
          <cell r="M2394" t="str">
            <v>F</v>
          </cell>
          <cell r="AB2394" t="str">
            <v>serum</v>
          </cell>
          <cell r="AF2394">
            <v>0.3</v>
          </cell>
        </row>
        <row r="2395">
          <cell r="A2395" t="str">
            <v>IS_alqt_plus</v>
          </cell>
          <cell r="K2395" t="str">
            <v>GMOH</v>
          </cell>
          <cell r="M2395" t="str">
            <v>F</v>
          </cell>
          <cell r="AB2395" t="str">
            <v>serum</v>
          </cell>
          <cell r="AF2395">
            <v>1.3</v>
          </cell>
        </row>
        <row r="2396">
          <cell r="A2396" t="str">
            <v>IS_alqt_plus</v>
          </cell>
          <cell r="K2396" t="str">
            <v>VRUB</v>
          </cell>
          <cell r="M2396" t="str">
            <v>F</v>
          </cell>
          <cell r="AB2396" t="str">
            <v>serum</v>
          </cell>
          <cell r="AF2396">
            <v>1.1000000000000001</v>
          </cell>
        </row>
        <row r="2397">
          <cell r="A2397" t="str">
            <v>IS_alqt_plus</v>
          </cell>
          <cell r="K2397" t="str">
            <v>HGG</v>
          </cell>
          <cell r="M2397" t="str">
            <v>M</v>
          </cell>
          <cell r="AB2397" t="str">
            <v>serum</v>
          </cell>
          <cell r="AF2397">
            <v>0.8</v>
          </cell>
        </row>
        <row r="2398">
          <cell r="A2398" t="str">
            <v>IS_alqt_plus</v>
          </cell>
          <cell r="K2398" t="str">
            <v>LCAT</v>
          </cell>
          <cell r="M2398" t="str">
            <v>M</v>
          </cell>
          <cell r="AB2398" t="str">
            <v>WB</v>
          </cell>
          <cell r="AF2398">
            <v>0.7</v>
          </cell>
        </row>
        <row r="2399">
          <cell r="A2399" t="str">
            <v>IS_alqt_plus</v>
          </cell>
          <cell r="K2399" t="str">
            <v>LCAT</v>
          </cell>
          <cell r="M2399" t="str">
            <v>F</v>
          </cell>
          <cell r="AB2399" t="str">
            <v>WB</v>
          </cell>
          <cell r="AF2399">
            <v>0.75</v>
          </cell>
        </row>
        <row r="2400">
          <cell r="A2400" t="str">
            <v>IS_alqt_plus</v>
          </cell>
          <cell r="K2400" t="str">
            <v>LCAT</v>
          </cell>
          <cell r="M2400" t="str">
            <v>M</v>
          </cell>
          <cell r="AB2400" t="str">
            <v>serum</v>
          </cell>
          <cell r="AF2400">
            <v>0.5</v>
          </cell>
        </row>
        <row r="2401">
          <cell r="A2401" t="str">
            <v>IS_alqt_plus</v>
          </cell>
          <cell r="K2401" t="str">
            <v>PCOQ</v>
          </cell>
          <cell r="M2401" t="str">
            <v>M</v>
          </cell>
          <cell r="AB2401" t="str">
            <v>serum</v>
          </cell>
          <cell r="AF2401">
            <v>0.5</v>
          </cell>
        </row>
        <row r="2402">
          <cell r="A2402" t="str">
            <v>IS_alqt_minus</v>
          </cell>
          <cell r="K2402" t="str">
            <v>VVV</v>
          </cell>
          <cell r="M2402" t="str">
            <v>F</v>
          </cell>
          <cell r="AB2402" t="str">
            <v>WB</v>
          </cell>
          <cell r="AF2402">
            <v>0.1</v>
          </cell>
        </row>
        <row r="2403">
          <cell r="A2403" t="str">
            <v>IS_alqt_plus</v>
          </cell>
          <cell r="K2403" t="str">
            <v>VVV</v>
          </cell>
          <cell r="M2403" t="str">
            <v>F</v>
          </cell>
          <cell r="AB2403" t="str">
            <v>WB</v>
          </cell>
          <cell r="AF2403">
            <v>1</v>
          </cell>
        </row>
        <row r="2404">
          <cell r="A2404" t="str">
            <v>IS_alqt_plus</v>
          </cell>
          <cell r="K2404" t="str">
            <v>VVV</v>
          </cell>
          <cell r="M2404" t="str">
            <v>F</v>
          </cell>
          <cell r="AB2404" t="str">
            <v>WB</v>
          </cell>
          <cell r="AF2404">
            <v>0.5</v>
          </cell>
        </row>
        <row r="2405">
          <cell r="A2405" t="str">
            <v>IS_alqt_plus</v>
          </cell>
          <cell r="K2405" t="str">
            <v>VVV</v>
          </cell>
          <cell r="M2405" t="str">
            <v>F</v>
          </cell>
          <cell r="AB2405" t="str">
            <v>serum</v>
          </cell>
          <cell r="AF2405">
            <v>0.25</v>
          </cell>
        </row>
        <row r="2406">
          <cell r="A2406" t="str">
            <v>IS_alqt_plus</v>
          </cell>
          <cell r="K2406" t="str">
            <v>VVV</v>
          </cell>
          <cell r="M2406" t="str">
            <v>F</v>
          </cell>
          <cell r="AB2406" t="str">
            <v>serum</v>
          </cell>
          <cell r="AF2406">
            <v>0.5</v>
          </cell>
        </row>
        <row r="2407">
          <cell r="A2407" t="str">
            <v>IS_alqt_plus</v>
          </cell>
          <cell r="K2407" t="str">
            <v>GMOH</v>
          </cell>
          <cell r="M2407" t="str">
            <v>M</v>
          </cell>
          <cell r="AB2407" t="str">
            <v>serum</v>
          </cell>
          <cell r="AF2407">
            <v>0.8</v>
          </cell>
        </row>
        <row r="2408">
          <cell r="A2408" t="str">
            <v>IS_alqt_plus</v>
          </cell>
          <cell r="K2408" t="str">
            <v>HGG</v>
          </cell>
          <cell r="M2408" t="str">
            <v>M</v>
          </cell>
          <cell r="AB2408" t="str">
            <v>serum</v>
          </cell>
          <cell r="AF2408">
            <v>0.8</v>
          </cell>
        </row>
        <row r="2409">
          <cell r="A2409" t="str">
            <v>gone</v>
          </cell>
          <cell r="K2409" t="str">
            <v>PCOQ</v>
          </cell>
          <cell r="M2409" t="str">
            <v>M</v>
          </cell>
          <cell r="AB2409" t="str">
            <v>serum</v>
          </cell>
          <cell r="AF2409">
            <v>0</v>
          </cell>
        </row>
        <row r="2410">
          <cell r="A2410" t="str">
            <v>IS_alqt_plus</v>
          </cell>
          <cell r="K2410" t="str">
            <v>LCAT</v>
          </cell>
          <cell r="M2410" t="str">
            <v>M</v>
          </cell>
          <cell r="AB2410" t="str">
            <v>WB</v>
          </cell>
          <cell r="AF2410">
            <v>1.4</v>
          </cell>
        </row>
        <row r="2411">
          <cell r="A2411" t="str">
            <v>IS_alqt_plus</v>
          </cell>
          <cell r="K2411" t="str">
            <v>LCAT</v>
          </cell>
          <cell r="M2411" t="str">
            <v>M</v>
          </cell>
          <cell r="AB2411" t="str">
            <v>WB</v>
          </cell>
          <cell r="AF2411">
            <v>1.3</v>
          </cell>
        </row>
        <row r="2412">
          <cell r="A2412" t="str">
            <v>IS_alqt_plus</v>
          </cell>
          <cell r="K2412" t="str">
            <v>LCAT</v>
          </cell>
          <cell r="M2412" t="str">
            <v>F</v>
          </cell>
          <cell r="AB2412" t="str">
            <v>serum</v>
          </cell>
          <cell r="AF2412">
            <v>0.7</v>
          </cell>
        </row>
        <row r="2413">
          <cell r="A2413" t="str">
            <v>IS_alqt_plus</v>
          </cell>
          <cell r="K2413" t="str">
            <v>CMED</v>
          </cell>
          <cell r="M2413" t="str">
            <v>M</v>
          </cell>
          <cell r="AB2413" t="str">
            <v>PRBC</v>
          </cell>
          <cell r="AF2413">
            <v>0.5</v>
          </cell>
        </row>
        <row r="2414">
          <cell r="A2414" t="str">
            <v>IS_alqt_plus</v>
          </cell>
          <cell r="K2414" t="str">
            <v>EMON</v>
          </cell>
          <cell r="M2414" t="str">
            <v>F</v>
          </cell>
          <cell r="AB2414" t="str">
            <v>serum</v>
          </cell>
          <cell r="AF2414">
            <v>0.5</v>
          </cell>
        </row>
        <row r="2415">
          <cell r="A2415" t="str">
            <v>unk</v>
          </cell>
          <cell r="K2415" t="str">
            <v>EMON</v>
          </cell>
          <cell r="M2415" t="str">
            <v>M</v>
          </cell>
          <cell r="AB2415" t="str">
            <v>WB</v>
          </cell>
          <cell r="AF2415">
            <v>1</v>
          </cell>
        </row>
        <row r="2416">
          <cell r="A2416" t="str">
            <v>IS_alqt_plus</v>
          </cell>
          <cell r="K2416" t="str">
            <v>EMON</v>
          </cell>
          <cell r="M2416" t="str">
            <v>M</v>
          </cell>
          <cell r="AB2416" t="str">
            <v>serum</v>
          </cell>
          <cell r="AF2416">
            <v>0.5</v>
          </cell>
        </row>
        <row r="2417">
          <cell r="A2417" t="str">
            <v>IS_alqt_plus</v>
          </cell>
          <cell r="K2417" t="str">
            <v>DMAD</v>
          </cell>
          <cell r="M2417" t="str">
            <v>M</v>
          </cell>
          <cell r="AB2417" t="str">
            <v>WB</v>
          </cell>
          <cell r="AF2417">
            <v>0.25</v>
          </cell>
        </row>
        <row r="2418">
          <cell r="A2418" t="str">
            <v>gone</v>
          </cell>
          <cell r="K2418" t="str">
            <v>ECOL</v>
          </cell>
          <cell r="M2418" t="str">
            <v>F</v>
          </cell>
          <cell r="AB2418" t="str">
            <v>WB</v>
          </cell>
          <cell r="AF2418">
            <v>0</v>
          </cell>
        </row>
        <row r="2419">
          <cell r="A2419" t="str">
            <v>IS_alqt_minus</v>
          </cell>
          <cell r="K2419" t="str">
            <v>ECOL</v>
          </cell>
          <cell r="M2419" t="str">
            <v>F</v>
          </cell>
          <cell r="AB2419" t="str">
            <v>WB</v>
          </cell>
          <cell r="AF2419">
            <v>0.05</v>
          </cell>
        </row>
        <row r="2420">
          <cell r="A2420" t="str">
            <v>IS_alqt_minus</v>
          </cell>
          <cell r="K2420" t="str">
            <v>ECOL</v>
          </cell>
          <cell r="M2420" t="str">
            <v>F</v>
          </cell>
          <cell r="AB2420" t="str">
            <v>serum</v>
          </cell>
          <cell r="AF2420">
            <v>0.05</v>
          </cell>
        </row>
        <row r="2421">
          <cell r="A2421" t="str">
            <v>IS_alqt_plus</v>
          </cell>
          <cell r="K2421" t="str">
            <v>VVV</v>
          </cell>
          <cell r="M2421" t="str">
            <v>F</v>
          </cell>
          <cell r="AB2421" t="str">
            <v>WB</v>
          </cell>
          <cell r="AF2421">
            <v>0.25</v>
          </cell>
        </row>
        <row r="2422">
          <cell r="A2422" t="str">
            <v>IS_alqt_plus</v>
          </cell>
          <cell r="K2422" t="str">
            <v>HGG</v>
          </cell>
          <cell r="M2422" t="str">
            <v>F</v>
          </cell>
          <cell r="AB2422" t="str">
            <v>serum</v>
          </cell>
          <cell r="AF2422">
            <v>0.7</v>
          </cell>
        </row>
        <row r="2423">
          <cell r="A2423" t="str">
            <v>IS_alqt_plus</v>
          </cell>
          <cell r="K2423" t="str">
            <v>CMED</v>
          </cell>
          <cell r="M2423" t="str">
            <v>F</v>
          </cell>
          <cell r="AB2423" t="str">
            <v>PRBC</v>
          </cell>
          <cell r="AF2423">
            <v>0.25</v>
          </cell>
        </row>
        <row r="2424">
          <cell r="A2424" t="str">
            <v>IS_alqt_minus</v>
          </cell>
          <cell r="K2424" t="str">
            <v>CMED</v>
          </cell>
          <cell r="M2424" t="str">
            <v>M</v>
          </cell>
          <cell r="AB2424" t="str">
            <v>PRBC</v>
          </cell>
          <cell r="AF2424">
            <v>0.1</v>
          </cell>
        </row>
        <row r="2425">
          <cell r="A2425" t="str">
            <v>IS_alqt_minus</v>
          </cell>
          <cell r="K2425" t="str">
            <v>CMED</v>
          </cell>
          <cell r="M2425" t="str">
            <v>F</v>
          </cell>
          <cell r="AB2425" t="str">
            <v>PRBC</v>
          </cell>
          <cell r="AF2425">
            <v>0.1</v>
          </cell>
        </row>
        <row r="2426">
          <cell r="A2426" t="str">
            <v>IS_alqt_minus</v>
          </cell>
          <cell r="K2426" t="str">
            <v>HGG</v>
          </cell>
          <cell r="M2426" t="str">
            <v>F</v>
          </cell>
          <cell r="AB2426" t="str">
            <v>WB</v>
          </cell>
          <cell r="AF2426">
            <v>0.05</v>
          </cell>
        </row>
        <row r="2427">
          <cell r="A2427" t="str">
            <v>IS_alqt_plus</v>
          </cell>
          <cell r="K2427" t="str">
            <v>HGG</v>
          </cell>
          <cell r="M2427" t="str">
            <v>F</v>
          </cell>
          <cell r="AB2427" t="str">
            <v>serum</v>
          </cell>
          <cell r="AF2427">
            <v>0.6</v>
          </cell>
        </row>
        <row r="2428">
          <cell r="A2428" t="str">
            <v>IS_alqt_plus</v>
          </cell>
          <cell r="K2428" t="str">
            <v>EMON</v>
          </cell>
          <cell r="M2428" t="str">
            <v>M</v>
          </cell>
          <cell r="AB2428" t="str">
            <v>serum</v>
          </cell>
          <cell r="AF2428">
            <v>0.5</v>
          </cell>
        </row>
        <row r="2429">
          <cell r="A2429" t="str">
            <v>IS_alqt_plus</v>
          </cell>
          <cell r="K2429" t="str">
            <v>EMON</v>
          </cell>
          <cell r="M2429" t="str">
            <v>M</v>
          </cell>
          <cell r="AB2429" t="str">
            <v>serum</v>
          </cell>
          <cell r="AF2429">
            <v>0.7</v>
          </cell>
        </row>
        <row r="2430">
          <cell r="A2430" t="str">
            <v>IS_alqt_plus</v>
          </cell>
          <cell r="K2430" t="str">
            <v>EMON</v>
          </cell>
          <cell r="M2430" t="str">
            <v>F</v>
          </cell>
          <cell r="AB2430" t="str">
            <v>serum</v>
          </cell>
          <cell r="AF2430">
            <v>0.5</v>
          </cell>
        </row>
        <row r="2431">
          <cell r="A2431" t="str">
            <v>IS_alqt_plus</v>
          </cell>
          <cell r="K2431" t="str">
            <v>EMON</v>
          </cell>
          <cell r="M2431" t="str">
            <v>F</v>
          </cell>
          <cell r="AB2431" t="str">
            <v>serum</v>
          </cell>
          <cell r="AF2431">
            <v>0.5</v>
          </cell>
        </row>
        <row r="2432">
          <cell r="A2432" t="str">
            <v>IS_alqt_plus</v>
          </cell>
          <cell r="K2432" t="str">
            <v>GMOH</v>
          </cell>
          <cell r="M2432" t="str">
            <v>F</v>
          </cell>
          <cell r="AB2432" t="str">
            <v>serum</v>
          </cell>
          <cell r="AF2432">
            <v>0.25</v>
          </cell>
        </row>
        <row r="2433">
          <cell r="A2433" t="str">
            <v>IS_alqt_plus</v>
          </cell>
          <cell r="K2433" t="str">
            <v>GMOH</v>
          </cell>
          <cell r="M2433" t="str">
            <v>M</v>
          </cell>
          <cell r="AB2433" t="str">
            <v>WB</v>
          </cell>
          <cell r="AF2433">
            <v>0.2</v>
          </cell>
        </row>
        <row r="2434">
          <cell r="A2434" t="str">
            <v>IS_alqt_plus</v>
          </cell>
          <cell r="K2434" t="str">
            <v>ERUF</v>
          </cell>
          <cell r="M2434" t="str">
            <v>M</v>
          </cell>
          <cell r="AB2434" t="str">
            <v>WB</v>
          </cell>
          <cell r="AF2434">
            <v>0.25</v>
          </cell>
        </row>
        <row r="2435">
          <cell r="A2435" t="str">
            <v>IS_alqt_plus</v>
          </cell>
          <cell r="K2435" t="str">
            <v>ERUF</v>
          </cell>
          <cell r="M2435" t="str">
            <v>M</v>
          </cell>
          <cell r="AB2435" t="str">
            <v>WB</v>
          </cell>
          <cell r="AF2435">
            <v>0.8</v>
          </cell>
        </row>
        <row r="2436">
          <cell r="A2436" t="str">
            <v>IS_alqt_plus</v>
          </cell>
          <cell r="K2436" t="str">
            <v>EFLA</v>
          </cell>
          <cell r="M2436" t="str">
            <v>M</v>
          </cell>
          <cell r="AB2436" t="str">
            <v>WB</v>
          </cell>
          <cell r="AF2436">
            <v>1.3</v>
          </cell>
        </row>
        <row r="2437">
          <cell r="A2437" t="str">
            <v>IS_alqt_plus</v>
          </cell>
          <cell r="K2437" t="str">
            <v>EFLA</v>
          </cell>
          <cell r="M2437" t="str">
            <v>M</v>
          </cell>
          <cell r="AB2437" t="str">
            <v>WB</v>
          </cell>
          <cell r="AF2437">
            <v>1.5</v>
          </cell>
        </row>
        <row r="2438">
          <cell r="A2438" t="str">
            <v>IS_alqt_plus</v>
          </cell>
          <cell r="K2438" t="str">
            <v>EFLA</v>
          </cell>
          <cell r="M2438" t="str">
            <v>M</v>
          </cell>
          <cell r="AB2438" t="str">
            <v>WB</v>
          </cell>
          <cell r="AF2438">
            <v>1.3</v>
          </cell>
        </row>
        <row r="2439">
          <cell r="A2439" t="str">
            <v>IS_alqt_plus</v>
          </cell>
          <cell r="K2439" t="str">
            <v>EFLA</v>
          </cell>
          <cell r="M2439" t="str">
            <v>M</v>
          </cell>
          <cell r="AB2439" t="str">
            <v>WB</v>
          </cell>
          <cell r="AF2439">
            <v>1.4</v>
          </cell>
        </row>
        <row r="2440">
          <cell r="A2440" t="str">
            <v>IS_alqt_plus</v>
          </cell>
          <cell r="K2440" t="str">
            <v>EFLA</v>
          </cell>
          <cell r="M2440" t="str">
            <v>M</v>
          </cell>
          <cell r="AB2440" t="str">
            <v>WB</v>
          </cell>
          <cell r="AF2440">
            <v>1.3</v>
          </cell>
        </row>
        <row r="2441">
          <cell r="A2441" t="str">
            <v>IS_alqt_plus</v>
          </cell>
          <cell r="K2441" t="str">
            <v>EFLA</v>
          </cell>
          <cell r="M2441" t="str">
            <v>M</v>
          </cell>
          <cell r="AB2441" t="str">
            <v>WB</v>
          </cell>
          <cell r="AF2441">
            <v>1.3</v>
          </cell>
        </row>
        <row r="2442">
          <cell r="A2442" t="str">
            <v>IS_alqt_plus</v>
          </cell>
          <cell r="K2442" t="str">
            <v>EFLA</v>
          </cell>
          <cell r="M2442" t="str">
            <v>M</v>
          </cell>
          <cell r="AB2442" t="str">
            <v>WB</v>
          </cell>
          <cell r="AF2442">
            <v>1.3</v>
          </cell>
        </row>
        <row r="2443">
          <cell r="A2443" t="str">
            <v>gone</v>
          </cell>
          <cell r="K2443" t="str">
            <v>EFLA</v>
          </cell>
          <cell r="M2443" t="str">
            <v>M</v>
          </cell>
          <cell r="AB2443" t="str">
            <v>WB</v>
          </cell>
          <cell r="AF2443">
            <v>0</v>
          </cell>
        </row>
        <row r="2444">
          <cell r="A2444" t="str">
            <v>IS_alqt_plus</v>
          </cell>
          <cell r="K2444" t="str">
            <v>GMOH</v>
          </cell>
          <cell r="M2444" t="str">
            <v>M</v>
          </cell>
          <cell r="AB2444" t="str">
            <v>WB</v>
          </cell>
          <cell r="AF2444">
            <v>0.4</v>
          </cell>
        </row>
        <row r="2445">
          <cell r="A2445" t="str">
            <v>IS_alqt_plus</v>
          </cell>
          <cell r="K2445" t="str">
            <v>ERUF</v>
          </cell>
          <cell r="M2445" t="str">
            <v>M</v>
          </cell>
          <cell r="AB2445" t="str">
            <v>serum</v>
          </cell>
          <cell r="AF2445">
            <v>0.7</v>
          </cell>
        </row>
        <row r="2446">
          <cell r="A2446" t="str">
            <v>IS_alqt_plus</v>
          </cell>
          <cell r="K2446" t="str">
            <v>ERUF</v>
          </cell>
          <cell r="M2446" t="str">
            <v>M</v>
          </cell>
          <cell r="AB2446" t="str">
            <v>serum</v>
          </cell>
          <cell r="AF2446">
            <v>0.5</v>
          </cell>
        </row>
        <row r="2447">
          <cell r="A2447" t="str">
            <v>IS_alqt_plus</v>
          </cell>
          <cell r="K2447" t="str">
            <v>EFLA</v>
          </cell>
          <cell r="M2447" t="str">
            <v>M</v>
          </cell>
          <cell r="AB2447" t="str">
            <v>serum</v>
          </cell>
          <cell r="AF2447">
            <v>1.2</v>
          </cell>
        </row>
        <row r="2448">
          <cell r="A2448" t="str">
            <v>IS_alqt_plus</v>
          </cell>
          <cell r="K2448" t="str">
            <v>EFLA</v>
          </cell>
          <cell r="M2448" t="str">
            <v>M</v>
          </cell>
          <cell r="AB2448" t="str">
            <v>serum</v>
          </cell>
          <cell r="AF2448">
            <v>0.75</v>
          </cell>
        </row>
        <row r="2449">
          <cell r="A2449" t="str">
            <v>IS_alqt_plus</v>
          </cell>
          <cell r="K2449" t="str">
            <v>EFLA</v>
          </cell>
          <cell r="M2449" t="str">
            <v>M</v>
          </cell>
          <cell r="AB2449" t="str">
            <v>serum</v>
          </cell>
          <cell r="AF2449">
            <v>1.5</v>
          </cell>
        </row>
        <row r="2450">
          <cell r="A2450" t="str">
            <v>IS_alqt_plus</v>
          </cell>
          <cell r="K2450" t="str">
            <v>EFLA</v>
          </cell>
          <cell r="M2450" t="str">
            <v>M</v>
          </cell>
          <cell r="AB2450" t="str">
            <v>serum</v>
          </cell>
          <cell r="AF2450">
            <v>0.3</v>
          </cell>
        </row>
        <row r="2451">
          <cell r="A2451" t="str">
            <v>IS_alqt_plus</v>
          </cell>
          <cell r="K2451" t="str">
            <v>EFLA</v>
          </cell>
          <cell r="M2451" t="str">
            <v>M</v>
          </cell>
          <cell r="AB2451" t="str">
            <v>serum</v>
          </cell>
          <cell r="AF2451">
            <v>0.2</v>
          </cell>
        </row>
        <row r="2452">
          <cell r="A2452" t="str">
            <v>IS_alqt_plus</v>
          </cell>
          <cell r="K2452" t="str">
            <v>EFLA</v>
          </cell>
          <cell r="M2452" t="str">
            <v>M</v>
          </cell>
          <cell r="AB2452" t="str">
            <v>serum</v>
          </cell>
          <cell r="AF2452">
            <v>0.2</v>
          </cell>
        </row>
        <row r="2453">
          <cell r="A2453" t="str">
            <v>gone</v>
          </cell>
          <cell r="K2453" t="str">
            <v>DMAD</v>
          </cell>
          <cell r="M2453" t="str">
            <v>M</v>
          </cell>
          <cell r="AB2453" t="str">
            <v>WB</v>
          </cell>
          <cell r="AF2453">
            <v>0</v>
          </cell>
        </row>
        <row r="2454">
          <cell r="A2454" t="str">
            <v>IS_alqt_plus</v>
          </cell>
          <cell r="K2454" t="str">
            <v>ERUF</v>
          </cell>
          <cell r="M2454" t="str">
            <v>M</v>
          </cell>
          <cell r="AB2454" t="str">
            <v>WB</v>
          </cell>
          <cell r="AF2454">
            <v>0.7</v>
          </cell>
        </row>
        <row r="2455">
          <cell r="A2455" t="str">
            <v>IS_alqt_plus</v>
          </cell>
          <cell r="K2455" t="str">
            <v>ERUF</v>
          </cell>
          <cell r="M2455" t="str">
            <v>M</v>
          </cell>
          <cell r="AB2455" t="str">
            <v>serum</v>
          </cell>
          <cell r="AF2455">
            <v>0.3</v>
          </cell>
        </row>
        <row r="2456">
          <cell r="A2456" t="str">
            <v>IS_alqt_plus</v>
          </cell>
          <cell r="K2456" t="str">
            <v>EFLA</v>
          </cell>
          <cell r="M2456" t="str">
            <v>F</v>
          </cell>
          <cell r="AB2456" t="str">
            <v>WB</v>
          </cell>
          <cell r="AF2456">
            <v>0.5</v>
          </cell>
        </row>
        <row r="2457">
          <cell r="A2457" t="str">
            <v>gone</v>
          </cell>
          <cell r="K2457" t="str">
            <v>EFLA</v>
          </cell>
          <cell r="M2457" t="str">
            <v>M</v>
          </cell>
          <cell r="AB2457" t="str">
            <v>WB</v>
          </cell>
          <cell r="AF2457">
            <v>0</v>
          </cell>
        </row>
        <row r="2458">
          <cell r="A2458" t="str">
            <v>IS_alqt_plus</v>
          </cell>
          <cell r="K2458" t="str">
            <v>EFLA</v>
          </cell>
          <cell r="M2458" t="str">
            <v>F</v>
          </cell>
          <cell r="AB2458" t="str">
            <v>serum</v>
          </cell>
          <cell r="AF2458">
            <v>1</v>
          </cell>
        </row>
        <row r="2459">
          <cell r="A2459" t="str">
            <v>IS_alqt_plus</v>
          </cell>
          <cell r="K2459" t="str">
            <v>EFLA</v>
          </cell>
          <cell r="M2459" t="str">
            <v>M</v>
          </cell>
          <cell r="AB2459" t="str">
            <v>serum</v>
          </cell>
          <cell r="AF2459">
            <v>0.3</v>
          </cell>
        </row>
        <row r="2460">
          <cell r="A2460" t="str">
            <v>IS_alqt_plus</v>
          </cell>
          <cell r="K2460" t="str">
            <v>PTAT</v>
          </cell>
          <cell r="M2460" t="str">
            <v>M</v>
          </cell>
          <cell r="AB2460" t="str">
            <v>WB</v>
          </cell>
          <cell r="AF2460">
            <v>0.5</v>
          </cell>
        </row>
        <row r="2461">
          <cell r="A2461" t="str">
            <v>IS_alqt_plus</v>
          </cell>
          <cell r="K2461" t="str">
            <v>PTAT</v>
          </cell>
          <cell r="M2461" t="str">
            <v>M</v>
          </cell>
          <cell r="AB2461" t="str">
            <v>serum</v>
          </cell>
          <cell r="AF2461">
            <v>1.5</v>
          </cell>
        </row>
        <row r="2462">
          <cell r="A2462" t="str">
            <v>IS_alqt_plus</v>
          </cell>
          <cell r="K2462" t="str">
            <v>EFLA</v>
          </cell>
          <cell r="M2462" t="str">
            <v>F</v>
          </cell>
          <cell r="AB2462" t="str">
            <v>serum</v>
          </cell>
          <cell r="AF2462">
            <v>0.35</v>
          </cell>
        </row>
        <row r="2463">
          <cell r="A2463" t="str">
            <v>IS_alqt_plus</v>
          </cell>
          <cell r="K2463" t="str">
            <v>ECOL</v>
          </cell>
          <cell r="M2463" t="str">
            <v>F</v>
          </cell>
          <cell r="AB2463" t="str">
            <v>WB</v>
          </cell>
          <cell r="AF2463">
            <v>0.3</v>
          </cell>
        </row>
        <row r="2464">
          <cell r="A2464" t="str">
            <v>IS_alqt_plus</v>
          </cell>
          <cell r="K2464" t="str">
            <v>ECOL</v>
          </cell>
          <cell r="M2464" t="str">
            <v>F</v>
          </cell>
          <cell r="AB2464" t="str">
            <v>WB</v>
          </cell>
          <cell r="AF2464">
            <v>0.2</v>
          </cell>
        </row>
        <row r="2465">
          <cell r="A2465" t="str">
            <v>IS_alqt_plus</v>
          </cell>
          <cell r="K2465" t="str">
            <v>ECOL</v>
          </cell>
          <cell r="M2465" t="str">
            <v>F</v>
          </cell>
          <cell r="AB2465" t="str">
            <v>WB</v>
          </cell>
          <cell r="AF2465">
            <v>0.2</v>
          </cell>
        </row>
        <row r="2466">
          <cell r="A2466" t="str">
            <v>IS_alqt_plus</v>
          </cell>
          <cell r="K2466" t="str">
            <v>ECOL</v>
          </cell>
          <cell r="M2466" t="str">
            <v>F</v>
          </cell>
          <cell r="AB2466" t="str">
            <v>serum</v>
          </cell>
          <cell r="AF2466">
            <v>0.6</v>
          </cell>
        </row>
        <row r="2467">
          <cell r="A2467" t="str">
            <v>IS_alqt_plus</v>
          </cell>
          <cell r="K2467" t="str">
            <v>ECOR</v>
          </cell>
          <cell r="M2467" t="str">
            <v>M</v>
          </cell>
          <cell r="AB2467" t="str">
            <v>WB</v>
          </cell>
          <cell r="AF2467">
            <v>0.2</v>
          </cell>
        </row>
        <row r="2468">
          <cell r="A2468" t="str">
            <v>IS_alqt_plus</v>
          </cell>
          <cell r="K2468" t="str">
            <v>ECOR</v>
          </cell>
          <cell r="M2468" t="str">
            <v>M</v>
          </cell>
          <cell r="AB2468" t="str">
            <v>WB</v>
          </cell>
          <cell r="AF2468">
            <v>0.2</v>
          </cell>
        </row>
        <row r="2469">
          <cell r="A2469" t="str">
            <v>IS_alqt_plus</v>
          </cell>
          <cell r="K2469" t="str">
            <v>ECOR</v>
          </cell>
          <cell r="M2469" t="str">
            <v>M</v>
          </cell>
          <cell r="AB2469" t="str">
            <v>WB</v>
          </cell>
          <cell r="AF2469">
            <v>0.2</v>
          </cell>
        </row>
        <row r="2470">
          <cell r="A2470" t="str">
            <v>IS_alqt_plus</v>
          </cell>
          <cell r="K2470" t="str">
            <v>ECOR</v>
          </cell>
          <cell r="M2470" t="str">
            <v>M</v>
          </cell>
          <cell r="AB2470" t="str">
            <v>serum</v>
          </cell>
          <cell r="AF2470">
            <v>1.2</v>
          </cell>
        </row>
        <row r="2471">
          <cell r="A2471" t="str">
            <v>IS_alqt_plus</v>
          </cell>
          <cell r="K2471" t="str">
            <v>VVV</v>
          </cell>
          <cell r="M2471" t="str">
            <v>M</v>
          </cell>
          <cell r="AB2471" t="str">
            <v>WB</v>
          </cell>
          <cell r="AF2471">
            <v>0.75</v>
          </cell>
        </row>
        <row r="2472">
          <cell r="A2472" t="str">
            <v>IS_alqt_plus</v>
          </cell>
          <cell r="K2472" t="str">
            <v>VVV</v>
          </cell>
          <cell r="M2472" t="str">
            <v>M</v>
          </cell>
          <cell r="AB2472" t="str">
            <v>serum</v>
          </cell>
          <cell r="AF2472">
            <v>0.9</v>
          </cell>
        </row>
        <row r="2473">
          <cell r="A2473" t="str">
            <v>IS_alqt_plus</v>
          </cell>
          <cell r="K2473" t="str">
            <v>EFLA</v>
          </cell>
          <cell r="M2473" t="str">
            <v>M</v>
          </cell>
          <cell r="AB2473" t="str">
            <v>serum</v>
          </cell>
          <cell r="AF2473">
            <v>0.7</v>
          </cell>
        </row>
        <row r="2474">
          <cell r="A2474" t="str">
            <v>gone</v>
          </cell>
          <cell r="K2474" t="str">
            <v>EFLA</v>
          </cell>
          <cell r="M2474" t="str">
            <v>M</v>
          </cell>
          <cell r="AB2474" t="str">
            <v>WB</v>
          </cell>
          <cell r="AF2474">
            <v>0</v>
          </cell>
        </row>
        <row r="2475">
          <cell r="A2475" t="str">
            <v>IS_alqt_plus</v>
          </cell>
          <cell r="K2475" t="str">
            <v>EFLA</v>
          </cell>
          <cell r="M2475" t="str">
            <v>M</v>
          </cell>
          <cell r="AB2475" t="str">
            <v>serum</v>
          </cell>
          <cell r="AF2475">
            <v>0.4</v>
          </cell>
        </row>
        <row r="2476">
          <cell r="A2476" t="str">
            <v>IS_alqt_plus</v>
          </cell>
          <cell r="K2476" t="str">
            <v>EUL</v>
          </cell>
          <cell r="M2476" t="str">
            <v>F</v>
          </cell>
          <cell r="AB2476" t="str">
            <v>WB</v>
          </cell>
          <cell r="AF2476">
            <v>0.75</v>
          </cell>
        </row>
        <row r="2477">
          <cell r="A2477" t="str">
            <v>IS_alqt_plus</v>
          </cell>
          <cell r="K2477" t="str">
            <v>EUL</v>
          </cell>
          <cell r="M2477" t="str">
            <v>F</v>
          </cell>
          <cell r="AB2477" t="str">
            <v>serum</v>
          </cell>
          <cell r="AF2477">
            <v>0.7</v>
          </cell>
        </row>
        <row r="2478">
          <cell r="A2478" t="str">
            <v>IS_alqt_plus</v>
          </cell>
          <cell r="K2478" t="str">
            <v>CMED</v>
          </cell>
          <cell r="M2478" t="str">
            <v>F</v>
          </cell>
          <cell r="AB2478" t="str">
            <v>PRBC</v>
          </cell>
          <cell r="AF2478">
            <v>0.3</v>
          </cell>
        </row>
        <row r="2479">
          <cell r="A2479" t="str">
            <v>IS_alqt_plus</v>
          </cell>
          <cell r="K2479" t="str">
            <v>CMED</v>
          </cell>
          <cell r="M2479" t="str">
            <v>M</v>
          </cell>
          <cell r="AB2479" t="str">
            <v>PRBC</v>
          </cell>
          <cell r="AF2479">
            <v>0.4</v>
          </cell>
        </row>
        <row r="2480">
          <cell r="A2480" t="str">
            <v>IS_alqt_plus</v>
          </cell>
          <cell r="K2480" t="str">
            <v>CMED</v>
          </cell>
          <cell r="M2480" t="str">
            <v>M</v>
          </cell>
          <cell r="AB2480" t="str">
            <v>PRBC</v>
          </cell>
          <cell r="AF2480">
            <v>0.3</v>
          </cell>
        </row>
        <row r="2481">
          <cell r="A2481" t="str">
            <v>IS_alqt_plus</v>
          </cell>
          <cell r="K2481" t="str">
            <v>CMED</v>
          </cell>
          <cell r="M2481" t="str">
            <v>F</v>
          </cell>
          <cell r="AB2481" t="str">
            <v>PRBC</v>
          </cell>
          <cell r="AF2481">
            <v>0.4</v>
          </cell>
        </row>
        <row r="2482">
          <cell r="A2482" t="str">
            <v>IS_alqt_plus</v>
          </cell>
          <cell r="K2482" t="str">
            <v>DMAD</v>
          </cell>
          <cell r="M2482" t="str">
            <v>F</v>
          </cell>
          <cell r="AB2482" t="str">
            <v>serum</v>
          </cell>
          <cell r="AF2482">
            <v>1</v>
          </cell>
        </row>
        <row r="2483">
          <cell r="A2483" t="str">
            <v>IS_alqt_plus</v>
          </cell>
          <cell r="K2483" t="str">
            <v>DMAD</v>
          </cell>
          <cell r="M2483" t="str">
            <v>F</v>
          </cell>
          <cell r="AB2483" t="str">
            <v>WB</v>
          </cell>
          <cell r="AF2483">
            <v>0.6</v>
          </cell>
        </row>
        <row r="2484">
          <cell r="A2484" t="str">
            <v>IS_alqt_plus</v>
          </cell>
          <cell r="K2484" t="str">
            <v>DMAD</v>
          </cell>
          <cell r="M2484" t="str">
            <v>M</v>
          </cell>
          <cell r="AB2484" t="str">
            <v>PRBC</v>
          </cell>
          <cell r="AF2484">
            <v>1.1000000000000001</v>
          </cell>
        </row>
        <row r="2485">
          <cell r="A2485" t="str">
            <v>IS_alqt_plus</v>
          </cell>
          <cell r="K2485" t="str">
            <v>DMAD</v>
          </cell>
          <cell r="M2485" t="str">
            <v>M</v>
          </cell>
          <cell r="AB2485" t="str">
            <v>PRBC</v>
          </cell>
          <cell r="AF2485">
            <v>0.5</v>
          </cell>
        </row>
        <row r="2486">
          <cell r="A2486" t="str">
            <v>IS_alqt_plus</v>
          </cell>
          <cell r="K2486" t="str">
            <v>DMAD</v>
          </cell>
          <cell r="M2486" t="str">
            <v>M</v>
          </cell>
          <cell r="AB2486" t="str">
            <v>serum</v>
          </cell>
          <cell r="AF2486">
            <v>0.4</v>
          </cell>
        </row>
        <row r="2487">
          <cell r="A2487" t="str">
            <v>IS_alqt_plus</v>
          </cell>
          <cell r="K2487" t="str">
            <v>ECOL</v>
          </cell>
          <cell r="M2487" t="str">
            <v>M</v>
          </cell>
          <cell r="AB2487" t="str">
            <v>serum</v>
          </cell>
          <cell r="AF2487">
            <v>1.2</v>
          </cell>
        </row>
        <row r="2488">
          <cell r="A2488" t="str">
            <v>gone</v>
          </cell>
          <cell r="K2488" t="str">
            <v>ECOL</v>
          </cell>
          <cell r="M2488" t="str">
            <v>M</v>
          </cell>
          <cell r="AB2488" t="str">
            <v>WB</v>
          </cell>
          <cell r="AF2488">
            <v>0</v>
          </cell>
        </row>
        <row r="2489">
          <cell r="A2489" t="str">
            <v>IS_alqt_plus</v>
          </cell>
          <cell r="K2489" t="str">
            <v>DMAD</v>
          </cell>
          <cell r="M2489" t="str">
            <v>M</v>
          </cell>
          <cell r="AB2489" t="str">
            <v>serum</v>
          </cell>
          <cell r="AF2489">
            <v>0.3</v>
          </cell>
        </row>
        <row r="2490">
          <cell r="A2490" t="str">
            <v>IS_alqt_plus</v>
          </cell>
          <cell r="K2490" t="str">
            <v>DMAD</v>
          </cell>
          <cell r="M2490" t="str">
            <v>M</v>
          </cell>
          <cell r="AB2490" t="str">
            <v>WB</v>
          </cell>
          <cell r="AF2490">
            <v>0.2</v>
          </cell>
        </row>
        <row r="2491">
          <cell r="A2491" t="str">
            <v>IS_alqt_plus</v>
          </cell>
          <cell r="K2491" t="str">
            <v>ECOL</v>
          </cell>
          <cell r="M2491" t="str">
            <v>M</v>
          </cell>
          <cell r="AB2491" t="str">
            <v>WB</v>
          </cell>
          <cell r="AF2491">
            <v>0.5</v>
          </cell>
        </row>
        <row r="2492">
          <cell r="A2492" t="str">
            <v>IS_alqt_minus</v>
          </cell>
          <cell r="K2492" t="str">
            <v>EMON</v>
          </cell>
          <cell r="M2492" t="str">
            <v>M</v>
          </cell>
          <cell r="AB2492" t="str">
            <v>serum</v>
          </cell>
          <cell r="AF2492">
            <v>0.1</v>
          </cell>
        </row>
        <row r="2493">
          <cell r="A2493" t="str">
            <v>IS_alqt_plus</v>
          </cell>
          <cell r="K2493" t="str">
            <v>VRUB</v>
          </cell>
          <cell r="M2493" t="str">
            <v>M</v>
          </cell>
          <cell r="AB2493" t="str">
            <v>WB</v>
          </cell>
          <cell r="AF2493">
            <v>1</v>
          </cell>
        </row>
        <row r="2494">
          <cell r="A2494" t="str">
            <v>IS_alqt_plus</v>
          </cell>
          <cell r="K2494" t="str">
            <v>DMAD</v>
          </cell>
          <cell r="M2494" t="str">
            <v>F</v>
          </cell>
          <cell r="AB2494" t="str">
            <v>PRBC</v>
          </cell>
          <cell r="AF2494">
            <v>1</v>
          </cell>
        </row>
        <row r="2495">
          <cell r="A2495" t="str">
            <v>IS_alqt_plus</v>
          </cell>
          <cell r="K2495" t="str">
            <v>DMAD</v>
          </cell>
          <cell r="M2495" t="str">
            <v>F</v>
          </cell>
          <cell r="AB2495" t="str">
            <v>PRBC</v>
          </cell>
          <cell r="AF2495">
            <v>0.5</v>
          </cell>
        </row>
        <row r="2496">
          <cell r="A2496" t="str">
            <v>IS_alqt_minus</v>
          </cell>
          <cell r="K2496" t="str">
            <v>DMAD</v>
          </cell>
          <cell r="M2496" t="str">
            <v>F</v>
          </cell>
          <cell r="AB2496" t="str">
            <v>serum</v>
          </cell>
          <cell r="AF2496">
            <v>0.1</v>
          </cell>
        </row>
        <row r="2497">
          <cell r="A2497" t="str">
            <v>IS_alqt_plus</v>
          </cell>
          <cell r="K2497" t="str">
            <v>DMAD</v>
          </cell>
          <cell r="M2497" t="str">
            <v>M</v>
          </cell>
          <cell r="AB2497" t="str">
            <v>PRBC</v>
          </cell>
          <cell r="AF2497">
            <v>1.2</v>
          </cell>
        </row>
        <row r="2498">
          <cell r="A2498" t="str">
            <v>IS_alqt_plus</v>
          </cell>
          <cell r="K2498" t="str">
            <v>DMAD</v>
          </cell>
          <cell r="M2498" t="str">
            <v>M</v>
          </cell>
          <cell r="AB2498" t="str">
            <v>PRBC</v>
          </cell>
          <cell r="AF2498">
            <v>0.3</v>
          </cell>
        </row>
        <row r="2499">
          <cell r="A2499" t="str">
            <v>IS_alqt_minus</v>
          </cell>
          <cell r="K2499" t="str">
            <v>DMAD</v>
          </cell>
          <cell r="M2499" t="str">
            <v>M</v>
          </cell>
          <cell r="AB2499" t="str">
            <v>serum</v>
          </cell>
          <cell r="AF2499">
            <v>0.1</v>
          </cell>
        </row>
        <row r="2500">
          <cell r="A2500" t="str">
            <v>IS_alqt_plus</v>
          </cell>
          <cell r="K2500" t="str">
            <v>ECOL</v>
          </cell>
          <cell r="M2500" t="str">
            <v>M</v>
          </cell>
          <cell r="AB2500" t="str">
            <v>serum</v>
          </cell>
          <cell r="AF2500">
            <v>0.4</v>
          </cell>
        </row>
        <row r="2501">
          <cell r="A2501" t="str">
            <v>IS_alqt_plus</v>
          </cell>
          <cell r="K2501" t="str">
            <v>ECOL</v>
          </cell>
          <cell r="M2501" t="str">
            <v>M</v>
          </cell>
          <cell r="AB2501" t="str">
            <v>WB</v>
          </cell>
          <cell r="AF2501">
            <v>0.6</v>
          </cell>
        </row>
        <row r="2502">
          <cell r="A2502" t="str">
            <v>IS_alqt_plus</v>
          </cell>
          <cell r="K2502" t="str">
            <v>EFLA</v>
          </cell>
          <cell r="M2502" t="str">
            <v>M</v>
          </cell>
          <cell r="AB2502" t="str">
            <v>WB</v>
          </cell>
          <cell r="AF2502">
            <v>1</v>
          </cell>
        </row>
        <row r="2503">
          <cell r="A2503" t="str">
            <v>IS_alqt_plus</v>
          </cell>
          <cell r="K2503" t="str">
            <v>EFLA</v>
          </cell>
          <cell r="M2503" t="str">
            <v>M</v>
          </cell>
          <cell r="AB2503" t="str">
            <v>WB</v>
          </cell>
          <cell r="AF2503">
            <v>1</v>
          </cell>
        </row>
        <row r="2504">
          <cell r="A2504" t="str">
            <v>IS_alqt_plus</v>
          </cell>
          <cell r="K2504" t="str">
            <v>EFLA</v>
          </cell>
          <cell r="M2504" t="str">
            <v>M</v>
          </cell>
          <cell r="AB2504" t="str">
            <v>serum</v>
          </cell>
          <cell r="AF2504">
            <v>0.3</v>
          </cell>
        </row>
        <row r="2505">
          <cell r="A2505" t="str">
            <v>IS_alqt_plus</v>
          </cell>
          <cell r="K2505" t="str">
            <v>EFLA</v>
          </cell>
          <cell r="M2505" t="str">
            <v>M</v>
          </cell>
          <cell r="AB2505" t="str">
            <v>serum</v>
          </cell>
          <cell r="AF2505">
            <v>0.2</v>
          </cell>
        </row>
        <row r="2506">
          <cell r="A2506" t="str">
            <v>IS_alqt_plus</v>
          </cell>
          <cell r="K2506" t="str">
            <v>EFLA</v>
          </cell>
          <cell r="M2506" t="str">
            <v>M</v>
          </cell>
          <cell r="AB2506" t="str">
            <v>serum</v>
          </cell>
          <cell r="AF2506">
            <v>0.2</v>
          </cell>
        </row>
        <row r="2507">
          <cell r="A2507" t="str">
            <v>IS_alqt_plus</v>
          </cell>
          <cell r="K2507" t="str">
            <v>EFLA</v>
          </cell>
          <cell r="M2507" t="str">
            <v>M</v>
          </cell>
          <cell r="AB2507" t="str">
            <v>serum</v>
          </cell>
          <cell r="AF2507">
            <v>0.2</v>
          </cell>
        </row>
        <row r="2508">
          <cell r="A2508" t="str">
            <v>IS_alqt_plus</v>
          </cell>
          <cell r="K2508" t="str">
            <v>LCAT</v>
          </cell>
          <cell r="M2508" t="str">
            <v>F</v>
          </cell>
          <cell r="AB2508" t="str">
            <v>WB</v>
          </cell>
          <cell r="AF2508">
            <v>0.4</v>
          </cell>
        </row>
        <row r="2509">
          <cell r="A2509" t="str">
            <v>IS_alqt_plus</v>
          </cell>
          <cell r="K2509" t="str">
            <v>LCAT</v>
          </cell>
          <cell r="M2509" t="str">
            <v>M</v>
          </cell>
          <cell r="AB2509" t="str">
            <v>PRBC</v>
          </cell>
          <cell r="AF2509">
            <v>0.5</v>
          </cell>
        </row>
        <row r="2510">
          <cell r="A2510" t="str">
            <v>IS_alqt_plus</v>
          </cell>
          <cell r="K2510" t="str">
            <v>LCAT</v>
          </cell>
          <cell r="M2510" t="str">
            <v>M</v>
          </cell>
          <cell r="AB2510" t="str">
            <v>WB</v>
          </cell>
          <cell r="AF2510">
            <v>1</v>
          </cell>
        </row>
        <row r="2511">
          <cell r="A2511" t="str">
            <v>IS_alqt_plus</v>
          </cell>
          <cell r="K2511" t="str">
            <v>LCAT</v>
          </cell>
          <cell r="M2511" t="str">
            <v>M</v>
          </cell>
          <cell r="AB2511" t="str">
            <v>PRBC</v>
          </cell>
          <cell r="AF2511">
            <v>0.5</v>
          </cell>
        </row>
        <row r="2512">
          <cell r="A2512" t="str">
            <v>IS_alqt_plus</v>
          </cell>
          <cell r="K2512" t="str">
            <v>LCAT</v>
          </cell>
          <cell r="M2512" t="str">
            <v>M</v>
          </cell>
          <cell r="AB2512" t="str">
            <v>serum</v>
          </cell>
          <cell r="AF2512">
            <v>0.3</v>
          </cell>
        </row>
        <row r="2513">
          <cell r="A2513" t="str">
            <v>IS_alqt_plus</v>
          </cell>
          <cell r="K2513" t="str">
            <v>LCAT</v>
          </cell>
          <cell r="M2513" t="str">
            <v>M</v>
          </cell>
          <cell r="AB2513" t="str">
            <v>serum</v>
          </cell>
          <cell r="AF2513">
            <v>0.5</v>
          </cell>
        </row>
        <row r="2514">
          <cell r="A2514" t="str">
            <v>IS_alqt_plus</v>
          </cell>
          <cell r="K2514" t="str">
            <v>DMAD</v>
          </cell>
          <cell r="M2514" t="str">
            <v>M</v>
          </cell>
          <cell r="AB2514" t="str">
            <v>serum</v>
          </cell>
          <cell r="AF2514">
            <v>0.7</v>
          </cell>
        </row>
        <row r="2515">
          <cell r="A2515" t="str">
            <v>IS_alqt_plus</v>
          </cell>
          <cell r="K2515" t="str">
            <v>DMAD</v>
          </cell>
          <cell r="M2515" t="str">
            <v>M</v>
          </cell>
          <cell r="AB2515" t="str">
            <v>serum</v>
          </cell>
          <cell r="AF2515">
            <v>0.55000000000000004</v>
          </cell>
        </row>
        <row r="2516">
          <cell r="A2516" t="str">
            <v>IS_alqt_plus</v>
          </cell>
          <cell r="K2516" t="str">
            <v>DMAD</v>
          </cell>
          <cell r="M2516" t="str">
            <v>F</v>
          </cell>
          <cell r="AB2516" t="str">
            <v>serum</v>
          </cell>
          <cell r="AF2516">
            <v>0.8</v>
          </cell>
        </row>
        <row r="2517">
          <cell r="A2517" t="str">
            <v>IS_alqt_plus</v>
          </cell>
          <cell r="K2517" t="str">
            <v>DMAD</v>
          </cell>
          <cell r="M2517" t="str">
            <v>F</v>
          </cell>
          <cell r="AB2517" t="str">
            <v>serum</v>
          </cell>
          <cell r="AF2517">
            <v>0.75</v>
          </cell>
        </row>
        <row r="2518">
          <cell r="A2518" t="str">
            <v>IS_alqt_plus</v>
          </cell>
          <cell r="K2518" t="str">
            <v>DMAD</v>
          </cell>
          <cell r="M2518" t="str">
            <v>M</v>
          </cell>
          <cell r="AB2518" t="str">
            <v>WB</v>
          </cell>
          <cell r="AF2518">
            <v>0.4</v>
          </cell>
        </row>
        <row r="2519">
          <cell r="A2519" t="str">
            <v>IS_alqt_plus</v>
          </cell>
          <cell r="K2519" t="str">
            <v>DMAD</v>
          </cell>
          <cell r="M2519" t="str">
            <v>F</v>
          </cell>
          <cell r="AB2519" t="str">
            <v>WB</v>
          </cell>
          <cell r="AF2519">
            <v>0.6</v>
          </cell>
        </row>
        <row r="2520">
          <cell r="A2520" t="str">
            <v>IS_alqt_plus</v>
          </cell>
          <cell r="K2520" t="str">
            <v>LCAT</v>
          </cell>
          <cell r="M2520" t="str">
            <v>F</v>
          </cell>
          <cell r="AB2520" t="str">
            <v>WB</v>
          </cell>
          <cell r="AF2520">
            <v>0.5</v>
          </cell>
        </row>
        <row r="2521">
          <cell r="A2521" t="str">
            <v>IS_alqt_plus</v>
          </cell>
          <cell r="K2521" t="str">
            <v>LCAT</v>
          </cell>
          <cell r="M2521" t="str">
            <v>M</v>
          </cell>
          <cell r="AB2521" t="str">
            <v>WB</v>
          </cell>
          <cell r="AF2521">
            <v>0.75</v>
          </cell>
        </row>
        <row r="2522">
          <cell r="A2522" t="str">
            <v>IS_alqt_plus</v>
          </cell>
          <cell r="K2522" t="str">
            <v>PCOQ</v>
          </cell>
          <cell r="M2522" t="str">
            <v>F</v>
          </cell>
          <cell r="AB2522" t="str">
            <v>serum</v>
          </cell>
          <cell r="AF2522">
            <v>0.7</v>
          </cell>
        </row>
        <row r="2523">
          <cell r="A2523" t="str">
            <v>IS_alqt_plus</v>
          </cell>
          <cell r="K2523" t="str">
            <v>PCOQ</v>
          </cell>
          <cell r="M2523" t="str">
            <v>F</v>
          </cell>
          <cell r="AB2523" t="str">
            <v>serum</v>
          </cell>
          <cell r="AF2523">
            <v>0.6</v>
          </cell>
        </row>
        <row r="2524">
          <cell r="A2524" t="str">
            <v>IS_alqt_plus</v>
          </cell>
          <cell r="K2524" t="str">
            <v>LCAT</v>
          </cell>
          <cell r="M2524" t="str">
            <v>M</v>
          </cell>
          <cell r="AB2524" t="str">
            <v>WB</v>
          </cell>
          <cell r="AF2524">
            <v>0.75</v>
          </cell>
        </row>
        <row r="2525">
          <cell r="A2525" t="str">
            <v>IS_alqt_plus</v>
          </cell>
          <cell r="K2525" t="str">
            <v>LCAT</v>
          </cell>
          <cell r="M2525" t="str">
            <v>M</v>
          </cell>
          <cell r="AB2525" t="str">
            <v>WB</v>
          </cell>
          <cell r="AF2525">
            <v>1.3</v>
          </cell>
        </row>
        <row r="2526">
          <cell r="A2526" t="str">
            <v>IS_alqt_plus</v>
          </cell>
          <cell r="K2526" t="str">
            <v>LCAT</v>
          </cell>
          <cell r="M2526" t="str">
            <v>F</v>
          </cell>
          <cell r="AB2526" t="str">
            <v>WB</v>
          </cell>
          <cell r="AF2526">
            <v>0.2</v>
          </cell>
        </row>
        <row r="2527">
          <cell r="A2527" t="str">
            <v>IS_alqt_plus</v>
          </cell>
          <cell r="K2527" t="str">
            <v>HGG</v>
          </cell>
          <cell r="M2527" t="str">
            <v>M</v>
          </cell>
          <cell r="AB2527" t="str">
            <v>serum</v>
          </cell>
          <cell r="AF2527">
            <v>0.6</v>
          </cell>
        </row>
        <row r="2528">
          <cell r="A2528" t="str">
            <v>IS_alqt_plus</v>
          </cell>
          <cell r="K2528" t="str">
            <v>LCAT</v>
          </cell>
          <cell r="M2528" t="str">
            <v>F</v>
          </cell>
          <cell r="AB2528" t="str">
            <v>WB</v>
          </cell>
          <cell r="AF2528">
            <v>0.2</v>
          </cell>
        </row>
        <row r="2529">
          <cell r="A2529" t="str">
            <v>IS_alqt_plus</v>
          </cell>
          <cell r="K2529" t="str">
            <v>PCOQ</v>
          </cell>
          <cell r="M2529" t="str">
            <v>M</v>
          </cell>
          <cell r="AB2529" t="str">
            <v>serum</v>
          </cell>
          <cell r="AF2529">
            <v>0.2</v>
          </cell>
        </row>
        <row r="2530">
          <cell r="A2530" t="str">
            <v>gone</v>
          </cell>
          <cell r="K2530" t="str">
            <v>VRUB</v>
          </cell>
          <cell r="M2530" t="str">
            <v>M</v>
          </cell>
          <cell r="AB2530" t="str">
            <v>WB</v>
          </cell>
          <cell r="AF2530">
            <v>0</v>
          </cell>
        </row>
        <row r="2531">
          <cell r="A2531" t="str">
            <v>gone</v>
          </cell>
          <cell r="K2531" t="str">
            <v>VRUB</v>
          </cell>
          <cell r="M2531" t="str">
            <v>M</v>
          </cell>
          <cell r="AB2531" t="str">
            <v>WB</v>
          </cell>
          <cell r="AF2531">
            <v>0</v>
          </cell>
        </row>
        <row r="2532">
          <cell r="A2532" t="str">
            <v>IS_alqt_plus</v>
          </cell>
          <cell r="K2532" t="str">
            <v>VRUB</v>
          </cell>
          <cell r="M2532" t="str">
            <v>M</v>
          </cell>
          <cell r="AB2532" t="str">
            <v>WB</v>
          </cell>
          <cell r="AF2532">
            <v>0.6</v>
          </cell>
        </row>
        <row r="2533">
          <cell r="A2533" t="str">
            <v>gone</v>
          </cell>
          <cell r="K2533" t="str">
            <v>VRUB</v>
          </cell>
          <cell r="M2533" t="str">
            <v>M</v>
          </cell>
          <cell r="AB2533" t="str">
            <v>WB</v>
          </cell>
          <cell r="AF2533">
            <v>0</v>
          </cell>
        </row>
        <row r="2534">
          <cell r="A2534" t="str">
            <v>IS_alqt_minus</v>
          </cell>
          <cell r="K2534" t="str">
            <v>VRUB</v>
          </cell>
          <cell r="M2534" t="str">
            <v>M</v>
          </cell>
          <cell r="AB2534" t="str">
            <v>serum</v>
          </cell>
          <cell r="AF2534">
            <v>0.1</v>
          </cell>
        </row>
        <row r="2535">
          <cell r="A2535" t="str">
            <v>IS_alqt_plus</v>
          </cell>
          <cell r="K2535" t="str">
            <v>VRUB</v>
          </cell>
          <cell r="M2535" t="str">
            <v>M</v>
          </cell>
          <cell r="AB2535" t="str">
            <v>serum</v>
          </cell>
          <cell r="AF2535">
            <v>0.4</v>
          </cell>
        </row>
        <row r="2536">
          <cell r="A2536" t="str">
            <v>IS_alqt_plus</v>
          </cell>
          <cell r="K2536" t="str">
            <v>VRUB</v>
          </cell>
          <cell r="M2536" t="str">
            <v>M</v>
          </cell>
          <cell r="AB2536" t="str">
            <v>serum</v>
          </cell>
          <cell r="AF2536">
            <v>0.5</v>
          </cell>
        </row>
        <row r="2537">
          <cell r="A2537" t="str">
            <v>IS_alqt_plus</v>
          </cell>
          <cell r="K2537" t="str">
            <v>VRUB</v>
          </cell>
          <cell r="M2537" t="str">
            <v>M</v>
          </cell>
          <cell r="AB2537" t="str">
            <v>serum</v>
          </cell>
          <cell r="AF2537">
            <v>0.5</v>
          </cell>
        </row>
        <row r="2538">
          <cell r="A2538" t="str">
            <v>IS_alqt_plus</v>
          </cell>
          <cell r="K2538" t="str">
            <v>LCAT</v>
          </cell>
          <cell r="M2538" t="str">
            <v>F</v>
          </cell>
          <cell r="AB2538" t="str">
            <v>WB</v>
          </cell>
          <cell r="AF2538">
            <v>0.2</v>
          </cell>
        </row>
        <row r="2539">
          <cell r="A2539" t="str">
            <v>IS_alqt_plus</v>
          </cell>
          <cell r="K2539" t="str">
            <v>LCAT</v>
          </cell>
          <cell r="M2539" t="str">
            <v>F</v>
          </cell>
          <cell r="AB2539" t="str">
            <v>WB</v>
          </cell>
          <cell r="AF2539">
            <v>0.2</v>
          </cell>
        </row>
        <row r="2540">
          <cell r="A2540" t="str">
            <v>IS_alqt_plus</v>
          </cell>
          <cell r="K2540" t="str">
            <v>PCOQ</v>
          </cell>
          <cell r="M2540" t="str">
            <v>M</v>
          </cell>
          <cell r="AB2540" t="str">
            <v>serum</v>
          </cell>
          <cell r="AF2540">
            <v>0.3</v>
          </cell>
        </row>
        <row r="2541">
          <cell r="A2541" t="str">
            <v>IS_alqt_plus</v>
          </cell>
          <cell r="K2541" t="str">
            <v>PCOQ</v>
          </cell>
          <cell r="M2541" t="str">
            <v>M</v>
          </cell>
          <cell r="AB2541" t="str">
            <v>serum</v>
          </cell>
          <cell r="AF2541">
            <v>0.65</v>
          </cell>
        </row>
        <row r="2542">
          <cell r="A2542" t="str">
            <v>IS_alqt_plus</v>
          </cell>
          <cell r="K2542" t="str">
            <v>PCOQ</v>
          </cell>
          <cell r="M2542" t="str">
            <v>M</v>
          </cell>
          <cell r="AB2542" t="str">
            <v>serum</v>
          </cell>
          <cell r="AF2542">
            <v>0.8</v>
          </cell>
        </row>
        <row r="2543">
          <cell r="A2543" t="str">
            <v>IS_alqt_plus</v>
          </cell>
          <cell r="K2543" t="str">
            <v>PCOQ</v>
          </cell>
          <cell r="M2543" t="str">
            <v>M</v>
          </cell>
          <cell r="AB2543" t="str">
            <v>serum</v>
          </cell>
          <cell r="AF2543">
            <v>0.8</v>
          </cell>
        </row>
        <row r="2544">
          <cell r="A2544" t="str">
            <v>IS_alqt_plus</v>
          </cell>
          <cell r="K2544" t="str">
            <v>PCOQ</v>
          </cell>
          <cell r="M2544" t="str">
            <v>M</v>
          </cell>
          <cell r="AB2544" t="str">
            <v>serum</v>
          </cell>
          <cell r="AF2544">
            <v>0.6</v>
          </cell>
        </row>
        <row r="2545">
          <cell r="A2545" t="str">
            <v>IS_alqt_plus</v>
          </cell>
          <cell r="K2545" t="str">
            <v>LCAT</v>
          </cell>
          <cell r="M2545" t="str">
            <v>F</v>
          </cell>
          <cell r="AB2545" t="str">
            <v>WB</v>
          </cell>
          <cell r="AF2545">
            <v>0.5</v>
          </cell>
        </row>
        <row r="2546">
          <cell r="A2546" t="str">
            <v>unk</v>
          </cell>
          <cell r="K2546" t="str">
            <v>LCAT</v>
          </cell>
          <cell r="M2546" t="str">
            <v>F</v>
          </cell>
          <cell r="AB2546" t="str">
            <v>WB</v>
          </cell>
          <cell r="AF2546">
            <v>0.2</v>
          </cell>
        </row>
        <row r="2547">
          <cell r="A2547" t="str">
            <v>unk</v>
          </cell>
          <cell r="K2547" t="str">
            <v>LCAT</v>
          </cell>
          <cell r="M2547" t="str">
            <v>F</v>
          </cell>
          <cell r="AB2547" t="str">
            <v>WB</v>
          </cell>
          <cell r="AF2547">
            <v>0.2</v>
          </cell>
        </row>
        <row r="2548">
          <cell r="A2548" t="str">
            <v>unk</v>
          </cell>
          <cell r="K2548" t="str">
            <v>LCAT</v>
          </cell>
          <cell r="M2548" t="str">
            <v>F</v>
          </cell>
          <cell r="AB2548" t="str">
            <v>WB</v>
          </cell>
          <cell r="AF2548">
            <v>0.2</v>
          </cell>
        </row>
        <row r="2549">
          <cell r="A2549" t="str">
            <v>IS_alqt_plus</v>
          </cell>
          <cell r="K2549" t="str">
            <v>PCOQ</v>
          </cell>
          <cell r="M2549" t="str">
            <v>M</v>
          </cell>
          <cell r="AB2549" t="str">
            <v>serum</v>
          </cell>
          <cell r="AF2549">
            <v>0.5</v>
          </cell>
        </row>
        <row r="2550">
          <cell r="A2550" t="str">
            <v>IS_alqt_plus</v>
          </cell>
          <cell r="K2550" t="str">
            <v>PCOQ</v>
          </cell>
          <cell r="M2550" t="str">
            <v>M</v>
          </cell>
          <cell r="AB2550" t="str">
            <v>serum</v>
          </cell>
          <cell r="AF2550">
            <v>0.5</v>
          </cell>
        </row>
        <row r="2551">
          <cell r="A2551" t="str">
            <v>IS_alqt_plus</v>
          </cell>
          <cell r="K2551" t="str">
            <v>EFLA</v>
          </cell>
          <cell r="M2551" t="str">
            <v>M</v>
          </cell>
          <cell r="AB2551" t="str">
            <v>serum</v>
          </cell>
          <cell r="AF2551">
            <v>0.2</v>
          </cell>
        </row>
        <row r="2552">
          <cell r="A2552" t="str">
            <v>IS_alqt_plus</v>
          </cell>
          <cell r="K2552" t="str">
            <v>LCAT</v>
          </cell>
          <cell r="M2552" t="str">
            <v>F</v>
          </cell>
          <cell r="AB2552" t="str">
            <v>WB</v>
          </cell>
          <cell r="AF2552">
            <v>0.75</v>
          </cell>
        </row>
        <row r="2553">
          <cell r="A2553" t="str">
            <v>IS_alqt_plus</v>
          </cell>
          <cell r="K2553" t="str">
            <v>LCAT</v>
          </cell>
          <cell r="M2553" t="str">
            <v>F</v>
          </cell>
          <cell r="AB2553" t="str">
            <v>WB</v>
          </cell>
          <cell r="AF2553">
            <v>0.2</v>
          </cell>
        </row>
        <row r="2554">
          <cell r="A2554" t="str">
            <v>IS_alqt_plus</v>
          </cell>
          <cell r="K2554" t="str">
            <v>LCAT</v>
          </cell>
          <cell r="M2554" t="str">
            <v>F</v>
          </cell>
          <cell r="AB2554" t="str">
            <v>serum</v>
          </cell>
          <cell r="AF2554">
            <v>0.55000000000000004</v>
          </cell>
        </row>
        <row r="2555">
          <cell r="A2555" t="str">
            <v>IS_alqt_plus</v>
          </cell>
          <cell r="K2555" t="str">
            <v>LCAT</v>
          </cell>
          <cell r="M2555" t="str">
            <v>F</v>
          </cell>
          <cell r="AB2555" t="str">
            <v>serum</v>
          </cell>
          <cell r="AF2555">
            <v>0.4</v>
          </cell>
        </row>
        <row r="2556">
          <cell r="A2556" t="str">
            <v>IS_alqt_plus</v>
          </cell>
          <cell r="K2556" t="str">
            <v>ERUF</v>
          </cell>
          <cell r="M2556" t="str">
            <v>F</v>
          </cell>
          <cell r="AB2556" t="str">
            <v>WB</v>
          </cell>
          <cell r="AF2556">
            <v>1.3</v>
          </cell>
        </row>
        <row r="2557">
          <cell r="A2557" t="str">
            <v>gone</v>
          </cell>
          <cell r="K2557" t="str">
            <v>ERUF</v>
          </cell>
          <cell r="M2557" t="str">
            <v>F</v>
          </cell>
          <cell r="AB2557" t="str">
            <v>WB</v>
          </cell>
          <cell r="AF2557">
            <v>0</v>
          </cell>
        </row>
        <row r="2558">
          <cell r="A2558" t="str">
            <v>IS_alqt_plus</v>
          </cell>
          <cell r="K2558" t="str">
            <v>VRUB</v>
          </cell>
          <cell r="M2558" t="str">
            <v>M</v>
          </cell>
          <cell r="AB2558" t="str">
            <v>WB</v>
          </cell>
          <cell r="AF2558">
            <v>0.65</v>
          </cell>
        </row>
        <row r="2559">
          <cell r="A2559" t="str">
            <v>IS_alqt_plus</v>
          </cell>
          <cell r="K2559" t="str">
            <v>VRUB</v>
          </cell>
          <cell r="M2559" t="str">
            <v>M</v>
          </cell>
          <cell r="AB2559" t="str">
            <v>WB</v>
          </cell>
          <cell r="AF2559">
            <v>0.65</v>
          </cell>
        </row>
        <row r="2560">
          <cell r="A2560" t="str">
            <v>IS_alqt_plus</v>
          </cell>
          <cell r="K2560" t="str">
            <v>VRUB</v>
          </cell>
          <cell r="M2560" t="str">
            <v>F</v>
          </cell>
          <cell r="AB2560" t="str">
            <v>WB</v>
          </cell>
          <cell r="AF2560">
            <v>0.6</v>
          </cell>
        </row>
        <row r="2561">
          <cell r="A2561" t="str">
            <v>IS_alqt_plus</v>
          </cell>
          <cell r="K2561" t="str">
            <v>VRUB</v>
          </cell>
          <cell r="M2561" t="str">
            <v>F</v>
          </cell>
          <cell r="AB2561" t="str">
            <v>WB</v>
          </cell>
          <cell r="AF2561">
            <v>0.65</v>
          </cell>
        </row>
        <row r="2562">
          <cell r="A2562" t="str">
            <v>gone</v>
          </cell>
          <cell r="K2562" t="str">
            <v>VRUB</v>
          </cell>
          <cell r="M2562" t="str">
            <v>F</v>
          </cell>
          <cell r="AB2562" t="str">
            <v>WB</v>
          </cell>
          <cell r="AF2562">
            <v>0</v>
          </cell>
        </row>
        <row r="2563">
          <cell r="A2563" t="str">
            <v>gone</v>
          </cell>
          <cell r="K2563" t="str">
            <v>VRUB</v>
          </cell>
          <cell r="M2563" t="str">
            <v>F</v>
          </cell>
          <cell r="AB2563" t="str">
            <v>WB</v>
          </cell>
          <cell r="AF2563">
            <v>0</v>
          </cell>
        </row>
        <row r="2564">
          <cell r="A2564" t="str">
            <v>IS_alqt_plus</v>
          </cell>
          <cell r="K2564" t="str">
            <v>ERUF</v>
          </cell>
          <cell r="M2564" t="str">
            <v>F</v>
          </cell>
          <cell r="AB2564" t="str">
            <v>serum</v>
          </cell>
          <cell r="AF2564">
            <v>0.7</v>
          </cell>
        </row>
        <row r="2565">
          <cell r="A2565" t="str">
            <v>IS_alqt_plus</v>
          </cell>
          <cell r="K2565" t="str">
            <v>ERUF</v>
          </cell>
          <cell r="M2565" t="str">
            <v>F</v>
          </cell>
          <cell r="AB2565" t="str">
            <v>serum</v>
          </cell>
          <cell r="AF2565">
            <v>0.8</v>
          </cell>
        </row>
        <row r="2566">
          <cell r="A2566" t="str">
            <v>IS_alqt_plus</v>
          </cell>
          <cell r="K2566" t="str">
            <v>VRUB</v>
          </cell>
          <cell r="M2566" t="str">
            <v>M</v>
          </cell>
          <cell r="AB2566" t="str">
            <v>serum</v>
          </cell>
          <cell r="AF2566">
            <v>0.5</v>
          </cell>
        </row>
        <row r="2567">
          <cell r="A2567" t="str">
            <v>IS_alqt_plus</v>
          </cell>
          <cell r="K2567" t="str">
            <v>VRUB</v>
          </cell>
          <cell r="M2567" t="str">
            <v>M</v>
          </cell>
          <cell r="AB2567" t="str">
            <v>serum</v>
          </cell>
          <cell r="AF2567">
            <v>0.5</v>
          </cell>
        </row>
        <row r="2568">
          <cell r="A2568" t="str">
            <v>IS_alqt_plus</v>
          </cell>
          <cell r="K2568" t="str">
            <v>VRUB</v>
          </cell>
          <cell r="M2568" t="str">
            <v>F</v>
          </cell>
          <cell r="AB2568" t="str">
            <v>serum</v>
          </cell>
          <cell r="AF2568">
            <v>0.5</v>
          </cell>
        </row>
        <row r="2569">
          <cell r="A2569" t="str">
            <v>IS_alqt_plus</v>
          </cell>
          <cell r="K2569" t="str">
            <v>VRUB</v>
          </cell>
          <cell r="M2569" t="str">
            <v>F</v>
          </cell>
          <cell r="AB2569" t="str">
            <v>serum</v>
          </cell>
          <cell r="AF2569">
            <v>0.7</v>
          </cell>
        </row>
        <row r="2570">
          <cell r="A2570" t="str">
            <v>IS_alqt_plus</v>
          </cell>
          <cell r="K2570" t="str">
            <v>VRUB</v>
          </cell>
          <cell r="M2570" t="str">
            <v>F</v>
          </cell>
          <cell r="AB2570" t="str">
            <v>serum</v>
          </cell>
          <cell r="AF2570">
            <v>0.6</v>
          </cell>
        </row>
        <row r="2571">
          <cell r="A2571" t="str">
            <v>IS_alqt_plus</v>
          </cell>
          <cell r="K2571" t="str">
            <v>VRUB</v>
          </cell>
          <cell r="M2571" t="str">
            <v>F</v>
          </cell>
          <cell r="AB2571" t="str">
            <v>serum</v>
          </cell>
          <cell r="AF2571">
            <v>0.6</v>
          </cell>
        </row>
        <row r="2572">
          <cell r="A2572" t="str">
            <v>IS_alqt_plus</v>
          </cell>
          <cell r="K2572" t="str">
            <v>DMAD</v>
          </cell>
          <cell r="M2572" t="str">
            <v>F</v>
          </cell>
          <cell r="AB2572" t="str">
            <v>serum</v>
          </cell>
          <cell r="AF2572">
            <v>0.6</v>
          </cell>
        </row>
        <row r="2573">
          <cell r="A2573" t="str">
            <v>IS_alqt_minus</v>
          </cell>
          <cell r="K2573" t="str">
            <v>CMED</v>
          </cell>
          <cell r="M2573" t="str">
            <v>F</v>
          </cell>
          <cell r="AB2573" t="str">
            <v>PRBC</v>
          </cell>
          <cell r="AF2573">
            <v>0.05</v>
          </cell>
        </row>
        <row r="2574">
          <cell r="A2574" t="str">
            <v>IS_alqt_minus</v>
          </cell>
          <cell r="K2574" t="str">
            <v>CMED</v>
          </cell>
          <cell r="M2574" t="str">
            <v>M</v>
          </cell>
          <cell r="AB2574" t="str">
            <v>PRBC</v>
          </cell>
          <cell r="AF2574">
            <v>0.1</v>
          </cell>
        </row>
        <row r="2575">
          <cell r="A2575" t="str">
            <v>IS_alqt_plus</v>
          </cell>
          <cell r="K2575" t="str">
            <v>CMED</v>
          </cell>
          <cell r="M2575" t="str">
            <v>F</v>
          </cell>
          <cell r="AB2575" t="str">
            <v>PRBC</v>
          </cell>
          <cell r="AF2575">
            <v>0.25</v>
          </cell>
        </row>
        <row r="2576">
          <cell r="A2576" t="str">
            <v>IS_alqt_plus</v>
          </cell>
          <cell r="K2576" t="str">
            <v>CMED</v>
          </cell>
          <cell r="M2576" t="str">
            <v>M</v>
          </cell>
          <cell r="AB2576" t="str">
            <v>PRBC</v>
          </cell>
          <cell r="AF2576">
            <v>0.35</v>
          </cell>
        </row>
        <row r="2577">
          <cell r="A2577" t="str">
            <v>IS_alqt_plus</v>
          </cell>
          <cell r="K2577" t="str">
            <v>VRUB</v>
          </cell>
          <cell r="M2577" t="str">
            <v>F</v>
          </cell>
          <cell r="AB2577" t="str">
            <v>serum</v>
          </cell>
          <cell r="AF2577">
            <v>0.85</v>
          </cell>
        </row>
        <row r="2578">
          <cell r="A2578" t="str">
            <v>IS_alqt_plus</v>
          </cell>
          <cell r="K2578" t="str">
            <v>LCAT</v>
          </cell>
          <cell r="M2578" t="str">
            <v>F</v>
          </cell>
          <cell r="AB2578" t="str">
            <v>WB</v>
          </cell>
          <cell r="AF2578">
            <v>0.2</v>
          </cell>
        </row>
        <row r="2579">
          <cell r="A2579" t="str">
            <v>IS_alqt_plus</v>
          </cell>
          <cell r="K2579" t="str">
            <v>LCAT</v>
          </cell>
          <cell r="M2579" t="str">
            <v>F</v>
          </cell>
          <cell r="AB2579" t="str">
            <v>WB</v>
          </cell>
          <cell r="AF2579">
            <v>0.2</v>
          </cell>
        </row>
        <row r="2580">
          <cell r="A2580" t="str">
            <v>IS_alqt_plus</v>
          </cell>
          <cell r="K2580" t="str">
            <v>LCAT</v>
          </cell>
          <cell r="M2580" t="str">
            <v>F</v>
          </cell>
          <cell r="AB2580" t="str">
            <v>WB</v>
          </cell>
          <cell r="AF2580">
            <v>0.2</v>
          </cell>
        </row>
        <row r="2581">
          <cell r="A2581" t="str">
            <v>IS_alqt_plus</v>
          </cell>
          <cell r="K2581" t="str">
            <v>LCAT</v>
          </cell>
          <cell r="M2581" t="str">
            <v>F</v>
          </cell>
          <cell r="AB2581" t="str">
            <v>WB</v>
          </cell>
          <cell r="AF2581">
            <v>0.2</v>
          </cell>
        </row>
        <row r="2582">
          <cell r="A2582" t="str">
            <v>IS_alqt_plus</v>
          </cell>
          <cell r="K2582" t="str">
            <v>LCAT</v>
          </cell>
          <cell r="M2582" t="str">
            <v>F</v>
          </cell>
          <cell r="AB2582" t="str">
            <v>WB</v>
          </cell>
          <cell r="AF2582">
            <v>0.2</v>
          </cell>
        </row>
        <row r="2583">
          <cell r="A2583" t="str">
            <v>IS_alqt_plus</v>
          </cell>
          <cell r="K2583" t="str">
            <v>LCAT</v>
          </cell>
          <cell r="M2583" t="str">
            <v>F</v>
          </cell>
          <cell r="AB2583" t="str">
            <v>serum</v>
          </cell>
          <cell r="AF2583">
            <v>0.5</v>
          </cell>
        </row>
        <row r="2584">
          <cell r="A2584" t="str">
            <v>IS_alqt_plus</v>
          </cell>
          <cell r="K2584" t="str">
            <v>LCAT</v>
          </cell>
          <cell r="M2584" t="str">
            <v>F</v>
          </cell>
          <cell r="AB2584" t="str">
            <v>serum</v>
          </cell>
          <cell r="AF2584">
            <v>0.6</v>
          </cell>
        </row>
        <row r="2585">
          <cell r="A2585" t="str">
            <v>gone</v>
          </cell>
          <cell r="K2585" t="str">
            <v>LCAT</v>
          </cell>
          <cell r="M2585" t="str">
            <v>M</v>
          </cell>
          <cell r="AB2585" t="str">
            <v>serum</v>
          </cell>
          <cell r="AF2585">
            <v>0</v>
          </cell>
        </row>
        <row r="2586">
          <cell r="A2586" t="str">
            <v>IS_alqt_plus</v>
          </cell>
          <cell r="K2586" t="str">
            <v>LCAT</v>
          </cell>
          <cell r="M2586" t="str">
            <v>M</v>
          </cell>
          <cell r="AB2586" t="str">
            <v>serum</v>
          </cell>
          <cell r="AF2586">
            <v>0.2</v>
          </cell>
        </row>
        <row r="2587">
          <cell r="A2587" t="str">
            <v>IS_alqt_plus</v>
          </cell>
          <cell r="K2587" t="str">
            <v>LCAT</v>
          </cell>
          <cell r="M2587" t="str">
            <v>F</v>
          </cell>
          <cell r="AB2587" t="str">
            <v>WB</v>
          </cell>
          <cell r="AF2587">
            <v>0.25</v>
          </cell>
        </row>
        <row r="2588">
          <cell r="A2588" t="str">
            <v>IS_alqt_plus</v>
          </cell>
          <cell r="K2588" t="str">
            <v>VRUB</v>
          </cell>
          <cell r="M2588" t="str">
            <v>F</v>
          </cell>
          <cell r="AB2588" t="str">
            <v>WB</v>
          </cell>
          <cell r="AF2588">
            <v>0.5</v>
          </cell>
        </row>
        <row r="2589">
          <cell r="A2589" t="str">
            <v>IS_alqt_plus</v>
          </cell>
          <cell r="K2589" t="str">
            <v>VRUB</v>
          </cell>
          <cell r="M2589" t="str">
            <v>F</v>
          </cell>
          <cell r="AB2589" t="str">
            <v>WB</v>
          </cell>
          <cell r="AF2589">
            <v>0.7</v>
          </cell>
        </row>
        <row r="2590">
          <cell r="A2590" t="str">
            <v>IS_alqt_plus</v>
          </cell>
          <cell r="K2590" t="str">
            <v>VRUB</v>
          </cell>
          <cell r="M2590" t="str">
            <v>F</v>
          </cell>
          <cell r="AB2590" t="str">
            <v>WB</v>
          </cell>
          <cell r="AF2590">
            <v>0.75</v>
          </cell>
        </row>
        <row r="2591">
          <cell r="A2591" t="str">
            <v>IS_alqt_plus</v>
          </cell>
          <cell r="K2591" t="str">
            <v>VRUB</v>
          </cell>
          <cell r="M2591" t="str">
            <v>F</v>
          </cell>
          <cell r="AB2591" t="str">
            <v>WB</v>
          </cell>
          <cell r="AF2591">
            <v>0.7</v>
          </cell>
        </row>
        <row r="2592">
          <cell r="A2592" t="str">
            <v>IS_alqt_plus</v>
          </cell>
          <cell r="K2592" t="str">
            <v>EMAC</v>
          </cell>
          <cell r="M2592" t="str">
            <v>M</v>
          </cell>
          <cell r="AB2592" t="str">
            <v>Fluid- mass</v>
          </cell>
          <cell r="AF2592">
            <v>1.5</v>
          </cell>
        </row>
        <row r="2593">
          <cell r="A2593" t="str">
            <v>IS_alqt_plus</v>
          </cell>
          <cell r="K2593" t="str">
            <v>EMAC</v>
          </cell>
          <cell r="M2593" t="str">
            <v>M</v>
          </cell>
          <cell r="AB2593" t="str">
            <v>Fluid- mass</v>
          </cell>
          <cell r="AF2593">
            <v>1.5</v>
          </cell>
        </row>
        <row r="2594">
          <cell r="A2594" t="str">
            <v>IS_alqt_plus</v>
          </cell>
          <cell r="K2594" t="str">
            <v>VRUB</v>
          </cell>
          <cell r="M2594" t="str">
            <v>F</v>
          </cell>
          <cell r="AB2594" t="str">
            <v>serum</v>
          </cell>
          <cell r="AF2594">
            <v>0.5</v>
          </cell>
        </row>
        <row r="2595">
          <cell r="A2595" t="str">
            <v>IS_alqt_plus</v>
          </cell>
          <cell r="K2595" t="str">
            <v>VRUB</v>
          </cell>
          <cell r="M2595" t="str">
            <v>F</v>
          </cell>
          <cell r="AB2595" t="str">
            <v>serum</v>
          </cell>
          <cell r="AF2595">
            <v>0.4</v>
          </cell>
        </row>
        <row r="2596">
          <cell r="A2596" t="str">
            <v>IS_alqt_plus</v>
          </cell>
          <cell r="K2596" t="str">
            <v>VRUB</v>
          </cell>
          <cell r="M2596" t="str">
            <v>F</v>
          </cell>
          <cell r="AB2596" t="str">
            <v>serum</v>
          </cell>
          <cell r="AF2596">
            <v>0.6</v>
          </cell>
        </row>
        <row r="2597">
          <cell r="A2597" t="str">
            <v>IS_alqt_plus</v>
          </cell>
          <cell r="K2597" t="str">
            <v>VRUB</v>
          </cell>
          <cell r="M2597" t="str">
            <v>F</v>
          </cell>
          <cell r="AB2597" t="str">
            <v>serum</v>
          </cell>
          <cell r="AF2597">
            <v>0.6</v>
          </cell>
        </row>
        <row r="2598">
          <cell r="A2598" t="str">
            <v>IS_alqt_plus</v>
          </cell>
          <cell r="K2598" t="str">
            <v>VRUB</v>
          </cell>
          <cell r="M2598" t="str">
            <v>F</v>
          </cell>
          <cell r="AB2598" t="str">
            <v>serum</v>
          </cell>
          <cell r="AF2598">
            <v>0.5</v>
          </cell>
        </row>
        <row r="2599">
          <cell r="A2599" t="str">
            <v>IS_alqt_plus</v>
          </cell>
          <cell r="K2599" t="str">
            <v>VRUB</v>
          </cell>
          <cell r="M2599" t="str">
            <v>F</v>
          </cell>
          <cell r="AB2599" t="str">
            <v>serum</v>
          </cell>
          <cell r="AF2599">
            <v>0.7</v>
          </cell>
        </row>
        <row r="2600">
          <cell r="A2600" t="str">
            <v>IS_alqt_plus</v>
          </cell>
          <cell r="K2600" t="str">
            <v>VRUB</v>
          </cell>
          <cell r="M2600" t="str">
            <v>F</v>
          </cell>
          <cell r="AB2600" t="str">
            <v>serum</v>
          </cell>
          <cell r="AF2600">
            <v>0.5</v>
          </cell>
        </row>
        <row r="2601">
          <cell r="A2601" t="str">
            <v>IS_alqt_plus</v>
          </cell>
          <cell r="K2601" t="str">
            <v>VRUB</v>
          </cell>
          <cell r="M2601" t="str">
            <v>F</v>
          </cell>
          <cell r="AB2601" t="str">
            <v>serum</v>
          </cell>
          <cell r="AF2601">
            <v>0.7</v>
          </cell>
        </row>
        <row r="2602">
          <cell r="A2602" t="str">
            <v>IS_alqt_plus</v>
          </cell>
          <cell r="K2602" t="str">
            <v>VRUB</v>
          </cell>
          <cell r="M2602" t="str">
            <v>F</v>
          </cell>
          <cell r="AB2602" t="str">
            <v>serum</v>
          </cell>
          <cell r="AF2602">
            <v>0.5</v>
          </cell>
        </row>
        <row r="2603">
          <cell r="A2603" t="str">
            <v>IS_alqt_plus</v>
          </cell>
          <cell r="K2603" t="str">
            <v>VRUB</v>
          </cell>
          <cell r="M2603" t="str">
            <v>M</v>
          </cell>
          <cell r="AB2603" t="str">
            <v>serum</v>
          </cell>
          <cell r="AF2603">
            <v>0.3</v>
          </cell>
        </row>
        <row r="2604">
          <cell r="A2604" t="str">
            <v>IS_alqt_plus</v>
          </cell>
          <cell r="K2604" t="str">
            <v>EFLA</v>
          </cell>
          <cell r="M2604" t="str">
            <v>F</v>
          </cell>
          <cell r="AB2604" t="str">
            <v>serum</v>
          </cell>
          <cell r="AF2604">
            <v>1.5</v>
          </cell>
        </row>
        <row r="2605">
          <cell r="A2605" t="str">
            <v>IS_alqt_plus</v>
          </cell>
          <cell r="K2605" t="str">
            <v>EFLA</v>
          </cell>
          <cell r="M2605" t="str">
            <v>F</v>
          </cell>
          <cell r="AB2605" t="str">
            <v>serum</v>
          </cell>
          <cell r="AF2605">
            <v>1.5</v>
          </cell>
        </row>
        <row r="2606">
          <cell r="A2606" t="str">
            <v>IS_alqt_plus</v>
          </cell>
          <cell r="K2606" t="str">
            <v>EFLA</v>
          </cell>
          <cell r="M2606" t="str">
            <v>F</v>
          </cell>
          <cell r="AB2606" t="str">
            <v>serum</v>
          </cell>
          <cell r="AF2606">
            <v>1.5</v>
          </cell>
        </row>
        <row r="2607">
          <cell r="A2607" t="str">
            <v>IS_alqt_plus</v>
          </cell>
          <cell r="K2607" t="str">
            <v>EFLA</v>
          </cell>
          <cell r="M2607" t="str">
            <v>F</v>
          </cell>
          <cell r="AB2607" t="str">
            <v>serum</v>
          </cell>
          <cell r="AF2607">
            <v>1.5</v>
          </cell>
        </row>
        <row r="2608">
          <cell r="A2608" t="str">
            <v>IS_alqt_plus</v>
          </cell>
          <cell r="K2608" t="str">
            <v>DMAD</v>
          </cell>
          <cell r="M2608" t="str">
            <v>F</v>
          </cell>
          <cell r="AB2608" t="str">
            <v>serum</v>
          </cell>
          <cell r="AF2608">
            <v>0.5</v>
          </cell>
        </row>
        <row r="2609">
          <cell r="A2609" t="str">
            <v>IS_alqt_plus</v>
          </cell>
          <cell r="K2609" t="str">
            <v>DMAD</v>
          </cell>
          <cell r="M2609" t="str">
            <v>F</v>
          </cell>
          <cell r="AB2609" t="str">
            <v>serum</v>
          </cell>
          <cell r="AF2609">
            <v>0.6</v>
          </cell>
        </row>
        <row r="2610">
          <cell r="A2610" t="str">
            <v>gone</v>
          </cell>
          <cell r="K2610" t="str">
            <v>DMAD</v>
          </cell>
          <cell r="M2610" t="str">
            <v>F</v>
          </cell>
          <cell r="AB2610" t="str">
            <v>WB</v>
          </cell>
          <cell r="AF2610">
            <v>0</v>
          </cell>
        </row>
        <row r="2611">
          <cell r="A2611" t="str">
            <v>IS_alqt_plus</v>
          </cell>
          <cell r="K2611" t="str">
            <v>ECOR</v>
          </cell>
          <cell r="M2611" t="str">
            <v>M</v>
          </cell>
          <cell r="AB2611" t="str">
            <v>WB</v>
          </cell>
          <cell r="AF2611">
            <v>0.65</v>
          </cell>
        </row>
        <row r="2612">
          <cell r="A2612" t="str">
            <v>IS_alqt_minus</v>
          </cell>
          <cell r="K2612" t="str">
            <v>ECOR</v>
          </cell>
          <cell r="M2612" t="str">
            <v>F</v>
          </cell>
          <cell r="AB2612" t="str">
            <v>WB</v>
          </cell>
          <cell r="AF2612">
            <v>0.1</v>
          </cell>
        </row>
        <row r="2613">
          <cell r="A2613" t="str">
            <v>IS_alqt_plus</v>
          </cell>
          <cell r="K2613" t="str">
            <v>ECOR</v>
          </cell>
          <cell r="M2613" t="str">
            <v>F</v>
          </cell>
          <cell r="AB2613" t="str">
            <v>WB</v>
          </cell>
          <cell r="AF2613">
            <v>0.7</v>
          </cell>
        </row>
        <row r="2614">
          <cell r="A2614" t="str">
            <v>IS_alqt_plus</v>
          </cell>
          <cell r="K2614" t="str">
            <v>ECOR</v>
          </cell>
          <cell r="M2614" t="str">
            <v>M</v>
          </cell>
          <cell r="AB2614" t="str">
            <v>serum</v>
          </cell>
          <cell r="AF2614">
            <v>0.5</v>
          </cell>
        </row>
        <row r="2615">
          <cell r="A2615" t="str">
            <v>IS_alqt_plus</v>
          </cell>
          <cell r="K2615" t="str">
            <v>ECOR</v>
          </cell>
          <cell r="M2615" t="str">
            <v>F</v>
          </cell>
          <cell r="AB2615" t="str">
            <v>serum</v>
          </cell>
          <cell r="AF2615">
            <v>0.5</v>
          </cell>
        </row>
        <row r="2616">
          <cell r="A2616" t="str">
            <v>IS_alqt_plus</v>
          </cell>
          <cell r="K2616" t="str">
            <v>ECOR</v>
          </cell>
          <cell r="M2616" t="str">
            <v>F</v>
          </cell>
          <cell r="AB2616" t="str">
            <v>serum</v>
          </cell>
          <cell r="AF2616">
            <v>0.5</v>
          </cell>
        </row>
        <row r="2617">
          <cell r="A2617" t="str">
            <v>IS_alqt_plus</v>
          </cell>
          <cell r="K2617" t="str">
            <v>PCOQ</v>
          </cell>
          <cell r="M2617" t="str">
            <v>F</v>
          </cell>
          <cell r="AB2617" t="str">
            <v>serum</v>
          </cell>
          <cell r="AF2617">
            <v>0.9</v>
          </cell>
        </row>
        <row r="2618">
          <cell r="A2618" t="str">
            <v>IS_alqt_plus</v>
          </cell>
          <cell r="K2618" t="str">
            <v>LCAT</v>
          </cell>
          <cell r="M2618" t="str">
            <v>M</v>
          </cell>
          <cell r="AB2618" t="str">
            <v>WB</v>
          </cell>
          <cell r="AF2618">
            <v>0.6</v>
          </cell>
        </row>
        <row r="2619">
          <cell r="A2619" t="str">
            <v>gone</v>
          </cell>
          <cell r="K2619" t="str">
            <v>HGG</v>
          </cell>
          <cell r="M2619" t="str">
            <v>M</v>
          </cell>
          <cell r="AB2619" t="str">
            <v>WB</v>
          </cell>
          <cell r="AF2619">
            <v>0</v>
          </cell>
        </row>
        <row r="2620">
          <cell r="A2620" t="str">
            <v>IS_alqt_plus</v>
          </cell>
          <cell r="K2620" t="str">
            <v>HGG</v>
          </cell>
          <cell r="M2620" t="str">
            <v>F</v>
          </cell>
          <cell r="AB2620" t="str">
            <v>WB</v>
          </cell>
          <cell r="AF2620">
            <v>0.5</v>
          </cell>
        </row>
        <row r="2621">
          <cell r="A2621" t="str">
            <v>IS_alqt_plus</v>
          </cell>
          <cell r="K2621" t="str">
            <v>HGG</v>
          </cell>
          <cell r="M2621" t="str">
            <v>F</v>
          </cell>
          <cell r="AB2621" t="str">
            <v>WB</v>
          </cell>
          <cell r="AF2621">
            <v>0.5</v>
          </cell>
        </row>
        <row r="2622">
          <cell r="A2622" t="str">
            <v>IS_alqt_plus</v>
          </cell>
          <cell r="K2622" t="str">
            <v>HGG</v>
          </cell>
          <cell r="M2622" t="str">
            <v>M</v>
          </cell>
          <cell r="AB2622" t="str">
            <v>serum</v>
          </cell>
          <cell r="AF2622">
            <v>0.6</v>
          </cell>
        </row>
        <row r="2623">
          <cell r="A2623" t="str">
            <v>IS_alqt_plus</v>
          </cell>
          <cell r="K2623" t="str">
            <v>HGG</v>
          </cell>
          <cell r="M2623" t="str">
            <v>F</v>
          </cell>
          <cell r="AB2623" t="str">
            <v>serum</v>
          </cell>
          <cell r="AF2623">
            <v>0.5</v>
          </cell>
        </row>
        <row r="2624">
          <cell r="A2624" t="str">
            <v>IS_alqt_plus</v>
          </cell>
          <cell r="K2624" t="str">
            <v>HGG</v>
          </cell>
          <cell r="M2624" t="str">
            <v>F</v>
          </cell>
          <cell r="AB2624" t="str">
            <v>serum</v>
          </cell>
          <cell r="AF2624">
            <v>0.7</v>
          </cell>
        </row>
        <row r="2625">
          <cell r="A2625" t="str">
            <v>IS_alqt_plus</v>
          </cell>
          <cell r="K2625" t="str">
            <v>EFLA</v>
          </cell>
          <cell r="M2625" t="str">
            <v>F</v>
          </cell>
          <cell r="AB2625" t="str">
            <v>serum</v>
          </cell>
          <cell r="AF2625">
            <v>1.5</v>
          </cell>
        </row>
        <row r="2626">
          <cell r="A2626" t="str">
            <v>IS_alqt_plus</v>
          </cell>
          <cell r="K2626" t="str">
            <v>EFLA</v>
          </cell>
          <cell r="M2626" t="str">
            <v>F</v>
          </cell>
          <cell r="AB2626" t="str">
            <v>serum</v>
          </cell>
          <cell r="AF2626">
            <v>1.5</v>
          </cell>
        </row>
        <row r="2627">
          <cell r="A2627" t="str">
            <v>IS_alqt_plus</v>
          </cell>
          <cell r="K2627" t="str">
            <v>EFLA</v>
          </cell>
          <cell r="M2627" t="str">
            <v>F</v>
          </cell>
          <cell r="AB2627" t="str">
            <v>serum</v>
          </cell>
          <cell r="AF2627">
            <v>1</v>
          </cell>
        </row>
        <row r="2628">
          <cell r="A2628" t="str">
            <v>IS_alqt_plus</v>
          </cell>
          <cell r="K2628" t="str">
            <v>EFLA</v>
          </cell>
          <cell r="M2628" t="str">
            <v>F</v>
          </cell>
          <cell r="AB2628" t="str">
            <v>serum</v>
          </cell>
          <cell r="AF2628">
            <v>1.5</v>
          </cell>
        </row>
        <row r="2629">
          <cell r="A2629" t="str">
            <v>IS_alqt_plus</v>
          </cell>
          <cell r="K2629" t="str">
            <v>HGG</v>
          </cell>
          <cell r="M2629" t="str">
            <v>M</v>
          </cell>
          <cell r="AB2629" t="str">
            <v>WB</v>
          </cell>
          <cell r="AF2629">
            <v>0.25</v>
          </cell>
        </row>
        <row r="2630">
          <cell r="A2630" t="str">
            <v>gone</v>
          </cell>
          <cell r="K2630" t="str">
            <v>HGG</v>
          </cell>
          <cell r="M2630" t="str">
            <v>M</v>
          </cell>
          <cell r="AB2630" t="str">
            <v>WB</v>
          </cell>
          <cell r="AF2630">
            <v>0</v>
          </cell>
        </row>
        <row r="2631">
          <cell r="A2631" t="str">
            <v>gone</v>
          </cell>
          <cell r="K2631" t="str">
            <v>HGG</v>
          </cell>
          <cell r="M2631" t="str">
            <v>F</v>
          </cell>
          <cell r="AB2631" t="str">
            <v>WB</v>
          </cell>
          <cell r="AF2631">
            <v>0</v>
          </cell>
        </row>
        <row r="2632">
          <cell r="A2632" t="str">
            <v>gone</v>
          </cell>
          <cell r="K2632" t="str">
            <v>HGG</v>
          </cell>
          <cell r="M2632" t="str">
            <v>F</v>
          </cell>
          <cell r="AB2632" t="str">
            <v>WB</v>
          </cell>
          <cell r="AF2632">
            <v>0</v>
          </cell>
        </row>
        <row r="2633">
          <cell r="A2633" t="str">
            <v>gone</v>
          </cell>
          <cell r="K2633" t="str">
            <v>HGG</v>
          </cell>
          <cell r="M2633" t="str">
            <v>M</v>
          </cell>
          <cell r="AB2633" t="str">
            <v>serum</v>
          </cell>
          <cell r="AF2633">
            <v>0</v>
          </cell>
        </row>
        <row r="2634">
          <cell r="A2634" t="str">
            <v>gone</v>
          </cell>
          <cell r="K2634" t="str">
            <v>HGG</v>
          </cell>
          <cell r="M2634" t="str">
            <v>F</v>
          </cell>
          <cell r="AB2634" t="str">
            <v>serum</v>
          </cell>
          <cell r="AF2634">
            <v>0</v>
          </cell>
        </row>
        <row r="2635">
          <cell r="A2635" t="str">
            <v>IS_alqt_plus</v>
          </cell>
          <cell r="K2635" t="str">
            <v>HGG</v>
          </cell>
          <cell r="M2635" t="str">
            <v>F</v>
          </cell>
          <cell r="AB2635" t="str">
            <v>serum</v>
          </cell>
          <cell r="AF2635">
            <v>0.7</v>
          </cell>
        </row>
        <row r="2636">
          <cell r="A2636" t="str">
            <v>IS_alqt_plus</v>
          </cell>
          <cell r="K2636" t="str">
            <v>EFLA</v>
          </cell>
          <cell r="M2636" t="str">
            <v>F</v>
          </cell>
          <cell r="AB2636" t="str">
            <v>serum</v>
          </cell>
          <cell r="AF2636">
            <v>1.5</v>
          </cell>
        </row>
        <row r="2637">
          <cell r="A2637" t="str">
            <v>IS_alqt_plus</v>
          </cell>
          <cell r="K2637" t="str">
            <v>EFLA</v>
          </cell>
          <cell r="M2637" t="str">
            <v>F</v>
          </cell>
          <cell r="AB2637" t="str">
            <v>serum</v>
          </cell>
          <cell r="AF2637">
            <v>1.5</v>
          </cell>
        </row>
        <row r="2638">
          <cell r="A2638" t="str">
            <v>IS_alqt_plus</v>
          </cell>
          <cell r="K2638" t="str">
            <v>EFLA</v>
          </cell>
          <cell r="M2638" t="str">
            <v>F</v>
          </cell>
          <cell r="AB2638" t="str">
            <v>serum</v>
          </cell>
          <cell r="AF2638">
            <v>1.5</v>
          </cell>
        </row>
        <row r="2639">
          <cell r="A2639" t="str">
            <v>IS_alqt_plus</v>
          </cell>
          <cell r="K2639" t="str">
            <v>PCOQ</v>
          </cell>
          <cell r="M2639" t="str">
            <v>M</v>
          </cell>
          <cell r="AB2639" t="str">
            <v>serum</v>
          </cell>
          <cell r="AF2639">
            <v>0.45</v>
          </cell>
        </row>
        <row r="2640">
          <cell r="A2640" t="str">
            <v>IS_alqt_plus</v>
          </cell>
          <cell r="K2640" t="str">
            <v>EFLA</v>
          </cell>
          <cell r="M2640" t="str">
            <v>F</v>
          </cell>
          <cell r="AB2640" t="str">
            <v>serum</v>
          </cell>
          <cell r="AF2640">
            <v>1.5</v>
          </cell>
        </row>
        <row r="2641">
          <cell r="A2641" t="str">
            <v>IS_alqt_plus</v>
          </cell>
          <cell r="K2641" t="str">
            <v>EFLA</v>
          </cell>
          <cell r="M2641" t="str">
            <v>F</v>
          </cell>
          <cell r="AB2641" t="str">
            <v>serum</v>
          </cell>
          <cell r="AF2641">
            <v>1.5</v>
          </cell>
        </row>
        <row r="2642">
          <cell r="A2642" t="str">
            <v>IS_alqt_plus</v>
          </cell>
          <cell r="K2642" t="str">
            <v>EFLA</v>
          </cell>
          <cell r="M2642" t="str">
            <v>F</v>
          </cell>
          <cell r="AB2642" t="str">
            <v>serum</v>
          </cell>
          <cell r="AF2642">
            <v>1.5</v>
          </cell>
        </row>
        <row r="2643">
          <cell r="A2643" t="str">
            <v>IS_alqt_plus</v>
          </cell>
          <cell r="K2643" t="str">
            <v>EFLA</v>
          </cell>
          <cell r="M2643" t="str">
            <v>F</v>
          </cell>
          <cell r="AB2643" t="str">
            <v>serum</v>
          </cell>
          <cell r="AF2643">
            <v>1.5</v>
          </cell>
        </row>
        <row r="2644">
          <cell r="A2644" t="str">
            <v>IS_alqt_plus</v>
          </cell>
          <cell r="K2644" t="str">
            <v>EFLA</v>
          </cell>
          <cell r="M2644" t="str">
            <v>F</v>
          </cell>
          <cell r="AB2644" t="str">
            <v>serum</v>
          </cell>
          <cell r="AF2644">
            <v>1.5</v>
          </cell>
        </row>
        <row r="2645">
          <cell r="A2645" t="str">
            <v>IS_alqt_plus</v>
          </cell>
          <cell r="K2645" t="str">
            <v>EFLA</v>
          </cell>
          <cell r="M2645" t="str">
            <v>F</v>
          </cell>
          <cell r="AB2645" t="str">
            <v>serum</v>
          </cell>
          <cell r="AF2645">
            <v>1.5</v>
          </cell>
        </row>
        <row r="2646">
          <cell r="A2646" t="str">
            <v>IS_alqt_plus</v>
          </cell>
          <cell r="K2646" t="str">
            <v>EFLA</v>
          </cell>
          <cell r="M2646" t="str">
            <v>F</v>
          </cell>
          <cell r="AB2646" t="str">
            <v>serum</v>
          </cell>
          <cell r="AF2646">
            <v>1.5</v>
          </cell>
        </row>
        <row r="2647">
          <cell r="A2647" t="str">
            <v>IS_alqt_plus</v>
          </cell>
          <cell r="K2647" t="str">
            <v>EFLA</v>
          </cell>
          <cell r="M2647" t="str">
            <v>F</v>
          </cell>
          <cell r="AB2647" t="str">
            <v>serum</v>
          </cell>
          <cell r="AF2647">
            <v>1.5</v>
          </cell>
        </row>
        <row r="2648">
          <cell r="A2648" t="str">
            <v>IS_alqt_plus</v>
          </cell>
          <cell r="K2648" t="str">
            <v>EFLA</v>
          </cell>
          <cell r="M2648" t="str">
            <v>F</v>
          </cell>
          <cell r="AB2648" t="str">
            <v>serum</v>
          </cell>
          <cell r="AF2648">
            <v>1.5</v>
          </cell>
        </row>
        <row r="2649">
          <cell r="A2649" t="str">
            <v>IS_alqt_plus</v>
          </cell>
          <cell r="K2649" t="str">
            <v>EFLA</v>
          </cell>
          <cell r="M2649" t="str">
            <v>F</v>
          </cell>
          <cell r="AB2649" t="str">
            <v>serum</v>
          </cell>
          <cell r="AF2649">
            <v>1.5</v>
          </cell>
        </row>
        <row r="2650">
          <cell r="A2650" t="str">
            <v>IS_alqt_plus</v>
          </cell>
          <cell r="K2650" t="str">
            <v>EMON</v>
          </cell>
          <cell r="M2650" t="str">
            <v>F</v>
          </cell>
          <cell r="AB2650" t="str">
            <v>serum</v>
          </cell>
          <cell r="AF2650">
            <v>0.7</v>
          </cell>
        </row>
        <row r="2651">
          <cell r="A2651" t="str">
            <v>IS_alqt_plus</v>
          </cell>
          <cell r="K2651" t="str">
            <v>EMON</v>
          </cell>
          <cell r="M2651" t="str">
            <v>F</v>
          </cell>
          <cell r="AB2651" t="str">
            <v>serum</v>
          </cell>
          <cell r="AF2651">
            <v>0.3</v>
          </cell>
        </row>
        <row r="2652">
          <cell r="A2652" t="str">
            <v>IS_alqt_plus</v>
          </cell>
          <cell r="K2652" t="str">
            <v>EMON</v>
          </cell>
          <cell r="M2652" t="str">
            <v>F</v>
          </cell>
          <cell r="AB2652" t="str">
            <v>serum</v>
          </cell>
          <cell r="AF2652">
            <v>0.7</v>
          </cell>
        </row>
        <row r="2653">
          <cell r="A2653" t="str">
            <v>IS_alqt_plus</v>
          </cell>
          <cell r="K2653" t="str">
            <v>EMON</v>
          </cell>
          <cell r="M2653" t="str">
            <v>F</v>
          </cell>
          <cell r="AB2653" t="str">
            <v>serum</v>
          </cell>
          <cell r="AF2653">
            <v>0.45</v>
          </cell>
        </row>
        <row r="2654">
          <cell r="A2654" t="str">
            <v>IS_alqt_plus</v>
          </cell>
          <cell r="K2654" t="str">
            <v>EUL</v>
          </cell>
          <cell r="M2654" t="str">
            <v>F</v>
          </cell>
          <cell r="AB2654" t="str">
            <v>serum</v>
          </cell>
          <cell r="AF2654">
            <v>0.9</v>
          </cell>
        </row>
        <row r="2655">
          <cell r="A2655" t="str">
            <v>IS_alqt_plus</v>
          </cell>
          <cell r="K2655" t="str">
            <v>EUL</v>
          </cell>
          <cell r="M2655" t="str">
            <v>F</v>
          </cell>
          <cell r="AB2655" t="str">
            <v>serum</v>
          </cell>
          <cell r="AF2655">
            <v>0.7</v>
          </cell>
        </row>
        <row r="2656">
          <cell r="A2656" t="str">
            <v>IS_alqt_plus</v>
          </cell>
          <cell r="K2656" t="str">
            <v>EUL</v>
          </cell>
          <cell r="M2656" t="str">
            <v>F</v>
          </cell>
          <cell r="AB2656" t="str">
            <v>serum</v>
          </cell>
          <cell r="AF2656">
            <v>0.7</v>
          </cell>
        </row>
        <row r="2657">
          <cell r="A2657" t="str">
            <v>IS_alqt_plus</v>
          </cell>
          <cell r="K2657" t="str">
            <v>EUL</v>
          </cell>
          <cell r="M2657" t="str">
            <v>F</v>
          </cell>
          <cell r="AB2657" t="str">
            <v>serum</v>
          </cell>
          <cell r="AF2657">
            <v>0.65</v>
          </cell>
        </row>
        <row r="2658">
          <cell r="A2658" t="str">
            <v>IS_alqt_plus</v>
          </cell>
          <cell r="K2658" t="str">
            <v>EUL</v>
          </cell>
          <cell r="M2658" t="str">
            <v>F</v>
          </cell>
          <cell r="AB2658" t="str">
            <v>WB</v>
          </cell>
          <cell r="AF2658">
            <v>0.5</v>
          </cell>
        </row>
        <row r="2659">
          <cell r="A2659" t="str">
            <v>IS_alqt_plus</v>
          </cell>
          <cell r="K2659" t="str">
            <v>EUL</v>
          </cell>
          <cell r="M2659" t="str">
            <v>F</v>
          </cell>
          <cell r="AB2659" t="str">
            <v>WB</v>
          </cell>
          <cell r="AF2659">
            <v>0.5</v>
          </cell>
        </row>
        <row r="2660">
          <cell r="A2660" t="str">
            <v>IS_alqt_plus</v>
          </cell>
          <cell r="K2660" t="str">
            <v>ECOL</v>
          </cell>
          <cell r="M2660" t="str">
            <v>F</v>
          </cell>
          <cell r="AB2660" t="str">
            <v>WB</v>
          </cell>
          <cell r="AF2660">
            <v>0.4</v>
          </cell>
        </row>
        <row r="2661">
          <cell r="A2661" t="str">
            <v>IS_alqt_plus</v>
          </cell>
          <cell r="K2661" t="str">
            <v>ECOL</v>
          </cell>
          <cell r="M2661" t="str">
            <v>F</v>
          </cell>
          <cell r="AB2661" t="str">
            <v>WB</v>
          </cell>
          <cell r="AF2661">
            <v>0.55000000000000004</v>
          </cell>
        </row>
        <row r="2662">
          <cell r="A2662" t="str">
            <v>IS_alqt_plus</v>
          </cell>
          <cell r="K2662" t="str">
            <v>ECOL</v>
          </cell>
          <cell r="M2662" t="str">
            <v>M</v>
          </cell>
          <cell r="AB2662" t="str">
            <v>WB</v>
          </cell>
          <cell r="AF2662">
            <v>0.4</v>
          </cell>
        </row>
        <row r="2663">
          <cell r="A2663" t="str">
            <v>IS_alqt_plus</v>
          </cell>
          <cell r="K2663" t="str">
            <v>ECOL</v>
          </cell>
          <cell r="M2663" t="str">
            <v>M</v>
          </cell>
          <cell r="AB2663" t="str">
            <v>WB</v>
          </cell>
          <cell r="AF2663">
            <v>0.5</v>
          </cell>
        </row>
        <row r="2664">
          <cell r="A2664" t="str">
            <v>IS_alqt_plus</v>
          </cell>
          <cell r="K2664" t="str">
            <v>EMAC</v>
          </cell>
          <cell r="M2664" t="str">
            <v>M</v>
          </cell>
          <cell r="AB2664" t="str">
            <v>Fluid- mass</v>
          </cell>
          <cell r="AF2664">
            <v>1.5</v>
          </cell>
        </row>
        <row r="2665">
          <cell r="A2665" t="str">
            <v>IS_alqt_plus</v>
          </cell>
          <cell r="K2665" t="str">
            <v>ECOL</v>
          </cell>
          <cell r="M2665" t="str">
            <v>F</v>
          </cell>
          <cell r="AB2665" t="str">
            <v>serum</v>
          </cell>
          <cell r="AF2665">
            <v>0.7</v>
          </cell>
        </row>
        <row r="2666">
          <cell r="A2666" t="str">
            <v>IS_alqt_plus</v>
          </cell>
          <cell r="K2666" t="str">
            <v>ECOL</v>
          </cell>
          <cell r="M2666" t="str">
            <v>F</v>
          </cell>
          <cell r="AB2666" t="str">
            <v>serum</v>
          </cell>
          <cell r="AF2666">
            <v>0.75</v>
          </cell>
        </row>
        <row r="2667">
          <cell r="A2667" t="str">
            <v>IS_alqt_plus</v>
          </cell>
          <cell r="K2667" t="str">
            <v>ECOL</v>
          </cell>
          <cell r="M2667" t="str">
            <v>M</v>
          </cell>
          <cell r="AB2667" t="str">
            <v>serum</v>
          </cell>
          <cell r="AF2667">
            <v>0.7</v>
          </cell>
        </row>
        <row r="2668">
          <cell r="A2668" t="str">
            <v>IS_alqt_plus</v>
          </cell>
          <cell r="K2668" t="str">
            <v>ECOL</v>
          </cell>
          <cell r="M2668" t="str">
            <v>M</v>
          </cell>
          <cell r="AB2668" t="str">
            <v>serum</v>
          </cell>
          <cell r="AF2668">
            <v>0.6</v>
          </cell>
        </row>
        <row r="2669">
          <cell r="A2669" t="str">
            <v>IS_alqt_plus</v>
          </cell>
          <cell r="K2669" t="str">
            <v>ECOL</v>
          </cell>
          <cell r="M2669" t="str">
            <v>M</v>
          </cell>
          <cell r="AB2669" t="str">
            <v>serum</v>
          </cell>
          <cell r="AF2669">
            <v>0.7</v>
          </cell>
        </row>
        <row r="2670">
          <cell r="A2670" t="str">
            <v>IS_alqt_plus</v>
          </cell>
          <cell r="K2670" t="str">
            <v>ECOL</v>
          </cell>
          <cell r="M2670" t="str">
            <v>M</v>
          </cell>
          <cell r="AB2670" t="str">
            <v>serum</v>
          </cell>
          <cell r="AF2670">
            <v>0.7</v>
          </cell>
        </row>
        <row r="2671">
          <cell r="A2671" t="str">
            <v>IS_alqt_plus</v>
          </cell>
          <cell r="K2671" t="str">
            <v>ECOR</v>
          </cell>
          <cell r="M2671" t="str">
            <v>F</v>
          </cell>
          <cell r="AB2671" t="str">
            <v>serum</v>
          </cell>
          <cell r="AF2671">
            <v>0.9</v>
          </cell>
        </row>
        <row r="2672">
          <cell r="A2672" t="str">
            <v>IS_alqt_plus</v>
          </cell>
          <cell r="K2672" t="str">
            <v>CMED</v>
          </cell>
          <cell r="M2672" t="str">
            <v>F</v>
          </cell>
          <cell r="AB2672" t="str">
            <v>serum</v>
          </cell>
          <cell r="AF2672">
            <v>0.4</v>
          </cell>
        </row>
        <row r="2673">
          <cell r="A2673" t="str">
            <v>IS_alqt_plus</v>
          </cell>
          <cell r="K2673" t="str">
            <v>DMAD</v>
          </cell>
          <cell r="M2673" t="str">
            <v>M</v>
          </cell>
          <cell r="AB2673" t="str">
            <v>serum</v>
          </cell>
          <cell r="AF2673">
            <v>0.5</v>
          </cell>
        </row>
        <row r="2674">
          <cell r="A2674" t="str">
            <v>IS_alqt_plus</v>
          </cell>
          <cell r="K2674" t="str">
            <v>DMAD</v>
          </cell>
          <cell r="M2674" t="str">
            <v>M</v>
          </cell>
          <cell r="AB2674" t="str">
            <v>serum</v>
          </cell>
          <cell r="AF2674">
            <v>0.5</v>
          </cell>
        </row>
        <row r="2675">
          <cell r="A2675" t="str">
            <v>IS_alqt_plus</v>
          </cell>
          <cell r="K2675" t="str">
            <v>DMAD</v>
          </cell>
          <cell r="M2675" t="str">
            <v>F</v>
          </cell>
          <cell r="AB2675" t="str">
            <v>serum</v>
          </cell>
          <cell r="AF2675">
            <v>0.9</v>
          </cell>
        </row>
        <row r="2676">
          <cell r="A2676" t="str">
            <v>IS_alqt_plus</v>
          </cell>
          <cell r="K2676" t="str">
            <v>DMAD</v>
          </cell>
          <cell r="M2676" t="str">
            <v>M</v>
          </cell>
          <cell r="AB2676" t="str">
            <v>WB</v>
          </cell>
          <cell r="AF2676">
            <v>0.5</v>
          </cell>
        </row>
        <row r="2677">
          <cell r="A2677" t="str">
            <v>IS_alqt_plus</v>
          </cell>
          <cell r="K2677" t="str">
            <v>DMAD</v>
          </cell>
          <cell r="M2677" t="str">
            <v>F</v>
          </cell>
          <cell r="AB2677" t="str">
            <v>WB</v>
          </cell>
          <cell r="AF2677">
            <v>0.6</v>
          </cell>
        </row>
        <row r="2678">
          <cell r="A2678" t="str">
            <v>IS_alqt_plus</v>
          </cell>
          <cell r="K2678" t="str">
            <v>ECOR</v>
          </cell>
          <cell r="M2678" t="str">
            <v>F</v>
          </cell>
          <cell r="AB2678" t="str">
            <v>WB</v>
          </cell>
          <cell r="AF2678">
            <v>0.6</v>
          </cell>
        </row>
        <row r="2679">
          <cell r="A2679" t="str">
            <v>IS_alqt_plus</v>
          </cell>
          <cell r="K2679" t="str">
            <v>ECOR</v>
          </cell>
          <cell r="M2679" t="str">
            <v>F</v>
          </cell>
          <cell r="AB2679" t="str">
            <v>WB</v>
          </cell>
          <cell r="AF2679">
            <v>0.5</v>
          </cell>
        </row>
        <row r="2680">
          <cell r="A2680" t="str">
            <v>IS_alqt_plus</v>
          </cell>
          <cell r="K2680" t="str">
            <v>ECOR</v>
          </cell>
          <cell r="M2680" t="str">
            <v>F</v>
          </cell>
          <cell r="AB2680" t="str">
            <v>WB</v>
          </cell>
          <cell r="AF2680">
            <v>0.55000000000000004</v>
          </cell>
        </row>
        <row r="2681">
          <cell r="A2681" t="str">
            <v>IS_alqt_plus</v>
          </cell>
          <cell r="K2681" t="str">
            <v>ECOR</v>
          </cell>
          <cell r="M2681" t="str">
            <v>F</v>
          </cell>
          <cell r="AB2681" t="str">
            <v>WB</v>
          </cell>
          <cell r="AF2681">
            <v>0.55000000000000004</v>
          </cell>
        </row>
        <row r="2682">
          <cell r="A2682" t="str">
            <v>IS_alqt_plus</v>
          </cell>
          <cell r="K2682" t="str">
            <v>ECOR</v>
          </cell>
          <cell r="M2682" t="str">
            <v>F</v>
          </cell>
          <cell r="AB2682" t="str">
            <v>serum</v>
          </cell>
          <cell r="AF2682">
            <v>0.5</v>
          </cell>
        </row>
        <row r="2683">
          <cell r="A2683" t="str">
            <v>IS_alqt_plus</v>
          </cell>
          <cell r="K2683" t="str">
            <v>ECOR</v>
          </cell>
          <cell r="M2683" t="str">
            <v>F</v>
          </cell>
          <cell r="AB2683" t="str">
            <v>serum</v>
          </cell>
          <cell r="AF2683">
            <v>0.5</v>
          </cell>
        </row>
        <row r="2684">
          <cell r="A2684" t="str">
            <v>IS_alqt_plus</v>
          </cell>
          <cell r="K2684" t="str">
            <v>ECOR</v>
          </cell>
          <cell r="M2684" t="str">
            <v>F</v>
          </cell>
          <cell r="AB2684" t="str">
            <v>serum</v>
          </cell>
          <cell r="AF2684">
            <v>0.55000000000000004</v>
          </cell>
        </row>
        <row r="2685">
          <cell r="A2685" t="str">
            <v>IS_alqt_plus</v>
          </cell>
          <cell r="K2685" t="str">
            <v>ECOR</v>
          </cell>
          <cell r="M2685" t="str">
            <v>F</v>
          </cell>
          <cell r="AB2685" t="str">
            <v>serum</v>
          </cell>
          <cell r="AF2685">
            <v>0.4</v>
          </cell>
        </row>
        <row r="2686">
          <cell r="A2686" t="str">
            <v>IS_alqt_plus</v>
          </cell>
          <cell r="K2686" t="str">
            <v>ECOR</v>
          </cell>
          <cell r="M2686" t="str">
            <v>F</v>
          </cell>
          <cell r="AB2686" t="str">
            <v>serum</v>
          </cell>
          <cell r="AF2686">
            <v>0.6</v>
          </cell>
        </row>
        <row r="2687">
          <cell r="A2687" t="str">
            <v>IS_alqt_plus</v>
          </cell>
          <cell r="K2687" t="str">
            <v>ECOR</v>
          </cell>
          <cell r="M2687" t="str">
            <v>F</v>
          </cell>
          <cell r="AB2687" t="str">
            <v>serum</v>
          </cell>
          <cell r="AF2687">
            <v>0.5</v>
          </cell>
        </row>
        <row r="2688">
          <cell r="A2688" t="str">
            <v>IS_alqt_plus</v>
          </cell>
          <cell r="K2688" t="str">
            <v>ECOR</v>
          </cell>
          <cell r="M2688" t="str">
            <v>F</v>
          </cell>
          <cell r="AB2688" t="str">
            <v>serum</v>
          </cell>
          <cell r="AF2688">
            <v>0.5</v>
          </cell>
        </row>
        <row r="2689">
          <cell r="A2689" t="str">
            <v>IS_alqt_plus</v>
          </cell>
          <cell r="K2689" t="str">
            <v>ECOR</v>
          </cell>
          <cell r="M2689" t="str">
            <v>F</v>
          </cell>
          <cell r="AB2689" t="str">
            <v>serum</v>
          </cell>
          <cell r="AF2689">
            <v>0.5</v>
          </cell>
        </row>
        <row r="2690">
          <cell r="A2690" t="str">
            <v>IS_alqt_plus</v>
          </cell>
          <cell r="K2690" t="str">
            <v>ECOR</v>
          </cell>
          <cell r="M2690" t="str">
            <v>F</v>
          </cell>
          <cell r="AB2690" t="str">
            <v>serum</v>
          </cell>
          <cell r="AF2690">
            <v>0.5</v>
          </cell>
        </row>
        <row r="2691">
          <cell r="A2691" t="str">
            <v>IS_alqt_plus</v>
          </cell>
          <cell r="K2691" t="str">
            <v>VVV</v>
          </cell>
          <cell r="M2691" t="str">
            <v>M</v>
          </cell>
          <cell r="AB2691" t="str">
            <v>serum</v>
          </cell>
          <cell r="AF2691">
            <v>1.1000000000000001</v>
          </cell>
        </row>
        <row r="2692">
          <cell r="A2692" t="str">
            <v>IS_alqt_plus</v>
          </cell>
          <cell r="K2692" t="str">
            <v>LCAT</v>
          </cell>
          <cell r="M2692" t="str">
            <v>M</v>
          </cell>
          <cell r="AB2692" t="str">
            <v>WB</v>
          </cell>
          <cell r="AF2692">
            <v>0.9</v>
          </cell>
        </row>
        <row r="2693">
          <cell r="A2693" t="str">
            <v>gone</v>
          </cell>
          <cell r="K2693" t="str">
            <v>NCOU</v>
          </cell>
          <cell r="M2693" t="str">
            <v>M</v>
          </cell>
          <cell r="AB2693" t="str">
            <v>WB</v>
          </cell>
          <cell r="AF2693">
            <v>0</v>
          </cell>
        </row>
        <row r="2694">
          <cell r="A2694" t="str">
            <v>IS_alqt_plus</v>
          </cell>
          <cell r="K2694" t="str">
            <v>NCOU</v>
          </cell>
          <cell r="M2694" t="str">
            <v>M</v>
          </cell>
          <cell r="AB2694" t="str">
            <v>WB</v>
          </cell>
          <cell r="AF2694">
            <v>0.65</v>
          </cell>
        </row>
        <row r="2695">
          <cell r="A2695" t="str">
            <v>IS_alqt_plus</v>
          </cell>
          <cell r="K2695" t="str">
            <v>NCOU</v>
          </cell>
          <cell r="M2695" t="str">
            <v>M</v>
          </cell>
          <cell r="AB2695" t="str">
            <v>WB</v>
          </cell>
          <cell r="AF2695">
            <v>0.5</v>
          </cell>
        </row>
        <row r="2696">
          <cell r="A2696" t="str">
            <v>gone</v>
          </cell>
          <cell r="K2696" t="str">
            <v>NCOU</v>
          </cell>
          <cell r="M2696" t="str">
            <v>M</v>
          </cell>
          <cell r="AB2696" t="str">
            <v>WB</v>
          </cell>
          <cell r="AF2696">
            <v>0</v>
          </cell>
        </row>
        <row r="2697">
          <cell r="A2697" t="str">
            <v>IS_alqt_plus</v>
          </cell>
          <cell r="K2697" t="str">
            <v>NCOU</v>
          </cell>
          <cell r="M2697" t="str">
            <v>M</v>
          </cell>
          <cell r="AB2697" t="str">
            <v>WB</v>
          </cell>
          <cell r="AF2697">
            <v>0.6</v>
          </cell>
        </row>
        <row r="2698">
          <cell r="A2698" t="str">
            <v>IS_alqt_plus</v>
          </cell>
          <cell r="K2698" t="str">
            <v>NCOU</v>
          </cell>
          <cell r="M2698" t="str">
            <v>M</v>
          </cell>
          <cell r="AB2698" t="str">
            <v>WB</v>
          </cell>
          <cell r="AF2698">
            <v>0.6</v>
          </cell>
        </row>
        <row r="2699">
          <cell r="A2699" t="str">
            <v>IS_alqt_plus</v>
          </cell>
          <cell r="K2699" t="str">
            <v>NCOU</v>
          </cell>
          <cell r="M2699" t="str">
            <v>M</v>
          </cell>
          <cell r="AB2699" t="str">
            <v>WB</v>
          </cell>
          <cell r="AF2699">
            <v>0.55000000000000004</v>
          </cell>
        </row>
        <row r="2700">
          <cell r="A2700" t="str">
            <v>IS_alqt_minus</v>
          </cell>
          <cell r="K2700" t="str">
            <v>NCOU</v>
          </cell>
          <cell r="M2700" t="str">
            <v>M</v>
          </cell>
          <cell r="AB2700" t="str">
            <v>WB</v>
          </cell>
          <cell r="AF2700">
            <v>0.05</v>
          </cell>
        </row>
        <row r="2701">
          <cell r="A2701" t="str">
            <v>IS_alqt_plus</v>
          </cell>
          <cell r="K2701" t="str">
            <v>ERUF</v>
          </cell>
          <cell r="M2701" t="str">
            <v>M</v>
          </cell>
          <cell r="AB2701" t="str">
            <v>WB</v>
          </cell>
          <cell r="AF2701">
            <v>0.5</v>
          </cell>
        </row>
        <row r="2702">
          <cell r="A2702" t="str">
            <v>IS_alqt_plus</v>
          </cell>
          <cell r="K2702" t="str">
            <v>NCOU</v>
          </cell>
          <cell r="M2702" t="str">
            <v>M</v>
          </cell>
          <cell r="AB2702" t="str">
            <v>serum</v>
          </cell>
          <cell r="AF2702">
            <v>0.95</v>
          </cell>
        </row>
        <row r="2703">
          <cell r="A2703" t="str">
            <v>IS_alqt_plus</v>
          </cell>
          <cell r="K2703" t="str">
            <v>NCOU</v>
          </cell>
          <cell r="M2703" t="str">
            <v>M</v>
          </cell>
          <cell r="AB2703" t="str">
            <v>serum</v>
          </cell>
          <cell r="AF2703">
            <v>0.6</v>
          </cell>
        </row>
        <row r="2704">
          <cell r="A2704" t="str">
            <v>IS_alqt_plus</v>
          </cell>
          <cell r="K2704" t="str">
            <v>NCOU</v>
          </cell>
          <cell r="M2704" t="str">
            <v>M</v>
          </cell>
          <cell r="AB2704" t="str">
            <v>serum</v>
          </cell>
          <cell r="AF2704">
            <v>0.5</v>
          </cell>
        </row>
        <row r="2705">
          <cell r="A2705" t="str">
            <v>IS_alqt_plus</v>
          </cell>
          <cell r="K2705" t="str">
            <v>NCOU</v>
          </cell>
          <cell r="M2705" t="str">
            <v>M</v>
          </cell>
          <cell r="AB2705" t="str">
            <v>serum</v>
          </cell>
          <cell r="AF2705">
            <v>0.6</v>
          </cell>
        </row>
        <row r="2706">
          <cell r="A2706" t="str">
            <v>IS_alqt_plus</v>
          </cell>
          <cell r="K2706" t="str">
            <v>NCOU</v>
          </cell>
          <cell r="M2706" t="str">
            <v>M</v>
          </cell>
          <cell r="AB2706" t="str">
            <v>serum</v>
          </cell>
          <cell r="AF2706">
            <v>0.5</v>
          </cell>
        </row>
        <row r="2707">
          <cell r="A2707" t="str">
            <v>IS_alqt_plus</v>
          </cell>
          <cell r="K2707" t="str">
            <v>NCOU</v>
          </cell>
          <cell r="M2707" t="str">
            <v>M</v>
          </cell>
          <cell r="AB2707" t="str">
            <v>serum</v>
          </cell>
          <cell r="AF2707">
            <v>0.7</v>
          </cell>
        </row>
        <row r="2708">
          <cell r="A2708" t="str">
            <v>IS_alqt_plus</v>
          </cell>
          <cell r="K2708" t="str">
            <v>NCOU</v>
          </cell>
          <cell r="M2708" t="str">
            <v>M</v>
          </cell>
          <cell r="AB2708" t="str">
            <v>serum</v>
          </cell>
          <cell r="AF2708">
            <v>0.7</v>
          </cell>
        </row>
        <row r="2709">
          <cell r="A2709" t="str">
            <v>IS_alqt_plus</v>
          </cell>
          <cell r="K2709" t="str">
            <v>NCOU</v>
          </cell>
          <cell r="M2709" t="str">
            <v>M</v>
          </cell>
          <cell r="AB2709" t="str">
            <v>serum</v>
          </cell>
          <cell r="AF2709">
            <v>0.7</v>
          </cell>
        </row>
        <row r="2710">
          <cell r="A2710" t="str">
            <v>IS_alqt_plus</v>
          </cell>
          <cell r="K2710" t="str">
            <v>NCOU</v>
          </cell>
          <cell r="M2710" t="str">
            <v>M</v>
          </cell>
          <cell r="AB2710" t="str">
            <v>serum</v>
          </cell>
          <cell r="AF2710">
            <v>0.6</v>
          </cell>
        </row>
        <row r="2711">
          <cell r="A2711" t="str">
            <v>IS_alqt_plus</v>
          </cell>
          <cell r="K2711" t="str">
            <v>NCOU</v>
          </cell>
          <cell r="M2711" t="str">
            <v>M</v>
          </cell>
          <cell r="AB2711" t="str">
            <v>serum</v>
          </cell>
          <cell r="AF2711">
            <v>0.6</v>
          </cell>
        </row>
        <row r="2712">
          <cell r="A2712" t="str">
            <v>IS_alqt_plus</v>
          </cell>
          <cell r="K2712" t="str">
            <v>NCOU</v>
          </cell>
          <cell r="M2712" t="str">
            <v>M</v>
          </cell>
          <cell r="AB2712" t="str">
            <v>serum</v>
          </cell>
          <cell r="AF2712">
            <v>0.5</v>
          </cell>
        </row>
        <row r="2713">
          <cell r="A2713" t="str">
            <v>IS_alqt_plus</v>
          </cell>
          <cell r="K2713" t="str">
            <v>NCOU</v>
          </cell>
          <cell r="M2713" t="str">
            <v>M</v>
          </cell>
          <cell r="AB2713" t="str">
            <v>serum</v>
          </cell>
          <cell r="AF2713">
            <v>0.5</v>
          </cell>
        </row>
        <row r="2714">
          <cell r="A2714" t="str">
            <v>IS_alqt_plus</v>
          </cell>
          <cell r="K2714" t="str">
            <v>NCOU</v>
          </cell>
          <cell r="M2714" t="str">
            <v>M</v>
          </cell>
          <cell r="AB2714" t="str">
            <v>serum</v>
          </cell>
          <cell r="AF2714">
            <v>0.5</v>
          </cell>
        </row>
        <row r="2715">
          <cell r="A2715" t="str">
            <v>IS_alqt_plus</v>
          </cell>
          <cell r="K2715" t="str">
            <v>NCOU</v>
          </cell>
          <cell r="M2715" t="str">
            <v>M</v>
          </cell>
          <cell r="AB2715" t="str">
            <v>serum</v>
          </cell>
          <cell r="AF2715">
            <v>0.7</v>
          </cell>
        </row>
        <row r="2716">
          <cell r="A2716" t="str">
            <v>IS_alqt_plus</v>
          </cell>
          <cell r="K2716" t="str">
            <v>NCOU</v>
          </cell>
          <cell r="M2716" t="str">
            <v>M</v>
          </cell>
          <cell r="AB2716" t="str">
            <v>serum</v>
          </cell>
          <cell r="AF2716">
            <v>0.6</v>
          </cell>
        </row>
        <row r="2717">
          <cell r="A2717" t="str">
            <v>IS_alqt_plus</v>
          </cell>
          <cell r="K2717" t="str">
            <v>NCOU</v>
          </cell>
          <cell r="M2717" t="str">
            <v>M</v>
          </cell>
          <cell r="AB2717" t="str">
            <v>serum</v>
          </cell>
          <cell r="AF2717">
            <v>0.6</v>
          </cell>
        </row>
        <row r="2718">
          <cell r="A2718" t="str">
            <v>IS_alqt_plus</v>
          </cell>
          <cell r="K2718" t="str">
            <v>NCOU</v>
          </cell>
          <cell r="M2718" t="str">
            <v>M</v>
          </cell>
          <cell r="AB2718" t="str">
            <v>serum</v>
          </cell>
          <cell r="AF2718">
            <v>0.5</v>
          </cell>
        </row>
        <row r="2719">
          <cell r="A2719" t="str">
            <v>IS_alqt_plus</v>
          </cell>
          <cell r="K2719" t="str">
            <v>NCOU</v>
          </cell>
          <cell r="M2719" t="str">
            <v>M</v>
          </cell>
          <cell r="AB2719" t="str">
            <v>serum</v>
          </cell>
          <cell r="AF2719">
            <v>0.7</v>
          </cell>
        </row>
        <row r="2720">
          <cell r="A2720" t="str">
            <v>IS_alqt_plus</v>
          </cell>
          <cell r="K2720" t="str">
            <v>NCOU</v>
          </cell>
          <cell r="M2720" t="str">
            <v>M</v>
          </cell>
          <cell r="AB2720" t="str">
            <v>serum</v>
          </cell>
          <cell r="AF2720">
            <v>0.65</v>
          </cell>
        </row>
        <row r="2721">
          <cell r="A2721" t="str">
            <v>IS_alqt_plus</v>
          </cell>
          <cell r="K2721" t="str">
            <v>NCOU</v>
          </cell>
          <cell r="M2721" t="str">
            <v>M</v>
          </cell>
          <cell r="AB2721" t="str">
            <v>serum</v>
          </cell>
          <cell r="AF2721">
            <v>0.6</v>
          </cell>
        </row>
        <row r="2722">
          <cell r="A2722" t="str">
            <v>IS_alqt_plus</v>
          </cell>
          <cell r="K2722" t="str">
            <v>NCOU</v>
          </cell>
          <cell r="M2722" t="str">
            <v>M</v>
          </cell>
          <cell r="AB2722" t="str">
            <v>serum</v>
          </cell>
          <cell r="AF2722">
            <v>0.6</v>
          </cell>
        </row>
        <row r="2723">
          <cell r="A2723" t="str">
            <v>IS_alqt_plus</v>
          </cell>
          <cell r="K2723" t="str">
            <v>NCOU</v>
          </cell>
          <cell r="M2723" t="str">
            <v>M</v>
          </cell>
          <cell r="AB2723" t="str">
            <v>serum</v>
          </cell>
          <cell r="AF2723">
            <v>0.6</v>
          </cell>
        </row>
        <row r="2724">
          <cell r="A2724" t="str">
            <v>IS_alqt_plus</v>
          </cell>
          <cell r="K2724" t="str">
            <v>NCOU</v>
          </cell>
          <cell r="M2724" t="str">
            <v>M</v>
          </cell>
          <cell r="AB2724" t="str">
            <v>serum</v>
          </cell>
          <cell r="AF2724">
            <v>0.6</v>
          </cell>
        </row>
        <row r="2725">
          <cell r="A2725" t="str">
            <v>IS_alqt_plus</v>
          </cell>
          <cell r="K2725" t="str">
            <v>NCOU</v>
          </cell>
          <cell r="M2725" t="str">
            <v>M</v>
          </cell>
          <cell r="AB2725" t="str">
            <v>serum</v>
          </cell>
          <cell r="AF2725">
            <v>0.45</v>
          </cell>
        </row>
        <row r="2726">
          <cell r="A2726" t="str">
            <v>IS_alqt_plus</v>
          </cell>
          <cell r="K2726" t="str">
            <v>ERUF</v>
          </cell>
          <cell r="M2726" t="str">
            <v>M</v>
          </cell>
          <cell r="AB2726" t="str">
            <v>serum</v>
          </cell>
          <cell r="AF2726">
            <v>0.5</v>
          </cell>
        </row>
        <row r="2727">
          <cell r="A2727" t="str">
            <v>IS_alqt_plus</v>
          </cell>
          <cell r="K2727" t="str">
            <v>ERUF</v>
          </cell>
          <cell r="M2727" t="str">
            <v>M</v>
          </cell>
          <cell r="AB2727" t="str">
            <v>serum</v>
          </cell>
          <cell r="AF2727">
            <v>0.7</v>
          </cell>
        </row>
        <row r="2728">
          <cell r="A2728" t="str">
            <v>IS_alqt_plus</v>
          </cell>
          <cell r="K2728" t="str">
            <v>ERUF</v>
          </cell>
          <cell r="M2728" t="str">
            <v>M</v>
          </cell>
          <cell r="AB2728" t="str">
            <v>serum</v>
          </cell>
          <cell r="AF2728">
            <v>0.7</v>
          </cell>
        </row>
        <row r="2729">
          <cell r="A2729" t="str">
            <v>IS_alqt_plus</v>
          </cell>
          <cell r="K2729" t="str">
            <v>EFLA</v>
          </cell>
          <cell r="M2729" t="str">
            <v>F</v>
          </cell>
          <cell r="AB2729" t="str">
            <v>WB</v>
          </cell>
          <cell r="AF2729">
            <v>0.3</v>
          </cell>
        </row>
        <row r="2730">
          <cell r="A2730" t="str">
            <v>IS_alqt_plus</v>
          </cell>
          <cell r="K2730" t="str">
            <v>EFLA</v>
          </cell>
          <cell r="M2730" t="str">
            <v>F</v>
          </cell>
          <cell r="AB2730" t="str">
            <v>serum</v>
          </cell>
          <cell r="AF2730">
            <v>0.5</v>
          </cell>
        </row>
        <row r="2731">
          <cell r="A2731" t="str">
            <v>IS_alqt_plus</v>
          </cell>
          <cell r="K2731" t="str">
            <v>EFLA</v>
          </cell>
          <cell r="M2731" t="str">
            <v>F</v>
          </cell>
          <cell r="AB2731" t="str">
            <v>serum</v>
          </cell>
          <cell r="AF2731">
            <v>0.2</v>
          </cell>
        </row>
        <row r="2732">
          <cell r="A2732" t="str">
            <v>IS_alqt_plus</v>
          </cell>
          <cell r="K2732" t="str">
            <v>ECOL</v>
          </cell>
          <cell r="M2732" t="str">
            <v>F</v>
          </cell>
          <cell r="AB2732" t="str">
            <v>WB</v>
          </cell>
          <cell r="AF2732">
            <v>0.6</v>
          </cell>
        </row>
        <row r="2733">
          <cell r="A2733" t="str">
            <v>gone</v>
          </cell>
          <cell r="K2733" t="str">
            <v>ECOL</v>
          </cell>
          <cell r="M2733" t="str">
            <v>F</v>
          </cell>
          <cell r="AB2733" t="str">
            <v>WB</v>
          </cell>
          <cell r="AF2733">
            <v>0</v>
          </cell>
        </row>
        <row r="2734">
          <cell r="A2734" t="str">
            <v>IS_alqt_plus</v>
          </cell>
          <cell r="K2734" t="str">
            <v>ECOL</v>
          </cell>
          <cell r="M2734" t="str">
            <v>F</v>
          </cell>
          <cell r="AB2734" t="str">
            <v>WB</v>
          </cell>
          <cell r="AF2734">
            <v>0.6</v>
          </cell>
        </row>
        <row r="2735">
          <cell r="A2735" t="str">
            <v>IS_alqt_plus</v>
          </cell>
          <cell r="K2735" t="str">
            <v>ECOL</v>
          </cell>
          <cell r="M2735" t="str">
            <v>F</v>
          </cell>
          <cell r="AB2735" t="str">
            <v>WB</v>
          </cell>
          <cell r="AF2735">
            <v>0.55000000000000004</v>
          </cell>
        </row>
        <row r="2736">
          <cell r="A2736" t="str">
            <v>gone</v>
          </cell>
          <cell r="K2736" t="str">
            <v>ECOL</v>
          </cell>
          <cell r="M2736" t="str">
            <v>F</v>
          </cell>
          <cell r="AB2736" t="str">
            <v>WB</v>
          </cell>
          <cell r="AF2736">
            <v>0</v>
          </cell>
        </row>
        <row r="2737">
          <cell r="A2737" t="str">
            <v>IS_alqt_plus</v>
          </cell>
          <cell r="K2737" t="str">
            <v>ECOL</v>
          </cell>
          <cell r="M2737" t="str">
            <v>F</v>
          </cell>
          <cell r="AB2737" t="str">
            <v>WB</v>
          </cell>
          <cell r="AF2737">
            <v>0.65</v>
          </cell>
        </row>
        <row r="2738">
          <cell r="A2738" t="str">
            <v>IS_alqt_plus</v>
          </cell>
          <cell r="K2738" t="str">
            <v>ECOL</v>
          </cell>
          <cell r="M2738" t="str">
            <v>F</v>
          </cell>
          <cell r="AB2738" t="str">
            <v>WB</v>
          </cell>
          <cell r="AF2738">
            <v>0.65</v>
          </cell>
        </row>
        <row r="2739">
          <cell r="A2739" t="str">
            <v>IS_alqt_plus</v>
          </cell>
          <cell r="K2739" t="str">
            <v>ECOL</v>
          </cell>
          <cell r="M2739" t="str">
            <v>F</v>
          </cell>
          <cell r="AB2739" t="str">
            <v>WB</v>
          </cell>
          <cell r="AF2739">
            <v>0.65</v>
          </cell>
        </row>
        <row r="2740">
          <cell r="A2740" t="str">
            <v>IS_alqt_plus</v>
          </cell>
          <cell r="K2740" t="str">
            <v>ECOL</v>
          </cell>
          <cell r="M2740" t="str">
            <v>F</v>
          </cell>
          <cell r="AB2740" t="str">
            <v>serum</v>
          </cell>
          <cell r="AF2740">
            <v>1</v>
          </cell>
        </row>
        <row r="2741">
          <cell r="A2741" t="str">
            <v>IS_alqt_plus</v>
          </cell>
          <cell r="K2741" t="str">
            <v>ECOL</v>
          </cell>
          <cell r="M2741" t="str">
            <v>F</v>
          </cell>
          <cell r="AB2741" t="str">
            <v>serum</v>
          </cell>
          <cell r="AF2741">
            <v>1.1000000000000001</v>
          </cell>
        </row>
        <row r="2742">
          <cell r="A2742" t="str">
            <v>IS_alqt_plus</v>
          </cell>
          <cell r="K2742" t="str">
            <v>ECOL</v>
          </cell>
          <cell r="M2742" t="str">
            <v>F</v>
          </cell>
          <cell r="AB2742" t="str">
            <v>serum</v>
          </cell>
          <cell r="AF2742">
            <v>0.5</v>
          </cell>
        </row>
        <row r="2743">
          <cell r="A2743" t="str">
            <v>IS_alqt_plus</v>
          </cell>
          <cell r="K2743" t="str">
            <v>ECOL</v>
          </cell>
          <cell r="M2743" t="str">
            <v>F</v>
          </cell>
          <cell r="AB2743" t="str">
            <v>serum</v>
          </cell>
          <cell r="AF2743">
            <v>0.5</v>
          </cell>
        </row>
        <row r="2744">
          <cell r="A2744" t="str">
            <v>IS_alqt_plus</v>
          </cell>
          <cell r="K2744" t="str">
            <v>ECOL</v>
          </cell>
          <cell r="M2744" t="str">
            <v>F</v>
          </cell>
          <cell r="AB2744" t="str">
            <v>serum</v>
          </cell>
          <cell r="AF2744">
            <v>0.5</v>
          </cell>
        </row>
        <row r="2745">
          <cell r="A2745" t="str">
            <v>IS_alqt_plus</v>
          </cell>
          <cell r="K2745" t="str">
            <v>ECOL</v>
          </cell>
          <cell r="M2745" t="str">
            <v>F</v>
          </cell>
          <cell r="AB2745" t="str">
            <v>serum</v>
          </cell>
          <cell r="AF2745">
            <v>0.6</v>
          </cell>
        </row>
        <row r="2746">
          <cell r="A2746" t="str">
            <v>IS_alqt_plus</v>
          </cell>
          <cell r="K2746" t="str">
            <v>ECOL</v>
          </cell>
          <cell r="M2746" t="str">
            <v>F</v>
          </cell>
          <cell r="AB2746" t="str">
            <v>serum</v>
          </cell>
          <cell r="AF2746">
            <v>0.6</v>
          </cell>
        </row>
        <row r="2747">
          <cell r="A2747" t="str">
            <v>IS_alqt_plus</v>
          </cell>
          <cell r="K2747" t="str">
            <v>ECOL</v>
          </cell>
          <cell r="M2747" t="str">
            <v>F</v>
          </cell>
          <cell r="AB2747" t="str">
            <v>serum</v>
          </cell>
          <cell r="AF2747">
            <v>0.5</v>
          </cell>
        </row>
        <row r="2748">
          <cell r="A2748" t="str">
            <v>IS_alqt_plus</v>
          </cell>
          <cell r="K2748" t="str">
            <v>ECOL</v>
          </cell>
          <cell r="M2748" t="str">
            <v>F</v>
          </cell>
          <cell r="AB2748" t="str">
            <v>serum</v>
          </cell>
          <cell r="AF2748">
            <v>1.2</v>
          </cell>
        </row>
        <row r="2749">
          <cell r="A2749" t="str">
            <v>IS_alqt_plus</v>
          </cell>
          <cell r="K2749" t="str">
            <v>ECOL</v>
          </cell>
          <cell r="M2749" t="str">
            <v>F</v>
          </cell>
          <cell r="AB2749" t="str">
            <v>serum</v>
          </cell>
          <cell r="AF2749">
            <v>0.7</v>
          </cell>
        </row>
        <row r="2750">
          <cell r="A2750" t="str">
            <v>IS_alqt_plus</v>
          </cell>
          <cell r="K2750" t="str">
            <v>ECOL</v>
          </cell>
          <cell r="M2750" t="str">
            <v>F</v>
          </cell>
          <cell r="AB2750" t="str">
            <v>serum</v>
          </cell>
          <cell r="AF2750">
            <v>0.65</v>
          </cell>
        </row>
        <row r="2751">
          <cell r="A2751" t="str">
            <v>IS_alqt_plus</v>
          </cell>
          <cell r="K2751" t="str">
            <v>ECOL</v>
          </cell>
          <cell r="M2751" t="str">
            <v>F</v>
          </cell>
          <cell r="AB2751" t="str">
            <v>serum</v>
          </cell>
          <cell r="AF2751">
            <v>1.3</v>
          </cell>
        </row>
        <row r="2752">
          <cell r="A2752" t="str">
            <v>IS_alqt_plus</v>
          </cell>
          <cell r="K2752" t="str">
            <v>ECOL</v>
          </cell>
          <cell r="M2752" t="str">
            <v>F</v>
          </cell>
          <cell r="AB2752" t="str">
            <v>serum</v>
          </cell>
          <cell r="AF2752">
            <v>1.1000000000000001</v>
          </cell>
        </row>
        <row r="2753">
          <cell r="A2753" t="str">
            <v>IS_alqt_plus</v>
          </cell>
          <cell r="K2753" t="str">
            <v>ECOL</v>
          </cell>
          <cell r="M2753" t="str">
            <v>F</v>
          </cell>
          <cell r="AB2753" t="str">
            <v>serum</v>
          </cell>
          <cell r="AF2753">
            <v>1</v>
          </cell>
        </row>
        <row r="2754">
          <cell r="A2754" t="str">
            <v>IS_alqt_plus</v>
          </cell>
          <cell r="K2754" t="str">
            <v>ECOL</v>
          </cell>
          <cell r="M2754" t="str">
            <v>F</v>
          </cell>
          <cell r="AB2754" t="str">
            <v>serum</v>
          </cell>
          <cell r="AF2754">
            <v>1</v>
          </cell>
        </row>
        <row r="2755">
          <cell r="A2755" t="str">
            <v>IS_alqt_plus</v>
          </cell>
          <cell r="K2755" t="str">
            <v>ECOL</v>
          </cell>
          <cell r="M2755" t="str">
            <v>F</v>
          </cell>
          <cell r="AB2755" t="str">
            <v>serum</v>
          </cell>
          <cell r="AF2755">
            <v>0.7</v>
          </cell>
        </row>
        <row r="2756">
          <cell r="A2756" t="str">
            <v>unk</v>
          </cell>
          <cell r="K2756" t="str">
            <v>ECOL</v>
          </cell>
          <cell r="M2756" t="str">
            <v>F</v>
          </cell>
          <cell r="AB2756" t="str">
            <v>serum</v>
          </cell>
          <cell r="AF2756">
            <v>0.5</v>
          </cell>
        </row>
        <row r="2757">
          <cell r="A2757" t="str">
            <v>IS_alqt_plus</v>
          </cell>
          <cell r="K2757" t="str">
            <v>VRUB</v>
          </cell>
          <cell r="M2757" t="str">
            <v>M</v>
          </cell>
          <cell r="AB2757" t="str">
            <v>WB</v>
          </cell>
          <cell r="AF2757">
            <v>0.6</v>
          </cell>
        </row>
        <row r="2758">
          <cell r="A2758" t="str">
            <v>gone</v>
          </cell>
          <cell r="K2758" t="str">
            <v>VRUB</v>
          </cell>
          <cell r="M2758" t="str">
            <v>F</v>
          </cell>
          <cell r="AB2758" t="str">
            <v>WB</v>
          </cell>
          <cell r="AF2758">
            <v>0</v>
          </cell>
        </row>
        <row r="2759">
          <cell r="A2759" t="str">
            <v>IS_alqt_plus</v>
          </cell>
          <cell r="K2759" t="str">
            <v>VVV</v>
          </cell>
          <cell r="M2759" t="str">
            <v>F</v>
          </cell>
          <cell r="AB2759" t="str">
            <v>WB</v>
          </cell>
          <cell r="AF2759">
            <v>0.4</v>
          </cell>
        </row>
        <row r="2760">
          <cell r="A2760" t="str">
            <v>IS_alqt_plus</v>
          </cell>
          <cell r="K2760" t="str">
            <v>VRUB</v>
          </cell>
          <cell r="M2760" t="str">
            <v>M</v>
          </cell>
          <cell r="AB2760" t="str">
            <v>serum</v>
          </cell>
          <cell r="AF2760">
            <v>0.5</v>
          </cell>
        </row>
        <row r="2761">
          <cell r="A2761" t="str">
            <v>IS_alqt_plus</v>
          </cell>
          <cell r="K2761" t="str">
            <v>VRUB</v>
          </cell>
          <cell r="M2761" t="str">
            <v>F</v>
          </cell>
          <cell r="AB2761" t="str">
            <v>serum</v>
          </cell>
          <cell r="AF2761">
            <v>0.5</v>
          </cell>
        </row>
        <row r="2762">
          <cell r="A2762" t="str">
            <v>IS_alqt_plus</v>
          </cell>
          <cell r="K2762" t="str">
            <v>VVV</v>
          </cell>
          <cell r="M2762" t="str">
            <v>F</v>
          </cell>
          <cell r="AB2762" t="str">
            <v>serum</v>
          </cell>
          <cell r="AF2762">
            <v>0.5</v>
          </cell>
        </row>
        <row r="2763">
          <cell r="A2763" t="str">
            <v>IS_alqt_plus</v>
          </cell>
          <cell r="K2763" t="str">
            <v>VVV</v>
          </cell>
          <cell r="M2763" t="str">
            <v>F</v>
          </cell>
          <cell r="AB2763" t="str">
            <v>serum</v>
          </cell>
          <cell r="AF2763">
            <v>0.5</v>
          </cell>
        </row>
        <row r="2764">
          <cell r="A2764" t="str">
            <v>IS_alqt_minus</v>
          </cell>
          <cell r="K2764" t="str">
            <v>VVV</v>
          </cell>
          <cell r="M2764" t="str">
            <v>F</v>
          </cell>
          <cell r="AB2764" t="str">
            <v>serum</v>
          </cell>
          <cell r="AF2764">
            <v>0.1</v>
          </cell>
        </row>
        <row r="2765">
          <cell r="A2765" t="str">
            <v>IS_alqt_plus</v>
          </cell>
          <cell r="K2765" t="str">
            <v>VVV</v>
          </cell>
          <cell r="M2765" t="str">
            <v>M</v>
          </cell>
          <cell r="AB2765" t="str">
            <v>WB</v>
          </cell>
          <cell r="AF2765">
            <v>0.7</v>
          </cell>
        </row>
        <row r="2766">
          <cell r="A2766" t="str">
            <v>IS_alqt_plus</v>
          </cell>
          <cell r="K2766" t="str">
            <v>EUL</v>
          </cell>
          <cell r="M2766" t="str">
            <v>F</v>
          </cell>
          <cell r="AB2766" t="str">
            <v>serum</v>
          </cell>
          <cell r="AF2766">
            <v>0.7</v>
          </cell>
        </row>
        <row r="2767">
          <cell r="A2767" t="str">
            <v>IS_alqt_plus</v>
          </cell>
          <cell r="K2767" t="str">
            <v>EUL</v>
          </cell>
          <cell r="M2767" t="str">
            <v>F</v>
          </cell>
          <cell r="AB2767" t="str">
            <v>serum</v>
          </cell>
          <cell r="AF2767">
            <v>0.7</v>
          </cell>
        </row>
        <row r="2768">
          <cell r="A2768" t="str">
            <v>IS_alqt_plus</v>
          </cell>
          <cell r="K2768" t="str">
            <v>EUL</v>
          </cell>
          <cell r="M2768" t="str">
            <v>F</v>
          </cell>
          <cell r="AB2768" t="str">
            <v>WB</v>
          </cell>
          <cell r="AF2768">
            <v>0.7</v>
          </cell>
        </row>
        <row r="2769">
          <cell r="A2769" t="str">
            <v>gone</v>
          </cell>
          <cell r="K2769" t="str">
            <v>ECOL</v>
          </cell>
          <cell r="M2769" t="str">
            <v>M</v>
          </cell>
          <cell r="AB2769" t="str">
            <v>WB</v>
          </cell>
          <cell r="AF2769">
            <v>0</v>
          </cell>
        </row>
        <row r="2770">
          <cell r="A2770" t="str">
            <v>IS_alqt_plus</v>
          </cell>
          <cell r="K2770" t="str">
            <v>ECOL</v>
          </cell>
          <cell r="M2770" t="str">
            <v>M</v>
          </cell>
          <cell r="AB2770" t="str">
            <v>serum</v>
          </cell>
          <cell r="AF2770">
            <v>1</v>
          </cell>
        </row>
        <row r="2771">
          <cell r="A2771" t="str">
            <v>IS_alqt_plus</v>
          </cell>
          <cell r="K2771" t="str">
            <v>ECOL</v>
          </cell>
          <cell r="M2771" t="str">
            <v>M</v>
          </cell>
          <cell r="AB2771" t="str">
            <v>serum</v>
          </cell>
          <cell r="AF2771">
            <v>0.95</v>
          </cell>
        </row>
        <row r="2772">
          <cell r="A2772" t="str">
            <v>IS_alqt_plus</v>
          </cell>
          <cell r="K2772" t="str">
            <v>PDIA</v>
          </cell>
          <cell r="M2772" t="str">
            <v>M</v>
          </cell>
          <cell r="AB2772" t="str">
            <v>WB</v>
          </cell>
          <cell r="AF2772">
            <v>0.2</v>
          </cell>
        </row>
        <row r="2773">
          <cell r="A2773" t="str">
            <v>IS_alqt_plus</v>
          </cell>
          <cell r="K2773" t="str">
            <v>PDIA</v>
          </cell>
          <cell r="M2773" t="str">
            <v>M</v>
          </cell>
          <cell r="AB2773" t="str">
            <v>serum</v>
          </cell>
          <cell r="AF2773">
            <v>0.8</v>
          </cell>
        </row>
        <row r="2774">
          <cell r="A2774" t="str">
            <v>IS_alqt_plus</v>
          </cell>
          <cell r="K2774" t="str">
            <v>PDIA</v>
          </cell>
          <cell r="M2774" t="str">
            <v>M</v>
          </cell>
          <cell r="AB2774" t="str">
            <v>serum</v>
          </cell>
          <cell r="AF2774">
            <v>0.5</v>
          </cell>
        </row>
        <row r="2775">
          <cell r="A2775" t="str">
            <v>IS_alqt_plus</v>
          </cell>
          <cell r="K2775" t="str">
            <v>EMAC</v>
          </cell>
          <cell r="M2775" t="str">
            <v>M</v>
          </cell>
          <cell r="AB2775" t="str">
            <v>Fluid- mass</v>
          </cell>
          <cell r="AF2775">
            <v>1.5</v>
          </cell>
        </row>
        <row r="2776">
          <cell r="A2776" t="str">
            <v>IS_alqt_plus</v>
          </cell>
          <cell r="K2776" t="str">
            <v>LCAT</v>
          </cell>
          <cell r="M2776" t="str">
            <v>F</v>
          </cell>
          <cell r="AB2776" t="str">
            <v>WB</v>
          </cell>
          <cell r="AF2776">
            <v>1</v>
          </cell>
        </row>
        <row r="2777">
          <cell r="A2777" t="str">
            <v>IS_alqt_plus</v>
          </cell>
          <cell r="K2777" t="str">
            <v>ECOL</v>
          </cell>
          <cell r="M2777" t="str">
            <v>F</v>
          </cell>
          <cell r="AB2777" t="str">
            <v>serum</v>
          </cell>
          <cell r="AF2777">
            <v>0.65</v>
          </cell>
        </row>
        <row r="2778">
          <cell r="A2778" t="str">
            <v>IS_alqt_plus</v>
          </cell>
          <cell r="K2778" t="str">
            <v>ECOL</v>
          </cell>
          <cell r="M2778" t="str">
            <v>F</v>
          </cell>
          <cell r="AB2778" t="str">
            <v>serum</v>
          </cell>
          <cell r="AF2778">
            <v>0.6</v>
          </cell>
        </row>
        <row r="2779">
          <cell r="A2779" t="str">
            <v>IS_alqt_plus</v>
          </cell>
          <cell r="K2779" t="str">
            <v>ECOL</v>
          </cell>
          <cell r="M2779" t="str">
            <v>F</v>
          </cell>
          <cell r="AB2779" t="str">
            <v>serum</v>
          </cell>
          <cell r="AF2779">
            <v>0.5</v>
          </cell>
        </row>
        <row r="2780">
          <cell r="A2780" t="str">
            <v>IS_alqt_plus</v>
          </cell>
          <cell r="K2780" t="str">
            <v>EMON</v>
          </cell>
          <cell r="M2780" t="str">
            <v>F</v>
          </cell>
          <cell r="AB2780" t="str">
            <v>serum</v>
          </cell>
          <cell r="AF2780">
            <v>0.7</v>
          </cell>
        </row>
        <row r="2781">
          <cell r="A2781" t="str">
            <v>IS_alqt_plus</v>
          </cell>
          <cell r="K2781" t="str">
            <v>EMON</v>
          </cell>
          <cell r="M2781" t="str">
            <v>M</v>
          </cell>
          <cell r="AB2781" t="str">
            <v>serum</v>
          </cell>
          <cell r="AF2781">
            <v>0.5</v>
          </cell>
        </row>
        <row r="2782">
          <cell r="A2782" t="str">
            <v>IS_alqt_plus</v>
          </cell>
          <cell r="K2782" t="str">
            <v>PCOQ</v>
          </cell>
          <cell r="M2782" t="str">
            <v>F</v>
          </cell>
          <cell r="AB2782" t="str">
            <v>serum</v>
          </cell>
          <cell r="AF2782">
            <v>0.55000000000000004</v>
          </cell>
        </row>
        <row r="2783">
          <cell r="A2783" t="str">
            <v>IS_alqt_plus</v>
          </cell>
          <cell r="K2783" t="str">
            <v>PCOQ</v>
          </cell>
          <cell r="M2783" t="str">
            <v>F</v>
          </cell>
          <cell r="AB2783" t="str">
            <v>serum</v>
          </cell>
          <cell r="AF2783">
            <v>0.55000000000000004</v>
          </cell>
        </row>
        <row r="2784">
          <cell r="A2784" t="str">
            <v>IS_alqt_plus</v>
          </cell>
          <cell r="K2784" t="str">
            <v>HGG</v>
          </cell>
          <cell r="M2784" t="str">
            <v>M</v>
          </cell>
          <cell r="AB2784" t="str">
            <v>WB</v>
          </cell>
          <cell r="AF2784">
            <v>0.8</v>
          </cell>
        </row>
        <row r="2785">
          <cell r="A2785" t="str">
            <v>IS_alqt_plus</v>
          </cell>
          <cell r="K2785" t="str">
            <v>HGG</v>
          </cell>
          <cell r="M2785" t="str">
            <v>M</v>
          </cell>
          <cell r="AB2785" t="str">
            <v>serum</v>
          </cell>
          <cell r="AF2785">
            <v>0.7</v>
          </cell>
        </row>
        <row r="2786">
          <cell r="A2786" t="str">
            <v>IS_alqt_plus</v>
          </cell>
          <cell r="K2786" t="str">
            <v>DMAD</v>
          </cell>
          <cell r="M2786" t="str">
            <v>F</v>
          </cell>
          <cell r="AB2786" t="str">
            <v>serum</v>
          </cell>
          <cell r="AF2786">
            <v>0.9</v>
          </cell>
        </row>
        <row r="2787">
          <cell r="A2787" t="str">
            <v>IS_alqt_plus</v>
          </cell>
          <cell r="K2787" t="str">
            <v>DMAD</v>
          </cell>
          <cell r="M2787" t="str">
            <v>F</v>
          </cell>
          <cell r="AB2787" t="str">
            <v>WB</v>
          </cell>
          <cell r="AF2787">
            <v>0.75</v>
          </cell>
        </row>
        <row r="2788">
          <cell r="A2788" t="str">
            <v>IS_alqt_plus</v>
          </cell>
          <cell r="K2788" t="str">
            <v>EFLA</v>
          </cell>
          <cell r="M2788" t="str">
            <v>M</v>
          </cell>
          <cell r="AB2788" t="str">
            <v>WB</v>
          </cell>
          <cell r="AF2788">
            <v>0.75</v>
          </cell>
        </row>
        <row r="2789">
          <cell r="A2789" t="str">
            <v>IS_alqt_plus</v>
          </cell>
          <cell r="K2789" t="str">
            <v>EFLA</v>
          </cell>
          <cell r="M2789" t="str">
            <v>M</v>
          </cell>
          <cell r="AB2789" t="str">
            <v>serum</v>
          </cell>
          <cell r="AF2789">
            <v>0.5</v>
          </cell>
        </row>
        <row r="2790">
          <cell r="A2790" t="str">
            <v>IS_alqt_plus</v>
          </cell>
          <cell r="K2790" t="str">
            <v>EFLA</v>
          </cell>
          <cell r="M2790" t="str">
            <v>M</v>
          </cell>
          <cell r="AB2790" t="str">
            <v>serum</v>
          </cell>
          <cell r="AF2790">
            <v>0.2</v>
          </cell>
        </row>
        <row r="2791">
          <cell r="A2791" t="str">
            <v>IS_alqt_plus</v>
          </cell>
          <cell r="K2791" t="str">
            <v>ECOR</v>
          </cell>
          <cell r="M2791" t="str">
            <v>F</v>
          </cell>
          <cell r="AB2791" t="str">
            <v>WB</v>
          </cell>
          <cell r="AF2791">
            <v>0.65</v>
          </cell>
        </row>
        <row r="2792">
          <cell r="A2792" t="str">
            <v>IS_alqt_plus</v>
          </cell>
          <cell r="K2792" t="str">
            <v>EALB</v>
          </cell>
          <cell r="M2792" t="str">
            <v>F</v>
          </cell>
          <cell r="AB2792" t="str">
            <v>WB</v>
          </cell>
          <cell r="AF2792">
            <v>0.65</v>
          </cell>
        </row>
        <row r="2793">
          <cell r="A2793" t="str">
            <v>IS_alqt_plus</v>
          </cell>
          <cell r="K2793" t="str">
            <v>EMAC</v>
          </cell>
          <cell r="M2793" t="str">
            <v>M</v>
          </cell>
          <cell r="AB2793" t="str">
            <v>WB</v>
          </cell>
          <cell r="AF2793">
            <v>0.5</v>
          </cell>
        </row>
        <row r="2794">
          <cell r="A2794" t="str">
            <v>IS_alqt_plus</v>
          </cell>
          <cell r="K2794" t="str">
            <v>ECOR</v>
          </cell>
          <cell r="M2794" t="str">
            <v>F</v>
          </cell>
          <cell r="AB2794" t="str">
            <v>serum</v>
          </cell>
          <cell r="AF2794">
            <v>0.4</v>
          </cell>
        </row>
        <row r="2795">
          <cell r="A2795" t="str">
            <v>IS_alqt_plus</v>
          </cell>
          <cell r="K2795" t="str">
            <v>EALB</v>
          </cell>
          <cell r="M2795" t="str">
            <v>F</v>
          </cell>
          <cell r="AB2795" t="str">
            <v>serum</v>
          </cell>
          <cell r="AF2795">
            <v>0.5</v>
          </cell>
        </row>
        <row r="2796">
          <cell r="A2796" t="str">
            <v>IS_alqt_plus</v>
          </cell>
          <cell r="K2796" t="str">
            <v>EALB</v>
          </cell>
          <cell r="M2796" t="str">
            <v>F</v>
          </cell>
          <cell r="AB2796" t="str">
            <v>serum</v>
          </cell>
          <cell r="AF2796">
            <v>0.6</v>
          </cell>
        </row>
        <row r="2797">
          <cell r="A2797" t="str">
            <v>IS_alqt_plus</v>
          </cell>
          <cell r="K2797" t="str">
            <v>EMAC</v>
          </cell>
          <cell r="M2797" t="str">
            <v>M</v>
          </cell>
          <cell r="AB2797" t="str">
            <v>Fluid- mass</v>
          </cell>
          <cell r="AF2797">
            <v>1.5</v>
          </cell>
        </row>
        <row r="2798">
          <cell r="A2798" t="str">
            <v>IS_alqt_plus</v>
          </cell>
          <cell r="K2798" t="str">
            <v>EMAC</v>
          </cell>
          <cell r="M2798" t="str">
            <v>M</v>
          </cell>
          <cell r="AB2798" t="str">
            <v>serum</v>
          </cell>
          <cell r="AF2798">
            <v>0.6</v>
          </cell>
        </row>
        <row r="2799">
          <cell r="A2799" t="str">
            <v>IS_alqt_plus</v>
          </cell>
          <cell r="K2799" t="str">
            <v>EMAC</v>
          </cell>
          <cell r="M2799" t="str">
            <v>M</v>
          </cell>
          <cell r="AB2799" t="str">
            <v>serum</v>
          </cell>
          <cell r="AF2799">
            <v>0.6</v>
          </cell>
        </row>
        <row r="2800">
          <cell r="A2800" t="str">
            <v>IS_alqt_plus</v>
          </cell>
          <cell r="K2800" t="str">
            <v>DMAD</v>
          </cell>
          <cell r="M2800" t="str">
            <v>F</v>
          </cell>
          <cell r="AB2800" t="str">
            <v>serum</v>
          </cell>
          <cell r="AF2800">
            <v>0.5</v>
          </cell>
        </row>
        <row r="2801">
          <cell r="A2801" t="str">
            <v>IS_alqt_plus</v>
          </cell>
          <cell r="K2801" t="str">
            <v>DMAD</v>
          </cell>
          <cell r="M2801" t="str">
            <v>F</v>
          </cell>
          <cell r="AB2801" t="str">
            <v>serum</v>
          </cell>
          <cell r="AF2801">
            <v>0.5</v>
          </cell>
        </row>
        <row r="2802">
          <cell r="A2802" t="str">
            <v>IS_alqt_plus</v>
          </cell>
          <cell r="K2802" t="str">
            <v>DMAD</v>
          </cell>
          <cell r="M2802" t="str">
            <v>F</v>
          </cell>
          <cell r="AB2802" t="str">
            <v>WB</v>
          </cell>
          <cell r="AF2802">
            <v>0.55000000000000004</v>
          </cell>
        </row>
        <row r="2803">
          <cell r="A2803" t="str">
            <v>IS_alqt_minus</v>
          </cell>
          <cell r="K2803" t="str">
            <v>MMUR</v>
          </cell>
          <cell r="M2803" t="str">
            <v>M</v>
          </cell>
          <cell r="AB2803" t="str">
            <v>serum</v>
          </cell>
          <cell r="AF2803">
            <v>0.05</v>
          </cell>
        </row>
        <row r="2804">
          <cell r="A2804" t="str">
            <v>IS_alqt_minus</v>
          </cell>
          <cell r="K2804" t="str">
            <v>MMUR</v>
          </cell>
          <cell r="M2804" t="str">
            <v>M</v>
          </cell>
          <cell r="AB2804" t="str">
            <v>serum</v>
          </cell>
          <cell r="AF2804">
            <v>0.1</v>
          </cell>
        </row>
        <row r="2805">
          <cell r="A2805" t="str">
            <v>IS_alqt_plus</v>
          </cell>
          <cell r="K2805" t="str">
            <v>DMAD</v>
          </cell>
          <cell r="M2805" t="str">
            <v>F</v>
          </cell>
          <cell r="AB2805" t="str">
            <v>serum</v>
          </cell>
          <cell r="AF2805">
            <v>0.5</v>
          </cell>
        </row>
        <row r="2806">
          <cell r="A2806" t="str">
            <v>IS_alqt_plus</v>
          </cell>
          <cell r="K2806" t="str">
            <v>EUL</v>
          </cell>
          <cell r="M2806" t="str">
            <v>M</v>
          </cell>
          <cell r="AB2806" t="str">
            <v>WB</v>
          </cell>
          <cell r="AF2806">
            <v>0.5</v>
          </cell>
        </row>
        <row r="2807">
          <cell r="A2807" t="str">
            <v>IS_alqt_plus</v>
          </cell>
          <cell r="K2807" t="str">
            <v>EUL</v>
          </cell>
          <cell r="M2807" t="str">
            <v>M</v>
          </cell>
          <cell r="AB2807" t="str">
            <v>serum</v>
          </cell>
          <cell r="AF2807">
            <v>1</v>
          </cell>
        </row>
        <row r="2808">
          <cell r="A2808" t="str">
            <v>IS_alqt_plus</v>
          </cell>
          <cell r="K2808" t="str">
            <v>EUL</v>
          </cell>
          <cell r="M2808" t="str">
            <v>M</v>
          </cell>
          <cell r="AB2808" t="str">
            <v>serum</v>
          </cell>
          <cell r="AF2808">
            <v>1</v>
          </cell>
        </row>
        <row r="2809">
          <cell r="A2809" t="str">
            <v>IS_alqt_plus</v>
          </cell>
          <cell r="K2809" t="str">
            <v>EUL</v>
          </cell>
          <cell r="M2809" t="str">
            <v>M</v>
          </cell>
          <cell r="AB2809" t="str">
            <v>serum</v>
          </cell>
          <cell r="AF2809">
            <v>0.7</v>
          </cell>
        </row>
        <row r="2810">
          <cell r="A2810" t="str">
            <v>IS_alqt_plus</v>
          </cell>
          <cell r="K2810" t="str">
            <v>VRUB</v>
          </cell>
          <cell r="M2810" t="str">
            <v>F</v>
          </cell>
          <cell r="AB2810" t="str">
            <v>WB</v>
          </cell>
          <cell r="AF2810">
            <v>0.75</v>
          </cell>
        </row>
        <row r="2811">
          <cell r="A2811" t="str">
            <v>IS_alqt_plus</v>
          </cell>
          <cell r="K2811" t="str">
            <v>VRUB</v>
          </cell>
          <cell r="M2811" t="str">
            <v>M</v>
          </cell>
          <cell r="AB2811" t="str">
            <v>WB</v>
          </cell>
          <cell r="AF2811">
            <v>0.4</v>
          </cell>
        </row>
        <row r="2812">
          <cell r="A2812" t="str">
            <v>IS_alqt_plus</v>
          </cell>
          <cell r="K2812" t="str">
            <v>VRUB</v>
          </cell>
          <cell r="M2812" t="str">
            <v>F</v>
          </cell>
          <cell r="AB2812" t="str">
            <v>serum</v>
          </cell>
          <cell r="AF2812">
            <v>0.5</v>
          </cell>
        </row>
        <row r="2813">
          <cell r="A2813" t="str">
            <v>IS_alqt_plus</v>
          </cell>
          <cell r="K2813" t="str">
            <v>VRUB</v>
          </cell>
          <cell r="M2813" t="str">
            <v>M</v>
          </cell>
          <cell r="AB2813" t="str">
            <v>serum</v>
          </cell>
          <cell r="AF2813">
            <v>0.5</v>
          </cell>
        </row>
        <row r="2814">
          <cell r="A2814" t="str">
            <v>IS_alqt_plus</v>
          </cell>
          <cell r="K2814" t="str">
            <v>LTAR</v>
          </cell>
          <cell r="M2814" t="str">
            <v>F</v>
          </cell>
          <cell r="AB2814" t="str">
            <v>PRBC</v>
          </cell>
          <cell r="AF2814">
            <v>0.3</v>
          </cell>
        </row>
        <row r="2815">
          <cell r="A2815" t="str">
            <v>IS_alqt_plus</v>
          </cell>
          <cell r="K2815" t="str">
            <v>CMED</v>
          </cell>
          <cell r="M2815" t="str">
            <v>F</v>
          </cell>
          <cell r="AB2815" t="str">
            <v>serum</v>
          </cell>
          <cell r="AF2815">
            <v>0.2</v>
          </cell>
        </row>
        <row r="2816">
          <cell r="A2816" t="str">
            <v>IS_alqt_plus</v>
          </cell>
          <cell r="K2816" t="str">
            <v>CMED</v>
          </cell>
          <cell r="M2816" t="str">
            <v>F</v>
          </cell>
          <cell r="AB2816" t="str">
            <v>serum</v>
          </cell>
          <cell r="AF2816">
            <v>0.2</v>
          </cell>
        </row>
        <row r="2817">
          <cell r="A2817" t="str">
            <v>IS_alqt_minus</v>
          </cell>
          <cell r="K2817" t="str">
            <v>CMED</v>
          </cell>
          <cell r="M2817" t="str">
            <v>F</v>
          </cell>
          <cell r="AB2817" t="str">
            <v>WB</v>
          </cell>
          <cell r="AF2817">
            <v>0.1</v>
          </cell>
        </row>
        <row r="2818">
          <cell r="A2818" t="str">
            <v>IS_alqt_plus</v>
          </cell>
          <cell r="K2818" t="str">
            <v>CMED</v>
          </cell>
          <cell r="M2818" t="str">
            <v>F</v>
          </cell>
          <cell r="AB2818" t="str">
            <v>WB</v>
          </cell>
          <cell r="AF2818">
            <v>0.75</v>
          </cell>
        </row>
        <row r="2819">
          <cell r="A2819" t="str">
            <v>IS_alqt_plus</v>
          </cell>
          <cell r="K2819" t="str">
            <v>HGG</v>
          </cell>
          <cell r="M2819" t="str">
            <v>M</v>
          </cell>
          <cell r="AB2819" t="str">
            <v>WB</v>
          </cell>
          <cell r="AF2819">
            <v>0.25</v>
          </cell>
        </row>
        <row r="2820">
          <cell r="A2820" t="str">
            <v>IS_alqt_plus</v>
          </cell>
          <cell r="K2820" t="str">
            <v>LCAT</v>
          </cell>
          <cell r="M2820" t="str">
            <v>F</v>
          </cell>
          <cell r="AB2820" t="str">
            <v>WB</v>
          </cell>
          <cell r="AF2820">
            <v>0.2</v>
          </cell>
        </row>
        <row r="2821">
          <cell r="A2821" t="str">
            <v>IS_alqt_plus</v>
          </cell>
          <cell r="K2821" t="str">
            <v>LCAT</v>
          </cell>
          <cell r="M2821" t="str">
            <v>F</v>
          </cell>
          <cell r="AB2821" t="str">
            <v>WB</v>
          </cell>
          <cell r="AF2821">
            <v>0.65</v>
          </cell>
        </row>
        <row r="2822">
          <cell r="A2822" t="str">
            <v>IS_alqt_plus</v>
          </cell>
          <cell r="K2822" t="str">
            <v>DMAD</v>
          </cell>
          <cell r="M2822" t="str">
            <v>F</v>
          </cell>
          <cell r="AB2822" t="str">
            <v>serum</v>
          </cell>
          <cell r="AF2822">
            <v>0.3</v>
          </cell>
        </row>
        <row r="2823">
          <cell r="A2823" t="str">
            <v>IS_alqt_plus</v>
          </cell>
          <cell r="K2823" t="str">
            <v>DMAD</v>
          </cell>
          <cell r="M2823" t="str">
            <v>F</v>
          </cell>
          <cell r="AB2823" t="str">
            <v>serum</v>
          </cell>
          <cell r="AF2823">
            <v>0.5</v>
          </cell>
        </row>
        <row r="2824">
          <cell r="A2824" t="str">
            <v>IS_alqt_plus</v>
          </cell>
          <cell r="K2824" t="str">
            <v>DMAD</v>
          </cell>
          <cell r="M2824" t="str">
            <v>F</v>
          </cell>
          <cell r="AB2824" t="str">
            <v>serum</v>
          </cell>
          <cell r="AF2824">
            <v>0.5</v>
          </cell>
        </row>
        <row r="2825">
          <cell r="A2825" t="str">
            <v>IS_alqt_plus</v>
          </cell>
          <cell r="K2825" t="str">
            <v>DMAD</v>
          </cell>
          <cell r="M2825" t="str">
            <v>F</v>
          </cell>
          <cell r="AB2825" t="str">
            <v>WB</v>
          </cell>
          <cell r="AF2825">
            <v>0.5</v>
          </cell>
        </row>
        <row r="2826">
          <cell r="A2826" t="str">
            <v>IS_alqt_plus</v>
          </cell>
          <cell r="K2826" t="str">
            <v>DMAD</v>
          </cell>
          <cell r="M2826" t="str">
            <v>F</v>
          </cell>
          <cell r="AB2826" t="str">
            <v>WB</v>
          </cell>
          <cell r="AF2826">
            <v>0.7</v>
          </cell>
        </row>
        <row r="2827">
          <cell r="A2827" t="str">
            <v>gone</v>
          </cell>
          <cell r="K2827" t="str">
            <v>HGG</v>
          </cell>
          <cell r="M2827" t="str">
            <v>F</v>
          </cell>
          <cell r="AB2827" t="str">
            <v>WB</v>
          </cell>
          <cell r="AF2827">
            <v>0</v>
          </cell>
        </row>
        <row r="2828">
          <cell r="A2828" t="str">
            <v>gone</v>
          </cell>
          <cell r="K2828" t="str">
            <v>HGG</v>
          </cell>
          <cell r="M2828" t="str">
            <v>F</v>
          </cell>
          <cell r="AB2828" t="str">
            <v>serum</v>
          </cell>
          <cell r="AF2828">
            <v>0</v>
          </cell>
        </row>
        <row r="2829">
          <cell r="A2829" t="str">
            <v>IS_alqt_plus</v>
          </cell>
          <cell r="K2829" t="str">
            <v>HGG</v>
          </cell>
          <cell r="M2829" t="str">
            <v>F</v>
          </cell>
          <cell r="AB2829" t="str">
            <v>serum</v>
          </cell>
          <cell r="AF2829">
            <v>0.8</v>
          </cell>
        </row>
        <row r="2830">
          <cell r="A2830" t="str">
            <v>IS_alqt_plus</v>
          </cell>
          <cell r="K2830" t="str">
            <v>DMAD</v>
          </cell>
          <cell r="M2830" t="str">
            <v>F</v>
          </cell>
          <cell r="AB2830" t="str">
            <v>serum</v>
          </cell>
          <cell r="AF2830">
            <v>0.5</v>
          </cell>
        </row>
        <row r="2831">
          <cell r="A2831" t="str">
            <v>IS_alqt_plus</v>
          </cell>
          <cell r="K2831" t="str">
            <v>DMAD</v>
          </cell>
          <cell r="M2831" t="str">
            <v>F</v>
          </cell>
          <cell r="AB2831" t="str">
            <v>serum</v>
          </cell>
          <cell r="AF2831">
            <v>0.5</v>
          </cell>
        </row>
        <row r="2832">
          <cell r="A2832" t="str">
            <v>IS_alqt_plus</v>
          </cell>
          <cell r="K2832" t="str">
            <v>DMAD</v>
          </cell>
          <cell r="M2832" t="str">
            <v>F</v>
          </cell>
          <cell r="AB2832" t="str">
            <v>WB</v>
          </cell>
          <cell r="AF2832">
            <v>0.6</v>
          </cell>
        </row>
        <row r="2833">
          <cell r="A2833" t="str">
            <v>IS_alqt_plus</v>
          </cell>
          <cell r="K2833" t="str">
            <v>NPYG</v>
          </cell>
          <cell r="M2833" t="str">
            <v>F</v>
          </cell>
          <cell r="AB2833" t="str">
            <v>WB</v>
          </cell>
          <cell r="AF2833">
            <v>0.2</v>
          </cell>
        </row>
        <row r="2834">
          <cell r="A2834" t="str">
            <v>IS_alqt_plus</v>
          </cell>
          <cell r="K2834" t="str">
            <v>VRUB</v>
          </cell>
          <cell r="M2834" t="str">
            <v>F</v>
          </cell>
          <cell r="AB2834" t="str">
            <v>WB</v>
          </cell>
          <cell r="AF2834">
            <v>0.7</v>
          </cell>
        </row>
        <row r="2835">
          <cell r="A2835" t="str">
            <v>IS_alqt_plus</v>
          </cell>
          <cell r="K2835" t="str">
            <v>VRUB</v>
          </cell>
          <cell r="M2835" t="str">
            <v>F</v>
          </cell>
          <cell r="AB2835" t="str">
            <v>serum</v>
          </cell>
          <cell r="AF2835">
            <v>0.3</v>
          </cell>
        </row>
        <row r="2836">
          <cell r="A2836" t="str">
            <v>IS_alqt_plus</v>
          </cell>
          <cell r="K2836" t="str">
            <v>ECOR</v>
          </cell>
          <cell r="M2836" t="str">
            <v>F</v>
          </cell>
          <cell r="AB2836" t="str">
            <v>WB</v>
          </cell>
          <cell r="AF2836">
            <v>0.5</v>
          </cell>
        </row>
        <row r="2837">
          <cell r="A2837" t="str">
            <v>IS_alqt_plus</v>
          </cell>
          <cell r="K2837" t="str">
            <v>NPYG</v>
          </cell>
          <cell r="M2837" t="str">
            <v>F</v>
          </cell>
          <cell r="AB2837" t="str">
            <v>WB</v>
          </cell>
          <cell r="AF2837">
            <v>0.5</v>
          </cell>
        </row>
        <row r="2838">
          <cell r="A2838" t="str">
            <v>IS_alqt_plus</v>
          </cell>
          <cell r="K2838" t="str">
            <v>NPYG</v>
          </cell>
          <cell r="M2838" t="str">
            <v>F</v>
          </cell>
          <cell r="AB2838" t="str">
            <v>WB</v>
          </cell>
          <cell r="AF2838">
            <v>0.5</v>
          </cell>
        </row>
        <row r="2839">
          <cell r="A2839" t="str">
            <v>IS_alqt_plus</v>
          </cell>
          <cell r="K2839" t="str">
            <v>NPYG</v>
          </cell>
          <cell r="M2839" t="str">
            <v>F</v>
          </cell>
          <cell r="AB2839" t="str">
            <v>WB</v>
          </cell>
          <cell r="AF2839">
            <v>0.5</v>
          </cell>
        </row>
        <row r="2840">
          <cell r="A2840" t="str">
            <v>IS_alqt_plus</v>
          </cell>
          <cell r="K2840" t="str">
            <v>NPYG</v>
          </cell>
          <cell r="M2840" t="str">
            <v>F</v>
          </cell>
          <cell r="AB2840" t="str">
            <v>WB</v>
          </cell>
          <cell r="AF2840">
            <v>0.5</v>
          </cell>
        </row>
        <row r="2841">
          <cell r="A2841" t="str">
            <v>IS_alqt_plus</v>
          </cell>
          <cell r="K2841" t="str">
            <v>NPYG</v>
          </cell>
          <cell r="M2841" t="str">
            <v>F</v>
          </cell>
          <cell r="AB2841" t="str">
            <v>WB</v>
          </cell>
          <cell r="AF2841">
            <v>0.5</v>
          </cell>
        </row>
        <row r="2842">
          <cell r="A2842" t="str">
            <v>IS_alqt_plus</v>
          </cell>
          <cell r="K2842" t="str">
            <v>ECOR</v>
          </cell>
          <cell r="M2842" t="str">
            <v>F</v>
          </cell>
          <cell r="AB2842" t="str">
            <v>serum</v>
          </cell>
          <cell r="AF2842">
            <v>0.5</v>
          </cell>
        </row>
        <row r="2843">
          <cell r="A2843" t="str">
            <v>IS_alqt_plus</v>
          </cell>
          <cell r="K2843" t="str">
            <v>ECOR</v>
          </cell>
          <cell r="M2843" t="str">
            <v>F</v>
          </cell>
          <cell r="AB2843" t="str">
            <v>serum</v>
          </cell>
          <cell r="AF2843">
            <v>0.6</v>
          </cell>
        </row>
        <row r="2844">
          <cell r="A2844" t="str">
            <v>IS_alqt_plus</v>
          </cell>
          <cell r="K2844" t="str">
            <v>NPYG</v>
          </cell>
          <cell r="M2844" t="str">
            <v>F</v>
          </cell>
          <cell r="AB2844" t="str">
            <v>serum</v>
          </cell>
          <cell r="AF2844">
            <v>0.5</v>
          </cell>
        </row>
        <row r="2845">
          <cell r="A2845" t="str">
            <v>IS_alqt_minus</v>
          </cell>
          <cell r="K2845" t="str">
            <v>NPYG</v>
          </cell>
          <cell r="M2845" t="str">
            <v>F</v>
          </cell>
          <cell r="AB2845" t="str">
            <v>serum</v>
          </cell>
          <cell r="AF2845">
            <v>0.1</v>
          </cell>
        </row>
        <row r="2846">
          <cell r="A2846" t="str">
            <v>IS_alqt_plus</v>
          </cell>
          <cell r="K2846" t="str">
            <v>NPYG</v>
          </cell>
          <cell r="M2846" t="str">
            <v>F</v>
          </cell>
          <cell r="AB2846" t="str">
            <v>serum</v>
          </cell>
          <cell r="AF2846">
            <v>0.5</v>
          </cell>
        </row>
        <row r="2847">
          <cell r="A2847" t="str">
            <v>IS_alqt_plus</v>
          </cell>
          <cell r="K2847" t="str">
            <v>NPYG</v>
          </cell>
          <cell r="M2847" t="str">
            <v>F</v>
          </cell>
          <cell r="AB2847" t="str">
            <v>serum</v>
          </cell>
          <cell r="AF2847">
            <v>0.5</v>
          </cell>
        </row>
        <row r="2848">
          <cell r="A2848" t="str">
            <v>IS_alqt_plus</v>
          </cell>
          <cell r="K2848" t="str">
            <v>NPYG</v>
          </cell>
          <cell r="M2848" t="str">
            <v>F</v>
          </cell>
          <cell r="AB2848" t="str">
            <v>serum</v>
          </cell>
          <cell r="AF2848">
            <v>0.5</v>
          </cell>
        </row>
        <row r="2849">
          <cell r="A2849" t="str">
            <v>IS_alqt_plus</v>
          </cell>
          <cell r="K2849" t="str">
            <v>NPYG</v>
          </cell>
          <cell r="M2849" t="str">
            <v>F</v>
          </cell>
          <cell r="AB2849" t="str">
            <v>serum</v>
          </cell>
          <cell r="AF2849">
            <v>0.5</v>
          </cell>
        </row>
        <row r="2850">
          <cell r="A2850" t="str">
            <v>IS_alqt_plus</v>
          </cell>
          <cell r="K2850" t="str">
            <v>NPYG</v>
          </cell>
          <cell r="M2850" t="str">
            <v>F</v>
          </cell>
          <cell r="AB2850" t="str">
            <v>serum</v>
          </cell>
          <cell r="AF2850">
            <v>0.5</v>
          </cell>
        </row>
        <row r="2851">
          <cell r="A2851" t="str">
            <v>IS_alqt_plus</v>
          </cell>
          <cell r="K2851" t="str">
            <v>NPYG</v>
          </cell>
          <cell r="M2851" t="str">
            <v>F</v>
          </cell>
          <cell r="AB2851" t="str">
            <v>serum</v>
          </cell>
          <cell r="AF2851">
            <v>0.5</v>
          </cell>
        </row>
        <row r="2852">
          <cell r="A2852" t="str">
            <v>IS_alqt_plus</v>
          </cell>
          <cell r="K2852" t="str">
            <v>NPYG</v>
          </cell>
          <cell r="M2852" t="str">
            <v>F</v>
          </cell>
          <cell r="AB2852" t="str">
            <v>serum</v>
          </cell>
          <cell r="AF2852">
            <v>0.5</v>
          </cell>
        </row>
        <row r="2853">
          <cell r="A2853" t="str">
            <v>IS_alqt_plus</v>
          </cell>
          <cell r="K2853" t="str">
            <v>EMAC</v>
          </cell>
          <cell r="M2853" t="str">
            <v>M</v>
          </cell>
          <cell r="AB2853" t="str">
            <v>Fluid- mass</v>
          </cell>
          <cell r="AF2853">
            <v>1.5</v>
          </cell>
        </row>
        <row r="2854">
          <cell r="A2854" t="str">
            <v>IS_alqt_plus</v>
          </cell>
          <cell r="K2854" t="str">
            <v>ECOL</v>
          </cell>
          <cell r="M2854" t="str">
            <v>M</v>
          </cell>
          <cell r="AB2854" t="str">
            <v>serum</v>
          </cell>
          <cell r="AF2854">
            <v>0.6</v>
          </cell>
        </row>
        <row r="2855">
          <cell r="A2855" t="str">
            <v>IS_alqt_plus</v>
          </cell>
          <cell r="K2855" t="str">
            <v>ECOR</v>
          </cell>
          <cell r="M2855" t="str">
            <v>M</v>
          </cell>
          <cell r="AB2855" t="str">
            <v>serum</v>
          </cell>
          <cell r="AF2855">
            <v>0.6</v>
          </cell>
        </row>
        <row r="2856">
          <cell r="A2856" t="str">
            <v>IS_alqt_plus</v>
          </cell>
          <cell r="K2856" t="str">
            <v>ECOR</v>
          </cell>
          <cell r="M2856" t="str">
            <v>M</v>
          </cell>
          <cell r="AB2856" t="str">
            <v>serum</v>
          </cell>
          <cell r="AF2856">
            <v>0.6</v>
          </cell>
        </row>
        <row r="2857">
          <cell r="A2857" t="str">
            <v>IS_alqt_plus</v>
          </cell>
          <cell r="K2857" t="str">
            <v>ECOR</v>
          </cell>
          <cell r="M2857" t="str">
            <v>M</v>
          </cell>
          <cell r="AB2857" t="str">
            <v>WB</v>
          </cell>
          <cell r="AF2857">
            <v>0.5</v>
          </cell>
        </row>
        <row r="2858">
          <cell r="A2858" t="str">
            <v>unk</v>
          </cell>
          <cell r="K2858" t="str">
            <v>ECOR</v>
          </cell>
          <cell r="M2858" t="str">
            <v>M</v>
          </cell>
          <cell r="AB2858" t="str">
            <v>WB</v>
          </cell>
          <cell r="AF2858">
            <v>0.5</v>
          </cell>
        </row>
        <row r="2859">
          <cell r="A2859" t="str">
            <v>IS_alqt_plus</v>
          </cell>
          <cell r="K2859" t="str">
            <v>PCOQ</v>
          </cell>
          <cell r="M2859" t="str">
            <v>M</v>
          </cell>
          <cell r="AB2859" t="str">
            <v>serum</v>
          </cell>
          <cell r="AF2859">
            <v>0.5</v>
          </cell>
        </row>
        <row r="2860">
          <cell r="A2860" t="str">
            <v>IS_alqt_plus</v>
          </cell>
          <cell r="K2860" t="str">
            <v>PCOQ</v>
          </cell>
          <cell r="M2860" t="str">
            <v>M</v>
          </cell>
          <cell r="AB2860" t="str">
            <v>RBCs/serum</v>
          </cell>
          <cell r="AF2860">
            <v>0.5</v>
          </cell>
        </row>
        <row r="2861">
          <cell r="A2861" t="str">
            <v>unk</v>
          </cell>
          <cell r="K2861" t="str">
            <v>PCOQ</v>
          </cell>
          <cell r="M2861" t="str">
            <v>M</v>
          </cell>
          <cell r="AB2861" t="str">
            <v>WB</v>
          </cell>
          <cell r="AF2861">
            <v>0.5</v>
          </cell>
        </row>
        <row r="2862">
          <cell r="A2862" t="str">
            <v>IS_alqt_plus</v>
          </cell>
          <cell r="K2862" t="str">
            <v>HGG</v>
          </cell>
          <cell r="M2862" t="str">
            <v>M</v>
          </cell>
          <cell r="AB2862" t="str">
            <v>WB</v>
          </cell>
          <cell r="AF2862">
            <v>0.5</v>
          </cell>
        </row>
        <row r="2863">
          <cell r="A2863" t="str">
            <v>IS_alqt_plus</v>
          </cell>
          <cell r="K2863" t="str">
            <v>HGG</v>
          </cell>
          <cell r="M2863" t="str">
            <v>M</v>
          </cell>
          <cell r="AB2863" t="str">
            <v>serum</v>
          </cell>
          <cell r="AF2863">
            <v>0.6</v>
          </cell>
        </row>
        <row r="2864">
          <cell r="A2864" t="str">
            <v>IS_alqt_plus</v>
          </cell>
          <cell r="K2864" t="str">
            <v>HGG</v>
          </cell>
          <cell r="M2864" t="str">
            <v>M</v>
          </cell>
          <cell r="AB2864" t="str">
            <v>serum</v>
          </cell>
          <cell r="AF2864">
            <v>0.6</v>
          </cell>
        </row>
        <row r="2865">
          <cell r="A2865" t="str">
            <v>IS_alqt_plus</v>
          </cell>
          <cell r="K2865" t="str">
            <v>VRUB</v>
          </cell>
          <cell r="M2865" t="str">
            <v>F</v>
          </cell>
          <cell r="AB2865" t="str">
            <v>WB</v>
          </cell>
          <cell r="AF2865">
            <v>0.5</v>
          </cell>
        </row>
        <row r="2866">
          <cell r="A2866" t="str">
            <v>unk</v>
          </cell>
          <cell r="K2866" t="str">
            <v>VRUB</v>
          </cell>
          <cell r="M2866" t="str">
            <v>F</v>
          </cell>
          <cell r="AB2866" t="str">
            <v>WB</v>
          </cell>
          <cell r="AF2866">
            <v>0.5</v>
          </cell>
        </row>
        <row r="2867">
          <cell r="A2867" t="str">
            <v>IS_alqt_plus</v>
          </cell>
          <cell r="K2867" t="str">
            <v>VRUB</v>
          </cell>
          <cell r="M2867" t="str">
            <v>F</v>
          </cell>
          <cell r="AB2867" t="str">
            <v>serum</v>
          </cell>
          <cell r="AF2867">
            <v>0.5</v>
          </cell>
        </row>
        <row r="2868">
          <cell r="A2868" t="str">
            <v>IS_alqt_plus</v>
          </cell>
          <cell r="K2868" t="str">
            <v>VRUB</v>
          </cell>
          <cell r="M2868" t="str">
            <v>F</v>
          </cell>
          <cell r="AB2868" t="str">
            <v>serum</v>
          </cell>
          <cell r="AF2868">
            <v>0.5</v>
          </cell>
        </row>
        <row r="2869">
          <cell r="A2869" t="str">
            <v>gone</v>
          </cell>
          <cell r="K2869" t="str">
            <v>ECOL</v>
          </cell>
          <cell r="M2869" t="str">
            <v>M</v>
          </cell>
          <cell r="AB2869" t="str">
            <v>WB</v>
          </cell>
          <cell r="AF2869">
            <v>0</v>
          </cell>
        </row>
        <row r="2870">
          <cell r="A2870" t="str">
            <v>IS_alqt_plus</v>
          </cell>
          <cell r="K2870" t="str">
            <v>LCAT</v>
          </cell>
          <cell r="M2870" t="str">
            <v>F</v>
          </cell>
          <cell r="AB2870" t="str">
            <v>WB</v>
          </cell>
          <cell r="AF2870">
            <v>0.8</v>
          </cell>
        </row>
        <row r="2871">
          <cell r="A2871" t="str">
            <v>IS_alqt_plus</v>
          </cell>
          <cell r="K2871" t="str">
            <v>ECOL</v>
          </cell>
          <cell r="M2871" t="str">
            <v>M</v>
          </cell>
          <cell r="AB2871" t="str">
            <v>serum</v>
          </cell>
          <cell r="AF2871">
            <v>0.7</v>
          </cell>
        </row>
        <row r="2872">
          <cell r="A2872" t="str">
            <v>IS_alqt_plus</v>
          </cell>
          <cell r="K2872" t="str">
            <v>ECOL</v>
          </cell>
          <cell r="M2872" t="str">
            <v>M</v>
          </cell>
          <cell r="AB2872" t="str">
            <v>serum</v>
          </cell>
          <cell r="AF2872">
            <v>0.7</v>
          </cell>
        </row>
        <row r="2873">
          <cell r="A2873" t="str">
            <v>IS_alqt_plus</v>
          </cell>
          <cell r="K2873" t="str">
            <v>LCAT</v>
          </cell>
          <cell r="M2873" t="str">
            <v>F</v>
          </cell>
          <cell r="AB2873" t="str">
            <v>serum</v>
          </cell>
          <cell r="AF2873">
            <v>0.6</v>
          </cell>
        </row>
        <row r="2874">
          <cell r="A2874" t="str">
            <v>IS_alqt_plus</v>
          </cell>
          <cell r="K2874" t="str">
            <v>LCAT</v>
          </cell>
          <cell r="M2874" t="str">
            <v>F</v>
          </cell>
          <cell r="AB2874" t="str">
            <v>serum</v>
          </cell>
          <cell r="AF2874">
            <v>0.6</v>
          </cell>
        </row>
        <row r="2875">
          <cell r="A2875" t="str">
            <v>IS_alqt_plus</v>
          </cell>
          <cell r="K2875" t="str">
            <v>ERUB</v>
          </cell>
          <cell r="M2875" t="str">
            <v>F</v>
          </cell>
          <cell r="AB2875" t="str">
            <v>WB</v>
          </cell>
          <cell r="AF2875">
            <v>0.6</v>
          </cell>
        </row>
        <row r="2876">
          <cell r="A2876" t="str">
            <v>IS_alqt_plus</v>
          </cell>
          <cell r="K2876" t="str">
            <v>ERUB</v>
          </cell>
          <cell r="M2876" t="str">
            <v>F</v>
          </cell>
          <cell r="AB2876" t="str">
            <v>serum</v>
          </cell>
          <cell r="AF2876">
            <v>0.7</v>
          </cell>
        </row>
        <row r="2877">
          <cell r="A2877" t="str">
            <v>IS_alqt_plus</v>
          </cell>
          <cell r="K2877" t="str">
            <v>ECOL</v>
          </cell>
          <cell r="M2877" t="str">
            <v>M</v>
          </cell>
          <cell r="AB2877" t="str">
            <v>serum</v>
          </cell>
          <cell r="AF2877">
            <v>0.5</v>
          </cell>
        </row>
        <row r="2878">
          <cell r="A2878" t="str">
            <v>IS_alqt_plus</v>
          </cell>
          <cell r="K2878" t="str">
            <v>LCAT</v>
          </cell>
          <cell r="M2878" t="str">
            <v>F</v>
          </cell>
          <cell r="AB2878" t="str">
            <v>WB</v>
          </cell>
          <cell r="AF2878">
            <v>1</v>
          </cell>
        </row>
        <row r="2879">
          <cell r="A2879" t="str">
            <v>IS_alqt_plus</v>
          </cell>
          <cell r="K2879" t="str">
            <v>LCAT</v>
          </cell>
          <cell r="M2879" t="str">
            <v>F</v>
          </cell>
          <cell r="AB2879" t="str">
            <v>serum</v>
          </cell>
          <cell r="AF2879">
            <v>0.5</v>
          </cell>
        </row>
        <row r="2880">
          <cell r="A2880" t="str">
            <v>IS_alqt_plus</v>
          </cell>
          <cell r="K2880" t="str">
            <v>LCAT</v>
          </cell>
          <cell r="M2880" t="str">
            <v>F</v>
          </cell>
          <cell r="AB2880" t="str">
            <v>serum</v>
          </cell>
          <cell r="AF2880">
            <v>0.5</v>
          </cell>
        </row>
        <row r="2881">
          <cell r="A2881" t="str">
            <v>IS_alqt_plus</v>
          </cell>
          <cell r="K2881" t="str">
            <v>EFLA</v>
          </cell>
          <cell r="M2881" t="str">
            <v>M</v>
          </cell>
          <cell r="AB2881" t="str">
            <v>WB</v>
          </cell>
          <cell r="AF2881">
            <v>0.5</v>
          </cell>
        </row>
        <row r="2882">
          <cell r="A2882" t="str">
            <v>IS_alqt_plus</v>
          </cell>
          <cell r="K2882" t="str">
            <v>EFLA</v>
          </cell>
          <cell r="M2882" t="str">
            <v>M</v>
          </cell>
          <cell r="AB2882" t="str">
            <v>WB</v>
          </cell>
          <cell r="AF2882">
            <v>0.75</v>
          </cell>
        </row>
        <row r="2883">
          <cell r="A2883" t="str">
            <v>IS_alqt_plus</v>
          </cell>
          <cell r="K2883" t="str">
            <v>EFLA</v>
          </cell>
          <cell r="M2883" t="str">
            <v>M</v>
          </cell>
          <cell r="AB2883" t="str">
            <v>serum</v>
          </cell>
          <cell r="AF2883">
            <v>0.6</v>
          </cell>
        </row>
        <row r="2884">
          <cell r="A2884" t="str">
            <v>IS_alqt_plus</v>
          </cell>
          <cell r="K2884" t="str">
            <v>EFLA</v>
          </cell>
          <cell r="M2884" t="str">
            <v>M</v>
          </cell>
          <cell r="AB2884" t="str">
            <v>serum</v>
          </cell>
          <cell r="AF2884">
            <v>0.5</v>
          </cell>
        </row>
        <row r="2885">
          <cell r="A2885" t="str">
            <v>IS_alqt_plus</v>
          </cell>
          <cell r="K2885" t="str">
            <v>EFLA</v>
          </cell>
          <cell r="M2885" t="str">
            <v>M</v>
          </cell>
          <cell r="AB2885" t="str">
            <v>serum</v>
          </cell>
          <cell r="AF2885">
            <v>0.2</v>
          </cell>
        </row>
        <row r="2886">
          <cell r="A2886" t="str">
            <v>IS_alqt_plus</v>
          </cell>
          <cell r="K2886" t="str">
            <v>EFLA</v>
          </cell>
          <cell r="M2886" t="str">
            <v>M</v>
          </cell>
          <cell r="AB2886" t="str">
            <v>serum</v>
          </cell>
          <cell r="AF2886">
            <v>0.2</v>
          </cell>
        </row>
        <row r="2887">
          <cell r="A2887" t="str">
            <v>IS_alqt_plus</v>
          </cell>
          <cell r="K2887" t="str">
            <v>EFLA</v>
          </cell>
          <cell r="M2887" t="str">
            <v>M</v>
          </cell>
          <cell r="AB2887" t="str">
            <v>serum</v>
          </cell>
          <cell r="AF2887">
            <v>0.2</v>
          </cell>
        </row>
        <row r="2888">
          <cell r="A2888" t="str">
            <v>IS_alqt_plus</v>
          </cell>
          <cell r="K2888" t="str">
            <v>VRUB</v>
          </cell>
          <cell r="M2888" t="str">
            <v>F</v>
          </cell>
          <cell r="AB2888" t="str">
            <v>WB</v>
          </cell>
          <cell r="AF2888">
            <v>0.6</v>
          </cell>
        </row>
        <row r="2889">
          <cell r="A2889" t="str">
            <v>IS_alqt_plus</v>
          </cell>
          <cell r="K2889" t="str">
            <v>VRUB</v>
          </cell>
          <cell r="M2889" t="str">
            <v>F</v>
          </cell>
          <cell r="AB2889" t="str">
            <v>serum</v>
          </cell>
          <cell r="AF2889">
            <v>0.6</v>
          </cell>
        </row>
        <row r="2890">
          <cell r="A2890" t="str">
            <v>IS_alqt_plus</v>
          </cell>
          <cell r="K2890" t="str">
            <v>VRUB</v>
          </cell>
          <cell r="M2890" t="str">
            <v>F</v>
          </cell>
          <cell r="AB2890" t="str">
            <v>serum</v>
          </cell>
          <cell r="AF2890">
            <v>0.6</v>
          </cell>
        </row>
        <row r="2891">
          <cell r="A2891" t="str">
            <v>gone</v>
          </cell>
          <cell r="K2891" t="str">
            <v>EFLA</v>
          </cell>
          <cell r="M2891" t="str">
            <v>F</v>
          </cell>
          <cell r="AB2891" t="str">
            <v>WB</v>
          </cell>
          <cell r="AF2891">
            <v>0</v>
          </cell>
        </row>
        <row r="2892">
          <cell r="A2892" t="str">
            <v>IS_alqt_plus</v>
          </cell>
          <cell r="K2892" t="str">
            <v>EFLA</v>
          </cell>
          <cell r="M2892" t="str">
            <v>F</v>
          </cell>
          <cell r="AB2892" t="str">
            <v>serum</v>
          </cell>
          <cell r="AF2892">
            <v>0.6</v>
          </cell>
        </row>
        <row r="2893">
          <cell r="A2893" t="str">
            <v>IS_alqt_plus</v>
          </cell>
          <cell r="K2893" t="str">
            <v>EFLA</v>
          </cell>
          <cell r="M2893" t="str">
            <v>F</v>
          </cell>
          <cell r="AB2893" t="str">
            <v>serum</v>
          </cell>
          <cell r="AF2893">
            <v>0.2</v>
          </cell>
        </row>
        <row r="2894">
          <cell r="A2894" t="str">
            <v>IS_alqt_plus</v>
          </cell>
          <cell r="K2894" t="str">
            <v>LCAT</v>
          </cell>
          <cell r="M2894" t="str">
            <v>F</v>
          </cell>
          <cell r="AB2894" t="str">
            <v>WB</v>
          </cell>
          <cell r="AF2894">
            <v>1</v>
          </cell>
        </row>
        <row r="2895">
          <cell r="A2895" t="str">
            <v>IS_alqt_plus</v>
          </cell>
          <cell r="K2895" t="str">
            <v>EMAC</v>
          </cell>
          <cell r="M2895" t="str">
            <v>M</v>
          </cell>
          <cell r="AB2895" t="str">
            <v>WB</v>
          </cell>
          <cell r="AF2895">
            <v>0.5</v>
          </cell>
        </row>
        <row r="2896">
          <cell r="A2896" t="str">
            <v>IS_alqt_plus</v>
          </cell>
          <cell r="K2896" t="str">
            <v>EMAC</v>
          </cell>
          <cell r="M2896" t="str">
            <v>M</v>
          </cell>
          <cell r="AB2896" t="str">
            <v>serum</v>
          </cell>
          <cell r="AF2896">
            <v>0.7</v>
          </cell>
        </row>
        <row r="2897">
          <cell r="A2897" t="str">
            <v>IS_alqt_plus</v>
          </cell>
          <cell r="K2897" t="str">
            <v>NPYG</v>
          </cell>
          <cell r="M2897" t="str">
            <v>F</v>
          </cell>
          <cell r="AB2897" t="str">
            <v>plasma</v>
          </cell>
          <cell r="AF2897">
            <v>0.25</v>
          </cell>
        </row>
        <row r="2898">
          <cell r="A2898" t="str">
            <v>IS_alqt_plus</v>
          </cell>
          <cell r="K2898" t="str">
            <v>LCAT</v>
          </cell>
          <cell r="M2898" t="str">
            <v>M</v>
          </cell>
          <cell r="AB2898" t="str">
            <v>WB</v>
          </cell>
          <cell r="AF2898">
            <v>0.65</v>
          </cell>
        </row>
        <row r="2899">
          <cell r="A2899" t="str">
            <v>IS_alqt_plus</v>
          </cell>
          <cell r="K2899" t="str">
            <v>LCAT</v>
          </cell>
          <cell r="M2899" t="str">
            <v>M</v>
          </cell>
          <cell r="AB2899" t="str">
            <v>WB</v>
          </cell>
          <cell r="AF2899">
            <v>0.7</v>
          </cell>
        </row>
        <row r="2900">
          <cell r="A2900" t="str">
            <v>gone</v>
          </cell>
          <cell r="K2900" t="str">
            <v>VVV</v>
          </cell>
          <cell r="M2900" t="str">
            <v>M</v>
          </cell>
          <cell r="AB2900" t="str">
            <v>WB</v>
          </cell>
          <cell r="AF2900">
            <v>0</v>
          </cell>
        </row>
        <row r="2901">
          <cell r="A2901" t="str">
            <v>gone</v>
          </cell>
          <cell r="K2901" t="str">
            <v>VVV</v>
          </cell>
          <cell r="M2901" t="str">
            <v>F</v>
          </cell>
          <cell r="AB2901" t="str">
            <v>WB</v>
          </cell>
          <cell r="AF2901">
            <v>0</v>
          </cell>
        </row>
        <row r="2902">
          <cell r="A2902" t="str">
            <v>IS_alqt_plus</v>
          </cell>
          <cell r="K2902" t="str">
            <v>LCAT</v>
          </cell>
          <cell r="M2902" t="str">
            <v>F</v>
          </cell>
          <cell r="AB2902" t="str">
            <v>serum</v>
          </cell>
          <cell r="AF2902">
            <v>0.55000000000000004</v>
          </cell>
        </row>
        <row r="2903">
          <cell r="A2903" t="str">
            <v>IS_alqt_plus</v>
          </cell>
          <cell r="K2903" t="str">
            <v>VVV</v>
          </cell>
          <cell r="M2903" t="str">
            <v>M</v>
          </cell>
          <cell r="AB2903" t="str">
            <v>serum</v>
          </cell>
          <cell r="AF2903">
            <v>0.75</v>
          </cell>
        </row>
        <row r="2904">
          <cell r="A2904" t="str">
            <v>IS_alqt_plus</v>
          </cell>
          <cell r="K2904" t="str">
            <v>VVV</v>
          </cell>
          <cell r="M2904" t="str">
            <v>F</v>
          </cell>
          <cell r="AB2904" t="str">
            <v>serum</v>
          </cell>
          <cell r="AF2904">
            <v>0.4</v>
          </cell>
        </row>
        <row r="2905">
          <cell r="A2905" t="str">
            <v>IS_alqt_plus</v>
          </cell>
          <cell r="K2905" t="str">
            <v>VVV</v>
          </cell>
          <cell r="M2905" t="str">
            <v>F</v>
          </cell>
          <cell r="AB2905" t="str">
            <v>serum</v>
          </cell>
          <cell r="AF2905">
            <v>0.5</v>
          </cell>
        </row>
        <row r="2906">
          <cell r="A2906" t="str">
            <v>IS_alqt_plus</v>
          </cell>
          <cell r="K2906" t="str">
            <v>LTAR</v>
          </cell>
          <cell r="M2906" t="str">
            <v>F</v>
          </cell>
          <cell r="AB2906" t="str">
            <v>serum</v>
          </cell>
          <cell r="AF2906">
            <v>0.35</v>
          </cell>
        </row>
        <row r="2907">
          <cell r="A2907" t="str">
            <v>gone</v>
          </cell>
          <cell r="K2907" t="str">
            <v>VVV</v>
          </cell>
          <cell r="M2907" t="str">
            <v>F</v>
          </cell>
          <cell r="AB2907" t="str">
            <v>WB</v>
          </cell>
          <cell r="AF2907">
            <v>0</v>
          </cell>
        </row>
        <row r="2908">
          <cell r="A2908" t="str">
            <v>IS_alqt_plus</v>
          </cell>
          <cell r="K2908" t="str">
            <v>VVV</v>
          </cell>
          <cell r="M2908" t="str">
            <v>F</v>
          </cell>
          <cell r="AB2908" t="str">
            <v>serum</v>
          </cell>
          <cell r="AF2908">
            <v>0.6</v>
          </cell>
        </row>
        <row r="2909">
          <cell r="A2909" t="str">
            <v>IS_alqt_plus</v>
          </cell>
          <cell r="K2909" t="str">
            <v>VVV</v>
          </cell>
          <cell r="M2909" t="str">
            <v>F</v>
          </cell>
          <cell r="AB2909" t="str">
            <v>serum</v>
          </cell>
          <cell r="AF2909">
            <v>0.6</v>
          </cell>
        </row>
        <row r="2910">
          <cell r="A2910" t="str">
            <v>IS_alqt_minus</v>
          </cell>
          <cell r="K2910" t="str">
            <v>LTAR</v>
          </cell>
          <cell r="M2910" t="str">
            <v>F</v>
          </cell>
          <cell r="AB2910" t="str">
            <v>WB</v>
          </cell>
          <cell r="AF2910">
            <v>0.15</v>
          </cell>
        </row>
        <row r="2911">
          <cell r="A2911" t="str">
            <v>IS_alqt_minus</v>
          </cell>
          <cell r="K2911" t="str">
            <v>LTAR</v>
          </cell>
          <cell r="M2911" t="str">
            <v>F</v>
          </cell>
          <cell r="AB2911" t="str">
            <v>WB</v>
          </cell>
          <cell r="AF2911">
            <v>0.05</v>
          </cell>
        </row>
        <row r="2912">
          <cell r="A2912" t="str">
            <v>IS_alqt_plus</v>
          </cell>
          <cell r="K2912" t="str">
            <v>LTAR</v>
          </cell>
          <cell r="M2912" t="str">
            <v>F</v>
          </cell>
          <cell r="AB2912" t="str">
            <v>WB</v>
          </cell>
          <cell r="AF2912">
            <v>0.5</v>
          </cell>
        </row>
        <row r="2913">
          <cell r="A2913" t="str">
            <v>IS_alqt_minus</v>
          </cell>
          <cell r="K2913" t="str">
            <v>LTAR</v>
          </cell>
          <cell r="M2913" t="str">
            <v>F</v>
          </cell>
          <cell r="AB2913" t="str">
            <v>serum</v>
          </cell>
          <cell r="AF2913">
            <v>0.01</v>
          </cell>
        </row>
        <row r="2914">
          <cell r="A2914" t="str">
            <v>IS_alqt_plus</v>
          </cell>
          <cell r="K2914" t="str">
            <v>CMED</v>
          </cell>
          <cell r="M2914" t="str">
            <v>M</v>
          </cell>
          <cell r="AB2914" t="str">
            <v>PRBC</v>
          </cell>
          <cell r="AF2914">
            <v>0.5</v>
          </cell>
        </row>
        <row r="2915">
          <cell r="A2915" t="str">
            <v>IS_alqt_plus</v>
          </cell>
          <cell r="K2915" t="str">
            <v>CMED</v>
          </cell>
          <cell r="M2915" t="str">
            <v>F</v>
          </cell>
          <cell r="AB2915" t="str">
            <v>PRBC</v>
          </cell>
          <cell r="AF2915">
            <v>0.5</v>
          </cell>
        </row>
        <row r="2916">
          <cell r="A2916" t="str">
            <v>IS_alqt_minus</v>
          </cell>
          <cell r="K2916" t="str">
            <v>NPYG</v>
          </cell>
          <cell r="M2916" t="str">
            <v>M</v>
          </cell>
          <cell r="AB2916" t="str">
            <v>RBCs/serum</v>
          </cell>
          <cell r="AF2916">
            <v>0.1</v>
          </cell>
        </row>
        <row r="2917">
          <cell r="A2917" t="str">
            <v>IS_alqt_plus</v>
          </cell>
          <cell r="K2917" t="str">
            <v>GMOH</v>
          </cell>
          <cell r="M2917" t="str">
            <v>F</v>
          </cell>
          <cell r="AB2917" t="str">
            <v>RBCs/serum</v>
          </cell>
          <cell r="AF2917">
            <v>0.25</v>
          </cell>
        </row>
        <row r="2918">
          <cell r="A2918" t="str">
            <v>IS_alqt_plus</v>
          </cell>
          <cell r="K2918" t="str">
            <v>ESAN</v>
          </cell>
          <cell r="M2918" t="str">
            <v>F</v>
          </cell>
          <cell r="AB2918" t="str">
            <v>WB</v>
          </cell>
          <cell r="AF2918">
            <v>0.4</v>
          </cell>
        </row>
        <row r="2919">
          <cell r="A2919" t="str">
            <v>IS_alqt_plus</v>
          </cell>
          <cell r="K2919" t="str">
            <v>ESAN</v>
          </cell>
          <cell r="M2919" t="str">
            <v>F</v>
          </cell>
          <cell r="AB2919" t="str">
            <v>serum</v>
          </cell>
          <cell r="AF2919">
            <v>0.5</v>
          </cell>
        </row>
        <row r="2920">
          <cell r="A2920" t="str">
            <v>IS_alqt_plus</v>
          </cell>
          <cell r="K2920" t="str">
            <v>CMED</v>
          </cell>
          <cell r="M2920" t="str">
            <v>M</v>
          </cell>
          <cell r="AB2920" t="str">
            <v>PRBC</v>
          </cell>
          <cell r="AF2920">
            <v>0.4</v>
          </cell>
        </row>
        <row r="2921">
          <cell r="A2921" t="str">
            <v>gone</v>
          </cell>
          <cell r="K2921" t="str">
            <v>ERUB</v>
          </cell>
          <cell r="M2921" t="str">
            <v>M</v>
          </cell>
          <cell r="AB2921" t="str">
            <v>WB</v>
          </cell>
          <cell r="AF2921">
            <v>0</v>
          </cell>
        </row>
        <row r="2922">
          <cell r="A2922" t="str">
            <v>IS_alqt_plus</v>
          </cell>
          <cell r="K2922" t="str">
            <v>ERUB</v>
          </cell>
          <cell r="M2922" t="str">
            <v>M</v>
          </cell>
          <cell r="AB2922" t="str">
            <v>serum</v>
          </cell>
          <cell r="AF2922">
            <v>0.3</v>
          </cell>
        </row>
        <row r="2923">
          <cell r="A2923" t="str">
            <v>IS_alqt_plus</v>
          </cell>
          <cell r="K2923" t="str">
            <v>ERUB</v>
          </cell>
          <cell r="M2923" t="str">
            <v>M</v>
          </cell>
          <cell r="AB2923" t="str">
            <v>serum</v>
          </cell>
          <cell r="AF2923">
            <v>0.5</v>
          </cell>
        </row>
        <row r="2924">
          <cell r="A2924" t="str">
            <v>gone</v>
          </cell>
          <cell r="K2924" t="str">
            <v>EFLA</v>
          </cell>
          <cell r="M2924" t="str">
            <v>M</v>
          </cell>
          <cell r="AB2924" t="str">
            <v>WB</v>
          </cell>
          <cell r="AF2924">
            <v>0</v>
          </cell>
        </row>
        <row r="2925">
          <cell r="A2925" t="str">
            <v>IS_alqt_plus</v>
          </cell>
          <cell r="K2925" t="str">
            <v>EFLA</v>
          </cell>
          <cell r="M2925" t="str">
            <v>M</v>
          </cell>
          <cell r="AB2925" t="str">
            <v>serum</v>
          </cell>
          <cell r="AF2925">
            <v>0.9</v>
          </cell>
        </row>
        <row r="2926">
          <cell r="A2926" t="str">
            <v>IS_alqt_plus</v>
          </cell>
          <cell r="K2926" t="str">
            <v>EFLA</v>
          </cell>
          <cell r="M2926" t="str">
            <v>M</v>
          </cell>
          <cell r="AB2926" t="str">
            <v>serum</v>
          </cell>
          <cell r="AF2926">
            <v>0.6</v>
          </cell>
        </row>
        <row r="2927">
          <cell r="A2927" t="str">
            <v>IS_alqt_plus</v>
          </cell>
          <cell r="K2927" t="str">
            <v>EFLA</v>
          </cell>
          <cell r="M2927" t="str">
            <v>M</v>
          </cell>
          <cell r="AB2927" t="str">
            <v>WB</v>
          </cell>
          <cell r="AF2927">
            <v>0.6</v>
          </cell>
        </row>
        <row r="2928">
          <cell r="A2928" t="str">
            <v>gone</v>
          </cell>
          <cell r="K2928" t="str">
            <v>EFLA</v>
          </cell>
          <cell r="M2928" t="str">
            <v>M</v>
          </cell>
          <cell r="AB2928" t="str">
            <v>WB</v>
          </cell>
          <cell r="AF2928">
            <v>0</v>
          </cell>
        </row>
        <row r="2929">
          <cell r="A2929" t="str">
            <v>IS_alqt_plus</v>
          </cell>
          <cell r="K2929" t="str">
            <v>EFLA</v>
          </cell>
          <cell r="M2929" t="str">
            <v>M</v>
          </cell>
          <cell r="AB2929" t="str">
            <v>serum</v>
          </cell>
          <cell r="AF2929">
            <v>0.6</v>
          </cell>
        </row>
        <row r="2930">
          <cell r="A2930" t="str">
            <v>IS_alqt_plus</v>
          </cell>
          <cell r="K2930" t="str">
            <v>EFLA</v>
          </cell>
          <cell r="M2930" t="str">
            <v>M</v>
          </cell>
          <cell r="AB2930" t="str">
            <v>serum</v>
          </cell>
          <cell r="AF2930">
            <v>0.6</v>
          </cell>
        </row>
        <row r="2931">
          <cell r="A2931" t="str">
            <v>IS_alqt_plus</v>
          </cell>
          <cell r="K2931" t="str">
            <v>EFLA</v>
          </cell>
          <cell r="M2931" t="str">
            <v>M</v>
          </cell>
          <cell r="AB2931" t="str">
            <v>serum</v>
          </cell>
          <cell r="AF2931">
            <v>0.6</v>
          </cell>
        </row>
        <row r="2932">
          <cell r="A2932" t="str">
            <v>IS_alqt_plus</v>
          </cell>
          <cell r="K2932" t="str">
            <v>EFLA</v>
          </cell>
          <cell r="M2932" t="str">
            <v>M</v>
          </cell>
          <cell r="AB2932" t="str">
            <v>serum</v>
          </cell>
          <cell r="AF2932">
            <v>0.6</v>
          </cell>
        </row>
        <row r="2933">
          <cell r="A2933" t="str">
            <v>IS_alqt_plus</v>
          </cell>
          <cell r="K2933" t="str">
            <v>EUL</v>
          </cell>
          <cell r="M2933" t="str">
            <v>M</v>
          </cell>
          <cell r="AB2933" t="str">
            <v>serum</v>
          </cell>
          <cell r="AF2933">
            <v>0.7</v>
          </cell>
        </row>
        <row r="2934">
          <cell r="A2934" t="str">
            <v>IS_alqt_plus</v>
          </cell>
          <cell r="K2934" t="str">
            <v>EUL</v>
          </cell>
          <cell r="M2934" t="str">
            <v>M</v>
          </cell>
          <cell r="AB2934" t="str">
            <v>serum</v>
          </cell>
          <cell r="AF2934">
            <v>0.8</v>
          </cell>
        </row>
        <row r="2935">
          <cell r="A2935" t="str">
            <v>IS_alqt_plus</v>
          </cell>
          <cell r="K2935" t="str">
            <v>EUL</v>
          </cell>
          <cell r="M2935" t="str">
            <v>M</v>
          </cell>
          <cell r="AB2935" t="str">
            <v>WB</v>
          </cell>
          <cell r="AF2935">
            <v>0.6</v>
          </cell>
        </row>
        <row r="2936">
          <cell r="A2936" t="str">
            <v>gone</v>
          </cell>
          <cell r="K2936" t="str">
            <v>EFLA</v>
          </cell>
          <cell r="M2936" t="str">
            <v>F</v>
          </cell>
          <cell r="AB2936" t="str">
            <v>WB</v>
          </cell>
          <cell r="AF2936">
            <v>0</v>
          </cell>
        </row>
        <row r="2937">
          <cell r="A2937" t="str">
            <v>IS_alqt_plus</v>
          </cell>
          <cell r="K2937" t="str">
            <v>EFLA</v>
          </cell>
          <cell r="M2937" t="str">
            <v>F</v>
          </cell>
          <cell r="AB2937" t="str">
            <v>serum</v>
          </cell>
          <cell r="AF2937">
            <v>0.5</v>
          </cell>
        </row>
        <row r="2938">
          <cell r="A2938" t="str">
            <v>IS_alqt_plus</v>
          </cell>
          <cell r="K2938" t="str">
            <v>EFLA</v>
          </cell>
          <cell r="M2938" t="str">
            <v>F</v>
          </cell>
          <cell r="AB2938" t="str">
            <v>serum</v>
          </cell>
          <cell r="AF2938">
            <v>0.2</v>
          </cell>
        </row>
        <row r="2939">
          <cell r="A2939" t="str">
            <v>IS_alqt_plus</v>
          </cell>
          <cell r="K2939" t="str">
            <v>VVV</v>
          </cell>
          <cell r="M2939" t="str">
            <v>F</v>
          </cell>
          <cell r="AB2939" t="str">
            <v>WB</v>
          </cell>
          <cell r="AF2939">
            <v>0.5</v>
          </cell>
        </row>
        <row r="2940">
          <cell r="A2940" t="str">
            <v>gone</v>
          </cell>
          <cell r="K2940" t="str">
            <v>VVV</v>
          </cell>
          <cell r="M2940" t="str">
            <v>M</v>
          </cell>
          <cell r="AB2940" t="str">
            <v>WB</v>
          </cell>
          <cell r="AF2940">
            <v>0</v>
          </cell>
        </row>
        <row r="2941">
          <cell r="A2941" t="str">
            <v>gone</v>
          </cell>
          <cell r="K2941" t="str">
            <v>VVV</v>
          </cell>
          <cell r="M2941" t="str">
            <v>F</v>
          </cell>
          <cell r="AB2941" t="str">
            <v>WB</v>
          </cell>
          <cell r="AF2941">
            <v>0</v>
          </cell>
        </row>
        <row r="2942">
          <cell r="A2942" t="str">
            <v>IS_alqt_plus</v>
          </cell>
          <cell r="K2942" t="str">
            <v>VVV</v>
          </cell>
          <cell r="M2942" t="str">
            <v>F</v>
          </cell>
          <cell r="AB2942" t="str">
            <v>serum</v>
          </cell>
          <cell r="AF2942">
            <v>0.7</v>
          </cell>
        </row>
        <row r="2943">
          <cell r="A2943" t="str">
            <v>IS_alqt_plus</v>
          </cell>
          <cell r="K2943" t="str">
            <v>VVV</v>
          </cell>
          <cell r="M2943" t="str">
            <v>M</v>
          </cell>
          <cell r="AB2943" t="str">
            <v>serum</v>
          </cell>
          <cell r="AF2943">
            <v>0.5</v>
          </cell>
        </row>
        <row r="2944">
          <cell r="A2944" t="str">
            <v>IS_alqt_plus</v>
          </cell>
          <cell r="K2944" t="str">
            <v>VVV</v>
          </cell>
          <cell r="M2944" t="str">
            <v>F</v>
          </cell>
          <cell r="AB2944" t="str">
            <v>serum</v>
          </cell>
          <cell r="AF2944">
            <v>0.5</v>
          </cell>
        </row>
        <row r="2945">
          <cell r="A2945" t="str">
            <v>IS_alqt_plus</v>
          </cell>
          <cell r="K2945" t="str">
            <v>DMAD</v>
          </cell>
          <cell r="M2945" t="str">
            <v>F</v>
          </cell>
          <cell r="AB2945" t="str">
            <v>WB</v>
          </cell>
          <cell r="AF2945">
            <v>0.6</v>
          </cell>
        </row>
        <row r="2946">
          <cell r="A2946" t="str">
            <v>IS_alqt_plus</v>
          </cell>
          <cell r="K2946" t="str">
            <v>DMAD</v>
          </cell>
          <cell r="M2946" t="str">
            <v>M</v>
          </cell>
          <cell r="AB2946" t="str">
            <v>serum</v>
          </cell>
          <cell r="AF2946">
            <v>0.6</v>
          </cell>
        </row>
        <row r="2947">
          <cell r="A2947" t="str">
            <v>IS_alqt_minus</v>
          </cell>
          <cell r="K2947" t="str">
            <v>DMAD</v>
          </cell>
          <cell r="M2947" t="str">
            <v>M</v>
          </cell>
          <cell r="AB2947" t="str">
            <v>WB</v>
          </cell>
          <cell r="AF2947">
            <v>7.4999999999999997E-2</v>
          </cell>
        </row>
        <row r="2948">
          <cell r="A2948" t="str">
            <v>IS_alqt_plus</v>
          </cell>
          <cell r="K2948" t="str">
            <v>LCAT</v>
          </cell>
          <cell r="M2948" t="str">
            <v>F</v>
          </cell>
          <cell r="AB2948" t="str">
            <v>WB</v>
          </cell>
          <cell r="AF2948">
            <v>1</v>
          </cell>
        </row>
        <row r="2949">
          <cell r="A2949" t="str">
            <v>IS_alqt_plus</v>
          </cell>
          <cell r="K2949" t="str">
            <v>LCAT</v>
          </cell>
          <cell r="M2949" t="str">
            <v>M</v>
          </cell>
          <cell r="AB2949" t="str">
            <v>WB</v>
          </cell>
          <cell r="AF2949">
            <v>0.55000000000000004</v>
          </cell>
        </row>
        <row r="2950">
          <cell r="A2950" t="str">
            <v>IS_alqt_plus</v>
          </cell>
          <cell r="K2950" t="str">
            <v>LCAT</v>
          </cell>
          <cell r="M2950" t="str">
            <v>F</v>
          </cell>
          <cell r="AB2950" t="str">
            <v>serum</v>
          </cell>
          <cell r="AF2950">
            <v>0.6</v>
          </cell>
        </row>
        <row r="2951">
          <cell r="A2951" t="str">
            <v>IS_alqt_plus</v>
          </cell>
          <cell r="K2951" t="str">
            <v>LCAT</v>
          </cell>
          <cell r="M2951" t="str">
            <v>F</v>
          </cell>
          <cell r="AB2951" t="str">
            <v>serum</v>
          </cell>
          <cell r="AF2951">
            <v>0.7</v>
          </cell>
        </row>
        <row r="2952">
          <cell r="A2952" t="str">
            <v>IS_alqt_plus</v>
          </cell>
          <cell r="K2952" t="str">
            <v>LCAT</v>
          </cell>
          <cell r="M2952" t="str">
            <v>M</v>
          </cell>
          <cell r="AB2952" t="str">
            <v>serum</v>
          </cell>
          <cell r="AF2952">
            <v>0.3</v>
          </cell>
        </row>
        <row r="2953">
          <cell r="A2953" t="str">
            <v>IS_alqt_plus</v>
          </cell>
          <cell r="K2953" t="str">
            <v>EFUL</v>
          </cell>
          <cell r="M2953" t="str">
            <v>F</v>
          </cell>
          <cell r="AB2953" t="str">
            <v>WB</v>
          </cell>
          <cell r="AF2953">
            <v>0.6</v>
          </cell>
        </row>
        <row r="2954">
          <cell r="A2954" t="str">
            <v>IS_alqt_plus</v>
          </cell>
          <cell r="K2954" t="str">
            <v>EFUL</v>
          </cell>
          <cell r="M2954" t="str">
            <v>F</v>
          </cell>
          <cell r="AB2954" t="str">
            <v>serum</v>
          </cell>
          <cell r="AF2954">
            <v>0.5</v>
          </cell>
        </row>
        <row r="2955">
          <cell r="A2955" t="str">
            <v>IS_alqt_plus</v>
          </cell>
          <cell r="K2955" t="str">
            <v>EFUL</v>
          </cell>
          <cell r="M2955" t="str">
            <v>F</v>
          </cell>
          <cell r="AB2955" t="str">
            <v>serum</v>
          </cell>
          <cell r="AF2955">
            <v>0.6</v>
          </cell>
        </row>
        <row r="2956">
          <cell r="A2956" t="str">
            <v>IS_alqt_plus</v>
          </cell>
          <cell r="K2956" t="str">
            <v>EFUL</v>
          </cell>
          <cell r="M2956" t="str">
            <v>F</v>
          </cell>
          <cell r="AB2956" t="str">
            <v>serum</v>
          </cell>
          <cell r="AF2956">
            <v>0.6</v>
          </cell>
        </row>
        <row r="2957">
          <cell r="A2957" t="str">
            <v>unk</v>
          </cell>
          <cell r="K2957" t="str">
            <v>EFUL</v>
          </cell>
          <cell r="M2957" t="str">
            <v>F</v>
          </cell>
          <cell r="AB2957" t="str">
            <v>serum</v>
          </cell>
          <cell r="AF2957">
            <v>0.5</v>
          </cell>
        </row>
        <row r="2958">
          <cell r="A2958" t="str">
            <v>IS_alqt_plus</v>
          </cell>
          <cell r="K2958" t="str">
            <v>HGG</v>
          </cell>
          <cell r="M2958" t="str">
            <v>M</v>
          </cell>
          <cell r="AB2958" t="str">
            <v>plasma</v>
          </cell>
          <cell r="AF2958">
            <v>0.35</v>
          </cell>
        </row>
        <row r="2959">
          <cell r="A2959" t="str">
            <v>IS_alqt_plus</v>
          </cell>
          <cell r="K2959" t="str">
            <v>EMON</v>
          </cell>
          <cell r="M2959" t="str">
            <v>M</v>
          </cell>
          <cell r="AB2959" t="str">
            <v>serum</v>
          </cell>
          <cell r="AF2959">
            <v>0.2</v>
          </cell>
        </row>
        <row r="2960">
          <cell r="A2960" t="str">
            <v>IS_alqt_plus</v>
          </cell>
          <cell r="K2960" t="str">
            <v>EMON</v>
          </cell>
          <cell r="M2960" t="str">
            <v>M</v>
          </cell>
          <cell r="AB2960" t="str">
            <v>serum</v>
          </cell>
          <cell r="AF2960">
            <v>0.3</v>
          </cell>
        </row>
        <row r="2961">
          <cell r="A2961" t="str">
            <v>IS_alqt_plus</v>
          </cell>
          <cell r="K2961" t="str">
            <v>EMON</v>
          </cell>
          <cell r="M2961" t="str">
            <v>M</v>
          </cell>
          <cell r="AB2961" t="str">
            <v>serum</v>
          </cell>
          <cell r="AF2961">
            <v>0.4</v>
          </cell>
        </row>
        <row r="2962">
          <cell r="A2962" t="str">
            <v>gone</v>
          </cell>
          <cell r="K2962" t="str">
            <v>MMUR</v>
          </cell>
          <cell r="M2962" t="str">
            <v>M</v>
          </cell>
          <cell r="AB2962" t="str">
            <v>WB</v>
          </cell>
          <cell r="AF2962">
            <v>0</v>
          </cell>
        </row>
        <row r="2963">
          <cell r="A2963" t="str">
            <v>gone</v>
          </cell>
          <cell r="K2963" t="str">
            <v>MMUR</v>
          </cell>
          <cell r="M2963" t="str">
            <v>M</v>
          </cell>
          <cell r="AB2963" t="str">
            <v>WB</v>
          </cell>
          <cell r="AF2963">
            <v>0</v>
          </cell>
        </row>
        <row r="2964">
          <cell r="A2964" t="str">
            <v>gone</v>
          </cell>
          <cell r="K2964" t="str">
            <v>MMUR</v>
          </cell>
          <cell r="M2964" t="str">
            <v>M</v>
          </cell>
          <cell r="AB2964" t="str">
            <v>WB</v>
          </cell>
          <cell r="AF2964">
            <v>0</v>
          </cell>
        </row>
        <row r="2965">
          <cell r="A2965" t="str">
            <v>IS_alqt_plus</v>
          </cell>
          <cell r="K2965" t="str">
            <v>MMUR</v>
          </cell>
          <cell r="M2965" t="str">
            <v>M</v>
          </cell>
          <cell r="AB2965" t="str">
            <v>WB</v>
          </cell>
          <cell r="AF2965">
            <v>0.76</v>
          </cell>
        </row>
        <row r="2966">
          <cell r="A2966" t="str">
            <v>IS_alqt_plus</v>
          </cell>
          <cell r="K2966" t="str">
            <v>PTAT</v>
          </cell>
          <cell r="M2966" t="str">
            <v>M</v>
          </cell>
          <cell r="AB2966" t="str">
            <v>WB</v>
          </cell>
          <cell r="AF2966">
            <v>0.2</v>
          </cell>
        </row>
        <row r="2967">
          <cell r="A2967" t="str">
            <v>IS_alqt_plus</v>
          </cell>
          <cell r="K2967" t="str">
            <v>PTAT</v>
          </cell>
          <cell r="M2967" t="str">
            <v>M</v>
          </cell>
          <cell r="AB2967" t="str">
            <v>WB</v>
          </cell>
          <cell r="AF2967">
            <v>0.2</v>
          </cell>
        </row>
        <row r="2968">
          <cell r="A2968" t="str">
            <v>IS_alqt_plus</v>
          </cell>
          <cell r="K2968" t="str">
            <v>PTAT</v>
          </cell>
          <cell r="M2968" t="str">
            <v>M</v>
          </cell>
          <cell r="AB2968" t="str">
            <v>WB</v>
          </cell>
          <cell r="AF2968">
            <v>0.8</v>
          </cell>
        </row>
        <row r="2969">
          <cell r="A2969" t="str">
            <v>IS_alqt_plus</v>
          </cell>
          <cell r="K2969" t="str">
            <v>PTAT</v>
          </cell>
          <cell r="M2969" t="str">
            <v>M</v>
          </cell>
          <cell r="AB2969" t="str">
            <v>WB</v>
          </cell>
          <cell r="AF2969">
            <v>0.75</v>
          </cell>
        </row>
        <row r="2970">
          <cell r="A2970" t="str">
            <v>IS_alqt_plus</v>
          </cell>
          <cell r="K2970" t="str">
            <v>PTAT</v>
          </cell>
          <cell r="M2970" t="str">
            <v>M</v>
          </cell>
          <cell r="AB2970" t="str">
            <v>WB</v>
          </cell>
          <cell r="AF2970">
            <v>0.8</v>
          </cell>
        </row>
        <row r="2971">
          <cell r="A2971" t="str">
            <v>IS_alqt_plus</v>
          </cell>
          <cell r="K2971" t="str">
            <v>PTAT</v>
          </cell>
          <cell r="M2971" t="str">
            <v>M</v>
          </cell>
          <cell r="AB2971" t="str">
            <v>WB</v>
          </cell>
          <cell r="AF2971">
            <v>0.75</v>
          </cell>
        </row>
        <row r="2972">
          <cell r="A2972" t="str">
            <v>gone</v>
          </cell>
          <cell r="K2972" t="str">
            <v>PTAT</v>
          </cell>
          <cell r="M2972" t="str">
            <v>M</v>
          </cell>
          <cell r="AB2972" t="str">
            <v>WB</v>
          </cell>
          <cell r="AF2972">
            <v>0</v>
          </cell>
        </row>
        <row r="2973">
          <cell r="A2973" t="str">
            <v>IS_alqt_minus</v>
          </cell>
          <cell r="K2973" t="str">
            <v>PTAT</v>
          </cell>
          <cell r="M2973" t="str">
            <v>M</v>
          </cell>
          <cell r="AB2973" t="str">
            <v>WB</v>
          </cell>
          <cell r="AF2973">
            <v>0.1</v>
          </cell>
        </row>
        <row r="2974">
          <cell r="A2974" t="str">
            <v>unk</v>
          </cell>
          <cell r="K2974" t="str">
            <v>PTAT</v>
          </cell>
          <cell r="M2974" t="str">
            <v>M</v>
          </cell>
          <cell r="AB2974" t="str">
            <v>WB</v>
          </cell>
          <cell r="AF2974">
            <v>0.1</v>
          </cell>
        </row>
        <row r="2975">
          <cell r="A2975" t="str">
            <v>IS_alqt_minus</v>
          </cell>
          <cell r="K2975" t="str">
            <v>PTAT</v>
          </cell>
          <cell r="M2975" t="str">
            <v>M</v>
          </cell>
          <cell r="AB2975" t="str">
            <v>WB</v>
          </cell>
          <cell r="AF2975">
            <v>0.1</v>
          </cell>
        </row>
        <row r="2976">
          <cell r="A2976" t="str">
            <v>IS_alqt_plus</v>
          </cell>
          <cell r="K2976" t="str">
            <v>MMUR</v>
          </cell>
          <cell r="M2976" t="str">
            <v>M</v>
          </cell>
          <cell r="AB2976" t="str">
            <v>plasma</v>
          </cell>
          <cell r="AF2976">
            <v>0.7</v>
          </cell>
        </row>
        <row r="2977">
          <cell r="A2977" t="str">
            <v>gone</v>
          </cell>
          <cell r="K2977" t="str">
            <v>MMUR</v>
          </cell>
          <cell r="M2977" t="str">
            <v>M</v>
          </cell>
          <cell r="AB2977" t="str">
            <v>WB</v>
          </cell>
          <cell r="AF2977">
            <v>0</v>
          </cell>
        </row>
        <row r="2978">
          <cell r="A2978" t="str">
            <v>IS_alqt_plus</v>
          </cell>
          <cell r="K2978" t="str">
            <v>PTAT</v>
          </cell>
          <cell r="M2978" t="str">
            <v>M</v>
          </cell>
          <cell r="AB2978" t="str">
            <v>serum</v>
          </cell>
          <cell r="AF2978">
            <v>1</v>
          </cell>
        </row>
        <row r="2979">
          <cell r="A2979" t="str">
            <v>IS_alqt_plus</v>
          </cell>
          <cell r="K2979" t="str">
            <v>PTAT</v>
          </cell>
          <cell r="M2979" t="str">
            <v>M</v>
          </cell>
          <cell r="AB2979" t="str">
            <v>serum</v>
          </cell>
          <cell r="AF2979">
            <v>1</v>
          </cell>
        </row>
        <row r="2980">
          <cell r="A2980" t="str">
            <v>IS_alqt_plus</v>
          </cell>
          <cell r="K2980" t="str">
            <v>PTAT</v>
          </cell>
          <cell r="M2980" t="str">
            <v>M</v>
          </cell>
          <cell r="AB2980" t="str">
            <v>serum</v>
          </cell>
          <cell r="AF2980">
            <v>0.4</v>
          </cell>
        </row>
        <row r="2981">
          <cell r="A2981" t="str">
            <v>IS_alqt_plus</v>
          </cell>
          <cell r="K2981" t="str">
            <v>PTAT</v>
          </cell>
          <cell r="M2981" t="str">
            <v>M</v>
          </cell>
          <cell r="AB2981" t="str">
            <v>serum</v>
          </cell>
          <cell r="AF2981">
            <v>1</v>
          </cell>
        </row>
        <row r="2982">
          <cell r="A2982" t="str">
            <v>IS_alqt_plus</v>
          </cell>
          <cell r="K2982" t="str">
            <v>PTAT</v>
          </cell>
          <cell r="M2982" t="str">
            <v>M</v>
          </cell>
          <cell r="AB2982" t="str">
            <v>serum</v>
          </cell>
          <cell r="AF2982">
            <v>1</v>
          </cell>
        </row>
        <row r="2983">
          <cell r="A2983" t="str">
            <v>IS_alqt_plus</v>
          </cell>
          <cell r="K2983" t="str">
            <v>PTAT</v>
          </cell>
          <cell r="M2983" t="str">
            <v>M</v>
          </cell>
          <cell r="AB2983" t="str">
            <v>serum</v>
          </cell>
          <cell r="AF2983">
            <v>0.3</v>
          </cell>
        </row>
        <row r="2984">
          <cell r="A2984" t="str">
            <v>IS_alqt_plus</v>
          </cell>
          <cell r="K2984" t="str">
            <v>PTAT</v>
          </cell>
          <cell r="M2984" t="str">
            <v>M</v>
          </cell>
          <cell r="AB2984" t="str">
            <v>serum</v>
          </cell>
          <cell r="AF2984">
            <v>1</v>
          </cell>
        </row>
        <row r="2985">
          <cell r="A2985" t="str">
            <v>IS_alqt_plus</v>
          </cell>
          <cell r="K2985" t="str">
            <v>PTAT</v>
          </cell>
          <cell r="M2985" t="str">
            <v>M</v>
          </cell>
          <cell r="AB2985" t="str">
            <v>serum</v>
          </cell>
          <cell r="AF2985">
            <v>1</v>
          </cell>
        </row>
        <row r="2986">
          <cell r="A2986" t="str">
            <v>IS_alqt_plus</v>
          </cell>
          <cell r="K2986" t="str">
            <v>PTAT</v>
          </cell>
          <cell r="M2986" t="str">
            <v>M</v>
          </cell>
          <cell r="AB2986" t="str">
            <v>serum</v>
          </cell>
          <cell r="AF2986">
            <v>0.5</v>
          </cell>
        </row>
        <row r="2987">
          <cell r="A2987" t="str">
            <v>IS_alqt_plus</v>
          </cell>
          <cell r="K2987" t="str">
            <v>PTAT</v>
          </cell>
          <cell r="M2987" t="str">
            <v>M</v>
          </cell>
          <cell r="AB2987" t="str">
            <v>serum</v>
          </cell>
          <cell r="AF2987">
            <v>0.5</v>
          </cell>
        </row>
        <row r="2988">
          <cell r="A2988" t="str">
            <v>IS_alqt_plus</v>
          </cell>
          <cell r="K2988" t="str">
            <v>CMED</v>
          </cell>
          <cell r="M2988" t="str">
            <v>M</v>
          </cell>
          <cell r="AB2988" t="str">
            <v>PRBC</v>
          </cell>
          <cell r="AF2988">
            <v>0.45</v>
          </cell>
        </row>
        <row r="2989">
          <cell r="A2989" t="str">
            <v>IS_alqt_plus</v>
          </cell>
          <cell r="K2989" t="str">
            <v>CMED</v>
          </cell>
          <cell r="M2989" t="str">
            <v>M</v>
          </cell>
          <cell r="AB2989" t="str">
            <v>PRBC</v>
          </cell>
          <cell r="AF2989">
            <v>0.2</v>
          </cell>
        </row>
        <row r="2990">
          <cell r="A2990" t="str">
            <v>IS_alqt_plus</v>
          </cell>
          <cell r="K2990" t="str">
            <v>CMED</v>
          </cell>
          <cell r="M2990" t="str">
            <v>F</v>
          </cell>
          <cell r="AB2990" t="str">
            <v>PRBC</v>
          </cell>
          <cell r="AF2990">
            <v>0.3</v>
          </cell>
        </row>
        <row r="2991">
          <cell r="A2991" t="str">
            <v>IS_alqt_plus</v>
          </cell>
          <cell r="K2991" t="str">
            <v>LCAT</v>
          </cell>
          <cell r="M2991" t="str">
            <v>M</v>
          </cell>
          <cell r="AB2991" t="str">
            <v>WB</v>
          </cell>
          <cell r="AF2991">
            <v>0.75</v>
          </cell>
        </row>
        <row r="2992">
          <cell r="A2992" t="str">
            <v>IS_alqt_minus</v>
          </cell>
          <cell r="K2992" t="str">
            <v>PCOQ</v>
          </cell>
          <cell r="M2992" t="str">
            <v>M</v>
          </cell>
          <cell r="AB2992" t="str">
            <v>serum</v>
          </cell>
          <cell r="AF2992">
            <v>0.15</v>
          </cell>
        </row>
        <row r="2993">
          <cell r="A2993" t="str">
            <v>IS_alqt_plus</v>
          </cell>
          <cell r="K2993" t="str">
            <v>PCOQ</v>
          </cell>
          <cell r="M2993" t="str">
            <v>M</v>
          </cell>
          <cell r="AB2993" t="str">
            <v>serum</v>
          </cell>
          <cell r="AF2993">
            <v>0.5</v>
          </cell>
        </row>
        <row r="2994">
          <cell r="A2994" t="str">
            <v>IS_alqt_plus</v>
          </cell>
          <cell r="K2994" t="str">
            <v>EMON</v>
          </cell>
          <cell r="M2994" t="str">
            <v>M</v>
          </cell>
          <cell r="AB2994" t="str">
            <v>serum</v>
          </cell>
          <cell r="AF2994">
            <v>0.5</v>
          </cell>
        </row>
        <row r="2995">
          <cell r="A2995" t="str">
            <v>IS_alqt_plus</v>
          </cell>
          <cell r="K2995" t="str">
            <v>LCAT</v>
          </cell>
          <cell r="M2995" t="str">
            <v>M</v>
          </cell>
          <cell r="AB2995" t="str">
            <v>WB</v>
          </cell>
          <cell r="AF2995">
            <v>0.75</v>
          </cell>
        </row>
        <row r="2996">
          <cell r="A2996" t="str">
            <v>IS_alqt_plus</v>
          </cell>
          <cell r="K2996" t="str">
            <v>EMON</v>
          </cell>
          <cell r="M2996" t="str">
            <v>M</v>
          </cell>
          <cell r="AB2996" t="str">
            <v>serum</v>
          </cell>
          <cell r="AF2996">
            <v>0.6</v>
          </cell>
        </row>
        <row r="2997">
          <cell r="A2997" t="str">
            <v>IS_alqt_plus</v>
          </cell>
          <cell r="K2997" t="str">
            <v>EMON</v>
          </cell>
          <cell r="M2997" t="str">
            <v>M</v>
          </cell>
          <cell r="AB2997" t="str">
            <v>serum</v>
          </cell>
          <cell r="AF2997">
            <v>0.4</v>
          </cell>
        </row>
        <row r="2998">
          <cell r="A2998" t="str">
            <v>IS_alqt_plus</v>
          </cell>
          <cell r="K2998" t="str">
            <v>PCOQ</v>
          </cell>
          <cell r="M2998" t="str">
            <v>M</v>
          </cell>
          <cell r="AB2998" t="str">
            <v>serum</v>
          </cell>
          <cell r="AF2998">
            <v>0.6</v>
          </cell>
        </row>
        <row r="2999">
          <cell r="A2999" t="str">
            <v>gone</v>
          </cell>
          <cell r="K2999" t="str">
            <v>PCOQ</v>
          </cell>
          <cell r="M2999" t="str">
            <v>M</v>
          </cell>
          <cell r="AB2999" t="str">
            <v>serum</v>
          </cell>
          <cell r="AF2999">
            <v>0</v>
          </cell>
        </row>
        <row r="3000">
          <cell r="A3000" t="str">
            <v>gone</v>
          </cell>
          <cell r="K3000" t="str">
            <v>PCOQ</v>
          </cell>
          <cell r="M3000" t="str">
            <v>M</v>
          </cell>
          <cell r="AB3000" t="str">
            <v>serum</v>
          </cell>
          <cell r="AF3000">
            <v>0</v>
          </cell>
        </row>
        <row r="3001">
          <cell r="A3001" t="str">
            <v>IS_alqt_plus</v>
          </cell>
          <cell r="K3001" t="str">
            <v>NPYG</v>
          </cell>
          <cell r="M3001" t="str">
            <v>F</v>
          </cell>
          <cell r="AB3001" t="str">
            <v>WB</v>
          </cell>
          <cell r="AF3001">
            <v>0.6</v>
          </cell>
        </row>
        <row r="3002">
          <cell r="A3002" t="str">
            <v>IS_alqt_plus</v>
          </cell>
          <cell r="K3002" t="str">
            <v>LCAT</v>
          </cell>
          <cell r="M3002" t="str">
            <v>M</v>
          </cell>
          <cell r="AB3002" t="str">
            <v>WB</v>
          </cell>
          <cell r="AF3002">
            <v>1</v>
          </cell>
        </row>
        <row r="3003">
          <cell r="A3003" t="str">
            <v>IS_alqt_plus</v>
          </cell>
          <cell r="K3003" t="str">
            <v>PCOQ</v>
          </cell>
          <cell r="M3003" t="str">
            <v>M</v>
          </cell>
          <cell r="AB3003" t="str">
            <v>serum</v>
          </cell>
          <cell r="AF3003">
            <v>0.7</v>
          </cell>
        </row>
        <row r="3004">
          <cell r="A3004" t="str">
            <v>IS_alqt_plus</v>
          </cell>
          <cell r="K3004" t="str">
            <v>LCAT</v>
          </cell>
          <cell r="M3004" t="str">
            <v>M</v>
          </cell>
          <cell r="AB3004" t="str">
            <v>WB</v>
          </cell>
          <cell r="AF3004">
            <v>1</v>
          </cell>
        </row>
        <row r="3005">
          <cell r="A3005" t="str">
            <v>IS_alqt_plus</v>
          </cell>
          <cell r="K3005" t="str">
            <v>PCOQ</v>
          </cell>
          <cell r="M3005" t="str">
            <v>M</v>
          </cell>
          <cell r="AB3005" t="str">
            <v>serum</v>
          </cell>
          <cell r="AF3005">
            <v>0.5</v>
          </cell>
        </row>
        <row r="3006">
          <cell r="A3006" t="str">
            <v>gone</v>
          </cell>
          <cell r="K3006" t="str">
            <v>LTAR</v>
          </cell>
          <cell r="M3006" t="str">
            <v>M</v>
          </cell>
          <cell r="AB3006" t="str">
            <v>WB</v>
          </cell>
          <cell r="AF3006">
            <v>0</v>
          </cell>
        </row>
        <row r="3007">
          <cell r="A3007" t="str">
            <v>IS_alqt_minus</v>
          </cell>
          <cell r="K3007" t="str">
            <v>LTAR</v>
          </cell>
          <cell r="M3007" t="str">
            <v>M</v>
          </cell>
          <cell r="AB3007" t="str">
            <v>WB</v>
          </cell>
          <cell r="AF3007">
            <v>0.1</v>
          </cell>
        </row>
        <row r="3008">
          <cell r="A3008" t="str">
            <v>IS_alqt_plus</v>
          </cell>
          <cell r="K3008" t="str">
            <v>LTAR</v>
          </cell>
          <cell r="M3008" t="str">
            <v>M</v>
          </cell>
          <cell r="AB3008" t="str">
            <v>WB</v>
          </cell>
          <cell r="AF3008">
            <v>0.45</v>
          </cell>
        </row>
        <row r="3009">
          <cell r="A3009" t="str">
            <v>gone</v>
          </cell>
          <cell r="K3009" t="str">
            <v>LTAR</v>
          </cell>
          <cell r="M3009" t="str">
            <v>M</v>
          </cell>
          <cell r="AB3009" t="str">
            <v>WB</v>
          </cell>
          <cell r="AF3009">
            <v>0</v>
          </cell>
        </row>
        <row r="3010">
          <cell r="A3010" t="str">
            <v>IS_alqt_plus</v>
          </cell>
          <cell r="K3010" t="str">
            <v>LTAR</v>
          </cell>
          <cell r="M3010" t="str">
            <v>M</v>
          </cell>
          <cell r="AB3010" t="str">
            <v>serum</v>
          </cell>
          <cell r="AF3010">
            <v>1</v>
          </cell>
        </row>
        <row r="3011">
          <cell r="A3011" t="str">
            <v>unk</v>
          </cell>
          <cell r="K3011" t="str">
            <v>PDIA</v>
          </cell>
          <cell r="M3011" t="str">
            <v>M</v>
          </cell>
          <cell r="AB3011" t="str">
            <v>WB</v>
          </cell>
        </row>
        <row r="3012">
          <cell r="A3012" t="str">
            <v>IS_alqt_plus</v>
          </cell>
          <cell r="K3012" t="str">
            <v>PDIA</v>
          </cell>
          <cell r="M3012" t="str">
            <v>M</v>
          </cell>
          <cell r="AB3012" t="str">
            <v>serum</v>
          </cell>
          <cell r="AF3012">
            <v>0.25</v>
          </cell>
        </row>
        <row r="3013">
          <cell r="A3013" t="str">
            <v>IS_alqt_plus</v>
          </cell>
          <cell r="K3013" t="str">
            <v>HGG</v>
          </cell>
          <cell r="M3013" t="str">
            <v>M</v>
          </cell>
          <cell r="AB3013" t="str">
            <v>WB</v>
          </cell>
          <cell r="AF3013">
            <v>0.5</v>
          </cell>
        </row>
        <row r="3014">
          <cell r="A3014" t="str">
            <v>IS_alqt_plus</v>
          </cell>
          <cell r="K3014" t="str">
            <v>HGG</v>
          </cell>
          <cell r="M3014" t="str">
            <v>M</v>
          </cell>
          <cell r="AB3014" t="str">
            <v>serum</v>
          </cell>
          <cell r="AF3014">
            <v>0.5</v>
          </cell>
        </row>
        <row r="3015">
          <cell r="A3015" t="str">
            <v>IS_alqt_plus</v>
          </cell>
          <cell r="K3015" t="str">
            <v>HGG</v>
          </cell>
          <cell r="M3015" t="str">
            <v>M</v>
          </cell>
          <cell r="AB3015" t="str">
            <v>serum</v>
          </cell>
          <cell r="AF3015">
            <v>0.7</v>
          </cell>
        </row>
        <row r="3016">
          <cell r="A3016" t="str">
            <v>IS_alqt_plus</v>
          </cell>
          <cell r="K3016" t="str">
            <v>HGG</v>
          </cell>
          <cell r="M3016" t="str">
            <v>M</v>
          </cell>
          <cell r="AB3016" t="str">
            <v>serum</v>
          </cell>
          <cell r="AF3016">
            <v>0.5</v>
          </cell>
        </row>
        <row r="3017">
          <cell r="A3017" t="str">
            <v>IS_alqt_plus</v>
          </cell>
          <cell r="K3017" t="str">
            <v>HGG</v>
          </cell>
          <cell r="M3017" t="str">
            <v>M</v>
          </cell>
          <cell r="AB3017" t="str">
            <v>WB</v>
          </cell>
          <cell r="AF3017">
            <v>0.6</v>
          </cell>
        </row>
        <row r="3018">
          <cell r="A3018" t="str">
            <v>unk</v>
          </cell>
          <cell r="K3018" t="str">
            <v>GMOH</v>
          </cell>
          <cell r="M3018" t="str">
            <v>M</v>
          </cell>
          <cell r="AB3018" t="str">
            <v>WB</v>
          </cell>
          <cell r="AF3018" t="str">
            <v>.</v>
          </cell>
        </row>
        <row r="3019">
          <cell r="A3019" t="str">
            <v>IS_alqt_plus</v>
          </cell>
          <cell r="K3019" t="str">
            <v>LCAT</v>
          </cell>
          <cell r="M3019" t="str">
            <v>F</v>
          </cell>
          <cell r="AB3019" t="str">
            <v>WB</v>
          </cell>
          <cell r="AF3019">
            <v>1</v>
          </cell>
        </row>
        <row r="3020">
          <cell r="A3020" t="str">
            <v>IS_alqt_plus</v>
          </cell>
          <cell r="K3020" t="str">
            <v>LCAT</v>
          </cell>
          <cell r="M3020" t="str">
            <v>M</v>
          </cell>
          <cell r="AB3020" t="str">
            <v>serum</v>
          </cell>
          <cell r="AF3020">
            <v>0.3</v>
          </cell>
        </row>
        <row r="3021">
          <cell r="A3021" t="str">
            <v>IS_alqt_plus</v>
          </cell>
          <cell r="K3021" t="str">
            <v>LCAT</v>
          </cell>
          <cell r="M3021" t="str">
            <v>M</v>
          </cell>
          <cell r="AB3021" t="str">
            <v>serum</v>
          </cell>
          <cell r="AF3021">
            <v>0.35</v>
          </cell>
        </row>
        <row r="3022">
          <cell r="A3022" t="str">
            <v>IS_alqt_plus</v>
          </cell>
          <cell r="K3022" t="str">
            <v>EMAC</v>
          </cell>
          <cell r="M3022" t="str">
            <v>F</v>
          </cell>
          <cell r="AB3022" t="str">
            <v>WB</v>
          </cell>
          <cell r="AF3022">
            <v>0.5</v>
          </cell>
        </row>
        <row r="3023">
          <cell r="A3023" t="str">
            <v>gone</v>
          </cell>
          <cell r="K3023" t="str">
            <v>EMAC</v>
          </cell>
          <cell r="M3023" t="str">
            <v>F</v>
          </cell>
          <cell r="AB3023" t="str">
            <v>WB</v>
          </cell>
          <cell r="AF3023">
            <v>0</v>
          </cell>
        </row>
        <row r="3024">
          <cell r="A3024" t="str">
            <v>IS_alqt_plus</v>
          </cell>
          <cell r="K3024" t="str">
            <v>EMAC</v>
          </cell>
          <cell r="M3024" t="str">
            <v>F</v>
          </cell>
          <cell r="AB3024" t="str">
            <v>WB</v>
          </cell>
          <cell r="AF3024">
            <v>0.35</v>
          </cell>
        </row>
        <row r="3025">
          <cell r="A3025" t="str">
            <v>IS_alqt_plus</v>
          </cell>
          <cell r="K3025" t="str">
            <v>EMAC</v>
          </cell>
          <cell r="M3025" t="str">
            <v>M</v>
          </cell>
          <cell r="AB3025" t="str">
            <v>WB</v>
          </cell>
          <cell r="AF3025">
            <v>0.6</v>
          </cell>
        </row>
        <row r="3026">
          <cell r="A3026" t="str">
            <v>IS_alqt_plus</v>
          </cell>
          <cell r="K3026" t="str">
            <v>EMAC</v>
          </cell>
          <cell r="M3026" t="str">
            <v>M</v>
          </cell>
          <cell r="AB3026" t="str">
            <v>WB</v>
          </cell>
          <cell r="AF3026">
            <v>0.75</v>
          </cell>
        </row>
        <row r="3027">
          <cell r="A3027" t="str">
            <v>IS_alqt_plus</v>
          </cell>
          <cell r="K3027" t="str">
            <v>EMAC</v>
          </cell>
          <cell r="M3027" t="str">
            <v>M</v>
          </cell>
          <cell r="AB3027" t="str">
            <v>WB</v>
          </cell>
          <cell r="AF3027">
            <v>0.6</v>
          </cell>
        </row>
        <row r="3028">
          <cell r="A3028" t="str">
            <v>IS_alqt_plus</v>
          </cell>
          <cell r="K3028" t="str">
            <v>LCAT</v>
          </cell>
          <cell r="M3028" t="str">
            <v>M</v>
          </cell>
          <cell r="AB3028" t="str">
            <v>WB</v>
          </cell>
          <cell r="AF3028">
            <v>0.75</v>
          </cell>
        </row>
        <row r="3029">
          <cell r="A3029" t="str">
            <v>IS_alqt_plus</v>
          </cell>
          <cell r="K3029" t="str">
            <v>LCAT</v>
          </cell>
          <cell r="M3029" t="str">
            <v>M</v>
          </cell>
          <cell r="AB3029" t="str">
            <v>WB</v>
          </cell>
          <cell r="AF3029">
            <v>0.75</v>
          </cell>
        </row>
        <row r="3030">
          <cell r="A3030" t="str">
            <v>IS_alqt_plus</v>
          </cell>
          <cell r="K3030" t="str">
            <v>PCOQ</v>
          </cell>
          <cell r="M3030" t="str">
            <v>M</v>
          </cell>
          <cell r="AB3030" t="str">
            <v>serum</v>
          </cell>
          <cell r="AF3030">
            <v>0.7</v>
          </cell>
        </row>
        <row r="3031">
          <cell r="A3031" t="str">
            <v>IS_alqt_plus</v>
          </cell>
          <cell r="K3031" t="str">
            <v>PCOQ</v>
          </cell>
          <cell r="M3031" t="str">
            <v>M</v>
          </cell>
          <cell r="AB3031" t="str">
            <v>serum</v>
          </cell>
          <cell r="AF3031">
            <v>0.5</v>
          </cell>
        </row>
        <row r="3032">
          <cell r="A3032" t="str">
            <v>IS_alqt_plus</v>
          </cell>
          <cell r="K3032" t="str">
            <v>PCOQ</v>
          </cell>
          <cell r="M3032" t="str">
            <v>M</v>
          </cell>
          <cell r="AB3032" t="str">
            <v>serum</v>
          </cell>
          <cell r="AF3032">
            <v>0.7</v>
          </cell>
        </row>
        <row r="3033">
          <cell r="A3033" t="str">
            <v>IS_alqt_plus</v>
          </cell>
          <cell r="K3033" t="str">
            <v>PCOQ</v>
          </cell>
          <cell r="M3033" t="str">
            <v>M</v>
          </cell>
          <cell r="AB3033" t="str">
            <v>serum</v>
          </cell>
          <cell r="AF3033">
            <v>0.7</v>
          </cell>
        </row>
        <row r="3034">
          <cell r="A3034" t="str">
            <v>IS_alqt_plus</v>
          </cell>
          <cell r="K3034" t="str">
            <v>ECOL</v>
          </cell>
          <cell r="M3034" t="str">
            <v>M</v>
          </cell>
          <cell r="AB3034" t="str">
            <v>serum</v>
          </cell>
          <cell r="AF3034">
            <v>0.7</v>
          </cell>
        </row>
        <row r="3035">
          <cell r="A3035" t="str">
            <v>IS_alqt_plus</v>
          </cell>
          <cell r="K3035" t="str">
            <v>ECOL</v>
          </cell>
          <cell r="M3035" t="str">
            <v>M</v>
          </cell>
          <cell r="AB3035" t="str">
            <v>serum</v>
          </cell>
          <cell r="AF3035">
            <v>0.2</v>
          </cell>
        </row>
        <row r="3036">
          <cell r="A3036" t="str">
            <v>IS_alqt_plus</v>
          </cell>
          <cell r="K3036" t="str">
            <v>ECOL</v>
          </cell>
          <cell r="M3036" t="str">
            <v>M</v>
          </cell>
          <cell r="AB3036" t="str">
            <v>WB</v>
          </cell>
          <cell r="AF3036">
            <v>0.7</v>
          </cell>
        </row>
        <row r="3037">
          <cell r="A3037" t="str">
            <v>IS_alqt_plus</v>
          </cell>
          <cell r="K3037" t="str">
            <v>ERUB</v>
          </cell>
          <cell r="M3037" t="str">
            <v>F</v>
          </cell>
          <cell r="AB3037" t="str">
            <v>WB</v>
          </cell>
          <cell r="AF3037">
            <v>0.55000000000000004</v>
          </cell>
        </row>
        <row r="3038">
          <cell r="A3038" t="str">
            <v>IS_alqt_plus</v>
          </cell>
          <cell r="K3038" t="str">
            <v>ERUB</v>
          </cell>
          <cell r="M3038" t="str">
            <v>F</v>
          </cell>
          <cell r="AB3038" t="str">
            <v>serum</v>
          </cell>
          <cell r="AF3038">
            <v>0.5</v>
          </cell>
        </row>
        <row r="3039">
          <cell r="A3039" t="str">
            <v>IS_alqt_plus</v>
          </cell>
          <cell r="K3039" t="str">
            <v>ERUB</v>
          </cell>
          <cell r="M3039" t="str">
            <v>F</v>
          </cell>
          <cell r="AB3039" t="str">
            <v>serum</v>
          </cell>
          <cell r="AF3039">
            <v>0.4</v>
          </cell>
        </row>
        <row r="3040">
          <cell r="A3040" t="str">
            <v>IS_alqt_plus</v>
          </cell>
          <cell r="K3040" t="str">
            <v>EMAC</v>
          </cell>
          <cell r="M3040" t="str">
            <v>M</v>
          </cell>
          <cell r="AB3040" t="str">
            <v>WB</v>
          </cell>
          <cell r="AF3040">
            <v>0.6</v>
          </cell>
        </row>
        <row r="3041">
          <cell r="A3041" t="str">
            <v>IS_alqt_plus</v>
          </cell>
          <cell r="K3041" t="str">
            <v>EMAC</v>
          </cell>
          <cell r="M3041" t="str">
            <v>M</v>
          </cell>
          <cell r="AB3041" t="str">
            <v>serum</v>
          </cell>
          <cell r="AF3041">
            <v>0.5</v>
          </cell>
        </row>
        <row r="3042">
          <cell r="A3042" t="str">
            <v>IS_alqt_plus</v>
          </cell>
          <cell r="K3042" t="str">
            <v>EMAC</v>
          </cell>
          <cell r="M3042" t="str">
            <v>M</v>
          </cell>
          <cell r="AB3042" t="str">
            <v>serum</v>
          </cell>
          <cell r="AF3042">
            <v>0.4</v>
          </cell>
        </row>
        <row r="3043">
          <cell r="A3043" t="str">
            <v>IS_alqt_minus</v>
          </cell>
          <cell r="K3043" t="str">
            <v>LCAT</v>
          </cell>
          <cell r="M3043" t="str">
            <v>M</v>
          </cell>
          <cell r="AB3043" t="str">
            <v>WB</v>
          </cell>
          <cell r="AF3043">
            <v>0.1</v>
          </cell>
        </row>
        <row r="3044">
          <cell r="A3044" t="str">
            <v>IS_alqt_plus</v>
          </cell>
          <cell r="K3044" t="str">
            <v>LCAT</v>
          </cell>
          <cell r="M3044" t="str">
            <v>M</v>
          </cell>
          <cell r="AB3044" t="str">
            <v>WB</v>
          </cell>
          <cell r="AF3044">
            <v>0.3</v>
          </cell>
        </row>
        <row r="3045">
          <cell r="A3045" t="str">
            <v>IS_alqt_plus</v>
          </cell>
          <cell r="K3045" t="str">
            <v>LCAT</v>
          </cell>
          <cell r="M3045" t="str">
            <v>M</v>
          </cell>
          <cell r="AB3045" t="str">
            <v>serum</v>
          </cell>
          <cell r="AF3045">
            <v>0.2</v>
          </cell>
        </row>
        <row r="3046">
          <cell r="A3046" t="str">
            <v>gone</v>
          </cell>
          <cell r="K3046" t="str">
            <v>LCAT</v>
          </cell>
          <cell r="M3046" t="str">
            <v>M</v>
          </cell>
          <cell r="AB3046" t="str">
            <v>serum</v>
          </cell>
          <cell r="AF3046">
            <v>0</v>
          </cell>
        </row>
        <row r="3047">
          <cell r="A3047" t="str">
            <v>IS_alqt_plus</v>
          </cell>
          <cell r="K3047" t="str">
            <v>LCAT</v>
          </cell>
          <cell r="M3047" t="str">
            <v>M</v>
          </cell>
          <cell r="AB3047" t="str">
            <v>serum</v>
          </cell>
          <cell r="AF3047">
            <v>0.8</v>
          </cell>
        </row>
        <row r="3048">
          <cell r="A3048" t="str">
            <v>IS_alqt_plus</v>
          </cell>
          <cell r="K3048" t="str">
            <v>EMAC</v>
          </cell>
          <cell r="M3048" t="str">
            <v>M</v>
          </cell>
          <cell r="AB3048" t="str">
            <v>Fluid- mass</v>
          </cell>
          <cell r="AF3048">
            <v>1.5</v>
          </cell>
        </row>
        <row r="3049">
          <cell r="A3049" t="str">
            <v>IS_alqt_plus</v>
          </cell>
          <cell r="K3049" t="str">
            <v>VRUB</v>
          </cell>
          <cell r="M3049" t="str">
            <v>F</v>
          </cell>
          <cell r="AB3049" t="str">
            <v>WB</v>
          </cell>
          <cell r="AF3049">
            <v>0.7</v>
          </cell>
        </row>
        <row r="3050">
          <cell r="A3050" t="str">
            <v>IS_alqt_plus</v>
          </cell>
          <cell r="K3050" t="str">
            <v>ESAN</v>
          </cell>
          <cell r="M3050" t="str">
            <v>F</v>
          </cell>
          <cell r="AB3050" t="str">
            <v>WB</v>
          </cell>
          <cell r="AF3050">
            <v>0.7</v>
          </cell>
        </row>
        <row r="3051">
          <cell r="A3051" t="str">
            <v>IS_alqt_plus</v>
          </cell>
          <cell r="K3051" t="str">
            <v>VRUB</v>
          </cell>
          <cell r="M3051" t="str">
            <v>F</v>
          </cell>
          <cell r="AB3051" t="str">
            <v>serum</v>
          </cell>
          <cell r="AF3051">
            <v>0.5</v>
          </cell>
        </row>
        <row r="3052">
          <cell r="A3052" t="str">
            <v>IS_alqt_plus</v>
          </cell>
          <cell r="K3052" t="str">
            <v>ESAN</v>
          </cell>
          <cell r="M3052" t="str">
            <v>F</v>
          </cell>
          <cell r="AB3052" t="str">
            <v>serum</v>
          </cell>
          <cell r="AF3052">
            <v>0.7</v>
          </cell>
        </row>
        <row r="3053">
          <cell r="A3053" t="str">
            <v>IS_alqt_plus</v>
          </cell>
          <cell r="K3053" t="str">
            <v>ESAN</v>
          </cell>
          <cell r="M3053" t="str">
            <v>F</v>
          </cell>
          <cell r="AB3053" t="str">
            <v>serum</v>
          </cell>
          <cell r="AF3053">
            <v>0.7</v>
          </cell>
        </row>
        <row r="3054">
          <cell r="A3054" t="str">
            <v>IS_alqt_plus</v>
          </cell>
          <cell r="K3054" t="str">
            <v>NCOU</v>
          </cell>
          <cell r="M3054" t="str">
            <v>F</v>
          </cell>
          <cell r="AB3054" t="str">
            <v>serum</v>
          </cell>
          <cell r="AF3054">
            <v>0.5</v>
          </cell>
        </row>
        <row r="3055">
          <cell r="A3055" t="str">
            <v>IS_alqt_plus</v>
          </cell>
          <cell r="K3055" t="str">
            <v>LCAT</v>
          </cell>
          <cell r="M3055" t="str">
            <v>M</v>
          </cell>
          <cell r="AB3055" t="str">
            <v>WB</v>
          </cell>
          <cell r="AF3055">
            <v>0.3</v>
          </cell>
        </row>
        <row r="3056">
          <cell r="A3056" t="str">
            <v>IS_alqt_plus</v>
          </cell>
          <cell r="K3056" t="str">
            <v>PCOQ</v>
          </cell>
          <cell r="M3056" t="str">
            <v>F</v>
          </cell>
          <cell r="AB3056" t="str">
            <v>serum</v>
          </cell>
          <cell r="AF3056">
            <v>0.7</v>
          </cell>
        </row>
        <row r="3057">
          <cell r="A3057" t="str">
            <v>IS_alqt_plus</v>
          </cell>
          <cell r="K3057" t="str">
            <v>PCOQ</v>
          </cell>
          <cell r="M3057" t="str">
            <v>F</v>
          </cell>
          <cell r="AB3057" t="str">
            <v>serum</v>
          </cell>
          <cell r="AF3057">
            <v>0.5</v>
          </cell>
        </row>
        <row r="3058">
          <cell r="A3058" t="str">
            <v>IS_alqt_plus</v>
          </cell>
          <cell r="K3058" t="str">
            <v>HGG</v>
          </cell>
          <cell r="M3058" t="str">
            <v>M</v>
          </cell>
          <cell r="AB3058" t="str">
            <v>WB</v>
          </cell>
          <cell r="AF3058">
            <v>0.2</v>
          </cell>
        </row>
        <row r="3059">
          <cell r="A3059" t="str">
            <v>IS_alqt_plus</v>
          </cell>
          <cell r="K3059" t="str">
            <v>HGG</v>
          </cell>
          <cell r="M3059" t="str">
            <v>M</v>
          </cell>
          <cell r="AB3059" t="str">
            <v>WB</v>
          </cell>
          <cell r="AF3059">
            <v>0.5</v>
          </cell>
        </row>
        <row r="3060">
          <cell r="A3060" t="str">
            <v>IS_alqt_plus</v>
          </cell>
          <cell r="K3060" t="str">
            <v>HGG</v>
          </cell>
          <cell r="M3060" t="str">
            <v>M</v>
          </cell>
          <cell r="AB3060" t="str">
            <v>WB</v>
          </cell>
          <cell r="AF3060">
            <v>0.5</v>
          </cell>
        </row>
        <row r="3061">
          <cell r="A3061" t="str">
            <v>gone</v>
          </cell>
          <cell r="K3061" t="str">
            <v>HGG</v>
          </cell>
          <cell r="M3061" t="str">
            <v>M</v>
          </cell>
          <cell r="AB3061" t="str">
            <v>WB</v>
          </cell>
          <cell r="AF3061">
            <v>0</v>
          </cell>
        </row>
        <row r="3062">
          <cell r="A3062" t="str">
            <v>IS_alqt_minus</v>
          </cell>
          <cell r="K3062" t="str">
            <v>HGG</v>
          </cell>
          <cell r="M3062" t="str">
            <v>M</v>
          </cell>
          <cell r="AB3062" t="str">
            <v>WB</v>
          </cell>
          <cell r="AF3062">
            <v>0.1</v>
          </cell>
        </row>
        <row r="3063">
          <cell r="A3063" t="str">
            <v>IS_alqt_minus</v>
          </cell>
          <cell r="K3063" t="str">
            <v>HGG</v>
          </cell>
          <cell r="M3063" t="str">
            <v>M</v>
          </cell>
          <cell r="AB3063" t="str">
            <v>WB</v>
          </cell>
          <cell r="AF3063">
            <v>0.1</v>
          </cell>
        </row>
        <row r="3064">
          <cell r="A3064" t="str">
            <v>IS_alqt_plus</v>
          </cell>
          <cell r="K3064" t="str">
            <v>LCAT</v>
          </cell>
          <cell r="M3064" t="str">
            <v>F</v>
          </cell>
          <cell r="AB3064" t="str">
            <v>WB</v>
          </cell>
          <cell r="AF3064">
            <v>1</v>
          </cell>
        </row>
        <row r="3065">
          <cell r="A3065" t="str">
            <v>IS_alqt_plus</v>
          </cell>
          <cell r="K3065" t="str">
            <v>LCAT</v>
          </cell>
          <cell r="M3065" t="str">
            <v>F</v>
          </cell>
          <cell r="AB3065" t="str">
            <v>WB</v>
          </cell>
          <cell r="AF3065">
            <v>0.6</v>
          </cell>
        </row>
        <row r="3066">
          <cell r="A3066" t="str">
            <v>IS_alqt_plus</v>
          </cell>
          <cell r="K3066" t="str">
            <v>LCAT</v>
          </cell>
          <cell r="M3066" t="str">
            <v>M</v>
          </cell>
          <cell r="AB3066" t="str">
            <v>WB</v>
          </cell>
          <cell r="AF3066">
            <v>0.6</v>
          </cell>
        </row>
        <row r="3067">
          <cell r="A3067" t="str">
            <v>IS_alqt_plus</v>
          </cell>
          <cell r="K3067" t="str">
            <v>HGG</v>
          </cell>
          <cell r="M3067" t="str">
            <v>M</v>
          </cell>
          <cell r="AB3067" t="str">
            <v>serum</v>
          </cell>
          <cell r="AF3067">
            <v>0.7</v>
          </cell>
        </row>
        <row r="3068">
          <cell r="A3068" t="str">
            <v>IS_alqt_plus</v>
          </cell>
          <cell r="K3068" t="str">
            <v>HGG</v>
          </cell>
          <cell r="M3068" t="str">
            <v>M</v>
          </cell>
          <cell r="AB3068" t="str">
            <v>serum</v>
          </cell>
          <cell r="AF3068">
            <v>0.5</v>
          </cell>
        </row>
        <row r="3069">
          <cell r="A3069" t="str">
            <v>IS_alqt_plus</v>
          </cell>
          <cell r="K3069" t="str">
            <v>HGG</v>
          </cell>
          <cell r="M3069" t="str">
            <v>M</v>
          </cell>
          <cell r="AB3069" t="str">
            <v>serum</v>
          </cell>
          <cell r="AF3069">
            <v>0.6</v>
          </cell>
        </row>
        <row r="3070">
          <cell r="A3070" t="str">
            <v>IS_alqt_plus</v>
          </cell>
          <cell r="K3070" t="str">
            <v>HGG</v>
          </cell>
          <cell r="M3070" t="str">
            <v>M</v>
          </cell>
          <cell r="AB3070" t="str">
            <v>serum</v>
          </cell>
          <cell r="AF3070">
            <v>0.4</v>
          </cell>
        </row>
        <row r="3071">
          <cell r="A3071" t="str">
            <v>IS_alqt_plus</v>
          </cell>
          <cell r="K3071" t="str">
            <v>HGG</v>
          </cell>
          <cell r="M3071" t="str">
            <v>M</v>
          </cell>
          <cell r="AB3071" t="str">
            <v>serum</v>
          </cell>
          <cell r="AF3071">
            <v>0.5</v>
          </cell>
        </row>
        <row r="3072">
          <cell r="A3072" t="str">
            <v>IS_alqt_plus</v>
          </cell>
          <cell r="K3072" t="str">
            <v>HGG</v>
          </cell>
          <cell r="M3072" t="str">
            <v>M</v>
          </cell>
          <cell r="AB3072" t="str">
            <v>serum</v>
          </cell>
          <cell r="AF3072">
            <v>0.5</v>
          </cell>
        </row>
        <row r="3073">
          <cell r="A3073" t="str">
            <v>IS_alqt_plus</v>
          </cell>
          <cell r="K3073" t="str">
            <v>HGG</v>
          </cell>
          <cell r="M3073" t="str">
            <v>M</v>
          </cell>
          <cell r="AB3073" t="str">
            <v>serum</v>
          </cell>
          <cell r="AF3073">
            <v>0.7</v>
          </cell>
        </row>
        <row r="3074">
          <cell r="A3074" t="str">
            <v>IS_alqt_plus</v>
          </cell>
          <cell r="K3074" t="str">
            <v>HGG</v>
          </cell>
          <cell r="M3074" t="str">
            <v>M</v>
          </cell>
          <cell r="AB3074" t="str">
            <v>serum</v>
          </cell>
          <cell r="AF3074">
            <v>0.7</v>
          </cell>
        </row>
        <row r="3075">
          <cell r="A3075" t="str">
            <v>IS_alqt_plus</v>
          </cell>
          <cell r="K3075" t="str">
            <v>HGG</v>
          </cell>
          <cell r="M3075" t="str">
            <v>M</v>
          </cell>
          <cell r="AB3075" t="str">
            <v>serum</v>
          </cell>
          <cell r="AF3075">
            <v>0.5</v>
          </cell>
        </row>
        <row r="3076">
          <cell r="A3076" t="str">
            <v>IS_alqt_plus</v>
          </cell>
          <cell r="K3076" t="str">
            <v>HGG</v>
          </cell>
          <cell r="M3076" t="str">
            <v>M</v>
          </cell>
          <cell r="AB3076" t="str">
            <v>serum</v>
          </cell>
          <cell r="AF3076">
            <v>0.7</v>
          </cell>
        </row>
        <row r="3077">
          <cell r="A3077" t="str">
            <v>IS_alqt_plus</v>
          </cell>
          <cell r="K3077" t="str">
            <v>HGG</v>
          </cell>
          <cell r="M3077" t="str">
            <v>M</v>
          </cell>
          <cell r="AB3077" t="str">
            <v>serum</v>
          </cell>
          <cell r="AF3077">
            <v>0.7</v>
          </cell>
        </row>
        <row r="3078">
          <cell r="A3078" t="str">
            <v>IS_alqt_plus</v>
          </cell>
          <cell r="K3078" t="str">
            <v>HGG</v>
          </cell>
          <cell r="M3078" t="str">
            <v>M</v>
          </cell>
          <cell r="AB3078" t="str">
            <v>serum</v>
          </cell>
          <cell r="AF3078">
            <v>0.5</v>
          </cell>
        </row>
        <row r="3079">
          <cell r="A3079" t="str">
            <v>IS_alqt_plus</v>
          </cell>
          <cell r="K3079" t="str">
            <v>HGG</v>
          </cell>
          <cell r="M3079" t="str">
            <v>M</v>
          </cell>
          <cell r="AB3079" t="str">
            <v>serum</v>
          </cell>
          <cell r="AF3079">
            <v>0.6</v>
          </cell>
        </row>
        <row r="3080">
          <cell r="A3080" t="str">
            <v>IS_alqt_plus</v>
          </cell>
          <cell r="K3080" t="str">
            <v>HGG</v>
          </cell>
          <cell r="M3080" t="str">
            <v>M</v>
          </cell>
          <cell r="AB3080" t="str">
            <v>serum</v>
          </cell>
          <cell r="AF3080">
            <v>0.6</v>
          </cell>
        </row>
        <row r="3081">
          <cell r="A3081" t="str">
            <v>IS_alqt_plus</v>
          </cell>
          <cell r="K3081" t="str">
            <v>HGG</v>
          </cell>
          <cell r="M3081" t="str">
            <v>M</v>
          </cell>
          <cell r="AB3081" t="str">
            <v>serum</v>
          </cell>
          <cell r="AF3081">
            <v>0.5</v>
          </cell>
        </row>
        <row r="3082">
          <cell r="A3082" t="str">
            <v>IS_alqt_plus</v>
          </cell>
          <cell r="K3082" t="str">
            <v>HGG</v>
          </cell>
          <cell r="M3082" t="str">
            <v>M</v>
          </cell>
          <cell r="AB3082" t="str">
            <v>serum</v>
          </cell>
          <cell r="AF3082">
            <v>0.5</v>
          </cell>
        </row>
        <row r="3083">
          <cell r="A3083" t="str">
            <v>IS_alqt_plus</v>
          </cell>
          <cell r="K3083" t="str">
            <v>HGG</v>
          </cell>
          <cell r="M3083" t="str">
            <v>M</v>
          </cell>
          <cell r="AB3083" t="str">
            <v>serum</v>
          </cell>
          <cell r="AF3083">
            <v>0.5</v>
          </cell>
        </row>
        <row r="3084">
          <cell r="A3084" t="str">
            <v>IS_alqt_plus</v>
          </cell>
          <cell r="K3084" t="str">
            <v>HGG</v>
          </cell>
          <cell r="M3084" t="str">
            <v>M</v>
          </cell>
          <cell r="AB3084" t="str">
            <v>serum</v>
          </cell>
          <cell r="AF3084">
            <v>0.5</v>
          </cell>
        </row>
        <row r="3085">
          <cell r="A3085" t="str">
            <v>IS_alqt_plus</v>
          </cell>
          <cell r="K3085" t="str">
            <v>PCOQ</v>
          </cell>
          <cell r="M3085" t="str">
            <v>M</v>
          </cell>
          <cell r="AB3085" t="str">
            <v>serum</v>
          </cell>
          <cell r="AF3085">
            <v>0.5</v>
          </cell>
        </row>
        <row r="3086">
          <cell r="A3086" t="str">
            <v>IS_alqt_plus</v>
          </cell>
          <cell r="K3086" t="str">
            <v>PCOQ</v>
          </cell>
          <cell r="M3086" t="str">
            <v>M</v>
          </cell>
          <cell r="AB3086" t="str">
            <v>serum</v>
          </cell>
          <cell r="AF3086">
            <v>0.6</v>
          </cell>
        </row>
        <row r="3087">
          <cell r="A3087" t="str">
            <v>IS_alqt_plus</v>
          </cell>
          <cell r="K3087" t="str">
            <v>PCOQ</v>
          </cell>
          <cell r="M3087" t="str">
            <v>M</v>
          </cell>
          <cell r="AB3087" t="str">
            <v>serum</v>
          </cell>
          <cell r="AF3087">
            <v>0.3</v>
          </cell>
        </row>
        <row r="3088">
          <cell r="A3088" t="str">
            <v>IS_alqt_plus</v>
          </cell>
          <cell r="K3088" t="str">
            <v>PCOQ</v>
          </cell>
          <cell r="M3088" t="str">
            <v>M</v>
          </cell>
          <cell r="AB3088" t="str">
            <v>serum</v>
          </cell>
          <cell r="AF3088">
            <v>0.5</v>
          </cell>
        </row>
        <row r="3089">
          <cell r="A3089" t="str">
            <v>gone</v>
          </cell>
          <cell r="K3089" t="str">
            <v>PCOQ</v>
          </cell>
          <cell r="M3089" t="str">
            <v>M</v>
          </cell>
          <cell r="AB3089" t="str">
            <v>serum</v>
          </cell>
          <cell r="AF3089">
            <v>0</v>
          </cell>
        </row>
        <row r="3090">
          <cell r="A3090" t="str">
            <v>IS_alqt_plus</v>
          </cell>
          <cell r="K3090" t="str">
            <v>DMAD</v>
          </cell>
          <cell r="M3090" t="str">
            <v>M</v>
          </cell>
          <cell r="AB3090" t="str">
            <v>serum</v>
          </cell>
          <cell r="AF3090">
            <v>0.4</v>
          </cell>
        </row>
        <row r="3091">
          <cell r="A3091" t="str">
            <v>IS_alqt_plus</v>
          </cell>
          <cell r="K3091" t="str">
            <v>DMAD</v>
          </cell>
          <cell r="M3091" t="str">
            <v>M</v>
          </cell>
          <cell r="AB3091" t="str">
            <v>serum</v>
          </cell>
          <cell r="AF3091">
            <v>0.2</v>
          </cell>
        </row>
        <row r="3092">
          <cell r="A3092" t="str">
            <v>IS_alqt_plus</v>
          </cell>
          <cell r="K3092" t="str">
            <v>ECOL</v>
          </cell>
          <cell r="M3092" t="str">
            <v>M</v>
          </cell>
          <cell r="AB3092" t="str">
            <v>serum</v>
          </cell>
          <cell r="AF3092">
            <v>0.7</v>
          </cell>
        </row>
        <row r="3093">
          <cell r="A3093" t="str">
            <v>IS_alqt_plus</v>
          </cell>
          <cell r="K3093" t="str">
            <v>ECOL</v>
          </cell>
          <cell r="M3093" t="str">
            <v>M</v>
          </cell>
          <cell r="AB3093" t="str">
            <v>serum</v>
          </cell>
          <cell r="AF3093">
            <v>0.5</v>
          </cell>
        </row>
        <row r="3094">
          <cell r="A3094" t="str">
            <v>IS_alqt_plus</v>
          </cell>
          <cell r="K3094" t="str">
            <v>ECOL</v>
          </cell>
          <cell r="M3094" t="str">
            <v>M</v>
          </cell>
          <cell r="AB3094" t="str">
            <v>serum</v>
          </cell>
          <cell r="AF3094">
            <v>0.6</v>
          </cell>
        </row>
        <row r="3095">
          <cell r="A3095" t="str">
            <v>IS_alqt_plus</v>
          </cell>
          <cell r="K3095" t="str">
            <v>DMAD</v>
          </cell>
          <cell r="M3095" t="str">
            <v>M</v>
          </cell>
          <cell r="AB3095" t="str">
            <v>WB</v>
          </cell>
          <cell r="AF3095">
            <v>0.5</v>
          </cell>
        </row>
        <row r="3096">
          <cell r="A3096" t="str">
            <v>IS_alqt_plus</v>
          </cell>
          <cell r="K3096" t="str">
            <v>ECOL</v>
          </cell>
          <cell r="M3096" t="str">
            <v>M</v>
          </cell>
          <cell r="AB3096" t="str">
            <v>WB</v>
          </cell>
          <cell r="AF3096">
            <v>0.7</v>
          </cell>
        </row>
        <row r="3097">
          <cell r="A3097" t="str">
            <v>IS_alqt_plus</v>
          </cell>
          <cell r="K3097" t="str">
            <v>EMAC</v>
          </cell>
          <cell r="M3097" t="str">
            <v>M</v>
          </cell>
          <cell r="AB3097" t="str">
            <v>WB</v>
          </cell>
          <cell r="AF3097">
            <v>0.55000000000000004</v>
          </cell>
        </row>
        <row r="3098">
          <cell r="A3098" t="str">
            <v>IS_alqt_plus</v>
          </cell>
          <cell r="K3098" t="str">
            <v>EMAC</v>
          </cell>
          <cell r="M3098" t="str">
            <v>M</v>
          </cell>
          <cell r="AB3098" t="str">
            <v>serum</v>
          </cell>
          <cell r="AF3098">
            <v>0.5</v>
          </cell>
        </row>
        <row r="3099">
          <cell r="A3099" t="str">
            <v>IS_alqt_plus</v>
          </cell>
          <cell r="K3099" t="str">
            <v>EMAC</v>
          </cell>
          <cell r="M3099" t="str">
            <v>M</v>
          </cell>
          <cell r="AB3099" t="str">
            <v>serum</v>
          </cell>
          <cell r="AF3099">
            <v>0.5</v>
          </cell>
        </row>
        <row r="3100">
          <cell r="A3100" t="str">
            <v>IS_alqt_plus</v>
          </cell>
          <cell r="K3100" t="str">
            <v>VVV</v>
          </cell>
          <cell r="M3100" t="str">
            <v>F</v>
          </cell>
          <cell r="AB3100" t="str">
            <v>serum</v>
          </cell>
          <cell r="AF3100">
            <v>0.5</v>
          </cell>
        </row>
        <row r="3101">
          <cell r="A3101" t="str">
            <v>IS_alqt_plus</v>
          </cell>
          <cell r="K3101" t="str">
            <v>ERUB</v>
          </cell>
          <cell r="M3101" t="str">
            <v>M</v>
          </cell>
          <cell r="AB3101" t="str">
            <v>WB</v>
          </cell>
          <cell r="AF3101">
            <v>0.75</v>
          </cell>
        </row>
        <row r="3102">
          <cell r="A3102" t="str">
            <v>IS_alqt_plus</v>
          </cell>
          <cell r="K3102" t="str">
            <v>ERUB</v>
          </cell>
          <cell r="M3102" t="str">
            <v>M</v>
          </cell>
          <cell r="AB3102" t="str">
            <v>WB</v>
          </cell>
          <cell r="AF3102">
            <v>0.25</v>
          </cell>
        </row>
        <row r="3103">
          <cell r="A3103" t="str">
            <v>IS_alqt_plus</v>
          </cell>
          <cell r="K3103" t="str">
            <v>ERUB</v>
          </cell>
          <cell r="M3103" t="str">
            <v>F</v>
          </cell>
          <cell r="AB3103" t="str">
            <v>WB</v>
          </cell>
          <cell r="AF3103">
            <v>0.6</v>
          </cell>
        </row>
        <row r="3104">
          <cell r="A3104" t="str">
            <v>IS_alqt_plus</v>
          </cell>
          <cell r="K3104" t="str">
            <v>LTAR</v>
          </cell>
          <cell r="M3104" t="str">
            <v>F</v>
          </cell>
          <cell r="AB3104" t="str">
            <v>PRBC</v>
          </cell>
          <cell r="AF3104">
            <v>0.4</v>
          </cell>
        </row>
        <row r="3105">
          <cell r="A3105" t="str">
            <v>IS_alqt_plus</v>
          </cell>
          <cell r="K3105" t="str">
            <v>LTAR</v>
          </cell>
          <cell r="M3105" t="str">
            <v>M</v>
          </cell>
          <cell r="AB3105" t="str">
            <v>PRBC</v>
          </cell>
          <cell r="AF3105">
            <v>0.6</v>
          </cell>
        </row>
        <row r="3106">
          <cell r="A3106" t="str">
            <v>IS_alqt_plus</v>
          </cell>
          <cell r="K3106" t="str">
            <v>ERUB</v>
          </cell>
          <cell r="M3106" t="str">
            <v>M</v>
          </cell>
          <cell r="AB3106" t="str">
            <v>serum</v>
          </cell>
          <cell r="AF3106">
            <v>0.7</v>
          </cell>
        </row>
        <row r="3107">
          <cell r="A3107" t="str">
            <v>IS_alqt_plus</v>
          </cell>
          <cell r="K3107" t="str">
            <v>ERUB</v>
          </cell>
          <cell r="M3107" t="str">
            <v>M</v>
          </cell>
          <cell r="AB3107" t="str">
            <v>serum</v>
          </cell>
          <cell r="AF3107">
            <v>0.7</v>
          </cell>
        </row>
        <row r="3108">
          <cell r="A3108" t="str">
            <v>IS_alqt_plus</v>
          </cell>
          <cell r="K3108" t="str">
            <v>ERUB</v>
          </cell>
          <cell r="M3108" t="str">
            <v>M</v>
          </cell>
          <cell r="AB3108" t="str">
            <v>serum</v>
          </cell>
          <cell r="AF3108">
            <v>0.25</v>
          </cell>
        </row>
        <row r="3109">
          <cell r="A3109" t="str">
            <v>IS_alqt_plus</v>
          </cell>
          <cell r="K3109" t="str">
            <v>ERUB</v>
          </cell>
          <cell r="M3109" t="str">
            <v>M</v>
          </cell>
          <cell r="AB3109" t="str">
            <v>serum</v>
          </cell>
          <cell r="AF3109">
            <v>0.25</v>
          </cell>
        </row>
        <row r="3110">
          <cell r="A3110" t="str">
            <v>IS_alqt_plus</v>
          </cell>
          <cell r="K3110" t="str">
            <v>ERUB</v>
          </cell>
          <cell r="M3110" t="str">
            <v>F</v>
          </cell>
          <cell r="AB3110" t="str">
            <v>serum</v>
          </cell>
          <cell r="AF3110">
            <v>0.7</v>
          </cell>
        </row>
        <row r="3111">
          <cell r="A3111" t="str">
            <v>IS_alqt_plus</v>
          </cell>
          <cell r="K3111" t="str">
            <v>ERUB</v>
          </cell>
          <cell r="M3111" t="str">
            <v>F</v>
          </cell>
          <cell r="AB3111" t="str">
            <v>serum</v>
          </cell>
          <cell r="AF3111">
            <v>0.7</v>
          </cell>
        </row>
        <row r="3112">
          <cell r="A3112" t="str">
            <v>gone</v>
          </cell>
          <cell r="K3112" t="str">
            <v>ERUB</v>
          </cell>
          <cell r="M3112" t="str">
            <v>F</v>
          </cell>
          <cell r="AB3112" t="str">
            <v>WB</v>
          </cell>
          <cell r="AF3112">
            <v>0</v>
          </cell>
        </row>
        <row r="3113">
          <cell r="A3113" t="str">
            <v>gone</v>
          </cell>
          <cell r="K3113" t="str">
            <v>ERUB</v>
          </cell>
          <cell r="M3113" t="str">
            <v>M</v>
          </cell>
          <cell r="AB3113" t="str">
            <v>WB</v>
          </cell>
          <cell r="AF3113">
            <v>0</v>
          </cell>
        </row>
        <row r="3114">
          <cell r="A3114" t="str">
            <v>IS_alqt_plus</v>
          </cell>
          <cell r="K3114" t="str">
            <v>ERUB</v>
          </cell>
          <cell r="M3114" t="str">
            <v>F</v>
          </cell>
          <cell r="AB3114" t="str">
            <v>serum</v>
          </cell>
          <cell r="AF3114">
            <v>0.5</v>
          </cell>
        </row>
        <row r="3115">
          <cell r="A3115" t="str">
            <v>IS_alqt_plus</v>
          </cell>
          <cell r="K3115" t="str">
            <v>ERUB</v>
          </cell>
          <cell r="M3115" t="str">
            <v>F</v>
          </cell>
          <cell r="AB3115" t="str">
            <v>serum</v>
          </cell>
          <cell r="AF3115">
            <v>0.7</v>
          </cell>
        </row>
        <row r="3116">
          <cell r="A3116" t="str">
            <v>IS_alqt_plus</v>
          </cell>
          <cell r="K3116" t="str">
            <v>ERUB</v>
          </cell>
          <cell r="M3116" t="str">
            <v>F</v>
          </cell>
          <cell r="AB3116" t="str">
            <v>serum</v>
          </cell>
          <cell r="AF3116">
            <v>0.6</v>
          </cell>
        </row>
        <row r="3117">
          <cell r="A3117" t="str">
            <v>IS_alqt_plus</v>
          </cell>
          <cell r="K3117" t="str">
            <v>ERUB</v>
          </cell>
          <cell r="M3117" t="str">
            <v>M</v>
          </cell>
          <cell r="AB3117" t="str">
            <v>serum</v>
          </cell>
          <cell r="AF3117">
            <v>0.5</v>
          </cell>
        </row>
        <row r="3118">
          <cell r="A3118" t="str">
            <v>IS_alqt_plus</v>
          </cell>
          <cell r="K3118" t="str">
            <v>ERUB</v>
          </cell>
          <cell r="M3118" t="str">
            <v>M</v>
          </cell>
          <cell r="AB3118" t="str">
            <v>serum</v>
          </cell>
          <cell r="AF3118">
            <v>0.5</v>
          </cell>
        </row>
        <row r="3119">
          <cell r="A3119" t="str">
            <v>IS_alqt_plus</v>
          </cell>
          <cell r="K3119" t="str">
            <v>ERUB</v>
          </cell>
          <cell r="M3119" t="str">
            <v>M</v>
          </cell>
          <cell r="AB3119" t="str">
            <v>serum</v>
          </cell>
          <cell r="AF3119">
            <v>0.7</v>
          </cell>
        </row>
        <row r="3120">
          <cell r="A3120" t="str">
            <v>gone</v>
          </cell>
          <cell r="K3120" t="str">
            <v>GMOH</v>
          </cell>
          <cell r="M3120" t="str">
            <v>M</v>
          </cell>
          <cell r="AB3120" t="str">
            <v>serum</v>
          </cell>
          <cell r="AF3120">
            <v>0</v>
          </cell>
        </row>
        <row r="3121">
          <cell r="A3121" t="str">
            <v>IS_alqt_plus</v>
          </cell>
          <cell r="K3121" t="str">
            <v>LCAT</v>
          </cell>
          <cell r="M3121" t="str">
            <v>F</v>
          </cell>
          <cell r="AB3121" t="str">
            <v>WB</v>
          </cell>
          <cell r="AF3121">
            <v>0.8</v>
          </cell>
        </row>
        <row r="3122">
          <cell r="A3122" t="str">
            <v>IS_alqt_plus</v>
          </cell>
          <cell r="K3122" t="str">
            <v>LCAT</v>
          </cell>
          <cell r="M3122" t="str">
            <v>F</v>
          </cell>
          <cell r="AB3122" t="str">
            <v>WB</v>
          </cell>
          <cell r="AF3122">
            <v>0.2</v>
          </cell>
        </row>
        <row r="3123">
          <cell r="A3123" t="str">
            <v>IS_alqt_plus</v>
          </cell>
          <cell r="K3123" t="str">
            <v>PCOQ</v>
          </cell>
          <cell r="M3123" t="str">
            <v>M</v>
          </cell>
          <cell r="AB3123" t="str">
            <v>serum</v>
          </cell>
          <cell r="AF3123">
            <v>0.3</v>
          </cell>
        </row>
        <row r="3124">
          <cell r="A3124" t="str">
            <v>IS_alqt_plus</v>
          </cell>
          <cell r="K3124" t="str">
            <v>PCOQ</v>
          </cell>
          <cell r="M3124" t="str">
            <v>M</v>
          </cell>
          <cell r="AB3124" t="str">
            <v>serum</v>
          </cell>
          <cell r="AF3124">
            <v>0.4</v>
          </cell>
        </row>
        <row r="3125">
          <cell r="A3125" t="str">
            <v>gone</v>
          </cell>
          <cell r="K3125" t="str">
            <v>VRUB</v>
          </cell>
          <cell r="M3125" t="str">
            <v>M</v>
          </cell>
          <cell r="AB3125" t="str">
            <v>WB</v>
          </cell>
          <cell r="AF3125">
            <v>0</v>
          </cell>
        </row>
        <row r="3126">
          <cell r="A3126" t="str">
            <v>IS_alqt_plus</v>
          </cell>
          <cell r="K3126" t="str">
            <v>MMUR</v>
          </cell>
          <cell r="M3126" t="str">
            <v>F</v>
          </cell>
          <cell r="AB3126" t="str">
            <v>PRBC</v>
          </cell>
          <cell r="AF3126">
            <v>0.25</v>
          </cell>
        </row>
        <row r="3127">
          <cell r="A3127" t="str">
            <v>gone</v>
          </cell>
          <cell r="K3127" t="str">
            <v>PCOQ</v>
          </cell>
          <cell r="M3127" t="str">
            <v>F</v>
          </cell>
          <cell r="AB3127" t="str">
            <v>serum</v>
          </cell>
          <cell r="AF3127">
            <v>0</v>
          </cell>
        </row>
        <row r="3128">
          <cell r="A3128" t="str">
            <v>IS_alqt_minus</v>
          </cell>
          <cell r="K3128" t="str">
            <v>VRUB</v>
          </cell>
          <cell r="M3128" t="str">
            <v>M</v>
          </cell>
          <cell r="AB3128" t="str">
            <v>serum</v>
          </cell>
          <cell r="AF3128">
            <v>0.05</v>
          </cell>
        </row>
        <row r="3129">
          <cell r="A3129" t="str">
            <v>IS_alqt_plus</v>
          </cell>
          <cell r="K3129" t="str">
            <v>CMED</v>
          </cell>
          <cell r="M3129" t="str">
            <v>M</v>
          </cell>
          <cell r="AB3129" t="str">
            <v>PRBC</v>
          </cell>
          <cell r="AF3129">
            <v>0.5</v>
          </cell>
        </row>
        <row r="3130">
          <cell r="A3130" t="str">
            <v>IS_alqt_plus</v>
          </cell>
          <cell r="K3130" t="str">
            <v>CMED</v>
          </cell>
          <cell r="M3130" t="str">
            <v>M</v>
          </cell>
          <cell r="AB3130" t="str">
            <v>PRBC</v>
          </cell>
          <cell r="AF3130">
            <v>0.5</v>
          </cell>
        </row>
        <row r="3131">
          <cell r="A3131" t="str">
            <v>IS_alqt_plus</v>
          </cell>
          <cell r="K3131" t="str">
            <v>CMED</v>
          </cell>
          <cell r="M3131" t="str">
            <v>F</v>
          </cell>
          <cell r="AB3131" t="str">
            <v>PRBC</v>
          </cell>
          <cell r="AF3131">
            <v>0.5</v>
          </cell>
        </row>
        <row r="3132">
          <cell r="A3132" t="str">
            <v>IS_alqt_plus</v>
          </cell>
          <cell r="K3132" t="str">
            <v>LCAT</v>
          </cell>
          <cell r="M3132" t="str">
            <v>F</v>
          </cell>
          <cell r="AB3132" t="str">
            <v>WB</v>
          </cell>
          <cell r="AF3132">
            <v>0.2</v>
          </cell>
        </row>
        <row r="3133">
          <cell r="A3133" t="str">
            <v>IS_alqt_plus</v>
          </cell>
          <cell r="K3133" t="str">
            <v>LCAT</v>
          </cell>
          <cell r="M3133" t="str">
            <v>F</v>
          </cell>
          <cell r="AB3133" t="str">
            <v>WB</v>
          </cell>
          <cell r="AF3133">
            <v>0.2</v>
          </cell>
        </row>
        <row r="3134">
          <cell r="A3134" t="str">
            <v>IS_alqt_plus</v>
          </cell>
          <cell r="K3134" t="str">
            <v>LCAT</v>
          </cell>
          <cell r="M3134" t="str">
            <v>F</v>
          </cell>
          <cell r="AB3134" t="str">
            <v>WB</v>
          </cell>
          <cell r="AF3134">
            <v>0.2</v>
          </cell>
        </row>
        <row r="3135">
          <cell r="A3135" t="str">
            <v>IS_alqt_plus</v>
          </cell>
          <cell r="K3135" t="str">
            <v>LCAT</v>
          </cell>
          <cell r="M3135" t="str">
            <v>F</v>
          </cell>
          <cell r="AB3135" t="str">
            <v>serum</v>
          </cell>
          <cell r="AF3135">
            <v>0.7</v>
          </cell>
        </row>
        <row r="3136">
          <cell r="A3136" t="str">
            <v>IS_alqt_plus</v>
          </cell>
          <cell r="K3136" t="str">
            <v>LCAT</v>
          </cell>
          <cell r="M3136" t="str">
            <v>F</v>
          </cell>
          <cell r="AB3136" t="str">
            <v>serum</v>
          </cell>
          <cell r="AF3136">
            <v>0.5</v>
          </cell>
        </row>
        <row r="3137">
          <cell r="A3137" t="str">
            <v>IS_alqt_plus</v>
          </cell>
          <cell r="K3137" t="str">
            <v>LCAT</v>
          </cell>
          <cell r="M3137" t="str">
            <v>F</v>
          </cell>
          <cell r="AB3137" t="str">
            <v>serum</v>
          </cell>
          <cell r="AF3137">
            <v>0.6</v>
          </cell>
        </row>
        <row r="3138">
          <cell r="A3138" t="str">
            <v>IS_alqt_plus</v>
          </cell>
          <cell r="K3138" t="str">
            <v>LCAT</v>
          </cell>
          <cell r="M3138" t="str">
            <v>F</v>
          </cell>
          <cell r="AB3138" t="str">
            <v>serum</v>
          </cell>
          <cell r="AF3138">
            <v>0.6</v>
          </cell>
        </row>
        <row r="3139">
          <cell r="A3139" t="str">
            <v>IS_alqt_plus</v>
          </cell>
          <cell r="K3139" t="str">
            <v>LCAT</v>
          </cell>
          <cell r="M3139" t="str">
            <v>F</v>
          </cell>
          <cell r="AB3139" t="str">
            <v>serum</v>
          </cell>
          <cell r="AF3139">
            <v>0.5</v>
          </cell>
        </row>
        <row r="3140">
          <cell r="A3140" t="str">
            <v>IS_alqt_plus</v>
          </cell>
          <cell r="K3140" t="str">
            <v>LCAT</v>
          </cell>
          <cell r="M3140" t="str">
            <v>F</v>
          </cell>
          <cell r="AB3140" t="str">
            <v>WB</v>
          </cell>
          <cell r="AF3140">
            <v>0.2</v>
          </cell>
        </row>
        <row r="3141">
          <cell r="A3141" t="str">
            <v>IS_alqt_plus</v>
          </cell>
          <cell r="K3141" t="str">
            <v>PDIA</v>
          </cell>
          <cell r="M3141" t="str">
            <v>M</v>
          </cell>
          <cell r="AB3141" t="str">
            <v>WB</v>
          </cell>
          <cell r="AF3141">
            <v>1</v>
          </cell>
        </row>
        <row r="3142">
          <cell r="A3142" t="str">
            <v>IS_alqt_plus</v>
          </cell>
          <cell r="K3142" t="str">
            <v>LCAT</v>
          </cell>
          <cell r="M3142" t="str">
            <v>F</v>
          </cell>
          <cell r="AB3142" t="str">
            <v>serum</v>
          </cell>
          <cell r="AF3142">
            <v>0.5</v>
          </cell>
        </row>
        <row r="3143">
          <cell r="A3143" t="str">
            <v>IS_alqt_plus</v>
          </cell>
          <cell r="K3143" t="str">
            <v>LCAT</v>
          </cell>
          <cell r="M3143" t="str">
            <v>F</v>
          </cell>
          <cell r="AB3143" t="str">
            <v>serum</v>
          </cell>
          <cell r="AF3143">
            <v>0.7</v>
          </cell>
        </row>
        <row r="3144">
          <cell r="A3144" t="str">
            <v>IS_alqt_plus</v>
          </cell>
          <cell r="K3144" t="str">
            <v>ERUB</v>
          </cell>
          <cell r="M3144" t="str">
            <v>F</v>
          </cell>
          <cell r="AB3144" t="str">
            <v>serum</v>
          </cell>
          <cell r="AF3144">
            <v>0.5</v>
          </cell>
        </row>
        <row r="3145">
          <cell r="A3145" t="str">
            <v>IS_alqt_plus</v>
          </cell>
          <cell r="K3145" t="str">
            <v>ERUB</v>
          </cell>
          <cell r="M3145" t="str">
            <v>F</v>
          </cell>
          <cell r="AB3145" t="str">
            <v>WB</v>
          </cell>
          <cell r="AF3145">
            <v>0.5</v>
          </cell>
        </row>
        <row r="3146">
          <cell r="A3146" t="str">
            <v>IS_alqt_plus</v>
          </cell>
          <cell r="K3146" t="str">
            <v>ERUB</v>
          </cell>
          <cell r="M3146" t="str">
            <v>F</v>
          </cell>
          <cell r="AB3146" t="str">
            <v>serum</v>
          </cell>
          <cell r="AF3146">
            <v>1.2</v>
          </cell>
        </row>
        <row r="3147">
          <cell r="A3147" t="str">
            <v>IS_alqt_minus</v>
          </cell>
          <cell r="K3147" t="str">
            <v>MMUR</v>
          </cell>
          <cell r="M3147" t="str">
            <v>M</v>
          </cell>
          <cell r="AB3147" t="str">
            <v>WB</v>
          </cell>
          <cell r="AF3147">
            <v>0.1</v>
          </cell>
        </row>
        <row r="3148">
          <cell r="A3148" t="str">
            <v>IS_alqt_plus</v>
          </cell>
          <cell r="K3148" t="str">
            <v>MMUR</v>
          </cell>
          <cell r="M3148" t="str">
            <v>M</v>
          </cell>
          <cell r="AB3148" t="str">
            <v>serum</v>
          </cell>
          <cell r="AF3148">
            <v>0.2</v>
          </cell>
        </row>
        <row r="3149">
          <cell r="A3149" t="str">
            <v>IS_alqt_plus</v>
          </cell>
          <cell r="K3149" t="str">
            <v>LCAT</v>
          </cell>
          <cell r="M3149" t="str">
            <v>F</v>
          </cell>
          <cell r="AB3149" t="str">
            <v>WB</v>
          </cell>
          <cell r="AF3149">
            <v>0.2</v>
          </cell>
        </row>
        <row r="3150">
          <cell r="A3150" t="str">
            <v>IS_alqt_plus</v>
          </cell>
          <cell r="K3150" t="str">
            <v>LCAT</v>
          </cell>
          <cell r="M3150" t="str">
            <v>F</v>
          </cell>
          <cell r="AB3150" t="str">
            <v>WB</v>
          </cell>
          <cell r="AF3150">
            <v>0.2</v>
          </cell>
        </row>
        <row r="3151">
          <cell r="A3151" t="str">
            <v>IS_alqt_plus</v>
          </cell>
          <cell r="K3151" t="str">
            <v>PCOQ</v>
          </cell>
          <cell r="M3151" t="str">
            <v>F</v>
          </cell>
          <cell r="AB3151" t="str">
            <v>serum</v>
          </cell>
          <cell r="AF3151">
            <v>0.5</v>
          </cell>
        </row>
        <row r="3152">
          <cell r="A3152" t="str">
            <v>IS_alqt_plus</v>
          </cell>
          <cell r="K3152" t="str">
            <v>LCAT</v>
          </cell>
          <cell r="M3152" t="str">
            <v>F</v>
          </cell>
          <cell r="AB3152" t="str">
            <v>WB</v>
          </cell>
          <cell r="AF3152">
            <v>0.2</v>
          </cell>
        </row>
        <row r="3153">
          <cell r="A3153" t="str">
            <v>IS_alqt_plus</v>
          </cell>
          <cell r="K3153" t="str">
            <v>EMAC</v>
          </cell>
          <cell r="M3153" t="str">
            <v>M</v>
          </cell>
          <cell r="AB3153" t="str">
            <v>Fluid- mass</v>
          </cell>
          <cell r="AF3153">
            <v>1.5</v>
          </cell>
        </row>
        <row r="3154">
          <cell r="A3154" t="str">
            <v>gone</v>
          </cell>
          <cell r="K3154" t="str">
            <v>LCAT</v>
          </cell>
          <cell r="M3154" t="str">
            <v>F</v>
          </cell>
          <cell r="AB3154" t="str">
            <v>serum</v>
          </cell>
          <cell r="AF3154">
            <v>0</v>
          </cell>
        </row>
        <row r="3155">
          <cell r="A3155" t="str">
            <v>IS_alqt_minus</v>
          </cell>
          <cell r="K3155" t="str">
            <v>LCAT</v>
          </cell>
          <cell r="M3155" t="str">
            <v>F</v>
          </cell>
          <cell r="AB3155" t="str">
            <v>serum</v>
          </cell>
          <cell r="AF3155">
            <v>0.1</v>
          </cell>
        </row>
        <row r="3156">
          <cell r="A3156" t="str">
            <v>IS_alqt_plus</v>
          </cell>
          <cell r="K3156" t="str">
            <v>LCAT</v>
          </cell>
          <cell r="M3156" t="str">
            <v>M</v>
          </cell>
          <cell r="AB3156" t="str">
            <v>serum</v>
          </cell>
          <cell r="AF3156">
            <v>0.3</v>
          </cell>
        </row>
        <row r="3157">
          <cell r="A3157" t="str">
            <v>IS_alqt_plus</v>
          </cell>
          <cell r="K3157" t="str">
            <v>LCAT</v>
          </cell>
          <cell r="M3157" t="str">
            <v>M</v>
          </cell>
          <cell r="AB3157" t="str">
            <v>serum</v>
          </cell>
          <cell r="AF3157">
            <v>0.6</v>
          </cell>
        </row>
        <row r="3158">
          <cell r="A3158" t="str">
            <v>IS_alqt_minus</v>
          </cell>
          <cell r="K3158" t="str">
            <v>GMOH</v>
          </cell>
          <cell r="M3158" t="str">
            <v>M</v>
          </cell>
          <cell r="AB3158" t="str">
            <v>WB</v>
          </cell>
          <cell r="AF3158">
            <v>0.1</v>
          </cell>
        </row>
        <row r="3159">
          <cell r="A3159" t="str">
            <v>IS_alqt_plus</v>
          </cell>
          <cell r="K3159" t="str">
            <v>EFLA</v>
          </cell>
          <cell r="M3159" t="str">
            <v>M</v>
          </cell>
          <cell r="AB3159" t="str">
            <v>serum</v>
          </cell>
          <cell r="AF3159">
            <v>1.25</v>
          </cell>
        </row>
        <row r="3160">
          <cell r="A3160" t="str">
            <v>unk</v>
          </cell>
          <cell r="K3160" t="str">
            <v>GMOH</v>
          </cell>
          <cell r="M3160" t="str">
            <v>M</v>
          </cell>
          <cell r="AB3160" t="str">
            <v>WB</v>
          </cell>
          <cell r="AF3160" t="str">
            <v>.</v>
          </cell>
        </row>
        <row r="3161">
          <cell r="A3161" t="str">
            <v>IS_alqt_plus</v>
          </cell>
          <cell r="K3161" t="str">
            <v>GMOH</v>
          </cell>
          <cell r="M3161" t="str">
            <v>M</v>
          </cell>
          <cell r="AB3161" t="str">
            <v>PRBC</v>
          </cell>
          <cell r="AF3161">
            <v>0.5</v>
          </cell>
        </row>
        <row r="3162">
          <cell r="A3162" t="str">
            <v>IS_alqt_minus</v>
          </cell>
          <cell r="K3162" t="str">
            <v>GMOH</v>
          </cell>
          <cell r="M3162" t="str">
            <v>M</v>
          </cell>
          <cell r="AB3162" t="str">
            <v>WB</v>
          </cell>
          <cell r="AF3162">
            <v>0.1</v>
          </cell>
        </row>
        <row r="3163">
          <cell r="A3163" t="str">
            <v>gone</v>
          </cell>
          <cell r="K3163" t="str">
            <v>GMOH</v>
          </cell>
          <cell r="M3163" t="str">
            <v>F</v>
          </cell>
          <cell r="AB3163" t="str">
            <v>WB</v>
          </cell>
          <cell r="AF3163">
            <v>0</v>
          </cell>
        </row>
        <row r="3164">
          <cell r="A3164" t="str">
            <v>IS_alqt_plus</v>
          </cell>
          <cell r="K3164" t="str">
            <v>EMAC</v>
          </cell>
          <cell r="M3164" t="str">
            <v>M</v>
          </cell>
          <cell r="AB3164" t="str">
            <v>Fluid- mass</v>
          </cell>
          <cell r="AF3164">
            <v>1.5</v>
          </cell>
        </row>
        <row r="3165">
          <cell r="A3165" t="str">
            <v>unk</v>
          </cell>
          <cell r="K3165" t="str">
            <v>LCAT</v>
          </cell>
          <cell r="M3165" t="str">
            <v>F</v>
          </cell>
          <cell r="AB3165" t="str">
            <v>WB</v>
          </cell>
          <cell r="AF3165">
            <v>0.2</v>
          </cell>
        </row>
        <row r="3166">
          <cell r="A3166" t="str">
            <v>IS_alqt_plus</v>
          </cell>
          <cell r="K3166" t="str">
            <v>PCOQ</v>
          </cell>
          <cell r="M3166" t="str">
            <v>M</v>
          </cell>
          <cell r="AB3166" t="str">
            <v>serum</v>
          </cell>
          <cell r="AF3166">
            <v>0.6</v>
          </cell>
        </row>
        <row r="3167">
          <cell r="A3167" t="str">
            <v>IS_alqt_plus</v>
          </cell>
          <cell r="K3167" t="str">
            <v>VVV</v>
          </cell>
          <cell r="M3167" t="str">
            <v>F</v>
          </cell>
          <cell r="AB3167" t="str">
            <v>WB</v>
          </cell>
          <cell r="AF3167">
            <v>0.65</v>
          </cell>
        </row>
        <row r="3168">
          <cell r="A3168" t="str">
            <v>gone</v>
          </cell>
          <cell r="K3168" t="str">
            <v>VVV</v>
          </cell>
          <cell r="M3168" t="str">
            <v>F</v>
          </cell>
          <cell r="AB3168" t="str">
            <v>WB</v>
          </cell>
          <cell r="AF3168">
            <v>0</v>
          </cell>
        </row>
        <row r="3169">
          <cell r="A3169" t="str">
            <v>IS_alqt_plus</v>
          </cell>
          <cell r="K3169" t="str">
            <v>VVV</v>
          </cell>
          <cell r="M3169" t="str">
            <v>F</v>
          </cell>
          <cell r="AB3169" t="str">
            <v>serum</v>
          </cell>
          <cell r="AF3169">
            <v>1</v>
          </cell>
        </row>
        <row r="3170">
          <cell r="A3170" t="str">
            <v>IS_alqt_plus</v>
          </cell>
          <cell r="K3170" t="str">
            <v>DMAD</v>
          </cell>
          <cell r="M3170" t="str">
            <v>M</v>
          </cell>
          <cell r="AB3170" t="str">
            <v>serum</v>
          </cell>
          <cell r="AF3170">
            <v>0.8</v>
          </cell>
        </row>
        <row r="3171">
          <cell r="A3171" t="str">
            <v>IS_alqt_plus</v>
          </cell>
          <cell r="K3171" t="str">
            <v>DMAD</v>
          </cell>
          <cell r="M3171" t="str">
            <v>M</v>
          </cell>
          <cell r="AB3171" t="str">
            <v>WB</v>
          </cell>
          <cell r="AF3171">
            <v>0.6</v>
          </cell>
        </row>
        <row r="3172">
          <cell r="A3172" t="str">
            <v>IS_alqt_minus</v>
          </cell>
          <cell r="K3172" t="str">
            <v>MMUR</v>
          </cell>
          <cell r="M3172" t="str">
            <v>M</v>
          </cell>
          <cell r="AB3172" t="str">
            <v>WB</v>
          </cell>
          <cell r="AF3172">
            <v>0.1</v>
          </cell>
        </row>
        <row r="3173">
          <cell r="A3173" t="str">
            <v>IS_alqt_minus</v>
          </cell>
          <cell r="K3173" t="str">
            <v>MMUR</v>
          </cell>
          <cell r="M3173" t="str">
            <v>M</v>
          </cell>
          <cell r="AB3173" t="str">
            <v>serum</v>
          </cell>
          <cell r="AF3173">
            <v>0.1</v>
          </cell>
        </row>
        <row r="3174">
          <cell r="A3174" t="str">
            <v>IS_alqt_plus</v>
          </cell>
          <cell r="K3174" t="str">
            <v>NPYG</v>
          </cell>
          <cell r="M3174" t="str">
            <v>F</v>
          </cell>
          <cell r="AB3174" t="str">
            <v>WB</v>
          </cell>
          <cell r="AF3174">
            <v>0.25</v>
          </cell>
        </row>
        <row r="3175">
          <cell r="A3175" t="str">
            <v>IS_alqt_plus</v>
          </cell>
          <cell r="K3175" t="str">
            <v>NPYG</v>
          </cell>
          <cell r="M3175" t="str">
            <v>F</v>
          </cell>
          <cell r="AB3175" t="str">
            <v>WB</v>
          </cell>
          <cell r="AF3175">
            <v>0.25</v>
          </cell>
        </row>
        <row r="3176">
          <cell r="A3176" t="str">
            <v>IS_alqt_plus</v>
          </cell>
          <cell r="K3176" t="str">
            <v>LCAT</v>
          </cell>
          <cell r="M3176" t="str">
            <v>F</v>
          </cell>
          <cell r="AB3176" t="str">
            <v>WB</v>
          </cell>
          <cell r="AF3176">
            <v>0.9</v>
          </cell>
        </row>
        <row r="3177">
          <cell r="A3177" t="str">
            <v>IS_alqt_plus</v>
          </cell>
          <cell r="K3177" t="str">
            <v>LCAT</v>
          </cell>
          <cell r="M3177" t="str">
            <v>F</v>
          </cell>
          <cell r="AB3177" t="str">
            <v>WB</v>
          </cell>
          <cell r="AF3177">
            <v>0.65</v>
          </cell>
        </row>
        <row r="3178">
          <cell r="A3178" t="str">
            <v>IS_alqt_plus</v>
          </cell>
          <cell r="K3178" t="str">
            <v>LCAT</v>
          </cell>
          <cell r="M3178" t="str">
            <v>M</v>
          </cell>
          <cell r="AB3178" t="str">
            <v>serum</v>
          </cell>
          <cell r="AF3178">
            <v>0.6</v>
          </cell>
        </row>
        <row r="3179">
          <cell r="A3179" t="str">
            <v>IS_alqt_plus</v>
          </cell>
          <cell r="K3179" t="str">
            <v>LCAT</v>
          </cell>
          <cell r="M3179" t="str">
            <v>M</v>
          </cell>
          <cell r="AB3179" t="str">
            <v>serum</v>
          </cell>
          <cell r="AF3179">
            <v>0.5</v>
          </cell>
        </row>
        <row r="3180">
          <cell r="A3180" t="str">
            <v>IS_alqt_plus</v>
          </cell>
          <cell r="K3180" t="str">
            <v>LCAT</v>
          </cell>
          <cell r="M3180" t="str">
            <v>F</v>
          </cell>
          <cell r="AB3180" t="str">
            <v>serum</v>
          </cell>
          <cell r="AF3180">
            <v>0.5</v>
          </cell>
        </row>
        <row r="3181">
          <cell r="A3181" t="str">
            <v>IS_alqt_plus</v>
          </cell>
          <cell r="K3181" t="str">
            <v>LCAT</v>
          </cell>
          <cell r="M3181" t="str">
            <v>F</v>
          </cell>
          <cell r="AB3181" t="str">
            <v>serum</v>
          </cell>
          <cell r="AF3181">
            <v>0.4</v>
          </cell>
        </row>
        <row r="3182">
          <cell r="A3182" t="str">
            <v>IS_alqt_plus</v>
          </cell>
          <cell r="K3182" t="str">
            <v>DMAD</v>
          </cell>
          <cell r="M3182" t="str">
            <v>F</v>
          </cell>
          <cell r="AB3182" t="str">
            <v>serum</v>
          </cell>
          <cell r="AF3182">
            <v>0.4</v>
          </cell>
        </row>
        <row r="3183">
          <cell r="A3183" t="str">
            <v>IS_alqt_plus</v>
          </cell>
          <cell r="K3183" t="str">
            <v>DMAD</v>
          </cell>
          <cell r="M3183" t="str">
            <v>F</v>
          </cell>
          <cell r="AB3183" t="str">
            <v>serum</v>
          </cell>
          <cell r="AF3183">
            <v>0.5</v>
          </cell>
        </row>
        <row r="3184">
          <cell r="A3184" t="str">
            <v>IS_alqt_plus</v>
          </cell>
          <cell r="K3184" t="str">
            <v>DMAD</v>
          </cell>
          <cell r="M3184" t="str">
            <v>M</v>
          </cell>
          <cell r="AB3184" t="str">
            <v>serum</v>
          </cell>
          <cell r="AF3184">
            <v>0.8</v>
          </cell>
        </row>
        <row r="3185">
          <cell r="A3185" t="str">
            <v>gone</v>
          </cell>
          <cell r="K3185" t="str">
            <v>DMAD</v>
          </cell>
          <cell r="M3185" t="str">
            <v>F</v>
          </cell>
          <cell r="AB3185" t="str">
            <v>WB</v>
          </cell>
          <cell r="AF3185">
            <v>0</v>
          </cell>
        </row>
        <row r="3186">
          <cell r="A3186" t="str">
            <v>unk</v>
          </cell>
          <cell r="K3186" t="str">
            <v>DMAD</v>
          </cell>
          <cell r="M3186" t="str">
            <v>M</v>
          </cell>
          <cell r="AB3186" t="str">
            <v>WB</v>
          </cell>
          <cell r="AF3186">
            <v>0.5</v>
          </cell>
        </row>
        <row r="3187">
          <cell r="A3187" t="str">
            <v>IS_alqt_minus</v>
          </cell>
          <cell r="K3187" t="str">
            <v>MMUR</v>
          </cell>
          <cell r="M3187" t="str">
            <v>F</v>
          </cell>
          <cell r="AB3187" t="str">
            <v>WB</v>
          </cell>
          <cell r="AF3187">
            <v>0.1</v>
          </cell>
        </row>
        <row r="3188">
          <cell r="A3188" t="str">
            <v>IS_alqt_plus</v>
          </cell>
          <cell r="K3188" t="str">
            <v>LCAT</v>
          </cell>
          <cell r="M3188" t="str">
            <v>F</v>
          </cell>
          <cell r="AB3188" t="str">
            <v>WB</v>
          </cell>
          <cell r="AF3188">
            <v>0.65</v>
          </cell>
        </row>
        <row r="3189">
          <cell r="A3189" t="str">
            <v>IS_alqt_plus</v>
          </cell>
          <cell r="K3189" t="str">
            <v>LCAT</v>
          </cell>
          <cell r="M3189" t="str">
            <v>F</v>
          </cell>
          <cell r="AB3189" t="str">
            <v>WB</v>
          </cell>
          <cell r="AF3189">
            <v>0.2</v>
          </cell>
        </row>
        <row r="3190">
          <cell r="A3190" t="str">
            <v>gone</v>
          </cell>
          <cell r="K3190" t="str">
            <v>LCAT</v>
          </cell>
          <cell r="M3190" t="str">
            <v>M</v>
          </cell>
          <cell r="AB3190" t="str">
            <v>serum</v>
          </cell>
          <cell r="AF3190">
            <v>0</v>
          </cell>
        </row>
        <row r="3191">
          <cell r="A3191" t="str">
            <v>IS_alqt_plus</v>
          </cell>
          <cell r="K3191" t="str">
            <v>LCAT</v>
          </cell>
          <cell r="M3191" t="str">
            <v>M</v>
          </cell>
          <cell r="AB3191" t="str">
            <v>serum</v>
          </cell>
          <cell r="AF3191">
            <v>0.5</v>
          </cell>
        </row>
        <row r="3192">
          <cell r="A3192" t="str">
            <v>IS_alqt_plus</v>
          </cell>
          <cell r="K3192" t="str">
            <v>LCAT</v>
          </cell>
          <cell r="M3192" t="str">
            <v>F</v>
          </cell>
          <cell r="AB3192" t="str">
            <v>serum</v>
          </cell>
          <cell r="AF3192">
            <v>0.8</v>
          </cell>
        </row>
        <row r="3193">
          <cell r="A3193" t="str">
            <v>IS_alqt_plus</v>
          </cell>
          <cell r="K3193" t="str">
            <v>DMAD</v>
          </cell>
          <cell r="M3193" t="str">
            <v>F</v>
          </cell>
          <cell r="AB3193" t="str">
            <v>serum</v>
          </cell>
          <cell r="AF3193">
            <v>0.7</v>
          </cell>
        </row>
        <row r="3194">
          <cell r="A3194" t="str">
            <v>IS_alqt_plus</v>
          </cell>
          <cell r="K3194" t="str">
            <v>DMAD</v>
          </cell>
          <cell r="M3194" t="str">
            <v>F</v>
          </cell>
          <cell r="AB3194" t="str">
            <v>serum</v>
          </cell>
          <cell r="AF3194">
            <v>0.7</v>
          </cell>
        </row>
        <row r="3195">
          <cell r="A3195" t="str">
            <v>gone</v>
          </cell>
          <cell r="K3195" t="str">
            <v>DMAD</v>
          </cell>
          <cell r="M3195" t="str">
            <v>F</v>
          </cell>
          <cell r="AB3195" t="str">
            <v>WB</v>
          </cell>
          <cell r="AF3195">
            <v>0</v>
          </cell>
        </row>
        <row r="3196">
          <cell r="A3196" t="str">
            <v>IS_alqt_plus</v>
          </cell>
          <cell r="K3196" t="str">
            <v>LCAT</v>
          </cell>
          <cell r="M3196" t="str">
            <v>F</v>
          </cell>
          <cell r="AB3196" t="str">
            <v>PRBC</v>
          </cell>
          <cell r="AF3196">
            <v>0.5</v>
          </cell>
        </row>
        <row r="3197">
          <cell r="A3197" t="str">
            <v>IS_alqt_plus</v>
          </cell>
          <cell r="K3197" t="str">
            <v>LCAT</v>
          </cell>
          <cell r="M3197" t="str">
            <v>F</v>
          </cell>
          <cell r="AB3197" t="str">
            <v>PRBC</v>
          </cell>
          <cell r="AF3197">
            <v>0.5</v>
          </cell>
        </row>
        <row r="3198">
          <cell r="A3198" t="str">
            <v>IS_alqt_plus</v>
          </cell>
          <cell r="K3198" t="str">
            <v>LCAT</v>
          </cell>
          <cell r="M3198" t="str">
            <v>F</v>
          </cell>
          <cell r="AB3198" t="str">
            <v>PRBC</v>
          </cell>
          <cell r="AF3198">
            <v>0.5</v>
          </cell>
        </row>
        <row r="3199">
          <cell r="A3199" t="str">
            <v>IS_alqt_plus</v>
          </cell>
          <cell r="K3199" t="str">
            <v>LCAT</v>
          </cell>
          <cell r="M3199" t="str">
            <v>F</v>
          </cell>
          <cell r="AB3199" t="str">
            <v>PRBC</v>
          </cell>
          <cell r="AF3199">
            <v>0.5</v>
          </cell>
        </row>
        <row r="3200">
          <cell r="A3200" t="str">
            <v>IS_alqt_plus</v>
          </cell>
          <cell r="K3200" t="str">
            <v>LCAT</v>
          </cell>
          <cell r="M3200" t="str">
            <v>F</v>
          </cell>
          <cell r="AB3200" t="str">
            <v>PRBC</v>
          </cell>
          <cell r="AF3200">
            <v>0.5</v>
          </cell>
        </row>
        <row r="3201">
          <cell r="A3201" t="str">
            <v>IS_alqt_plus</v>
          </cell>
          <cell r="K3201" t="str">
            <v>LCAT</v>
          </cell>
          <cell r="M3201" t="str">
            <v>M</v>
          </cell>
          <cell r="AB3201" t="str">
            <v>PRBC</v>
          </cell>
          <cell r="AF3201">
            <v>0.5</v>
          </cell>
        </row>
        <row r="3202">
          <cell r="A3202" t="str">
            <v>IS_alqt_plus</v>
          </cell>
          <cell r="K3202" t="str">
            <v>LCAT</v>
          </cell>
          <cell r="M3202" t="str">
            <v>M</v>
          </cell>
          <cell r="AB3202" t="str">
            <v>PRBC</v>
          </cell>
          <cell r="AF3202">
            <v>0.5</v>
          </cell>
        </row>
        <row r="3203">
          <cell r="A3203" t="str">
            <v>IS_alqt_plus</v>
          </cell>
          <cell r="K3203" t="str">
            <v>LCAT</v>
          </cell>
          <cell r="M3203" t="str">
            <v>M</v>
          </cell>
          <cell r="AB3203" t="str">
            <v>PRBC</v>
          </cell>
          <cell r="AF3203">
            <v>0.5</v>
          </cell>
        </row>
        <row r="3204">
          <cell r="A3204" t="str">
            <v>IS_alqt_plus</v>
          </cell>
          <cell r="K3204" t="str">
            <v>LCAT</v>
          </cell>
          <cell r="M3204" t="str">
            <v>M</v>
          </cell>
          <cell r="AB3204" t="str">
            <v>PRBC</v>
          </cell>
          <cell r="AF3204">
            <v>0.5</v>
          </cell>
        </row>
        <row r="3205">
          <cell r="A3205" t="str">
            <v>IS_alqt_plus</v>
          </cell>
          <cell r="K3205" t="str">
            <v>LCAT</v>
          </cell>
          <cell r="M3205" t="str">
            <v>M</v>
          </cell>
          <cell r="AB3205" t="str">
            <v>PRBC</v>
          </cell>
          <cell r="AF3205">
            <v>0.5</v>
          </cell>
        </row>
        <row r="3206">
          <cell r="A3206" t="str">
            <v>unk</v>
          </cell>
          <cell r="K3206" t="str">
            <v>LCAT</v>
          </cell>
          <cell r="M3206" t="str">
            <v>F</v>
          </cell>
          <cell r="AB3206" t="str">
            <v>WB</v>
          </cell>
          <cell r="AF3206">
            <v>0.2</v>
          </cell>
        </row>
        <row r="3207">
          <cell r="A3207" t="str">
            <v>unk</v>
          </cell>
          <cell r="K3207" t="str">
            <v>LCAT</v>
          </cell>
          <cell r="M3207" t="str">
            <v>F</v>
          </cell>
          <cell r="AB3207" t="str">
            <v>WB</v>
          </cell>
          <cell r="AF3207">
            <v>0.2</v>
          </cell>
        </row>
        <row r="3208">
          <cell r="A3208" t="str">
            <v>IS_alqt_plus</v>
          </cell>
          <cell r="K3208" t="str">
            <v>LCAT</v>
          </cell>
          <cell r="M3208" t="str">
            <v>F</v>
          </cell>
          <cell r="AB3208" t="str">
            <v>WB</v>
          </cell>
          <cell r="AF3208">
            <v>0.6</v>
          </cell>
        </row>
        <row r="3209">
          <cell r="A3209" t="str">
            <v>IS_alqt_plus</v>
          </cell>
          <cell r="K3209" t="str">
            <v>LCAT</v>
          </cell>
          <cell r="M3209" t="str">
            <v>F</v>
          </cell>
          <cell r="AB3209" t="str">
            <v>WB</v>
          </cell>
          <cell r="AF3209">
            <v>0.6</v>
          </cell>
        </row>
        <row r="3210">
          <cell r="A3210" t="str">
            <v>IS_alqt_plus</v>
          </cell>
          <cell r="K3210" t="str">
            <v>LCAT</v>
          </cell>
          <cell r="M3210" t="str">
            <v>M</v>
          </cell>
          <cell r="AB3210" t="str">
            <v>serum</v>
          </cell>
          <cell r="AF3210">
            <v>0.6</v>
          </cell>
        </row>
        <row r="3211">
          <cell r="A3211" t="str">
            <v>IS_alqt_plus</v>
          </cell>
          <cell r="K3211" t="str">
            <v>LCAT</v>
          </cell>
          <cell r="M3211" t="str">
            <v>F</v>
          </cell>
          <cell r="AB3211" t="str">
            <v>PRBC</v>
          </cell>
          <cell r="AF3211">
            <v>0.5</v>
          </cell>
        </row>
        <row r="3212">
          <cell r="A3212" t="str">
            <v>IS_alqt_plus</v>
          </cell>
          <cell r="K3212" t="str">
            <v>LCAT</v>
          </cell>
          <cell r="M3212" t="str">
            <v>F</v>
          </cell>
          <cell r="AB3212" t="str">
            <v>PRBC</v>
          </cell>
          <cell r="AF3212">
            <v>0.5</v>
          </cell>
        </row>
        <row r="3213">
          <cell r="A3213" t="str">
            <v>IS_alqt_plus</v>
          </cell>
          <cell r="K3213" t="str">
            <v>LCAT</v>
          </cell>
          <cell r="M3213" t="str">
            <v>F</v>
          </cell>
          <cell r="AB3213" t="str">
            <v>PRBC</v>
          </cell>
          <cell r="AF3213">
            <v>0.5</v>
          </cell>
        </row>
        <row r="3214">
          <cell r="A3214" t="str">
            <v>IS_alqt_plus</v>
          </cell>
          <cell r="K3214" t="str">
            <v>LCAT</v>
          </cell>
          <cell r="M3214" t="str">
            <v>F</v>
          </cell>
          <cell r="AB3214" t="str">
            <v>PRBC</v>
          </cell>
          <cell r="AF3214">
            <v>0.5</v>
          </cell>
        </row>
        <row r="3215">
          <cell r="A3215" t="str">
            <v>IS_alqt_plus</v>
          </cell>
          <cell r="K3215" t="str">
            <v>LCAT</v>
          </cell>
          <cell r="M3215" t="str">
            <v>F</v>
          </cell>
          <cell r="AB3215" t="str">
            <v>PRBC</v>
          </cell>
          <cell r="AF3215">
            <v>0.3</v>
          </cell>
        </row>
        <row r="3216">
          <cell r="A3216" t="str">
            <v>IS_alqt_plus</v>
          </cell>
          <cell r="K3216" t="str">
            <v>ECOL</v>
          </cell>
          <cell r="M3216" t="str">
            <v>F</v>
          </cell>
          <cell r="AB3216" t="str">
            <v>serum</v>
          </cell>
          <cell r="AF3216">
            <v>0.5</v>
          </cell>
        </row>
        <row r="3217">
          <cell r="A3217" t="str">
            <v>IS_alqt_plus</v>
          </cell>
          <cell r="K3217" t="str">
            <v>ECOL</v>
          </cell>
          <cell r="M3217" t="str">
            <v>F</v>
          </cell>
          <cell r="AB3217" t="str">
            <v>WB</v>
          </cell>
          <cell r="AF3217">
            <v>0.7</v>
          </cell>
        </row>
        <row r="3218">
          <cell r="A3218" t="str">
            <v>IS_alqt_plus</v>
          </cell>
          <cell r="K3218" t="str">
            <v>ECOL</v>
          </cell>
          <cell r="M3218" t="str">
            <v>M</v>
          </cell>
          <cell r="AB3218" t="str">
            <v>serum</v>
          </cell>
          <cell r="AF3218">
            <v>0.7</v>
          </cell>
        </row>
        <row r="3219">
          <cell r="A3219" t="str">
            <v>IS_alqt_plus</v>
          </cell>
          <cell r="K3219" t="str">
            <v>ECOL</v>
          </cell>
          <cell r="M3219" t="str">
            <v>M</v>
          </cell>
          <cell r="AB3219" t="str">
            <v>serum</v>
          </cell>
          <cell r="AF3219">
            <v>0.6</v>
          </cell>
        </row>
        <row r="3220">
          <cell r="A3220" t="str">
            <v>IS_alqt_plus</v>
          </cell>
          <cell r="K3220" t="str">
            <v>ECOL</v>
          </cell>
          <cell r="M3220" t="str">
            <v>M</v>
          </cell>
          <cell r="AB3220" t="str">
            <v>WB</v>
          </cell>
          <cell r="AF3220">
            <v>0.6</v>
          </cell>
        </row>
        <row r="3221">
          <cell r="A3221" t="str">
            <v>IS_alqt_plus</v>
          </cell>
          <cell r="K3221" t="str">
            <v>EMAC</v>
          </cell>
          <cell r="M3221" t="str">
            <v>F</v>
          </cell>
          <cell r="AB3221" t="str">
            <v>WB</v>
          </cell>
          <cell r="AF3221">
            <v>0.7</v>
          </cell>
        </row>
        <row r="3222">
          <cell r="A3222" t="str">
            <v>IS_alqt_plus</v>
          </cell>
          <cell r="K3222" t="str">
            <v>LCAT</v>
          </cell>
          <cell r="M3222" t="str">
            <v>F</v>
          </cell>
          <cell r="AB3222" t="str">
            <v>PRBC</v>
          </cell>
          <cell r="AF3222">
            <v>0.5</v>
          </cell>
        </row>
        <row r="3223">
          <cell r="A3223" t="str">
            <v>IS_alqt_plus</v>
          </cell>
          <cell r="K3223" t="str">
            <v>LCAT</v>
          </cell>
          <cell r="M3223" t="str">
            <v>F</v>
          </cell>
          <cell r="AB3223" t="str">
            <v>PRBC</v>
          </cell>
          <cell r="AF3223">
            <v>0.4</v>
          </cell>
        </row>
        <row r="3224">
          <cell r="A3224" t="str">
            <v>IS_alqt_plus</v>
          </cell>
          <cell r="K3224" t="str">
            <v>LCAT</v>
          </cell>
          <cell r="M3224" t="str">
            <v>F</v>
          </cell>
          <cell r="AB3224" t="str">
            <v>PRBC</v>
          </cell>
          <cell r="AF3224">
            <v>0.5</v>
          </cell>
        </row>
        <row r="3225">
          <cell r="A3225" t="str">
            <v>IS_alqt_plus</v>
          </cell>
          <cell r="K3225" t="str">
            <v>LCAT</v>
          </cell>
          <cell r="M3225" t="str">
            <v>F</v>
          </cell>
          <cell r="AB3225" t="str">
            <v>PRBC</v>
          </cell>
          <cell r="AF3225">
            <v>0.3</v>
          </cell>
        </row>
        <row r="3226">
          <cell r="A3226" t="str">
            <v>IS_alqt_plus</v>
          </cell>
          <cell r="K3226" t="str">
            <v>LCAT</v>
          </cell>
          <cell r="M3226" t="str">
            <v>F</v>
          </cell>
          <cell r="AB3226" t="str">
            <v>PRBC</v>
          </cell>
          <cell r="AF3226">
            <v>0.5</v>
          </cell>
        </row>
        <row r="3227">
          <cell r="A3227" t="str">
            <v>IS_alqt_plus</v>
          </cell>
          <cell r="K3227" t="str">
            <v>EMAC</v>
          </cell>
          <cell r="M3227" t="str">
            <v>F</v>
          </cell>
          <cell r="AB3227" t="str">
            <v>serum</v>
          </cell>
          <cell r="AF3227">
            <v>1</v>
          </cell>
        </row>
        <row r="3228">
          <cell r="A3228" t="str">
            <v>IS_alqt_plus</v>
          </cell>
          <cell r="K3228" t="str">
            <v>EMAC</v>
          </cell>
          <cell r="M3228" t="str">
            <v>F</v>
          </cell>
          <cell r="AB3228" t="str">
            <v>serum</v>
          </cell>
          <cell r="AF3228">
            <v>0.5</v>
          </cell>
        </row>
        <row r="3229">
          <cell r="A3229" t="str">
            <v>IS_alqt_minus</v>
          </cell>
          <cell r="K3229" t="str">
            <v>NPYG</v>
          </cell>
          <cell r="M3229" t="str">
            <v>F</v>
          </cell>
          <cell r="AB3229" t="str">
            <v>WB</v>
          </cell>
          <cell r="AF3229">
            <v>0.15</v>
          </cell>
        </row>
        <row r="3230">
          <cell r="A3230" t="str">
            <v>IS_alqt_plus</v>
          </cell>
          <cell r="K3230" t="str">
            <v>NPYG</v>
          </cell>
          <cell r="M3230" t="str">
            <v>M</v>
          </cell>
          <cell r="AB3230" t="str">
            <v>WB</v>
          </cell>
          <cell r="AF3230">
            <v>0.2</v>
          </cell>
        </row>
        <row r="3231">
          <cell r="A3231" t="str">
            <v>IS_alqt_plus</v>
          </cell>
          <cell r="K3231" t="str">
            <v>LCAT</v>
          </cell>
          <cell r="M3231" t="str">
            <v>M</v>
          </cell>
          <cell r="AB3231" t="str">
            <v>serum</v>
          </cell>
          <cell r="AF3231">
            <v>0.6</v>
          </cell>
        </row>
        <row r="3232">
          <cell r="A3232" t="str">
            <v>gone</v>
          </cell>
          <cell r="K3232" t="str">
            <v>ECOR</v>
          </cell>
          <cell r="M3232" t="str">
            <v>F</v>
          </cell>
          <cell r="AB3232" t="str">
            <v>WB</v>
          </cell>
          <cell r="AF3232">
            <v>0</v>
          </cell>
        </row>
        <row r="3233">
          <cell r="A3233" t="str">
            <v>IS_alqt_plus</v>
          </cell>
          <cell r="K3233" t="str">
            <v>LCAT</v>
          </cell>
          <cell r="M3233" t="str">
            <v>F</v>
          </cell>
          <cell r="AB3233" t="str">
            <v>WB</v>
          </cell>
          <cell r="AF3233">
            <v>1</v>
          </cell>
        </row>
        <row r="3234">
          <cell r="A3234" t="str">
            <v>IS_alqt_plus</v>
          </cell>
          <cell r="K3234" t="str">
            <v>DMAD</v>
          </cell>
          <cell r="M3234" t="str">
            <v>F</v>
          </cell>
          <cell r="AB3234" t="str">
            <v>Fluid- pericardial</v>
          </cell>
          <cell r="AF3234">
            <v>1.5</v>
          </cell>
        </row>
        <row r="3235">
          <cell r="A3235" t="str">
            <v>IS_alqt_plus</v>
          </cell>
          <cell r="K3235" t="str">
            <v>LCAT</v>
          </cell>
          <cell r="M3235" t="str">
            <v>F</v>
          </cell>
          <cell r="AB3235" t="str">
            <v>WB</v>
          </cell>
          <cell r="AF3235">
            <v>0.6</v>
          </cell>
        </row>
        <row r="3236">
          <cell r="A3236" t="str">
            <v>IS_alqt_plus</v>
          </cell>
          <cell r="K3236" t="str">
            <v>ECOR</v>
          </cell>
          <cell r="M3236" t="str">
            <v>F</v>
          </cell>
          <cell r="AB3236" t="str">
            <v>serum</v>
          </cell>
          <cell r="AF3236">
            <v>1</v>
          </cell>
        </row>
        <row r="3237">
          <cell r="A3237" t="str">
            <v>IS_alqt_plus</v>
          </cell>
          <cell r="K3237" t="str">
            <v>LCAT</v>
          </cell>
          <cell r="M3237" t="str">
            <v>F</v>
          </cell>
          <cell r="AB3237" t="str">
            <v>serum</v>
          </cell>
          <cell r="AF3237">
            <v>1.3</v>
          </cell>
        </row>
        <row r="3238">
          <cell r="A3238" t="str">
            <v>IS_alqt_plus</v>
          </cell>
          <cell r="K3238" t="str">
            <v>LCAT</v>
          </cell>
          <cell r="M3238" t="str">
            <v>F</v>
          </cell>
          <cell r="AB3238" t="str">
            <v>WB</v>
          </cell>
          <cell r="AF3238">
            <v>0.5</v>
          </cell>
        </row>
        <row r="3239">
          <cell r="A3239" t="str">
            <v>IS_alqt_minus</v>
          </cell>
          <cell r="K3239" t="str">
            <v>MMUR</v>
          </cell>
          <cell r="M3239" t="str">
            <v>F</v>
          </cell>
          <cell r="AB3239" t="str">
            <v>WB</v>
          </cell>
          <cell r="AF3239">
            <v>0.1</v>
          </cell>
        </row>
        <row r="3240">
          <cell r="A3240" t="str">
            <v>IS_alqt_minus</v>
          </cell>
          <cell r="K3240" t="str">
            <v>MMUR</v>
          </cell>
          <cell r="M3240" t="str">
            <v>M</v>
          </cell>
          <cell r="AB3240" t="str">
            <v>WB</v>
          </cell>
          <cell r="AF3240">
            <v>0.1</v>
          </cell>
        </row>
        <row r="3241">
          <cell r="A3241" t="str">
            <v>IS_alqt_plus</v>
          </cell>
          <cell r="K3241" t="str">
            <v>LCAT</v>
          </cell>
          <cell r="M3241" t="str">
            <v>M</v>
          </cell>
          <cell r="AB3241" t="str">
            <v>WB</v>
          </cell>
          <cell r="AF3241">
            <v>0.4</v>
          </cell>
        </row>
        <row r="3242">
          <cell r="A3242" t="str">
            <v>IS_alqt_plus</v>
          </cell>
          <cell r="K3242" t="str">
            <v>LCAT</v>
          </cell>
          <cell r="M3242" t="str">
            <v>F</v>
          </cell>
          <cell r="AB3242" t="str">
            <v>serum</v>
          </cell>
          <cell r="AF3242">
            <v>0.4</v>
          </cell>
        </row>
        <row r="3243">
          <cell r="A3243" t="str">
            <v>IS_alqt_plus</v>
          </cell>
          <cell r="K3243" t="str">
            <v>LCAT</v>
          </cell>
          <cell r="M3243" t="str">
            <v>F</v>
          </cell>
          <cell r="AB3243" t="str">
            <v>serum</v>
          </cell>
          <cell r="AF3243">
            <v>0.5</v>
          </cell>
        </row>
        <row r="3244">
          <cell r="A3244" t="str">
            <v>IS_alqt_plus</v>
          </cell>
          <cell r="K3244" t="str">
            <v>ECOL</v>
          </cell>
          <cell r="M3244" t="str">
            <v>F</v>
          </cell>
          <cell r="AB3244" t="str">
            <v>serum</v>
          </cell>
          <cell r="AF3244">
            <v>0.7</v>
          </cell>
        </row>
        <row r="3245">
          <cell r="A3245" t="str">
            <v>IS_alqt_plus</v>
          </cell>
          <cell r="K3245" t="str">
            <v>ECOL</v>
          </cell>
          <cell r="M3245" t="str">
            <v>F</v>
          </cell>
          <cell r="AB3245" t="str">
            <v>serum</v>
          </cell>
          <cell r="AF3245">
            <v>0.5</v>
          </cell>
        </row>
        <row r="3246">
          <cell r="A3246" t="str">
            <v>IS_alqt_plus</v>
          </cell>
          <cell r="K3246" t="str">
            <v>ECOL</v>
          </cell>
          <cell r="M3246" t="str">
            <v>M</v>
          </cell>
          <cell r="AB3246" t="str">
            <v>serum</v>
          </cell>
          <cell r="AF3246">
            <v>1</v>
          </cell>
        </row>
        <row r="3247">
          <cell r="A3247" t="str">
            <v>gone</v>
          </cell>
          <cell r="K3247" t="str">
            <v>ECOL</v>
          </cell>
          <cell r="M3247" t="str">
            <v>F</v>
          </cell>
          <cell r="AB3247" t="str">
            <v>WB</v>
          </cell>
          <cell r="AF3247">
            <v>0</v>
          </cell>
        </row>
        <row r="3248">
          <cell r="A3248" t="str">
            <v>IS_alqt_plus</v>
          </cell>
          <cell r="K3248" t="str">
            <v>ECOL</v>
          </cell>
          <cell r="M3248" t="str">
            <v>M</v>
          </cell>
          <cell r="AB3248" t="str">
            <v>WB</v>
          </cell>
          <cell r="AF3248">
            <v>0.5</v>
          </cell>
        </row>
        <row r="3249">
          <cell r="A3249" t="str">
            <v>IS_alqt_plus</v>
          </cell>
          <cell r="K3249" t="str">
            <v>LCAT</v>
          </cell>
          <cell r="M3249" t="str">
            <v>F</v>
          </cell>
          <cell r="AB3249" t="str">
            <v>WB</v>
          </cell>
          <cell r="AF3249">
            <v>0.6</v>
          </cell>
        </row>
        <row r="3250">
          <cell r="A3250" t="str">
            <v>IS_alqt_plus</v>
          </cell>
          <cell r="K3250" t="str">
            <v>LCAT</v>
          </cell>
          <cell r="M3250" t="str">
            <v>F</v>
          </cell>
          <cell r="AB3250" t="str">
            <v>WB</v>
          </cell>
          <cell r="AF3250">
            <v>1.5</v>
          </cell>
        </row>
        <row r="3251">
          <cell r="A3251" t="str">
            <v>IS_alqt_plus</v>
          </cell>
          <cell r="K3251" t="str">
            <v>LCAT</v>
          </cell>
          <cell r="M3251" t="str">
            <v>F</v>
          </cell>
          <cell r="AB3251" t="str">
            <v>PRBC</v>
          </cell>
          <cell r="AF3251">
            <v>0.55000000000000004</v>
          </cell>
        </row>
        <row r="3252">
          <cell r="A3252" t="str">
            <v>IS_alqt_plus</v>
          </cell>
          <cell r="K3252" t="str">
            <v>NPYG</v>
          </cell>
          <cell r="M3252" t="str">
            <v>F</v>
          </cell>
          <cell r="AB3252" t="str">
            <v>WB</v>
          </cell>
          <cell r="AF3252">
            <v>0.5</v>
          </cell>
        </row>
        <row r="3253">
          <cell r="A3253" t="str">
            <v>IS_alqt_plus</v>
          </cell>
          <cell r="K3253" t="str">
            <v>LCAT</v>
          </cell>
          <cell r="M3253" t="str">
            <v>F</v>
          </cell>
          <cell r="AB3253" t="str">
            <v>WB</v>
          </cell>
          <cell r="AF3253">
            <v>0.8</v>
          </cell>
        </row>
        <row r="3254">
          <cell r="A3254" t="str">
            <v>IS_alqt_plus</v>
          </cell>
          <cell r="K3254" t="str">
            <v>LCAT</v>
          </cell>
          <cell r="M3254" t="str">
            <v>M</v>
          </cell>
          <cell r="AB3254" t="str">
            <v>serum</v>
          </cell>
          <cell r="AF3254">
            <v>0.5</v>
          </cell>
        </row>
        <row r="3255">
          <cell r="A3255" t="str">
            <v>IS_alqt_plus</v>
          </cell>
          <cell r="K3255" t="str">
            <v>LCAT</v>
          </cell>
          <cell r="M3255" t="str">
            <v>M</v>
          </cell>
          <cell r="AB3255" t="str">
            <v>serum</v>
          </cell>
          <cell r="AF3255">
            <v>0.3</v>
          </cell>
        </row>
        <row r="3256">
          <cell r="A3256" t="str">
            <v>IS_alqt_plus</v>
          </cell>
          <cell r="K3256" t="str">
            <v>DMAD</v>
          </cell>
          <cell r="M3256" t="str">
            <v>F</v>
          </cell>
          <cell r="AB3256" t="str">
            <v>serum</v>
          </cell>
          <cell r="AF3256">
            <v>0.4</v>
          </cell>
        </row>
        <row r="3257">
          <cell r="A3257" t="str">
            <v>IS_alqt_plus</v>
          </cell>
          <cell r="K3257" t="str">
            <v>DMAD</v>
          </cell>
          <cell r="M3257" t="str">
            <v>F</v>
          </cell>
          <cell r="AB3257" t="str">
            <v>serum</v>
          </cell>
          <cell r="AF3257">
            <v>0.3</v>
          </cell>
        </row>
        <row r="3258">
          <cell r="A3258" t="str">
            <v>IS_alqt_plus</v>
          </cell>
          <cell r="K3258" t="str">
            <v>DMAD</v>
          </cell>
          <cell r="M3258" t="str">
            <v>M</v>
          </cell>
          <cell r="AB3258" t="str">
            <v>serum</v>
          </cell>
          <cell r="AF3258">
            <v>0.5</v>
          </cell>
        </row>
        <row r="3259">
          <cell r="A3259" t="str">
            <v>IS_alqt_plus</v>
          </cell>
          <cell r="K3259" t="str">
            <v>DMAD</v>
          </cell>
          <cell r="M3259" t="str">
            <v>M</v>
          </cell>
          <cell r="AB3259" t="str">
            <v>serum</v>
          </cell>
          <cell r="AF3259">
            <v>0.4</v>
          </cell>
        </row>
        <row r="3260">
          <cell r="A3260" t="str">
            <v>gone</v>
          </cell>
          <cell r="K3260" t="str">
            <v>DMAD</v>
          </cell>
          <cell r="M3260" t="str">
            <v>F</v>
          </cell>
          <cell r="AB3260" t="str">
            <v>WB</v>
          </cell>
          <cell r="AF3260">
            <v>0</v>
          </cell>
        </row>
        <row r="3261">
          <cell r="A3261" t="str">
            <v>gone</v>
          </cell>
          <cell r="K3261" t="str">
            <v>DMAD</v>
          </cell>
          <cell r="M3261" t="str">
            <v>M</v>
          </cell>
          <cell r="AB3261" t="str">
            <v>WB</v>
          </cell>
          <cell r="AF3261">
            <v>0</v>
          </cell>
        </row>
        <row r="3262">
          <cell r="A3262" t="str">
            <v>IS_alqt_plus</v>
          </cell>
          <cell r="K3262" t="str">
            <v>LCAT</v>
          </cell>
          <cell r="M3262" t="str">
            <v>M</v>
          </cell>
          <cell r="AB3262" t="str">
            <v>WB</v>
          </cell>
          <cell r="AF3262">
            <v>0.2</v>
          </cell>
        </row>
        <row r="3263">
          <cell r="A3263" t="str">
            <v>IS_alqt_plus</v>
          </cell>
          <cell r="K3263" t="str">
            <v>LCAT</v>
          </cell>
          <cell r="M3263" t="str">
            <v>M</v>
          </cell>
          <cell r="AB3263" t="str">
            <v>WB</v>
          </cell>
          <cell r="AF3263">
            <v>0.2</v>
          </cell>
        </row>
        <row r="3264">
          <cell r="A3264" t="str">
            <v>IS_alqt_plus</v>
          </cell>
          <cell r="K3264" t="str">
            <v>LCAT</v>
          </cell>
          <cell r="M3264" t="str">
            <v>M</v>
          </cell>
          <cell r="AB3264" t="str">
            <v>WB</v>
          </cell>
          <cell r="AF3264">
            <v>0.2</v>
          </cell>
        </row>
        <row r="3265">
          <cell r="A3265" t="str">
            <v>gone</v>
          </cell>
          <cell r="K3265" t="str">
            <v>LCAT</v>
          </cell>
          <cell r="M3265" t="str">
            <v>M</v>
          </cell>
          <cell r="AB3265" t="str">
            <v>serum</v>
          </cell>
          <cell r="AF3265">
            <v>0</v>
          </cell>
        </row>
        <row r="3266">
          <cell r="A3266" t="str">
            <v>IS_alqt_plus</v>
          </cell>
          <cell r="K3266" t="str">
            <v>LCAT</v>
          </cell>
          <cell r="M3266" t="str">
            <v>M</v>
          </cell>
          <cell r="AB3266" t="str">
            <v>WB</v>
          </cell>
          <cell r="AF3266">
            <v>0.2</v>
          </cell>
        </row>
        <row r="3267">
          <cell r="A3267" t="str">
            <v>IS_alqt_plus</v>
          </cell>
          <cell r="K3267" t="str">
            <v>LCAT</v>
          </cell>
          <cell r="M3267" t="str">
            <v>F</v>
          </cell>
          <cell r="AB3267" t="str">
            <v>serum</v>
          </cell>
          <cell r="AF3267">
            <v>0.5</v>
          </cell>
        </row>
        <row r="3268">
          <cell r="A3268" t="str">
            <v>IS_alqt_plus</v>
          </cell>
          <cell r="K3268" t="str">
            <v>LCAT</v>
          </cell>
          <cell r="M3268" t="str">
            <v>F</v>
          </cell>
          <cell r="AB3268" t="str">
            <v>serum</v>
          </cell>
          <cell r="AF3268">
            <v>0.5</v>
          </cell>
        </row>
        <row r="3269">
          <cell r="A3269" t="str">
            <v>IS_alqt_plus</v>
          </cell>
          <cell r="K3269" t="str">
            <v>DMAD</v>
          </cell>
          <cell r="M3269" t="str">
            <v>F</v>
          </cell>
          <cell r="AB3269" t="str">
            <v>Fluid- pericardial</v>
          </cell>
          <cell r="AF3269">
            <v>1.5</v>
          </cell>
        </row>
        <row r="3270">
          <cell r="A3270" t="str">
            <v>IS_alqt_plus</v>
          </cell>
          <cell r="K3270" t="str">
            <v>DMAD</v>
          </cell>
          <cell r="M3270" t="str">
            <v>F</v>
          </cell>
          <cell r="AB3270" t="str">
            <v>Fluid- pericardial</v>
          </cell>
          <cell r="AF3270">
            <v>1.5</v>
          </cell>
        </row>
        <row r="3271">
          <cell r="A3271" t="str">
            <v>IS_alqt_plus</v>
          </cell>
          <cell r="K3271" t="str">
            <v>ECOR</v>
          </cell>
          <cell r="M3271" t="str">
            <v>F</v>
          </cell>
          <cell r="AB3271" t="str">
            <v>WB</v>
          </cell>
          <cell r="AF3271">
            <v>0.75</v>
          </cell>
        </row>
        <row r="3272">
          <cell r="A3272" t="str">
            <v>IS_alqt_plus</v>
          </cell>
          <cell r="K3272" t="str">
            <v>ECOR</v>
          </cell>
          <cell r="M3272" t="str">
            <v>F</v>
          </cell>
          <cell r="AB3272" t="str">
            <v>WB</v>
          </cell>
          <cell r="AF3272">
            <v>0.7</v>
          </cell>
        </row>
        <row r="3273">
          <cell r="A3273" t="str">
            <v>IS_alqt_plus</v>
          </cell>
          <cell r="K3273" t="str">
            <v>ECOR</v>
          </cell>
          <cell r="M3273" t="str">
            <v>F</v>
          </cell>
          <cell r="AB3273" t="str">
            <v>serum</v>
          </cell>
          <cell r="AF3273">
            <v>0.5</v>
          </cell>
        </row>
        <row r="3274">
          <cell r="A3274" t="str">
            <v>IS_alqt_plus</v>
          </cell>
          <cell r="K3274" t="str">
            <v>ECOR</v>
          </cell>
          <cell r="M3274" t="str">
            <v>F</v>
          </cell>
          <cell r="AB3274" t="str">
            <v>serum</v>
          </cell>
          <cell r="AF3274">
            <v>0.5</v>
          </cell>
        </row>
        <row r="3275">
          <cell r="A3275" t="str">
            <v>IS_alqt_plus</v>
          </cell>
          <cell r="K3275" t="str">
            <v>HGG</v>
          </cell>
          <cell r="M3275" t="str">
            <v>M</v>
          </cell>
          <cell r="AB3275" t="str">
            <v>WB</v>
          </cell>
          <cell r="AF3275">
            <v>0.5</v>
          </cell>
        </row>
        <row r="3276">
          <cell r="A3276" t="str">
            <v>gone</v>
          </cell>
          <cell r="K3276" t="str">
            <v>EMAC</v>
          </cell>
          <cell r="M3276" t="str">
            <v>F</v>
          </cell>
          <cell r="AB3276" t="str">
            <v>WB</v>
          </cell>
          <cell r="AF3276">
            <v>0</v>
          </cell>
        </row>
        <row r="3277">
          <cell r="A3277" t="str">
            <v>IS_alqt_plus</v>
          </cell>
          <cell r="K3277" t="str">
            <v>EMAC</v>
          </cell>
          <cell r="M3277" t="str">
            <v>M</v>
          </cell>
          <cell r="AB3277" t="str">
            <v>WB</v>
          </cell>
          <cell r="AF3277">
            <v>0.6</v>
          </cell>
        </row>
        <row r="3278">
          <cell r="A3278" t="str">
            <v>IS_alqt_plus</v>
          </cell>
          <cell r="K3278" t="str">
            <v>EMAC</v>
          </cell>
          <cell r="M3278" t="str">
            <v>F</v>
          </cell>
          <cell r="AB3278" t="str">
            <v>serum</v>
          </cell>
          <cell r="AF3278">
            <v>0.5</v>
          </cell>
        </row>
        <row r="3279">
          <cell r="A3279" t="str">
            <v>IS_alqt_plus</v>
          </cell>
          <cell r="K3279" t="str">
            <v>EMAC</v>
          </cell>
          <cell r="M3279" t="str">
            <v>F</v>
          </cell>
          <cell r="AB3279" t="str">
            <v>serum</v>
          </cell>
          <cell r="AF3279">
            <v>0.7</v>
          </cell>
        </row>
        <row r="3280">
          <cell r="A3280" t="str">
            <v>IS_alqt_plus</v>
          </cell>
          <cell r="K3280" t="str">
            <v>EMAC</v>
          </cell>
          <cell r="M3280" t="str">
            <v>M</v>
          </cell>
          <cell r="AB3280" t="str">
            <v>serum</v>
          </cell>
          <cell r="AF3280">
            <v>0.7</v>
          </cell>
        </row>
        <row r="3281">
          <cell r="A3281" t="str">
            <v>IS_alqt_plus</v>
          </cell>
          <cell r="K3281" t="str">
            <v>EMAC</v>
          </cell>
          <cell r="M3281" t="str">
            <v>M</v>
          </cell>
          <cell r="AB3281" t="str">
            <v>serum</v>
          </cell>
          <cell r="AF3281">
            <v>1</v>
          </cell>
        </row>
        <row r="3282">
          <cell r="A3282" t="str">
            <v>IS_alqt_plus</v>
          </cell>
          <cell r="K3282" t="str">
            <v>EMAC</v>
          </cell>
          <cell r="M3282" t="str">
            <v>M</v>
          </cell>
          <cell r="AB3282" t="str">
            <v>serum</v>
          </cell>
          <cell r="AF3282">
            <v>0.8</v>
          </cell>
        </row>
        <row r="3283">
          <cell r="A3283" t="str">
            <v>IS_alqt_plus</v>
          </cell>
          <cell r="K3283" t="str">
            <v>NPYG</v>
          </cell>
          <cell r="M3283" t="str">
            <v>F</v>
          </cell>
          <cell r="AB3283" t="str">
            <v>WB</v>
          </cell>
          <cell r="AF3283">
            <v>0.3</v>
          </cell>
        </row>
        <row r="3284">
          <cell r="A3284" t="str">
            <v>IS_alqt_plus</v>
          </cell>
          <cell r="K3284" t="str">
            <v>EMON</v>
          </cell>
          <cell r="M3284" t="str">
            <v>M</v>
          </cell>
          <cell r="AB3284" t="str">
            <v>serum</v>
          </cell>
          <cell r="AF3284">
            <v>0.2</v>
          </cell>
        </row>
        <row r="3285">
          <cell r="A3285" t="str">
            <v>IS_alqt_plus</v>
          </cell>
          <cell r="K3285" t="str">
            <v>EMON</v>
          </cell>
          <cell r="M3285" t="str">
            <v>F</v>
          </cell>
          <cell r="AB3285" t="str">
            <v>serum</v>
          </cell>
          <cell r="AF3285">
            <v>0.7</v>
          </cell>
        </row>
        <row r="3286">
          <cell r="A3286" t="str">
            <v>IS_alqt_plus</v>
          </cell>
          <cell r="K3286" t="str">
            <v>EMON</v>
          </cell>
          <cell r="M3286" t="str">
            <v>M</v>
          </cell>
          <cell r="AB3286" t="str">
            <v>serum</v>
          </cell>
          <cell r="AF3286">
            <v>0.6</v>
          </cell>
        </row>
        <row r="3287">
          <cell r="A3287" t="str">
            <v>IS_alqt_plus</v>
          </cell>
          <cell r="K3287" t="str">
            <v>VRUB</v>
          </cell>
          <cell r="M3287" t="str">
            <v>F</v>
          </cell>
          <cell r="AB3287" t="str">
            <v>WB</v>
          </cell>
          <cell r="AF3287">
            <v>0.6</v>
          </cell>
        </row>
        <row r="3288">
          <cell r="A3288" t="str">
            <v>IS_alqt_plus</v>
          </cell>
          <cell r="K3288" t="str">
            <v>ESAN</v>
          </cell>
          <cell r="M3288" t="str">
            <v>F</v>
          </cell>
          <cell r="AB3288" t="str">
            <v>WB</v>
          </cell>
          <cell r="AF3288">
            <v>1</v>
          </cell>
        </row>
        <row r="3289">
          <cell r="A3289" t="str">
            <v>IS_alqt_plus</v>
          </cell>
          <cell r="K3289" t="str">
            <v>ESAN</v>
          </cell>
          <cell r="M3289" t="str">
            <v>F</v>
          </cell>
          <cell r="AB3289" t="str">
            <v>WB</v>
          </cell>
          <cell r="AF3289">
            <v>1</v>
          </cell>
        </row>
        <row r="3290">
          <cell r="A3290" t="str">
            <v>IS_alqt_plus</v>
          </cell>
          <cell r="K3290" t="str">
            <v>ESAN</v>
          </cell>
          <cell r="M3290" t="str">
            <v>F</v>
          </cell>
          <cell r="AB3290" t="str">
            <v>WB</v>
          </cell>
          <cell r="AF3290">
            <v>1</v>
          </cell>
        </row>
        <row r="3291">
          <cell r="A3291" t="str">
            <v>IS_alqt_plus</v>
          </cell>
          <cell r="K3291" t="str">
            <v>ESAN</v>
          </cell>
          <cell r="M3291" t="str">
            <v>F</v>
          </cell>
          <cell r="AB3291" t="str">
            <v>WB</v>
          </cell>
          <cell r="AF3291">
            <v>0.7</v>
          </cell>
        </row>
        <row r="3292">
          <cell r="A3292" t="str">
            <v>IS_alqt_plus</v>
          </cell>
          <cell r="K3292" t="str">
            <v>ESAN</v>
          </cell>
          <cell r="M3292" t="str">
            <v>F</v>
          </cell>
          <cell r="AB3292" t="str">
            <v>WB</v>
          </cell>
          <cell r="AF3292">
            <v>1</v>
          </cell>
        </row>
        <row r="3293">
          <cell r="A3293" t="str">
            <v>IS_alqt_plus</v>
          </cell>
          <cell r="K3293" t="str">
            <v>ESAN</v>
          </cell>
          <cell r="M3293" t="str">
            <v>F</v>
          </cell>
          <cell r="AB3293" t="str">
            <v>WB</v>
          </cell>
          <cell r="AF3293">
            <v>1</v>
          </cell>
        </row>
        <row r="3294">
          <cell r="A3294" t="str">
            <v>IS_alqt_plus</v>
          </cell>
          <cell r="K3294" t="str">
            <v>ESAN</v>
          </cell>
          <cell r="M3294" t="str">
            <v>F</v>
          </cell>
          <cell r="AB3294" t="str">
            <v>WB</v>
          </cell>
          <cell r="AF3294">
            <v>1</v>
          </cell>
        </row>
        <row r="3295">
          <cell r="A3295" t="str">
            <v>IS_alqt_plus</v>
          </cell>
          <cell r="K3295" t="str">
            <v>ESAN</v>
          </cell>
          <cell r="M3295" t="str">
            <v>F</v>
          </cell>
          <cell r="AB3295" t="str">
            <v>WB</v>
          </cell>
          <cell r="AF3295">
            <v>1</v>
          </cell>
        </row>
        <row r="3296">
          <cell r="A3296" t="str">
            <v>IS_alqt_plus</v>
          </cell>
          <cell r="K3296" t="str">
            <v>ESAN</v>
          </cell>
          <cell r="M3296" t="str">
            <v>F</v>
          </cell>
          <cell r="AB3296" t="str">
            <v>WB</v>
          </cell>
          <cell r="AF3296">
            <v>1</v>
          </cell>
        </row>
        <row r="3297">
          <cell r="A3297" t="str">
            <v>IS_alqt_plus</v>
          </cell>
          <cell r="K3297" t="str">
            <v>ESAN</v>
          </cell>
          <cell r="M3297" t="str">
            <v>F</v>
          </cell>
          <cell r="AB3297" t="str">
            <v>WB</v>
          </cell>
          <cell r="AF3297">
            <v>1</v>
          </cell>
        </row>
        <row r="3298">
          <cell r="A3298" t="str">
            <v>IS_alqt_plus</v>
          </cell>
          <cell r="K3298" t="str">
            <v>ESAN</v>
          </cell>
          <cell r="M3298" t="str">
            <v>F</v>
          </cell>
          <cell r="AB3298" t="str">
            <v>WB</v>
          </cell>
          <cell r="AF3298">
            <v>1</v>
          </cell>
        </row>
        <row r="3299">
          <cell r="A3299" t="str">
            <v>IS_alqt_plus</v>
          </cell>
          <cell r="K3299" t="str">
            <v>ESAN</v>
          </cell>
          <cell r="M3299" t="str">
            <v>F</v>
          </cell>
          <cell r="AB3299" t="str">
            <v>WB</v>
          </cell>
          <cell r="AF3299">
            <v>1</v>
          </cell>
        </row>
        <row r="3300">
          <cell r="A3300" t="str">
            <v>IS_alqt_plus</v>
          </cell>
          <cell r="K3300" t="str">
            <v>ESAN</v>
          </cell>
          <cell r="M3300" t="str">
            <v>F</v>
          </cell>
          <cell r="AB3300" t="str">
            <v>WB</v>
          </cell>
          <cell r="AF3300">
            <v>1</v>
          </cell>
        </row>
        <row r="3301">
          <cell r="A3301" t="str">
            <v>IS_alqt_plus</v>
          </cell>
          <cell r="K3301" t="str">
            <v>ESAN</v>
          </cell>
          <cell r="M3301" t="str">
            <v>F</v>
          </cell>
          <cell r="AB3301" t="str">
            <v>WB</v>
          </cell>
          <cell r="AF3301">
            <v>1</v>
          </cell>
        </row>
        <row r="3302">
          <cell r="A3302" t="str">
            <v>IS_alqt_plus</v>
          </cell>
          <cell r="K3302" t="str">
            <v>ESAN</v>
          </cell>
          <cell r="M3302" t="str">
            <v>F</v>
          </cell>
          <cell r="AB3302" t="str">
            <v>WB</v>
          </cell>
          <cell r="AF3302">
            <v>1</v>
          </cell>
        </row>
        <row r="3303">
          <cell r="A3303" t="str">
            <v>IS_alqt_plus</v>
          </cell>
          <cell r="K3303" t="str">
            <v>ESAN</v>
          </cell>
          <cell r="M3303" t="str">
            <v>F</v>
          </cell>
          <cell r="AB3303" t="str">
            <v>WB</v>
          </cell>
          <cell r="AF3303">
            <v>0.7</v>
          </cell>
        </row>
        <row r="3304">
          <cell r="A3304" t="str">
            <v>IS_alqt_plus</v>
          </cell>
          <cell r="K3304" t="str">
            <v>ESAN</v>
          </cell>
          <cell r="M3304" t="str">
            <v>F</v>
          </cell>
          <cell r="AB3304" t="str">
            <v>WB</v>
          </cell>
          <cell r="AF3304">
            <v>0.5</v>
          </cell>
        </row>
        <row r="3305">
          <cell r="A3305" t="str">
            <v>IS_alqt_plus</v>
          </cell>
          <cell r="K3305" t="str">
            <v>ESAN</v>
          </cell>
          <cell r="M3305" t="str">
            <v>F</v>
          </cell>
          <cell r="AB3305" t="str">
            <v>WB</v>
          </cell>
          <cell r="AF3305">
            <v>0.7</v>
          </cell>
        </row>
        <row r="3306">
          <cell r="A3306" t="str">
            <v>IS_alqt_plus</v>
          </cell>
          <cell r="K3306" t="str">
            <v>VRUB</v>
          </cell>
          <cell r="M3306" t="str">
            <v>F</v>
          </cell>
          <cell r="AB3306" t="str">
            <v>serum</v>
          </cell>
          <cell r="AF3306">
            <v>0.5</v>
          </cell>
        </row>
        <row r="3307">
          <cell r="A3307" t="str">
            <v>IS_alqt_plus</v>
          </cell>
          <cell r="K3307" t="str">
            <v>VRUB</v>
          </cell>
          <cell r="M3307" t="str">
            <v>F</v>
          </cell>
          <cell r="AB3307" t="str">
            <v>serum</v>
          </cell>
          <cell r="AF3307">
            <v>0.5</v>
          </cell>
        </row>
        <row r="3308">
          <cell r="A3308" t="str">
            <v>IS_alqt_plus</v>
          </cell>
          <cell r="K3308" t="str">
            <v>ESAN</v>
          </cell>
          <cell r="M3308" t="str">
            <v>F</v>
          </cell>
          <cell r="AB3308" t="str">
            <v>serum</v>
          </cell>
          <cell r="AF3308">
            <v>1.4</v>
          </cell>
        </row>
        <row r="3309">
          <cell r="A3309" t="str">
            <v>IS_alqt_plus</v>
          </cell>
          <cell r="K3309" t="str">
            <v>ESAN</v>
          </cell>
          <cell r="M3309" t="str">
            <v>F</v>
          </cell>
          <cell r="AB3309" t="str">
            <v>serum</v>
          </cell>
          <cell r="AF3309">
            <v>1</v>
          </cell>
        </row>
        <row r="3310">
          <cell r="A3310" t="str">
            <v>IS_alqt_plus</v>
          </cell>
          <cell r="K3310" t="str">
            <v>ESAN</v>
          </cell>
          <cell r="M3310" t="str">
            <v>F</v>
          </cell>
          <cell r="AB3310" t="str">
            <v>serum</v>
          </cell>
          <cell r="AF3310">
            <v>1</v>
          </cell>
        </row>
        <row r="3311">
          <cell r="A3311" t="str">
            <v>IS_alqt_plus</v>
          </cell>
          <cell r="K3311" t="str">
            <v>ESAN</v>
          </cell>
          <cell r="M3311" t="str">
            <v>F</v>
          </cell>
          <cell r="AB3311" t="str">
            <v>serum</v>
          </cell>
          <cell r="AF3311">
            <v>1</v>
          </cell>
        </row>
        <row r="3312">
          <cell r="A3312" t="str">
            <v>IS_alqt_plus</v>
          </cell>
          <cell r="K3312" t="str">
            <v>ESAN</v>
          </cell>
          <cell r="M3312" t="str">
            <v>F</v>
          </cell>
          <cell r="AB3312" t="str">
            <v>serum</v>
          </cell>
          <cell r="AF3312">
            <v>1</v>
          </cell>
        </row>
        <row r="3313">
          <cell r="A3313" t="str">
            <v>IS_alqt_plus</v>
          </cell>
          <cell r="K3313" t="str">
            <v>ESAN</v>
          </cell>
          <cell r="M3313" t="str">
            <v>F</v>
          </cell>
          <cell r="AB3313" t="str">
            <v>serum</v>
          </cell>
          <cell r="AF3313">
            <v>1</v>
          </cell>
        </row>
        <row r="3314">
          <cell r="A3314" t="str">
            <v>IS_alqt_plus</v>
          </cell>
          <cell r="K3314" t="str">
            <v>ESAN</v>
          </cell>
          <cell r="M3314" t="str">
            <v>F</v>
          </cell>
          <cell r="AB3314" t="str">
            <v>serum</v>
          </cell>
          <cell r="AF3314">
            <v>1</v>
          </cell>
        </row>
        <row r="3315">
          <cell r="A3315" t="str">
            <v>IS_alqt_plus</v>
          </cell>
          <cell r="K3315" t="str">
            <v>ESAN</v>
          </cell>
          <cell r="M3315" t="str">
            <v>F</v>
          </cell>
          <cell r="AB3315" t="str">
            <v>serum</v>
          </cell>
          <cell r="AF3315">
            <v>1</v>
          </cell>
        </row>
        <row r="3316">
          <cell r="A3316" t="str">
            <v>IS_alqt_plus</v>
          </cell>
          <cell r="K3316" t="str">
            <v>ESAN</v>
          </cell>
          <cell r="M3316" t="str">
            <v>F</v>
          </cell>
          <cell r="AB3316" t="str">
            <v>serum</v>
          </cell>
          <cell r="AF3316">
            <v>1</v>
          </cell>
        </row>
        <row r="3317">
          <cell r="A3317" t="str">
            <v>IS_alqt_plus</v>
          </cell>
          <cell r="K3317" t="str">
            <v>ESAN</v>
          </cell>
          <cell r="M3317" t="str">
            <v>F</v>
          </cell>
          <cell r="AB3317" t="str">
            <v>serum</v>
          </cell>
          <cell r="AF3317">
            <v>1</v>
          </cell>
        </row>
        <row r="3318">
          <cell r="A3318" t="str">
            <v>IS_alqt_plus</v>
          </cell>
          <cell r="K3318" t="str">
            <v>ESAN</v>
          </cell>
          <cell r="M3318" t="str">
            <v>F</v>
          </cell>
          <cell r="AB3318" t="str">
            <v>serum</v>
          </cell>
          <cell r="AF3318">
            <v>1</v>
          </cell>
        </row>
        <row r="3319">
          <cell r="A3319" t="str">
            <v>unk</v>
          </cell>
          <cell r="K3319" t="str">
            <v>ESAN</v>
          </cell>
          <cell r="M3319" t="str">
            <v>F</v>
          </cell>
          <cell r="AB3319" t="str">
            <v>serum</v>
          </cell>
          <cell r="AF3319">
            <v>0.75</v>
          </cell>
        </row>
        <row r="3320">
          <cell r="A3320" t="str">
            <v>IS_alqt_plus</v>
          </cell>
          <cell r="K3320" t="str">
            <v>LCAT</v>
          </cell>
          <cell r="M3320" t="str">
            <v>M</v>
          </cell>
          <cell r="AB3320" t="str">
            <v>WB</v>
          </cell>
          <cell r="AF3320">
            <v>0.5</v>
          </cell>
        </row>
        <row r="3321">
          <cell r="A3321" t="str">
            <v>IS_alqt_plus</v>
          </cell>
          <cell r="K3321" t="str">
            <v>LCAT</v>
          </cell>
          <cell r="M3321" t="str">
            <v>F</v>
          </cell>
          <cell r="AB3321" t="str">
            <v>WB</v>
          </cell>
          <cell r="AF3321">
            <v>0.6</v>
          </cell>
        </row>
        <row r="3322">
          <cell r="A3322" t="str">
            <v>IS_alqt_plus</v>
          </cell>
          <cell r="K3322" t="str">
            <v>PCOQ</v>
          </cell>
          <cell r="M3322" t="str">
            <v>M</v>
          </cell>
          <cell r="AB3322" t="str">
            <v>serum</v>
          </cell>
          <cell r="AF3322">
            <v>0.2</v>
          </cell>
        </row>
        <row r="3323">
          <cell r="A3323" t="str">
            <v>IS_alqt_plus</v>
          </cell>
          <cell r="K3323" t="str">
            <v>PCOQ</v>
          </cell>
          <cell r="M3323" t="str">
            <v>M</v>
          </cell>
          <cell r="AB3323" t="str">
            <v>serum</v>
          </cell>
          <cell r="AF3323">
            <v>0.25</v>
          </cell>
        </row>
        <row r="3324">
          <cell r="A3324" t="str">
            <v>IS_alqt_plus</v>
          </cell>
          <cell r="K3324" t="str">
            <v>EMON</v>
          </cell>
          <cell r="M3324" t="str">
            <v>F</v>
          </cell>
          <cell r="AB3324" t="str">
            <v>serum</v>
          </cell>
          <cell r="AF3324">
            <v>0.5</v>
          </cell>
        </row>
        <row r="3325">
          <cell r="A3325" t="str">
            <v>IS_alqt_plus</v>
          </cell>
          <cell r="K3325" t="str">
            <v>LCAT</v>
          </cell>
          <cell r="M3325" t="str">
            <v>F</v>
          </cell>
          <cell r="AB3325" t="str">
            <v>WB</v>
          </cell>
          <cell r="AF3325">
            <v>0.5</v>
          </cell>
        </row>
        <row r="3326">
          <cell r="A3326" t="str">
            <v>IS_alqt_plus</v>
          </cell>
          <cell r="K3326" t="str">
            <v>LCAT</v>
          </cell>
          <cell r="M3326" t="str">
            <v>M</v>
          </cell>
          <cell r="AB3326" t="str">
            <v>WB</v>
          </cell>
          <cell r="AF3326">
            <v>0.2</v>
          </cell>
        </row>
        <row r="3327">
          <cell r="A3327" t="str">
            <v>IS_alqt_plus</v>
          </cell>
          <cell r="K3327" t="str">
            <v>LCAT</v>
          </cell>
          <cell r="M3327" t="str">
            <v>M</v>
          </cell>
          <cell r="AB3327" t="str">
            <v>serum</v>
          </cell>
          <cell r="AF3327">
            <v>0.5</v>
          </cell>
        </row>
        <row r="3328">
          <cell r="A3328" t="str">
            <v>IS_alqt_plus</v>
          </cell>
          <cell r="K3328" t="str">
            <v>LCAT</v>
          </cell>
          <cell r="M3328" t="str">
            <v>M</v>
          </cell>
          <cell r="AB3328" t="str">
            <v>serum</v>
          </cell>
          <cell r="AF3328">
            <v>0.3</v>
          </cell>
        </row>
        <row r="3329">
          <cell r="A3329" t="str">
            <v>gone</v>
          </cell>
          <cell r="K3329" t="str">
            <v>LCAT</v>
          </cell>
          <cell r="M3329" t="str">
            <v>M</v>
          </cell>
          <cell r="AB3329" t="str">
            <v>serum</v>
          </cell>
          <cell r="AF3329">
            <v>0</v>
          </cell>
        </row>
        <row r="3330">
          <cell r="A3330" t="str">
            <v>IS_alqt_plus</v>
          </cell>
          <cell r="K3330" t="str">
            <v>LCAT</v>
          </cell>
          <cell r="M3330" t="str">
            <v>M</v>
          </cell>
          <cell r="AB3330" t="str">
            <v>WB</v>
          </cell>
          <cell r="AF3330">
            <v>0.2</v>
          </cell>
        </row>
        <row r="3331">
          <cell r="A3331" t="str">
            <v>IS_alqt_plus</v>
          </cell>
          <cell r="K3331" t="str">
            <v>LCAT</v>
          </cell>
          <cell r="M3331" t="str">
            <v>M</v>
          </cell>
          <cell r="AB3331" t="str">
            <v>WB</v>
          </cell>
          <cell r="AF3331">
            <v>0.2</v>
          </cell>
        </row>
        <row r="3332">
          <cell r="A3332" t="str">
            <v>IS_alqt_plus</v>
          </cell>
          <cell r="K3332" t="str">
            <v>PCOQ</v>
          </cell>
          <cell r="M3332" t="str">
            <v>F</v>
          </cell>
          <cell r="AB3332" t="str">
            <v>serum</v>
          </cell>
          <cell r="AF3332">
            <v>0.9</v>
          </cell>
        </row>
        <row r="3333">
          <cell r="A3333" t="str">
            <v>IS_alqt_plus</v>
          </cell>
          <cell r="K3333" t="str">
            <v>PCOQ</v>
          </cell>
          <cell r="M3333" t="str">
            <v>M</v>
          </cell>
          <cell r="AB3333" t="str">
            <v>serum</v>
          </cell>
          <cell r="AF3333">
            <v>0.4</v>
          </cell>
        </row>
        <row r="3334">
          <cell r="A3334" t="str">
            <v>IS_alqt_plus</v>
          </cell>
          <cell r="K3334" t="str">
            <v>EUL</v>
          </cell>
          <cell r="M3334" t="str">
            <v>F</v>
          </cell>
          <cell r="AB3334" t="str">
            <v>serum</v>
          </cell>
          <cell r="AF3334">
            <v>0.75</v>
          </cell>
        </row>
        <row r="3335">
          <cell r="A3335" t="str">
            <v>IS_alqt_plus</v>
          </cell>
          <cell r="K3335" t="str">
            <v>EUL</v>
          </cell>
          <cell r="M3335" t="str">
            <v>F</v>
          </cell>
          <cell r="AB3335" t="str">
            <v>serum</v>
          </cell>
          <cell r="AF3335">
            <v>0.8</v>
          </cell>
        </row>
        <row r="3336">
          <cell r="A3336" t="str">
            <v>IS_alqt_plus</v>
          </cell>
          <cell r="K3336" t="str">
            <v>ECOL</v>
          </cell>
          <cell r="M3336" t="str">
            <v>M</v>
          </cell>
          <cell r="AB3336" t="str">
            <v>serum</v>
          </cell>
          <cell r="AF3336">
            <v>0.7</v>
          </cell>
        </row>
        <row r="3337">
          <cell r="A3337" t="str">
            <v>IS_alqt_plus</v>
          </cell>
          <cell r="K3337" t="str">
            <v>ECOL</v>
          </cell>
          <cell r="M3337" t="str">
            <v>M</v>
          </cell>
          <cell r="AB3337" t="str">
            <v>serum</v>
          </cell>
          <cell r="AF3337">
            <v>0.8</v>
          </cell>
        </row>
        <row r="3338">
          <cell r="A3338" t="str">
            <v>IS_alqt_plus</v>
          </cell>
          <cell r="K3338" t="str">
            <v>EUL</v>
          </cell>
          <cell r="M3338" t="str">
            <v>F</v>
          </cell>
          <cell r="AB3338" t="str">
            <v>WB</v>
          </cell>
          <cell r="AF3338">
            <v>0.7</v>
          </cell>
        </row>
        <row r="3339">
          <cell r="A3339" t="str">
            <v>gone</v>
          </cell>
          <cell r="K3339" t="str">
            <v>ECOL</v>
          </cell>
          <cell r="M3339" t="str">
            <v>M</v>
          </cell>
          <cell r="AB3339" t="str">
            <v>WB</v>
          </cell>
          <cell r="AF3339">
            <v>0</v>
          </cell>
        </row>
        <row r="3340">
          <cell r="A3340" t="str">
            <v>IS_alqt_plus</v>
          </cell>
          <cell r="K3340" t="str">
            <v>ECOL</v>
          </cell>
          <cell r="M3340" t="str">
            <v>M</v>
          </cell>
          <cell r="AB3340" t="str">
            <v>WB</v>
          </cell>
          <cell r="AF3340">
            <v>0.5</v>
          </cell>
        </row>
        <row r="3341">
          <cell r="A3341" t="str">
            <v>IS_alqt_plus</v>
          </cell>
          <cell r="K3341" t="str">
            <v>CMED</v>
          </cell>
          <cell r="M3341" t="str">
            <v>M</v>
          </cell>
          <cell r="AB3341" t="str">
            <v>PRBC</v>
          </cell>
          <cell r="AF3341">
            <v>0.3</v>
          </cell>
        </row>
        <row r="3342">
          <cell r="A3342" t="str">
            <v>IS_alqt_plus</v>
          </cell>
          <cell r="K3342" t="str">
            <v>LCAT</v>
          </cell>
          <cell r="M3342" t="str">
            <v>M</v>
          </cell>
          <cell r="AB3342" t="str">
            <v>WB</v>
          </cell>
          <cell r="AF3342">
            <v>0.2</v>
          </cell>
        </row>
        <row r="3343">
          <cell r="A3343" t="str">
            <v>IS_alqt_plus</v>
          </cell>
          <cell r="K3343" t="str">
            <v>EMON</v>
          </cell>
          <cell r="M3343" t="str">
            <v>F</v>
          </cell>
          <cell r="AB3343" t="str">
            <v>serum</v>
          </cell>
          <cell r="AF3343">
            <v>0.9</v>
          </cell>
        </row>
        <row r="3344">
          <cell r="A3344" t="str">
            <v>IS_alqt_plus</v>
          </cell>
          <cell r="K3344" t="str">
            <v>EMON</v>
          </cell>
          <cell r="M3344" t="str">
            <v>M</v>
          </cell>
          <cell r="AB3344" t="str">
            <v>serum</v>
          </cell>
          <cell r="AF3344">
            <v>0.75</v>
          </cell>
        </row>
        <row r="3345">
          <cell r="A3345" t="str">
            <v>IS_alqt_plus</v>
          </cell>
          <cell r="K3345" t="str">
            <v>PDIA</v>
          </cell>
          <cell r="M3345" t="str">
            <v>M</v>
          </cell>
          <cell r="AB3345" t="str">
            <v>WB</v>
          </cell>
          <cell r="AF3345">
            <v>0.2</v>
          </cell>
        </row>
        <row r="3346">
          <cell r="A3346" t="str">
            <v>IS_alqt_plus</v>
          </cell>
          <cell r="K3346" t="str">
            <v>PDIA</v>
          </cell>
          <cell r="M3346" t="str">
            <v>M</v>
          </cell>
          <cell r="AB3346" t="str">
            <v>WB</v>
          </cell>
          <cell r="AF3346">
            <v>0.2</v>
          </cell>
        </row>
        <row r="3347">
          <cell r="A3347" t="str">
            <v>IS_alqt_plus</v>
          </cell>
          <cell r="K3347" t="str">
            <v>EMON</v>
          </cell>
          <cell r="M3347" t="str">
            <v>M</v>
          </cell>
          <cell r="AB3347" t="str">
            <v>serum</v>
          </cell>
          <cell r="AF3347">
            <v>0.75</v>
          </cell>
        </row>
        <row r="3348">
          <cell r="A3348" t="str">
            <v>IS_alqt_plus</v>
          </cell>
          <cell r="K3348" t="str">
            <v>EMON</v>
          </cell>
          <cell r="M3348" t="str">
            <v>M</v>
          </cell>
          <cell r="AB3348" t="str">
            <v>serum</v>
          </cell>
          <cell r="AF3348">
            <v>0.75</v>
          </cell>
        </row>
        <row r="3349">
          <cell r="A3349" t="str">
            <v>IS_alqt_plus</v>
          </cell>
          <cell r="K3349" t="str">
            <v>EMON</v>
          </cell>
          <cell r="M3349" t="str">
            <v>F</v>
          </cell>
          <cell r="AB3349" t="str">
            <v>serum</v>
          </cell>
          <cell r="AF3349">
            <v>1</v>
          </cell>
        </row>
        <row r="3350">
          <cell r="A3350" t="str">
            <v>IS_alqt_plus</v>
          </cell>
          <cell r="K3350" t="str">
            <v>EMON</v>
          </cell>
          <cell r="M3350" t="str">
            <v>F</v>
          </cell>
          <cell r="AB3350" t="str">
            <v>serum</v>
          </cell>
          <cell r="AF3350">
            <v>0.9</v>
          </cell>
        </row>
        <row r="3351">
          <cell r="A3351" t="str">
            <v>IS_alqt_plus</v>
          </cell>
          <cell r="K3351" t="str">
            <v>EMON</v>
          </cell>
          <cell r="M3351" t="str">
            <v>F</v>
          </cell>
          <cell r="AB3351" t="str">
            <v>WB</v>
          </cell>
          <cell r="AF3351">
            <v>0.2</v>
          </cell>
        </row>
        <row r="3352">
          <cell r="A3352" t="str">
            <v>IS_alqt_plus</v>
          </cell>
          <cell r="K3352" t="str">
            <v>EMON</v>
          </cell>
          <cell r="M3352" t="str">
            <v>F</v>
          </cell>
          <cell r="AB3352" t="str">
            <v>WB</v>
          </cell>
          <cell r="AF3352">
            <v>0.2</v>
          </cell>
        </row>
        <row r="3353">
          <cell r="A3353" t="str">
            <v>IS_alqt_plus</v>
          </cell>
          <cell r="K3353" t="str">
            <v>EMON</v>
          </cell>
          <cell r="M3353" t="str">
            <v>F</v>
          </cell>
          <cell r="AB3353" t="str">
            <v>serum</v>
          </cell>
          <cell r="AF3353">
            <v>0.7</v>
          </cell>
        </row>
        <row r="3354">
          <cell r="A3354" t="str">
            <v>IS_alqt_plus</v>
          </cell>
          <cell r="K3354" t="str">
            <v>EMON</v>
          </cell>
          <cell r="M3354" t="str">
            <v>F</v>
          </cell>
          <cell r="AB3354" t="str">
            <v>serum</v>
          </cell>
          <cell r="AF3354">
            <v>0.7</v>
          </cell>
        </row>
        <row r="3355">
          <cell r="A3355" t="str">
            <v>IS_alqt_plus</v>
          </cell>
          <cell r="K3355" t="str">
            <v>EMON</v>
          </cell>
          <cell r="M3355" t="str">
            <v>M</v>
          </cell>
          <cell r="AB3355" t="str">
            <v>serum</v>
          </cell>
          <cell r="AF3355">
            <v>0.6</v>
          </cell>
        </row>
        <row r="3356">
          <cell r="A3356" t="str">
            <v>IS_alqt_plus</v>
          </cell>
          <cell r="K3356" t="str">
            <v>DMAD</v>
          </cell>
          <cell r="M3356" t="str">
            <v>F</v>
          </cell>
          <cell r="AB3356" t="str">
            <v>serum</v>
          </cell>
          <cell r="AF3356">
            <v>0.75</v>
          </cell>
        </row>
        <row r="3357">
          <cell r="A3357" t="str">
            <v>IS_alqt_plus</v>
          </cell>
          <cell r="K3357" t="str">
            <v>DMAD</v>
          </cell>
          <cell r="M3357" t="str">
            <v>F</v>
          </cell>
          <cell r="AB3357" t="str">
            <v>WB</v>
          </cell>
          <cell r="AF3357">
            <v>0.2</v>
          </cell>
        </row>
        <row r="3358">
          <cell r="A3358" t="str">
            <v>IS_alqt_plus</v>
          </cell>
          <cell r="K3358" t="str">
            <v>ECOL</v>
          </cell>
          <cell r="M3358" t="str">
            <v>M</v>
          </cell>
          <cell r="AB3358" t="str">
            <v>serum</v>
          </cell>
          <cell r="AF3358">
            <v>0.7</v>
          </cell>
        </row>
        <row r="3359">
          <cell r="A3359" t="str">
            <v>gone</v>
          </cell>
          <cell r="K3359" t="str">
            <v>ECOL</v>
          </cell>
          <cell r="M3359" t="str">
            <v>M</v>
          </cell>
          <cell r="AB3359" t="str">
            <v>WB</v>
          </cell>
          <cell r="AF3359">
            <v>0</v>
          </cell>
        </row>
        <row r="3360">
          <cell r="A3360" t="str">
            <v>IS_alqt_plus</v>
          </cell>
          <cell r="K3360" t="str">
            <v>LCAT</v>
          </cell>
          <cell r="M3360" t="str">
            <v>M</v>
          </cell>
          <cell r="AB3360" t="str">
            <v>WB</v>
          </cell>
          <cell r="AF3360">
            <v>0.2</v>
          </cell>
        </row>
        <row r="3361">
          <cell r="A3361" t="str">
            <v>IS_alqt_plus</v>
          </cell>
          <cell r="K3361" t="str">
            <v>PCOQ</v>
          </cell>
          <cell r="M3361" t="str">
            <v>F</v>
          </cell>
          <cell r="AB3361" t="str">
            <v>serum</v>
          </cell>
          <cell r="AF3361">
            <v>0.8</v>
          </cell>
        </row>
        <row r="3362">
          <cell r="A3362" t="str">
            <v>IS_alqt_plus</v>
          </cell>
          <cell r="K3362" t="str">
            <v>PCOQ</v>
          </cell>
          <cell r="M3362" t="str">
            <v>F</v>
          </cell>
          <cell r="AB3362" t="str">
            <v>serum</v>
          </cell>
          <cell r="AF3362">
            <v>0.6</v>
          </cell>
        </row>
        <row r="3363">
          <cell r="A3363" t="str">
            <v>IS_alqt_plus</v>
          </cell>
          <cell r="K3363" t="str">
            <v>PDIA</v>
          </cell>
          <cell r="M3363" t="str">
            <v>M</v>
          </cell>
          <cell r="AB3363" t="str">
            <v>serum</v>
          </cell>
          <cell r="AF3363">
            <v>0.25</v>
          </cell>
        </row>
        <row r="3364">
          <cell r="A3364" t="str">
            <v>IS_alqt_plus</v>
          </cell>
          <cell r="K3364" t="str">
            <v>PDIA</v>
          </cell>
          <cell r="M3364" t="str">
            <v>M</v>
          </cell>
          <cell r="AB3364" t="str">
            <v>plasma</v>
          </cell>
          <cell r="AF3364">
            <v>0.3</v>
          </cell>
        </row>
        <row r="3365">
          <cell r="A3365" t="str">
            <v>IS_alqt_plus</v>
          </cell>
          <cell r="K3365" t="str">
            <v>PDIA</v>
          </cell>
          <cell r="M3365" t="str">
            <v>M</v>
          </cell>
          <cell r="AB3365" t="str">
            <v>serum</v>
          </cell>
          <cell r="AF3365">
            <v>0.7</v>
          </cell>
        </row>
        <row r="3366">
          <cell r="A3366" t="str">
            <v>IS_alqt_plus</v>
          </cell>
          <cell r="K3366" t="str">
            <v>DMAD</v>
          </cell>
          <cell r="M3366" t="str">
            <v>M</v>
          </cell>
          <cell r="AB3366" t="str">
            <v>serum</v>
          </cell>
          <cell r="AF3366">
            <v>0.65</v>
          </cell>
        </row>
        <row r="3367">
          <cell r="A3367" t="str">
            <v>IS_alqt_plus</v>
          </cell>
          <cell r="K3367" t="str">
            <v>DMAD</v>
          </cell>
          <cell r="M3367" t="str">
            <v>M</v>
          </cell>
          <cell r="AB3367" t="str">
            <v>WB</v>
          </cell>
          <cell r="AF3367">
            <v>0.4</v>
          </cell>
        </row>
        <row r="3368">
          <cell r="A3368" t="str">
            <v>IS_alqt_plus</v>
          </cell>
          <cell r="K3368" t="str">
            <v>VVV</v>
          </cell>
          <cell r="M3368" t="str">
            <v>M</v>
          </cell>
          <cell r="AB3368" t="str">
            <v>serum</v>
          </cell>
          <cell r="AF3368">
            <v>0.4</v>
          </cell>
        </row>
        <row r="3369">
          <cell r="A3369" t="str">
            <v>IS_alqt_plus</v>
          </cell>
          <cell r="K3369" t="str">
            <v>LCAT</v>
          </cell>
          <cell r="M3369" t="str">
            <v>M</v>
          </cell>
          <cell r="AB3369" t="str">
            <v>serum</v>
          </cell>
          <cell r="AF3369">
            <v>0.4</v>
          </cell>
        </row>
        <row r="3370">
          <cell r="A3370" t="str">
            <v>IS_alqt_plus</v>
          </cell>
          <cell r="K3370" t="str">
            <v>ECOL</v>
          </cell>
          <cell r="M3370" t="str">
            <v>F</v>
          </cell>
          <cell r="AB3370" t="str">
            <v>serum</v>
          </cell>
          <cell r="AF3370">
            <v>0.8</v>
          </cell>
        </row>
        <row r="3371">
          <cell r="A3371" t="str">
            <v>IS_alqt_plus</v>
          </cell>
          <cell r="K3371" t="str">
            <v>ECOL</v>
          </cell>
          <cell r="M3371" t="str">
            <v>M</v>
          </cell>
          <cell r="AB3371" t="str">
            <v>serum</v>
          </cell>
          <cell r="AF3371">
            <v>1</v>
          </cell>
        </row>
        <row r="3372">
          <cell r="A3372" t="str">
            <v>IS_alqt_plus</v>
          </cell>
          <cell r="K3372" t="str">
            <v>VVV</v>
          </cell>
          <cell r="M3372" t="str">
            <v>M</v>
          </cell>
          <cell r="AB3372" t="str">
            <v>serum</v>
          </cell>
          <cell r="AF3372">
            <v>0.5</v>
          </cell>
        </row>
        <row r="3373">
          <cell r="A3373" t="str">
            <v>IS_alqt_plus</v>
          </cell>
          <cell r="K3373" t="str">
            <v>LCAT</v>
          </cell>
          <cell r="M3373" t="str">
            <v>M</v>
          </cell>
          <cell r="AB3373" t="str">
            <v>WB</v>
          </cell>
          <cell r="AF3373">
            <v>0.2</v>
          </cell>
        </row>
        <row r="3374">
          <cell r="A3374" t="str">
            <v>IS_alqt_plus</v>
          </cell>
          <cell r="K3374" t="str">
            <v>PCOQ</v>
          </cell>
          <cell r="M3374" t="str">
            <v>F</v>
          </cell>
          <cell r="AB3374" t="str">
            <v>serum</v>
          </cell>
          <cell r="AF3374">
            <v>0.75</v>
          </cell>
        </row>
        <row r="3375">
          <cell r="A3375" t="str">
            <v>IS_alqt_plus</v>
          </cell>
          <cell r="K3375" t="str">
            <v>PCOQ</v>
          </cell>
          <cell r="M3375" t="str">
            <v>F</v>
          </cell>
          <cell r="AB3375" t="str">
            <v>serum</v>
          </cell>
          <cell r="AF3375">
            <v>0.75</v>
          </cell>
        </row>
        <row r="3376">
          <cell r="A3376" t="str">
            <v>unk</v>
          </cell>
          <cell r="K3376" t="str">
            <v>LCAT</v>
          </cell>
          <cell r="M3376" t="str">
            <v>M</v>
          </cell>
          <cell r="AB3376" t="str">
            <v>WB</v>
          </cell>
          <cell r="AF3376">
            <v>0.2</v>
          </cell>
        </row>
        <row r="3377">
          <cell r="A3377" t="str">
            <v>IS_alqt_plus</v>
          </cell>
          <cell r="K3377" t="str">
            <v>LCAT</v>
          </cell>
          <cell r="M3377" t="str">
            <v>M</v>
          </cell>
          <cell r="AB3377" t="str">
            <v>WB</v>
          </cell>
          <cell r="AF3377">
            <v>0.75</v>
          </cell>
        </row>
        <row r="3378">
          <cell r="A3378" t="str">
            <v>IS_alqt_plus</v>
          </cell>
          <cell r="K3378" t="str">
            <v>PCOQ</v>
          </cell>
          <cell r="M3378" t="str">
            <v>M</v>
          </cell>
          <cell r="AB3378" t="str">
            <v>serum</v>
          </cell>
          <cell r="AF3378">
            <v>0.5</v>
          </cell>
        </row>
        <row r="3379">
          <cell r="A3379" t="str">
            <v>IS_alqt_plus</v>
          </cell>
          <cell r="K3379" t="str">
            <v>VRUB</v>
          </cell>
          <cell r="M3379" t="str">
            <v>M</v>
          </cell>
          <cell r="AB3379" t="str">
            <v>WB</v>
          </cell>
          <cell r="AF3379">
            <v>0.75</v>
          </cell>
        </row>
        <row r="3380">
          <cell r="A3380" t="str">
            <v>IS_alqt_plus</v>
          </cell>
          <cell r="K3380" t="str">
            <v>VRUB</v>
          </cell>
          <cell r="M3380" t="str">
            <v>F</v>
          </cell>
          <cell r="AB3380" t="str">
            <v>WB</v>
          </cell>
          <cell r="AF3380">
            <v>0.75</v>
          </cell>
        </row>
        <row r="3381">
          <cell r="A3381" t="str">
            <v>IS_alqt_plus</v>
          </cell>
          <cell r="K3381" t="str">
            <v>VRUB</v>
          </cell>
          <cell r="M3381" t="str">
            <v>F</v>
          </cell>
          <cell r="AB3381" t="str">
            <v>WB</v>
          </cell>
          <cell r="AF3381">
            <v>0.4</v>
          </cell>
        </row>
        <row r="3382">
          <cell r="A3382" t="str">
            <v>IS_alqt_plus</v>
          </cell>
          <cell r="K3382" t="str">
            <v>VRUB</v>
          </cell>
          <cell r="M3382" t="str">
            <v>M</v>
          </cell>
          <cell r="AB3382" t="str">
            <v>serum</v>
          </cell>
          <cell r="AF3382">
            <v>0.25</v>
          </cell>
        </row>
        <row r="3383">
          <cell r="A3383" t="str">
            <v>IS_alqt_plus</v>
          </cell>
          <cell r="K3383" t="str">
            <v>VRUB</v>
          </cell>
          <cell r="M3383" t="str">
            <v>F</v>
          </cell>
          <cell r="AB3383" t="str">
            <v>serum</v>
          </cell>
          <cell r="AF3383">
            <v>0.8</v>
          </cell>
        </row>
        <row r="3384">
          <cell r="A3384" t="str">
            <v>IS_alqt_plus</v>
          </cell>
          <cell r="K3384" t="str">
            <v>VRUB</v>
          </cell>
          <cell r="M3384" t="str">
            <v>F</v>
          </cell>
          <cell r="AB3384" t="str">
            <v>serum</v>
          </cell>
          <cell r="AF3384">
            <v>0.8</v>
          </cell>
        </row>
        <row r="3385">
          <cell r="A3385" t="str">
            <v>gone</v>
          </cell>
          <cell r="K3385" t="str">
            <v>DMAD</v>
          </cell>
          <cell r="M3385" t="str">
            <v>M</v>
          </cell>
          <cell r="AB3385" t="str">
            <v>WB</v>
          </cell>
          <cell r="AF3385">
            <v>0</v>
          </cell>
        </row>
        <row r="3386">
          <cell r="A3386" t="str">
            <v>IS_alqt_plus</v>
          </cell>
          <cell r="K3386" t="str">
            <v>LCAT</v>
          </cell>
          <cell r="M3386" t="str">
            <v>M</v>
          </cell>
          <cell r="AB3386" t="str">
            <v>WB</v>
          </cell>
          <cell r="AF3386">
            <v>0.75</v>
          </cell>
        </row>
        <row r="3387">
          <cell r="A3387" t="str">
            <v>IS_alqt_plus</v>
          </cell>
          <cell r="K3387" t="str">
            <v>LCAT</v>
          </cell>
          <cell r="M3387" t="str">
            <v>M</v>
          </cell>
          <cell r="AB3387" t="str">
            <v>WB</v>
          </cell>
          <cell r="AF3387">
            <v>1.1499999999999999</v>
          </cell>
        </row>
        <row r="3388">
          <cell r="A3388" t="str">
            <v>IS_alqt_plus</v>
          </cell>
          <cell r="K3388" t="str">
            <v>LCAT</v>
          </cell>
          <cell r="M3388" t="str">
            <v>F</v>
          </cell>
          <cell r="AB3388" t="str">
            <v>serum</v>
          </cell>
          <cell r="AF3388">
            <v>0.85</v>
          </cell>
        </row>
        <row r="3389">
          <cell r="A3389" t="str">
            <v>IS_alqt_plus</v>
          </cell>
          <cell r="K3389" t="str">
            <v>LCAT</v>
          </cell>
          <cell r="M3389" t="str">
            <v>F</v>
          </cell>
          <cell r="AB3389" t="str">
            <v>serum</v>
          </cell>
          <cell r="AF3389">
            <v>0.6</v>
          </cell>
        </row>
        <row r="3390">
          <cell r="A3390" t="str">
            <v>IS_alqt_plus</v>
          </cell>
          <cell r="K3390" t="str">
            <v>VRUB</v>
          </cell>
          <cell r="M3390" t="str">
            <v>F</v>
          </cell>
          <cell r="AB3390" t="str">
            <v>WB</v>
          </cell>
          <cell r="AF3390">
            <v>1.5</v>
          </cell>
        </row>
        <row r="3391">
          <cell r="A3391" t="str">
            <v>IS_alqt_plus</v>
          </cell>
          <cell r="K3391" t="str">
            <v>VRUB</v>
          </cell>
          <cell r="M3391" t="str">
            <v>F</v>
          </cell>
          <cell r="AB3391" t="str">
            <v>serum</v>
          </cell>
          <cell r="AF3391">
            <v>1.3</v>
          </cell>
        </row>
        <row r="3392">
          <cell r="A3392" t="str">
            <v>IS_alqt_plus</v>
          </cell>
          <cell r="K3392" t="str">
            <v>LCAT</v>
          </cell>
          <cell r="M3392" t="str">
            <v>M</v>
          </cell>
          <cell r="AB3392" t="str">
            <v>WB</v>
          </cell>
          <cell r="AF3392">
            <v>0.4</v>
          </cell>
        </row>
        <row r="3393">
          <cell r="A3393" t="str">
            <v>IS_alqt_plus</v>
          </cell>
          <cell r="K3393" t="str">
            <v>LCAT</v>
          </cell>
          <cell r="M3393" t="str">
            <v>M</v>
          </cell>
          <cell r="AB3393" t="str">
            <v>WB</v>
          </cell>
          <cell r="AF3393">
            <v>0.75</v>
          </cell>
        </row>
        <row r="3394">
          <cell r="A3394" t="str">
            <v>IS_alqt_minus</v>
          </cell>
          <cell r="K3394" t="str">
            <v>LCAT</v>
          </cell>
          <cell r="M3394" t="str">
            <v>M</v>
          </cell>
          <cell r="AB3394" t="str">
            <v>serum</v>
          </cell>
          <cell r="AF3394">
            <v>0.1</v>
          </cell>
        </row>
        <row r="3395">
          <cell r="A3395" t="str">
            <v>IS_alqt_plus</v>
          </cell>
          <cell r="K3395" t="str">
            <v>LCAT</v>
          </cell>
          <cell r="M3395" t="str">
            <v>F</v>
          </cell>
          <cell r="AB3395" t="str">
            <v>serum</v>
          </cell>
          <cell r="AF3395">
            <v>0.8</v>
          </cell>
        </row>
        <row r="3396">
          <cell r="A3396" t="str">
            <v>IS_alqt_plus</v>
          </cell>
          <cell r="K3396" t="str">
            <v>LCAT</v>
          </cell>
          <cell r="M3396" t="str">
            <v>F</v>
          </cell>
          <cell r="AB3396" t="str">
            <v>serum</v>
          </cell>
          <cell r="AF3396">
            <v>0.5</v>
          </cell>
        </row>
        <row r="3397">
          <cell r="A3397" t="str">
            <v>IS_alqt_plus</v>
          </cell>
          <cell r="K3397" t="str">
            <v>LCAT</v>
          </cell>
          <cell r="M3397" t="str">
            <v>F</v>
          </cell>
          <cell r="AB3397" t="str">
            <v>serum</v>
          </cell>
          <cell r="AF3397">
            <v>0.6</v>
          </cell>
        </row>
        <row r="3398">
          <cell r="A3398" t="str">
            <v>IS_alqt_plus</v>
          </cell>
          <cell r="K3398" t="str">
            <v>LCAT</v>
          </cell>
          <cell r="M3398" t="str">
            <v>F</v>
          </cell>
          <cell r="AB3398" t="str">
            <v>WB</v>
          </cell>
          <cell r="AF3398">
            <v>0.6</v>
          </cell>
        </row>
        <row r="3399">
          <cell r="A3399" t="str">
            <v>IS_alqt_plus</v>
          </cell>
          <cell r="K3399" t="str">
            <v>LCAT</v>
          </cell>
          <cell r="M3399" t="str">
            <v>M</v>
          </cell>
          <cell r="AB3399" t="str">
            <v>WB</v>
          </cell>
          <cell r="AF3399">
            <v>1.1000000000000001</v>
          </cell>
        </row>
        <row r="3400">
          <cell r="A3400" t="str">
            <v>IS_alqt_minus</v>
          </cell>
          <cell r="K3400" t="str">
            <v>LCAT</v>
          </cell>
          <cell r="M3400" t="str">
            <v>M</v>
          </cell>
          <cell r="AB3400" t="str">
            <v>serum</v>
          </cell>
          <cell r="AF3400">
            <v>0.1</v>
          </cell>
        </row>
        <row r="3401">
          <cell r="A3401" t="str">
            <v>IS_alqt_plus</v>
          </cell>
          <cell r="K3401" t="str">
            <v>LCAT</v>
          </cell>
          <cell r="M3401" t="str">
            <v>F</v>
          </cell>
          <cell r="AB3401" t="str">
            <v>serum</v>
          </cell>
          <cell r="AF3401">
            <v>0.6</v>
          </cell>
        </row>
        <row r="3402">
          <cell r="A3402" t="str">
            <v>IS_alqt_plus</v>
          </cell>
          <cell r="K3402" t="str">
            <v>LCAT</v>
          </cell>
          <cell r="M3402" t="str">
            <v>F</v>
          </cell>
          <cell r="AB3402" t="str">
            <v>serum</v>
          </cell>
          <cell r="AF3402">
            <v>0.6</v>
          </cell>
        </row>
        <row r="3403">
          <cell r="A3403" t="str">
            <v>IS_alqt_plus</v>
          </cell>
          <cell r="K3403" t="str">
            <v>CMED</v>
          </cell>
          <cell r="M3403" t="str">
            <v>F</v>
          </cell>
          <cell r="AB3403" t="str">
            <v>PRBC</v>
          </cell>
          <cell r="AF3403">
            <v>0.3</v>
          </cell>
        </row>
        <row r="3404">
          <cell r="A3404" t="str">
            <v>IS_alqt_plus</v>
          </cell>
          <cell r="K3404" t="str">
            <v>CMED</v>
          </cell>
          <cell r="M3404" t="str">
            <v>M</v>
          </cell>
          <cell r="AB3404" t="str">
            <v>PRBC</v>
          </cell>
          <cell r="AF3404">
            <v>0.3</v>
          </cell>
        </row>
        <row r="3405">
          <cell r="A3405" t="str">
            <v>IS_alqt_plus</v>
          </cell>
          <cell r="K3405" t="str">
            <v>CMED</v>
          </cell>
          <cell r="M3405" t="str">
            <v>M</v>
          </cell>
          <cell r="AB3405" t="str">
            <v>PRBC</v>
          </cell>
          <cell r="AF3405">
            <v>0.25</v>
          </cell>
        </row>
        <row r="3406">
          <cell r="A3406" t="str">
            <v>IS_alqt_plus</v>
          </cell>
          <cell r="K3406" t="str">
            <v>CMED</v>
          </cell>
          <cell r="M3406" t="str">
            <v>F</v>
          </cell>
          <cell r="AB3406" t="str">
            <v>PRBC</v>
          </cell>
          <cell r="AF3406">
            <v>0.25</v>
          </cell>
        </row>
        <row r="3407">
          <cell r="A3407" t="str">
            <v>IS_alqt_plus</v>
          </cell>
          <cell r="K3407" t="str">
            <v>CMED</v>
          </cell>
          <cell r="M3407" t="str">
            <v>F</v>
          </cell>
          <cell r="AB3407" t="str">
            <v>PRBC</v>
          </cell>
          <cell r="AF3407">
            <v>0.3</v>
          </cell>
        </row>
        <row r="3408">
          <cell r="A3408" t="str">
            <v>IS_alqt_plus</v>
          </cell>
          <cell r="K3408" t="str">
            <v>CMED</v>
          </cell>
          <cell r="M3408" t="str">
            <v>F</v>
          </cell>
          <cell r="AB3408" t="str">
            <v>PRBC</v>
          </cell>
          <cell r="AF3408">
            <v>0.25</v>
          </cell>
        </row>
        <row r="3409">
          <cell r="A3409" t="str">
            <v>IS_alqt_plus</v>
          </cell>
          <cell r="K3409" t="str">
            <v>CMED</v>
          </cell>
          <cell r="M3409" t="str">
            <v>M</v>
          </cell>
          <cell r="AB3409" t="str">
            <v>PRBC</v>
          </cell>
          <cell r="AF3409">
            <v>0.3</v>
          </cell>
        </row>
        <row r="3410">
          <cell r="A3410" t="str">
            <v>IS_alqt_plus</v>
          </cell>
          <cell r="K3410" t="str">
            <v>CMED</v>
          </cell>
          <cell r="M3410" t="str">
            <v>F</v>
          </cell>
          <cell r="AB3410" t="str">
            <v>PRBC</v>
          </cell>
          <cell r="AF3410">
            <v>0.3</v>
          </cell>
        </row>
        <row r="3411">
          <cell r="A3411" t="str">
            <v>IS_alqt_plus</v>
          </cell>
          <cell r="K3411" t="str">
            <v>DMAD</v>
          </cell>
          <cell r="M3411" t="str">
            <v>F</v>
          </cell>
          <cell r="AB3411" t="str">
            <v>serum</v>
          </cell>
          <cell r="AF3411">
            <v>0.5</v>
          </cell>
        </row>
        <row r="3412">
          <cell r="A3412" t="str">
            <v>IS_alqt_plus</v>
          </cell>
          <cell r="K3412" t="str">
            <v>DMAD</v>
          </cell>
          <cell r="M3412" t="str">
            <v>F</v>
          </cell>
          <cell r="AB3412" t="str">
            <v>serum</v>
          </cell>
          <cell r="AF3412">
            <v>0.25</v>
          </cell>
        </row>
        <row r="3413">
          <cell r="A3413" t="str">
            <v>IS_alqt_plus</v>
          </cell>
          <cell r="K3413" t="str">
            <v>DMAD</v>
          </cell>
          <cell r="M3413" t="str">
            <v>F</v>
          </cell>
          <cell r="AB3413" t="str">
            <v>WB</v>
          </cell>
          <cell r="AF3413">
            <v>0.25</v>
          </cell>
        </row>
        <row r="3414">
          <cell r="A3414" t="str">
            <v>IS_alqt_plus</v>
          </cell>
          <cell r="K3414" t="str">
            <v>EMON</v>
          </cell>
          <cell r="M3414" t="str">
            <v>M</v>
          </cell>
          <cell r="AB3414" t="str">
            <v>serum</v>
          </cell>
          <cell r="AF3414">
            <v>0.75</v>
          </cell>
        </row>
        <row r="3415">
          <cell r="A3415" t="str">
            <v>IS_alqt_plus</v>
          </cell>
          <cell r="K3415" t="str">
            <v>EMON</v>
          </cell>
          <cell r="M3415" t="str">
            <v>M</v>
          </cell>
          <cell r="AB3415" t="str">
            <v>serum</v>
          </cell>
          <cell r="AF3415">
            <v>0.75</v>
          </cell>
        </row>
        <row r="3416">
          <cell r="A3416" t="str">
            <v>IS_alqt_plus</v>
          </cell>
          <cell r="K3416" t="str">
            <v>EFLA</v>
          </cell>
          <cell r="M3416" t="str">
            <v>M</v>
          </cell>
          <cell r="AB3416" t="str">
            <v>WB</v>
          </cell>
          <cell r="AF3416">
            <v>0.75</v>
          </cell>
        </row>
        <row r="3417">
          <cell r="A3417" t="str">
            <v>IS_alqt_plus</v>
          </cell>
          <cell r="K3417" t="str">
            <v>EUL</v>
          </cell>
          <cell r="M3417" t="str">
            <v>F</v>
          </cell>
          <cell r="AB3417" t="str">
            <v>WB</v>
          </cell>
          <cell r="AF3417">
            <v>1</v>
          </cell>
        </row>
        <row r="3418">
          <cell r="A3418" t="str">
            <v>IS_alqt_plus</v>
          </cell>
          <cell r="K3418" t="str">
            <v>EUL</v>
          </cell>
          <cell r="M3418" t="str">
            <v>F</v>
          </cell>
          <cell r="AB3418" t="str">
            <v>WB</v>
          </cell>
          <cell r="AF3418">
            <v>0.5</v>
          </cell>
        </row>
        <row r="3419">
          <cell r="A3419" t="str">
            <v>IS_alqt_plus</v>
          </cell>
          <cell r="K3419" t="str">
            <v>EFLA</v>
          </cell>
          <cell r="M3419" t="str">
            <v>M</v>
          </cell>
          <cell r="AB3419" t="str">
            <v>serum</v>
          </cell>
          <cell r="AF3419">
            <v>0.7</v>
          </cell>
        </row>
        <row r="3420">
          <cell r="A3420" t="str">
            <v>IS_alqt_plus</v>
          </cell>
          <cell r="K3420" t="str">
            <v>EFLA</v>
          </cell>
          <cell r="M3420" t="str">
            <v>M</v>
          </cell>
          <cell r="AB3420" t="str">
            <v>serum</v>
          </cell>
          <cell r="AF3420">
            <v>0.2</v>
          </cell>
        </row>
        <row r="3421">
          <cell r="A3421" t="str">
            <v>IS_alqt_plus</v>
          </cell>
          <cell r="K3421" t="str">
            <v>EUL</v>
          </cell>
          <cell r="M3421" t="str">
            <v>F</v>
          </cell>
          <cell r="AB3421" t="str">
            <v>serum</v>
          </cell>
          <cell r="AF3421">
            <v>0.8</v>
          </cell>
        </row>
        <row r="3422">
          <cell r="A3422" t="str">
            <v>IS_alqt_plus</v>
          </cell>
          <cell r="K3422" t="str">
            <v>ERUF</v>
          </cell>
          <cell r="M3422" t="str">
            <v>M</v>
          </cell>
          <cell r="AB3422" t="str">
            <v>WB</v>
          </cell>
          <cell r="AF3422">
            <v>0.9</v>
          </cell>
        </row>
        <row r="3423">
          <cell r="A3423" t="str">
            <v>IS_alqt_plus</v>
          </cell>
          <cell r="K3423" t="str">
            <v>ERUF</v>
          </cell>
          <cell r="M3423" t="str">
            <v>M</v>
          </cell>
          <cell r="AB3423" t="str">
            <v>WB</v>
          </cell>
          <cell r="AF3423">
            <v>0.75</v>
          </cell>
        </row>
        <row r="3424">
          <cell r="A3424" t="str">
            <v>IS_alqt_plus</v>
          </cell>
          <cell r="K3424" t="str">
            <v>ERUF</v>
          </cell>
          <cell r="M3424" t="str">
            <v>M</v>
          </cell>
          <cell r="AB3424" t="str">
            <v>serum</v>
          </cell>
          <cell r="AF3424">
            <v>0.9</v>
          </cell>
        </row>
        <row r="3425">
          <cell r="A3425" t="str">
            <v>IS_alqt_plus</v>
          </cell>
          <cell r="K3425" t="str">
            <v>ERUF</v>
          </cell>
          <cell r="M3425" t="str">
            <v>M</v>
          </cell>
          <cell r="AB3425" t="str">
            <v>serum</v>
          </cell>
          <cell r="AF3425">
            <v>1.1000000000000001</v>
          </cell>
        </row>
        <row r="3426">
          <cell r="A3426" t="str">
            <v>IS_alqt_plus</v>
          </cell>
          <cell r="K3426" t="str">
            <v>EMON</v>
          </cell>
          <cell r="M3426" t="str">
            <v>M</v>
          </cell>
          <cell r="AB3426" t="str">
            <v>serum</v>
          </cell>
          <cell r="AF3426">
            <v>1</v>
          </cell>
        </row>
        <row r="3427">
          <cell r="A3427" t="str">
            <v>IS_alqt_plus</v>
          </cell>
          <cell r="K3427" t="str">
            <v>EMON</v>
          </cell>
          <cell r="M3427" t="str">
            <v>M</v>
          </cell>
          <cell r="AB3427" t="str">
            <v>serum</v>
          </cell>
          <cell r="AF3427">
            <v>1.3</v>
          </cell>
        </row>
        <row r="3428">
          <cell r="A3428" t="str">
            <v>IS_alqt_plus</v>
          </cell>
          <cell r="K3428" t="str">
            <v>EMON</v>
          </cell>
          <cell r="M3428" t="str">
            <v>M</v>
          </cell>
          <cell r="AB3428" t="str">
            <v>serum</v>
          </cell>
          <cell r="AF3428">
            <v>0.5</v>
          </cell>
        </row>
        <row r="3429">
          <cell r="A3429" t="str">
            <v>IS_alqt_plus</v>
          </cell>
          <cell r="K3429" t="str">
            <v>EMON</v>
          </cell>
          <cell r="M3429" t="str">
            <v>F</v>
          </cell>
          <cell r="AB3429" t="str">
            <v>serum</v>
          </cell>
          <cell r="AF3429">
            <v>1</v>
          </cell>
        </row>
        <row r="3430">
          <cell r="A3430" t="str">
            <v>IS_alqt_plus</v>
          </cell>
          <cell r="K3430" t="str">
            <v>ECOL</v>
          </cell>
          <cell r="M3430" t="str">
            <v>F</v>
          </cell>
          <cell r="AB3430" t="str">
            <v>WB</v>
          </cell>
          <cell r="AF3430">
            <v>0.25</v>
          </cell>
        </row>
        <row r="3431">
          <cell r="A3431" t="str">
            <v>IS_alqt_plus</v>
          </cell>
          <cell r="K3431" t="str">
            <v>VVV</v>
          </cell>
          <cell r="M3431" t="str">
            <v>M</v>
          </cell>
          <cell r="AB3431" t="str">
            <v>WB</v>
          </cell>
          <cell r="AF3431">
            <v>0.3</v>
          </cell>
        </row>
        <row r="3432">
          <cell r="A3432" t="str">
            <v>IS_alqt_plus</v>
          </cell>
          <cell r="K3432" t="str">
            <v>VVV</v>
          </cell>
          <cell r="M3432" t="str">
            <v>M</v>
          </cell>
          <cell r="AB3432" t="str">
            <v>serum</v>
          </cell>
          <cell r="AF3432">
            <v>0.3</v>
          </cell>
        </row>
        <row r="3433">
          <cell r="A3433" t="str">
            <v>IS_alqt_plus</v>
          </cell>
          <cell r="K3433" t="str">
            <v>EFLA</v>
          </cell>
          <cell r="M3433" t="str">
            <v>M</v>
          </cell>
          <cell r="AB3433" t="str">
            <v>WB</v>
          </cell>
          <cell r="AF3433">
            <v>0.6</v>
          </cell>
        </row>
        <row r="3434">
          <cell r="A3434" t="str">
            <v>IS_alqt_plus</v>
          </cell>
          <cell r="K3434" t="str">
            <v>EFLA</v>
          </cell>
          <cell r="M3434" t="str">
            <v>M</v>
          </cell>
          <cell r="AB3434" t="str">
            <v>serum</v>
          </cell>
          <cell r="AF3434">
            <v>0.5</v>
          </cell>
        </row>
        <row r="3435">
          <cell r="A3435" t="str">
            <v>IS_alqt_plus</v>
          </cell>
          <cell r="K3435" t="str">
            <v>EFLA</v>
          </cell>
          <cell r="M3435" t="str">
            <v>M</v>
          </cell>
          <cell r="AB3435" t="str">
            <v>serum</v>
          </cell>
          <cell r="AF3435">
            <v>0.8</v>
          </cell>
        </row>
        <row r="3436">
          <cell r="A3436" t="str">
            <v>gone</v>
          </cell>
          <cell r="K3436" t="str">
            <v>ECOR</v>
          </cell>
          <cell r="M3436" t="str">
            <v>M</v>
          </cell>
          <cell r="AB3436" t="str">
            <v>WB</v>
          </cell>
          <cell r="AF3436">
            <v>0</v>
          </cell>
        </row>
        <row r="3437">
          <cell r="A3437" t="str">
            <v>IS_alqt_plus</v>
          </cell>
          <cell r="K3437" t="str">
            <v>ECOR</v>
          </cell>
          <cell r="M3437" t="str">
            <v>M</v>
          </cell>
          <cell r="AB3437" t="str">
            <v>serum</v>
          </cell>
          <cell r="AF3437">
            <v>1</v>
          </cell>
        </row>
        <row r="3438">
          <cell r="A3438" t="str">
            <v>IS_alqt_plus</v>
          </cell>
          <cell r="K3438" t="str">
            <v>HGG</v>
          </cell>
          <cell r="M3438" t="str">
            <v>M</v>
          </cell>
          <cell r="AB3438" t="str">
            <v>WB</v>
          </cell>
          <cell r="AF3438">
            <v>0.9</v>
          </cell>
        </row>
        <row r="3439">
          <cell r="A3439" t="str">
            <v>IS_alqt_plus</v>
          </cell>
          <cell r="K3439" t="str">
            <v>HGG</v>
          </cell>
          <cell r="M3439" t="str">
            <v>M</v>
          </cell>
          <cell r="AB3439" t="str">
            <v>WB</v>
          </cell>
          <cell r="AF3439">
            <v>1.2</v>
          </cell>
        </row>
        <row r="3440">
          <cell r="A3440" t="str">
            <v>IS_alqt_plus</v>
          </cell>
          <cell r="K3440" t="str">
            <v>HGG</v>
          </cell>
          <cell r="M3440" t="str">
            <v>M</v>
          </cell>
          <cell r="AB3440" t="str">
            <v>WB</v>
          </cell>
          <cell r="AF3440">
            <v>0.75</v>
          </cell>
        </row>
        <row r="3441">
          <cell r="A3441" t="str">
            <v>IS_alqt_plus</v>
          </cell>
          <cell r="K3441" t="str">
            <v>HGG</v>
          </cell>
          <cell r="M3441" t="str">
            <v>M</v>
          </cell>
          <cell r="AB3441" t="str">
            <v>WB</v>
          </cell>
          <cell r="AF3441">
            <v>1</v>
          </cell>
        </row>
        <row r="3442">
          <cell r="A3442" t="str">
            <v>IS_alqt_plus</v>
          </cell>
          <cell r="K3442" t="str">
            <v>HGG</v>
          </cell>
          <cell r="M3442" t="str">
            <v>M</v>
          </cell>
          <cell r="AB3442" t="str">
            <v>WB</v>
          </cell>
          <cell r="AF3442">
            <v>1</v>
          </cell>
        </row>
        <row r="3443">
          <cell r="A3443" t="str">
            <v>gone</v>
          </cell>
          <cell r="K3443" t="str">
            <v>HGG</v>
          </cell>
          <cell r="M3443" t="str">
            <v>M</v>
          </cell>
          <cell r="AB3443" t="str">
            <v>WB</v>
          </cell>
          <cell r="AF3443">
            <v>0</v>
          </cell>
        </row>
        <row r="3444">
          <cell r="A3444" t="str">
            <v>IS_alqt_plus</v>
          </cell>
          <cell r="K3444" t="str">
            <v>HGG</v>
          </cell>
          <cell r="M3444" t="str">
            <v>M</v>
          </cell>
          <cell r="AB3444" t="str">
            <v>serum</v>
          </cell>
          <cell r="AF3444">
            <v>1.2</v>
          </cell>
        </row>
        <row r="3445">
          <cell r="A3445" t="str">
            <v>IS_alqt_plus</v>
          </cell>
          <cell r="K3445" t="str">
            <v>HGG</v>
          </cell>
          <cell r="M3445" t="str">
            <v>M</v>
          </cell>
          <cell r="AB3445" t="str">
            <v>serum</v>
          </cell>
          <cell r="AF3445">
            <v>1.2</v>
          </cell>
        </row>
        <row r="3446">
          <cell r="A3446" t="str">
            <v>IS_alqt_plus</v>
          </cell>
          <cell r="K3446" t="str">
            <v>HGG</v>
          </cell>
          <cell r="M3446" t="str">
            <v>M</v>
          </cell>
          <cell r="AB3446" t="str">
            <v>serum</v>
          </cell>
          <cell r="AF3446">
            <v>1.2</v>
          </cell>
        </row>
        <row r="3447">
          <cell r="A3447" t="str">
            <v>IS_alqt_plus</v>
          </cell>
          <cell r="K3447" t="str">
            <v>HGG</v>
          </cell>
          <cell r="M3447" t="str">
            <v>M</v>
          </cell>
          <cell r="AB3447" t="str">
            <v>serum</v>
          </cell>
          <cell r="AF3447">
            <v>1</v>
          </cell>
        </row>
        <row r="3448">
          <cell r="A3448" t="str">
            <v>IS_alqt_plus</v>
          </cell>
          <cell r="K3448" t="str">
            <v>HGG</v>
          </cell>
          <cell r="M3448" t="str">
            <v>M</v>
          </cell>
          <cell r="AB3448" t="str">
            <v>serum</v>
          </cell>
          <cell r="AF3448">
            <v>1</v>
          </cell>
        </row>
        <row r="3449">
          <cell r="A3449" t="str">
            <v>IS_alqt_plus</v>
          </cell>
          <cell r="K3449" t="str">
            <v>HGG</v>
          </cell>
          <cell r="M3449" t="str">
            <v>M</v>
          </cell>
          <cell r="AB3449" t="str">
            <v>serum</v>
          </cell>
          <cell r="AF3449">
            <v>1.2</v>
          </cell>
        </row>
        <row r="3450">
          <cell r="A3450" t="str">
            <v>IS_alqt_plus</v>
          </cell>
          <cell r="K3450" t="str">
            <v>HGG</v>
          </cell>
          <cell r="M3450" t="str">
            <v>M</v>
          </cell>
          <cell r="AB3450" t="str">
            <v>serum</v>
          </cell>
          <cell r="AF3450">
            <v>0.6</v>
          </cell>
        </row>
        <row r="3451">
          <cell r="A3451" t="str">
            <v>IS_alqt_plus</v>
          </cell>
          <cell r="K3451" t="str">
            <v>HGG</v>
          </cell>
          <cell r="M3451" t="str">
            <v>M</v>
          </cell>
          <cell r="AB3451" t="str">
            <v>serum</v>
          </cell>
          <cell r="AF3451">
            <v>1</v>
          </cell>
        </row>
        <row r="3452">
          <cell r="A3452" t="str">
            <v>IS_alqt_plus</v>
          </cell>
          <cell r="K3452" t="str">
            <v>HGG</v>
          </cell>
          <cell r="M3452" t="str">
            <v>M</v>
          </cell>
          <cell r="AB3452" t="str">
            <v>serum</v>
          </cell>
          <cell r="AF3452">
            <v>1</v>
          </cell>
        </row>
        <row r="3453">
          <cell r="A3453" t="str">
            <v>IS_alqt_plus</v>
          </cell>
          <cell r="K3453" t="str">
            <v>HGG</v>
          </cell>
          <cell r="M3453" t="str">
            <v>M</v>
          </cell>
          <cell r="AB3453" t="str">
            <v>serum</v>
          </cell>
          <cell r="AF3453">
            <v>1.1000000000000001</v>
          </cell>
        </row>
        <row r="3454">
          <cell r="A3454" t="str">
            <v>IS_alqt_plus</v>
          </cell>
          <cell r="K3454" t="str">
            <v>HGG</v>
          </cell>
          <cell r="M3454" t="str">
            <v>M</v>
          </cell>
          <cell r="AB3454" t="str">
            <v>serum</v>
          </cell>
          <cell r="AF3454">
            <v>1</v>
          </cell>
        </row>
        <row r="3455">
          <cell r="A3455" t="str">
            <v>IS_alqt_plus</v>
          </cell>
          <cell r="K3455" t="str">
            <v>HGG</v>
          </cell>
          <cell r="M3455" t="str">
            <v>M</v>
          </cell>
          <cell r="AB3455" t="str">
            <v>serum</v>
          </cell>
          <cell r="AF3455">
            <v>1.1000000000000001</v>
          </cell>
        </row>
        <row r="3456">
          <cell r="A3456" t="str">
            <v>IS_alqt_plus</v>
          </cell>
          <cell r="K3456" t="str">
            <v>HGG</v>
          </cell>
          <cell r="M3456" t="str">
            <v>M</v>
          </cell>
          <cell r="AB3456" t="str">
            <v>serum</v>
          </cell>
          <cell r="AF3456">
            <v>1</v>
          </cell>
        </row>
        <row r="3457">
          <cell r="A3457" t="str">
            <v>IS_alqt_plus</v>
          </cell>
          <cell r="K3457" t="str">
            <v>HGG</v>
          </cell>
          <cell r="M3457" t="str">
            <v>M</v>
          </cell>
          <cell r="AB3457" t="str">
            <v>serum</v>
          </cell>
          <cell r="AF3457">
            <v>1</v>
          </cell>
        </row>
        <row r="3458">
          <cell r="A3458" t="str">
            <v>IS_alqt_plus</v>
          </cell>
          <cell r="K3458" t="str">
            <v>HGG</v>
          </cell>
          <cell r="M3458" t="str">
            <v>M</v>
          </cell>
          <cell r="AB3458" t="str">
            <v>serum</v>
          </cell>
          <cell r="AF3458">
            <v>1.2</v>
          </cell>
        </row>
        <row r="3459">
          <cell r="A3459" t="str">
            <v>IS_alqt_plus</v>
          </cell>
          <cell r="K3459" t="str">
            <v>HGG</v>
          </cell>
          <cell r="M3459" t="str">
            <v>M</v>
          </cell>
          <cell r="AB3459" t="str">
            <v>serum</v>
          </cell>
          <cell r="AF3459">
            <v>1.2</v>
          </cell>
        </row>
        <row r="3460">
          <cell r="A3460" t="str">
            <v>IS_alqt_plus</v>
          </cell>
          <cell r="K3460" t="str">
            <v>HGG</v>
          </cell>
          <cell r="M3460" t="str">
            <v>M</v>
          </cell>
          <cell r="AB3460" t="str">
            <v>serum</v>
          </cell>
          <cell r="AF3460">
            <v>1.3</v>
          </cell>
        </row>
        <row r="3461">
          <cell r="A3461" t="str">
            <v>IS_alqt_plus</v>
          </cell>
          <cell r="K3461" t="str">
            <v>HGG</v>
          </cell>
          <cell r="M3461" t="str">
            <v>M</v>
          </cell>
          <cell r="AB3461" t="str">
            <v>serum</v>
          </cell>
          <cell r="AF3461">
            <v>1.2</v>
          </cell>
        </row>
        <row r="3462">
          <cell r="A3462" t="str">
            <v>IS_alqt_plus</v>
          </cell>
          <cell r="K3462" t="str">
            <v>HGG</v>
          </cell>
          <cell r="M3462" t="str">
            <v>M</v>
          </cell>
          <cell r="AB3462" t="str">
            <v>serum</v>
          </cell>
          <cell r="AF3462">
            <v>1.2</v>
          </cell>
        </row>
        <row r="3463">
          <cell r="A3463" t="str">
            <v>IS_alqt_plus</v>
          </cell>
          <cell r="K3463" t="str">
            <v>HGG</v>
          </cell>
          <cell r="M3463" t="str">
            <v>M</v>
          </cell>
          <cell r="AB3463" t="str">
            <v>serum</v>
          </cell>
          <cell r="AF3463">
            <v>1.2</v>
          </cell>
        </row>
        <row r="3464">
          <cell r="A3464" t="str">
            <v>IS_alqt_plus</v>
          </cell>
          <cell r="K3464" t="str">
            <v>HGG</v>
          </cell>
          <cell r="M3464" t="str">
            <v>M</v>
          </cell>
          <cell r="AB3464" t="str">
            <v>serum</v>
          </cell>
          <cell r="AF3464">
            <v>1.1000000000000001</v>
          </cell>
        </row>
        <row r="3465">
          <cell r="A3465" t="str">
            <v>IS_alqt_plus</v>
          </cell>
          <cell r="K3465" t="str">
            <v>HGG</v>
          </cell>
          <cell r="M3465" t="str">
            <v>M</v>
          </cell>
          <cell r="AB3465" t="str">
            <v>serum</v>
          </cell>
          <cell r="AF3465">
            <v>1.1000000000000001</v>
          </cell>
        </row>
        <row r="3466">
          <cell r="A3466" t="str">
            <v>IS_alqt_plus</v>
          </cell>
          <cell r="K3466" t="str">
            <v>HGG</v>
          </cell>
          <cell r="M3466" t="str">
            <v>M</v>
          </cell>
          <cell r="AB3466" t="str">
            <v>serum</v>
          </cell>
          <cell r="AF3466">
            <v>1.1000000000000001</v>
          </cell>
        </row>
        <row r="3467">
          <cell r="A3467" t="str">
            <v>IS_alqt_plus</v>
          </cell>
          <cell r="K3467" t="str">
            <v>HGG</v>
          </cell>
          <cell r="M3467" t="str">
            <v>M</v>
          </cell>
          <cell r="AB3467" t="str">
            <v>serum</v>
          </cell>
          <cell r="AF3467">
            <v>1</v>
          </cell>
        </row>
        <row r="3468">
          <cell r="A3468" t="str">
            <v>IS_alqt_plus</v>
          </cell>
          <cell r="K3468" t="str">
            <v>HGG</v>
          </cell>
          <cell r="M3468" t="str">
            <v>M</v>
          </cell>
          <cell r="AB3468" t="str">
            <v>serum</v>
          </cell>
          <cell r="AF3468">
            <v>1.2</v>
          </cell>
        </row>
        <row r="3469">
          <cell r="A3469" t="str">
            <v>IS_alqt_plus</v>
          </cell>
          <cell r="K3469" t="str">
            <v>HGG</v>
          </cell>
          <cell r="M3469" t="str">
            <v>M</v>
          </cell>
          <cell r="AB3469" t="str">
            <v>serum</v>
          </cell>
          <cell r="AF3469">
            <v>1</v>
          </cell>
        </row>
        <row r="3470">
          <cell r="A3470" t="str">
            <v>IS_alqt_plus</v>
          </cell>
          <cell r="K3470" t="str">
            <v>HGG</v>
          </cell>
          <cell r="M3470" t="str">
            <v>M</v>
          </cell>
          <cell r="AB3470" t="str">
            <v>serum</v>
          </cell>
          <cell r="AF3470">
            <v>1.2</v>
          </cell>
        </row>
        <row r="3471">
          <cell r="A3471" t="str">
            <v>IS_alqt_plus</v>
          </cell>
          <cell r="K3471" t="str">
            <v>HGG</v>
          </cell>
          <cell r="M3471" t="str">
            <v>M</v>
          </cell>
          <cell r="AB3471" t="str">
            <v>serum</v>
          </cell>
          <cell r="AF3471">
            <v>1.2</v>
          </cell>
        </row>
        <row r="3472">
          <cell r="A3472" t="str">
            <v>IS_alqt_plus</v>
          </cell>
          <cell r="K3472" t="str">
            <v>CMED</v>
          </cell>
          <cell r="M3472" t="str">
            <v>M</v>
          </cell>
          <cell r="AB3472" t="str">
            <v>PRBC</v>
          </cell>
          <cell r="AF3472">
            <v>0.4</v>
          </cell>
        </row>
        <row r="3473">
          <cell r="A3473" t="str">
            <v>IS_alqt_plus</v>
          </cell>
          <cell r="K3473" t="str">
            <v>VRUB</v>
          </cell>
          <cell r="M3473" t="str">
            <v>F</v>
          </cell>
          <cell r="AB3473" t="str">
            <v>WB</v>
          </cell>
          <cell r="AF3473">
            <v>0.4</v>
          </cell>
        </row>
        <row r="3474">
          <cell r="A3474" t="str">
            <v>IS_alqt_plus</v>
          </cell>
          <cell r="K3474" t="str">
            <v>VRUB</v>
          </cell>
          <cell r="M3474" t="str">
            <v>F</v>
          </cell>
          <cell r="AB3474" t="str">
            <v>WB</v>
          </cell>
          <cell r="AF3474">
            <v>1.5</v>
          </cell>
        </row>
        <row r="3475">
          <cell r="A3475" t="str">
            <v>IS_alqt_plus</v>
          </cell>
          <cell r="K3475" t="str">
            <v>VRUB</v>
          </cell>
          <cell r="M3475" t="str">
            <v>F</v>
          </cell>
          <cell r="AB3475" t="str">
            <v>WB</v>
          </cell>
          <cell r="AF3475">
            <v>1.5</v>
          </cell>
        </row>
        <row r="3476">
          <cell r="A3476" t="str">
            <v>IS_alqt_plus</v>
          </cell>
          <cell r="K3476" t="str">
            <v>VRUB</v>
          </cell>
          <cell r="M3476" t="str">
            <v>F</v>
          </cell>
          <cell r="AB3476" t="str">
            <v>WB</v>
          </cell>
          <cell r="AF3476">
            <v>1.3</v>
          </cell>
        </row>
        <row r="3477">
          <cell r="A3477" t="str">
            <v>IS_alqt_plus</v>
          </cell>
          <cell r="K3477" t="str">
            <v>VRUB</v>
          </cell>
          <cell r="M3477" t="str">
            <v>F</v>
          </cell>
          <cell r="AB3477" t="str">
            <v>WB</v>
          </cell>
          <cell r="AF3477">
            <v>0.5</v>
          </cell>
        </row>
        <row r="3478">
          <cell r="A3478" t="str">
            <v>IS_alqt_plus</v>
          </cell>
          <cell r="K3478" t="str">
            <v>VRUB</v>
          </cell>
          <cell r="M3478" t="str">
            <v>F</v>
          </cell>
          <cell r="AB3478" t="str">
            <v>WB</v>
          </cell>
          <cell r="AF3478">
            <v>1</v>
          </cell>
        </row>
        <row r="3479">
          <cell r="A3479" t="str">
            <v>IS_alqt_plus</v>
          </cell>
          <cell r="K3479" t="str">
            <v>VRUB</v>
          </cell>
          <cell r="M3479" t="str">
            <v>F</v>
          </cell>
          <cell r="AB3479" t="str">
            <v>WB</v>
          </cell>
          <cell r="AF3479">
            <v>1.25</v>
          </cell>
        </row>
        <row r="3480">
          <cell r="A3480" t="str">
            <v>IS_alqt_plus</v>
          </cell>
          <cell r="K3480" t="str">
            <v>VRUB</v>
          </cell>
          <cell r="M3480" t="str">
            <v>F</v>
          </cell>
          <cell r="AB3480" t="str">
            <v>WB</v>
          </cell>
          <cell r="AF3480">
            <v>1.25</v>
          </cell>
        </row>
        <row r="3481">
          <cell r="A3481" t="str">
            <v>IS_alqt_plus</v>
          </cell>
          <cell r="K3481" t="str">
            <v>VRUB</v>
          </cell>
          <cell r="M3481" t="str">
            <v>F</v>
          </cell>
          <cell r="AB3481" t="str">
            <v>WB</v>
          </cell>
          <cell r="AF3481">
            <v>1.3</v>
          </cell>
        </row>
        <row r="3482">
          <cell r="A3482" t="str">
            <v>IS_alqt_plus</v>
          </cell>
          <cell r="K3482" t="str">
            <v>VRUB</v>
          </cell>
          <cell r="M3482" t="str">
            <v>F</v>
          </cell>
          <cell r="AB3482" t="str">
            <v>WB</v>
          </cell>
          <cell r="AF3482">
            <v>1.3</v>
          </cell>
        </row>
        <row r="3483">
          <cell r="A3483" t="str">
            <v>IS_alqt_plus</v>
          </cell>
          <cell r="K3483" t="str">
            <v>VRUB</v>
          </cell>
          <cell r="M3483" t="str">
            <v>F</v>
          </cell>
          <cell r="AB3483" t="str">
            <v>WB</v>
          </cell>
          <cell r="AF3483">
            <v>1.3</v>
          </cell>
        </row>
        <row r="3484">
          <cell r="A3484" t="str">
            <v>IS_alqt_plus</v>
          </cell>
          <cell r="K3484" t="str">
            <v>VRUB</v>
          </cell>
          <cell r="M3484" t="str">
            <v>F</v>
          </cell>
          <cell r="AB3484" t="str">
            <v>serum</v>
          </cell>
          <cell r="AF3484">
            <v>0.55000000000000004</v>
          </cell>
        </row>
        <row r="3485">
          <cell r="A3485" t="str">
            <v>IS_alqt_plus</v>
          </cell>
          <cell r="K3485" t="str">
            <v>VRUB</v>
          </cell>
          <cell r="M3485" t="str">
            <v>F</v>
          </cell>
          <cell r="AB3485" t="str">
            <v>serum</v>
          </cell>
          <cell r="AF3485">
            <v>1</v>
          </cell>
        </row>
        <row r="3486">
          <cell r="A3486" t="str">
            <v>IS_alqt_plus</v>
          </cell>
          <cell r="K3486" t="str">
            <v>VRUB</v>
          </cell>
          <cell r="M3486" t="str">
            <v>F</v>
          </cell>
          <cell r="AB3486" t="str">
            <v>serum</v>
          </cell>
          <cell r="AF3486">
            <v>1</v>
          </cell>
        </row>
        <row r="3487">
          <cell r="A3487" t="str">
            <v>IS_alqt_plus</v>
          </cell>
          <cell r="K3487" t="str">
            <v>VRUB</v>
          </cell>
          <cell r="M3487" t="str">
            <v>F</v>
          </cell>
          <cell r="AB3487" t="str">
            <v>serum</v>
          </cell>
          <cell r="AF3487">
            <v>1</v>
          </cell>
        </row>
        <row r="3488">
          <cell r="A3488" t="str">
            <v>IS_alqt_plus</v>
          </cell>
          <cell r="K3488" t="str">
            <v>VRUB</v>
          </cell>
          <cell r="M3488" t="str">
            <v>F</v>
          </cell>
          <cell r="AB3488" t="str">
            <v>serum</v>
          </cell>
          <cell r="AF3488">
            <v>1</v>
          </cell>
        </row>
        <row r="3489">
          <cell r="A3489" t="str">
            <v>IS_alqt_plus</v>
          </cell>
          <cell r="K3489" t="str">
            <v>VRUB</v>
          </cell>
          <cell r="M3489" t="str">
            <v>F</v>
          </cell>
          <cell r="AB3489" t="str">
            <v>serum</v>
          </cell>
          <cell r="AF3489">
            <v>1</v>
          </cell>
        </row>
        <row r="3490">
          <cell r="A3490" t="str">
            <v>IS_alqt_plus</v>
          </cell>
          <cell r="K3490" t="str">
            <v>VRUB</v>
          </cell>
          <cell r="M3490" t="str">
            <v>F</v>
          </cell>
          <cell r="AB3490" t="str">
            <v>serum</v>
          </cell>
          <cell r="AF3490">
            <v>1</v>
          </cell>
        </row>
        <row r="3491">
          <cell r="A3491" t="str">
            <v>IS_alqt_plus</v>
          </cell>
          <cell r="K3491" t="str">
            <v>VRUB</v>
          </cell>
          <cell r="M3491" t="str">
            <v>F</v>
          </cell>
          <cell r="AB3491" t="str">
            <v>serum</v>
          </cell>
          <cell r="AF3491">
            <v>1</v>
          </cell>
        </row>
        <row r="3492">
          <cell r="A3492" t="str">
            <v>IS_alqt_plus</v>
          </cell>
          <cell r="K3492" t="str">
            <v>VRUB</v>
          </cell>
          <cell r="M3492" t="str">
            <v>F</v>
          </cell>
          <cell r="AB3492" t="str">
            <v>serum</v>
          </cell>
          <cell r="AF3492">
            <v>1</v>
          </cell>
        </row>
        <row r="3493">
          <cell r="A3493" t="str">
            <v>IS_alqt_plus</v>
          </cell>
          <cell r="K3493" t="str">
            <v>VRUB</v>
          </cell>
          <cell r="M3493" t="str">
            <v>F</v>
          </cell>
          <cell r="AB3493" t="str">
            <v>serum</v>
          </cell>
          <cell r="AF3493">
            <v>1</v>
          </cell>
        </row>
        <row r="3494">
          <cell r="A3494" t="str">
            <v>IS_alqt_plus</v>
          </cell>
          <cell r="K3494" t="str">
            <v>VRUB</v>
          </cell>
          <cell r="M3494" t="str">
            <v>F</v>
          </cell>
          <cell r="AB3494" t="str">
            <v>serum</v>
          </cell>
          <cell r="AF3494">
            <v>1</v>
          </cell>
        </row>
        <row r="3495">
          <cell r="A3495" t="str">
            <v>IS_alqt_plus</v>
          </cell>
          <cell r="K3495" t="str">
            <v>VRUB</v>
          </cell>
          <cell r="M3495" t="str">
            <v>F</v>
          </cell>
          <cell r="AB3495" t="str">
            <v>serum</v>
          </cell>
          <cell r="AF3495">
            <v>1</v>
          </cell>
        </row>
        <row r="3496">
          <cell r="A3496" t="str">
            <v>IS_alqt_plus</v>
          </cell>
          <cell r="K3496" t="str">
            <v>VRUB</v>
          </cell>
          <cell r="M3496" t="str">
            <v>F</v>
          </cell>
          <cell r="AB3496" t="str">
            <v>serum</v>
          </cell>
          <cell r="AF3496">
            <v>1</v>
          </cell>
        </row>
        <row r="3497">
          <cell r="A3497" t="str">
            <v>IS_alqt_plus</v>
          </cell>
          <cell r="K3497" t="str">
            <v>VRUB</v>
          </cell>
          <cell r="M3497" t="str">
            <v>F</v>
          </cell>
          <cell r="AB3497" t="str">
            <v>serum</v>
          </cell>
          <cell r="AF3497">
            <v>1</v>
          </cell>
        </row>
        <row r="3498">
          <cell r="A3498" t="str">
            <v>IS_alqt_plus</v>
          </cell>
          <cell r="K3498" t="str">
            <v>VRUB</v>
          </cell>
          <cell r="M3498" t="str">
            <v>F</v>
          </cell>
          <cell r="AB3498" t="str">
            <v>serum</v>
          </cell>
          <cell r="AF3498">
            <v>1</v>
          </cell>
        </row>
        <row r="3499">
          <cell r="A3499" t="str">
            <v>IS_alqt_plus</v>
          </cell>
          <cell r="K3499" t="str">
            <v>VRUB</v>
          </cell>
          <cell r="M3499" t="str">
            <v>F</v>
          </cell>
          <cell r="AB3499" t="str">
            <v>serum</v>
          </cell>
          <cell r="AF3499">
            <v>1</v>
          </cell>
        </row>
        <row r="3500">
          <cell r="A3500" t="str">
            <v>IS_alqt_plus</v>
          </cell>
          <cell r="K3500" t="str">
            <v>VRUB</v>
          </cell>
          <cell r="M3500" t="str">
            <v>F</v>
          </cell>
          <cell r="AB3500" t="str">
            <v>serum</v>
          </cell>
          <cell r="AF3500">
            <v>1</v>
          </cell>
        </row>
        <row r="3501">
          <cell r="A3501" t="str">
            <v>IS_alqt_plus</v>
          </cell>
          <cell r="K3501" t="str">
            <v>VRUB</v>
          </cell>
          <cell r="M3501" t="str">
            <v>F</v>
          </cell>
          <cell r="AB3501" t="str">
            <v>serum</v>
          </cell>
          <cell r="AF3501">
            <v>1</v>
          </cell>
        </row>
        <row r="3502">
          <cell r="A3502" t="str">
            <v>IS_alqt_plus</v>
          </cell>
          <cell r="K3502" t="str">
            <v>VRUB</v>
          </cell>
          <cell r="M3502" t="str">
            <v>F</v>
          </cell>
          <cell r="AB3502" t="str">
            <v>serum</v>
          </cell>
          <cell r="AF3502">
            <v>1</v>
          </cell>
        </row>
        <row r="3503">
          <cell r="A3503" t="str">
            <v>IS_alqt_plus</v>
          </cell>
          <cell r="K3503" t="str">
            <v>VRUB</v>
          </cell>
          <cell r="M3503" t="str">
            <v>F</v>
          </cell>
          <cell r="AB3503" t="str">
            <v>serum</v>
          </cell>
          <cell r="AF3503">
            <v>1</v>
          </cell>
        </row>
        <row r="3504">
          <cell r="A3504" t="str">
            <v>IS_alqt_plus</v>
          </cell>
          <cell r="K3504" t="str">
            <v>VRUB</v>
          </cell>
          <cell r="M3504" t="str">
            <v>F</v>
          </cell>
          <cell r="AB3504" t="str">
            <v>serum</v>
          </cell>
          <cell r="AF3504">
            <v>1</v>
          </cell>
        </row>
        <row r="3505">
          <cell r="A3505" t="str">
            <v>IS_alqt_plus</v>
          </cell>
          <cell r="K3505" t="str">
            <v>VRUB</v>
          </cell>
          <cell r="M3505" t="str">
            <v>F</v>
          </cell>
          <cell r="AB3505" t="str">
            <v>serum</v>
          </cell>
          <cell r="AF3505">
            <v>1</v>
          </cell>
        </row>
        <row r="3506">
          <cell r="A3506" t="str">
            <v>IS_alqt_plus</v>
          </cell>
          <cell r="K3506" t="str">
            <v>VRUB</v>
          </cell>
          <cell r="M3506" t="str">
            <v>F</v>
          </cell>
          <cell r="AB3506" t="str">
            <v>serum</v>
          </cell>
          <cell r="AF3506">
            <v>1</v>
          </cell>
        </row>
        <row r="3507">
          <cell r="A3507" t="str">
            <v>IS_alqt_plus</v>
          </cell>
          <cell r="K3507" t="str">
            <v>VRUB</v>
          </cell>
          <cell r="M3507" t="str">
            <v>F</v>
          </cell>
          <cell r="AB3507" t="str">
            <v>serum</v>
          </cell>
          <cell r="AF3507">
            <v>0.9</v>
          </cell>
        </row>
        <row r="3508">
          <cell r="A3508" t="str">
            <v>IS_alqt_plus</v>
          </cell>
          <cell r="K3508" t="str">
            <v>VRUB</v>
          </cell>
          <cell r="M3508" t="str">
            <v>F</v>
          </cell>
          <cell r="AB3508" t="str">
            <v>serum</v>
          </cell>
          <cell r="AF3508">
            <v>1</v>
          </cell>
        </row>
        <row r="3509">
          <cell r="A3509" t="str">
            <v>IS_alqt_plus</v>
          </cell>
          <cell r="K3509" t="str">
            <v>VRUB</v>
          </cell>
          <cell r="M3509" t="str">
            <v>F</v>
          </cell>
          <cell r="AB3509" t="str">
            <v>serum</v>
          </cell>
          <cell r="AF3509">
            <v>1</v>
          </cell>
        </row>
        <row r="3510">
          <cell r="A3510" t="str">
            <v>IS_alqt_plus</v>
          </cell>
          <cell r="K3510" t="str">
            <v>VRUB</v>
          </cell>
          <cell r="M3510" t="str">
            <v>F</v>
          </cell>
          <cell r="AB3510" t="str">
            <v>serum</v>
          </cell>
          <cell r="AF3510">
            <v>1</v>
          </cell>
        </row>
        <row r="3511">
          <cell r="A3511" t="str">
            <v>IS_alqt_plus</v>
          </cell>
          <cell r="K3511" t="str">
            <v>VRUB</v>
          </cell>
          <cell r="M3511" t="str">
            <v>F</v>
          </cell>
          <cell r="AB3511" t="str">
            <v>serum</v>
          </cell>
          <cell r="AF3511">
            <v>1</v>
          </cell>
        </row>
        <row r="3512">
          <cell r="A3512" t="str">
            <v>IS_alqt_plus</v>
          </cell>
          <cell r="K3512" t="str">
            <v>VRUB</v>
          </cell>
          <cell r="M3512" t="str">
            <v>F</v>
          </cell>
          <cell r="AB3512" t="str">
            <v>serum</v>
          </cell>
          <cell r="AF3512">
            <v>1</v>
          </cell>
        </row>
        <row r="3513">
          <cell r="A3513" t="str">
            <v>IS_alqt_plus</v>
          </cell>
          <cell r="K3513" t="str">
            <v>VRUB</v>
          </cell>
          <cell r="M3513" t="str">
            <v>F</v>
          </cell>
          <cell r="AB3513" t="str">
            <v>serum</v>
          </cell>
          <cell r="AF3513">
            <v>1</v>
          </cell>
        </row>
        <row r="3514">
          <cell r="A3514" t="str">
            <v>IS_alqt_plus</v>
          </cell>
          <cell r="K3514" t="str">
            <v>VRUB</v>
          </cell>
          <cell r="M3514" t="str">
            <v>F</v>
          </cell>
          <cell r="AB3514" t="str">
            <v>serum</v>
          </cell>
          <cell r="AF3514">
            <v>1</v>
          </cell>
        </row>
        <row r="3515">
          <cell r="A3515" t="str">
            <v>IS_alqt_plus</v>
          </cell>
          <cell r="K3515" t="str">
            <v>VRUB</v>
          </cell>
          <cell r="M3515" t="str">
            <v>F</v>
          </cell>
          <cell r="AB3515" t="str">
            <v>serum</v>
          </cell>
          <cell r="AF3515">
            <v>1</v>
          </cell>
        </row>
        <row r="3516">
          <cell r="A3516" t="str">
            <v>IS_alqt_plus</v>
          </cell>
          <cell r="K3516" t="str">
            <v>VRUB</v>
          </cell>
          <cell r="M3516" t="str">
            <v>F</v>
          </cell>
          <cell r="AB3516" t="str">
            <v>serum</v>
          </cell>
          <cell r="AF3516">
            <v>1</v>
          </cell>
        </row>
        <row r="3517">
          <cell r="A3517" t="str">
            <v>IS_alqt_plus</v>
          </cell>
          <cell r="K3517" t="str">
            <v>VRUB</v>
          </cell>
          <cell r="M3517" t="str">
            <v>F</v>
          </cell>
          <cell r="AB3517" t="str">
            <v>serum</v>
          </cell>
          <cell r="AF3517">
            <v>1</v>
          </cell>
        </row>
        <row r="3518">
          <cell r="A3518" t="str">
            <v>unk</v>
          </cell>
          <cell r="K3518" t="str">
            <v>VRUB</v>
          </cell>
          <cell r="M3518" t="str">
            <v>F</v>
          </cell>
          <cell r="AB3518" t="str">
            <v>serum</v>
          </cell>
          <cell r="AF3518">
            <v>1</v>
          </cell>
        </row>
        <row r="3519">
          <cell r="A3519" t="str">
            <v>IS_alqt_plus</v>
          </cell>
          <cell r="K3519" t="str">
            <v>DMAD</v>
          </cell>
          <cell r="M3519" t="str">
            <v>M</v>
          </cell>
          <cell r="AB3519" t="str">
            <v>serum</v>
          </cell>
          <cell r="AF3519">
            <v>0.4</v>
          </cell>
        </row>
        <row r="3520">
          <cell r="A3520" t="str">
            <v>IS_alqt_plus</v>
          </cell>
          <cell r="K3520" t="str">
            <v>DMAD</v>
          </cell>
          <cell r="M3520" t="str">
            <v>M</v>
          </cell>
          <cell r="AB3520" t="str">
            <v>WB</v>
          </cell>
          <cell r="AF3520">
            <v>0.75</v>
          </cell>
        </row>
        <row r="3521">
          <cell r="A3521" t="str">
            <v>IS_alqt_plus</v>
          </cell>
          <cell r="K3521" t="str">
            <v>ECOR</v>
          </cell>
          <cell r="M3521" t="str">
            <v>M</v>
          </cell>
          <cell r="AB3521" t="str">
            <v>serum</v>
          </cell>
          <cell r="AF3521">
            <v>0.4</v>
          </cell>
        </row>
        <row r="3522">
          <cell r="A3522" t="str">
            <v>IS_alqt_plus</v>
          </cell>
          <cell r="K3522" t="str">
            <v>ECOR</v>
          </cell>
          <cell r="M3522" t="str">
            <v>F</v>
          </cell>
          <cell r="AB3522" t="str">
            <v>serum</v>
          </cell>
          <cell r="AF3522">
            <v>0.9</v>
          </cell>
        </row>
        <row r="3523">
          <cell r="A3523" t="str">
            <v>IS_alqt_plus</v>
          </cell>
          <cell r="K3523" t="str">
            <v>ECOR</v>
          </cell>
          <cell r="M3523" t="str">
            <v>M</v>
          </cell>
          <cell r="AB3523" t="str">
            <v>WB</v>
          </cell>
          <cell r="AF3523">
            <v>1</v>
          </cell>
        </row>
        <row r="3524">
          <cell r="A3524" t="str">
            <v>IS_alqt_plus</v>
          </cell>
          <cell r="K3524" t="str">
            <v>ECOR</v>
          </cell>
          <cell r="M3524" t="str">
            <v>M</v>
          </cell>
          <cell r="AB3524" t="str">
            <v>WB</v>
          </cell>
          <cell r="AF3524">
            <v>0.5</v>
          </cell>
        </row>
        <row r="3525">
          <cell r="A3525" t="str">
            <v>gone</v>
          </cell>
          <cell r="K3525" t="str">
            <v>ECOR</v>
          </cell>
          <cell r="M3525" t="str">
            <v>F</v>
          </cell>
          <cell r="AB3525" t="str">
            <v>WB</v>
          </cell>
          <cell r="AF3525">
            <v>0</v>
          </cell>
        </row>
        <row r="3526">
          <cell r="A3526" t="str">
            <v>IS_alqt_plus</v>
          </cell>
          <cell r="K3526" t="str">
            <v>ECOR</v>
          </cell>
          <cell r="M3526" t="str">
            <v>F</v>
          </cell>
          <cell r="AB3526" t="str">
            <v>WB</v>
          </cell>
          <cell r="AF3526">
            <v>0.5</v>
          </cell>
        </row>
        <row r="3527">
          <cell r="A3527" t="str">
            <v>IS_alqt_plus</v>
          </cell>
          <cell r="K3527" t="str">
            <v>ECOR</v>
          </cell>
          <cell r="M3527" t="str">
            <v>F</v>
          </cell>
          <cell r="AB3527" t="str">
            <v>serum</v>
          </cell>
          <cell r="AF3527">
            <v>0.25</v>
          </cell>
        </row>
        <row r="3528">
          <cell r="A3528" t="str">
            <v>IS_alqt_plus</v>
          </cell>
          <cell r="K3528" t="str">
            <v>EMAC</v>
          </cell>
          <cell r="M3528" t="str">
            <v>M</v>
          </cell>
          <cell r="AB3528" t="str">
            <v>serum</v>
          </cell>
          <cell r="AF3528">
            <v>0.8</v>
          </cell>
        </row>
        <row r="3529">
          <cell r="A3529" t="str">
            <v>IS_alqt_plus</v>
          </cell>
          <cell r="K3529" t="str">
            <v>LCAT</v>
          </cell>
          <cell r="M3529" t="str">
            <v>F</v>
          </cell>
          <cell r="AB3529" t="str">
            <v>WB</v>
          </cell>
          <cell r="AF3529">
            <v>0.8</v>
          </cell>
        </row>
        <row r="3530">
          <cell r="A3530" t="str">
            <v>IS_alqt_plus</v>
          </cell>
          <cell r="K3530" t="str">
            <v>LCAT</v>
          </cell>
          <cell r="M3530" t="str">
            <v>F</v>
          </cell>
          <cell r="AB3530" t="str">
            <v>WB</v>
          </cell>
          <cell r="AF3530">
            <v>0.2</v>
          </cell>
        </row>
        <row r="3531">
          <cell r="A3531" t="str">
            <v>IS_alqt_plus</v>
          </cell>
          <cell r="K3531" t="str">
            <v>LCAT</v>
          </cell>
          <cell r="M3531" t="str">
            <v>F</v>
          </cell>
          <cell r="AB3531" t="str">
            <v>WB</v>
          </cell>
          <cell r="AF3531">
            <v>0.2</v>
          </cell>
        </row>
        <row r="3532">
          <cell r="A3532" t="str">
            <v>IS_alqt_plus</v>
          </cell>
          <cell r="K3532" t="str">
            <v>LCAT</v>
          </cell>
          <cell r="M3532" t="str">
            <v>M</v>
          </cell>
          <cell r="AB3532" t="str">
            <v>serum</v>
          </cell>
          <cell r="AF3532">
            <v>0.5</v>
          </cell>
        </row>
        <row r="3533">
          <cell r="A3533" t="str">
            <v>IS_alqt_plus</v>
          </cell>
          <cell r="K3533" t="str">
            <v>EMAC</v>
          </cell>
          <cell r="M3533" t="str">
            <v>M</v>
          </cell>
          <cell r="AB3533" t="str">
            <v>WB</v>
          </cell>
          <cell r="AF3533">
            <v>1</v>
          </cell>
        </row>
        <row r="3534">
          <cell r="A3534" t="str">
            <v>IS_alqt_plus</v>
          </cell>
          <cell r="K3534" t="str">
            <v>DMAD</v>
          </cell>
          <cell r="M3534" t="str">
            <v>F</v>
          </cell>
          <cell r="AB3534" t="str">
            <v>Fluid- pericardial</v>
          </cell>
          <cell r="AF3534">
            <v>1.5</v>
          </cell>
        </row>
        <row r="3535">
          <cell r="A3535" t="str">
            <v>IS_alqt_plus</v>
          </cell>
          <cell r="K3535" t="str">
            <v>EMAC</v>
          </cell>
          <cell r="M3535" t="str">
            <v>M</v>
          </cell>
          <cell r="AB3535" t="str">
            <v>WB</v>
          </cell>
          <cell r="AF3535">
            <v>1.3</v>
          </cell>
        </row>
        <row r="3536">
          <cell r="A3536" t="str">
            <v>IS_alqt_plus</v>
          </cell>
          <cell r="K3536" t="str">
            <v>EMAC</v>
          </cell>
          <cell r="M3536" t="str">
            <v>M</v>
          </cell>
          <cell r="AB3536" t="str">
            <v>WB</v>
          </cell>
          <cell r="AF3536">
            <v>1.2</v>
          </cell>
        </row>
        <row r="3537">
          <cell r="A3537" t="str">
            <v>gone</v>
          </cell>
          <cell r="K3537" t="str">
            <v>EMAC</v>
          </cell>
          <cell r="M3537" t="str">
            <v>M</v>
          </cell>
          <cell r="AB3537" t="str">
            <v>WB</v>
          </cell>
          <cell r="AF3537">
            <v>0</v>
          </cell>
        </row>
        <row r="3538">
          <cell r="A3538" t="str">
            <v>IS_alqt_plus</v>
          </cell>
          <cell r="K3538" t="str">
            <v>EMAC</v>
          </cell>
          <cell r="M3538" t="str">
            <v>M</v>
          </cell>
          <cell r="AB3538" t="str">
            <v>WB</v>
          </cell>
          <cell r="AF3538">
            <v>1.3</v>
          </cell>
        </row>
        <row r="3539">
          <cell r="A3539" t="str">
            <v>IS_alqt_plus</v>
          </cell>
          <cell r="K3539" t="str">
            <v>EMAC</v>
          </cell>
          <cell r="M3539" t="str">
            <v>M</v>
          </cell>
          <cell r="AB3539" t="str">
            <v>WB</v>
          </cell>
          <cell r="AF3539">
            <v>1.2</v>
          </cell>
        </row>
        <row r="3540">
          <cell r="A3540" t="str">
            <v>IS_alqt_plus</v>
          </cell>
          <cell r="K3540" t="str">
            <v>EMAC</v>
          </cell>
          <cell r="M3540" t="str">
            <v>M</v>
          </cell>
          <cell r="AB3540" t="str">
            <v>WB</v>
          </cell>
          <cell r="AF3540">
            <v>0.8</v>
          </cell>
        </row>
        <row r="3541">
          <cell r="A3541" t="str">
            <v>IS_alqt_plus</v>
          </cell>
          <cell r="K3541" t="str">
            <v>EMAC</v>
          </cell>
          <cell r="M3541" t="str">
            <v>M</v>
          </cell>
          <cell r="AB3541" t="str">
            <v>WB</v>
          </cell>
          <cell r="AF3541">
            <v>1.1000000000000001</v>
          </cell>
        </row>
        <row r="3542">
          <cell r="A3542" t="str">
            <v>IS_alqt_plus</v>
          </cell>
          <cell r="K3542" t="str">
            <v>EMAC</v>
          </cell>
          <cell r="M3542" t="str">
            <v>M</v>
          </cell>
          <cell r="AB3542" t="str">
            <v>WB</v>
          </cell>
          <cell r="AF3542">
            <v>1</v>
          </cell>
        </row>
        <row r="3543">
          <cell r="A3543" t="str">
            <v>IS_alqt_plus</v>
          </cell>
          <cell r="K3543" t="str">
            <v>EMAC</v>
          </cell>
          <cell r="M3543" t="str">
            <v>M</v>
          </cell>
          <cell r="AB3543" t="str">
            <v>serum</v>
          </cell>
          <cell r="AF3543">
            <v>1</v>
          </cell>
        </row>
        <row r="3544">
          <cell r="A3544" t="str">
            <v>IS_alqt_plus</v>
          </cell>
          <cell r="K3544" t="str">
            <v>EMAC</v>
          </cell>
          <cell r="M3544" t="str">
            <v>M</v>
          </cell>
          <cell r="AB3544" t="str">
            <v>serum</v>
          </cell>
          <cell r="AF3544">
            <v>1.1000000000000001</v>
          </cell>
        </row>
        <row r="3545">
          <cell r="A3545" t="str">
            <v>IS_alqt_plus</v>
          </cell>
          <cell r="K3545" t="str">
            <v>EMAC</v>
          </cell>
          <cell r="M3545" t="str">
            <v>M</v>
          </cell>
          <cell r="AB3545" t="str">
            <v>serum</v>
          </cell>
          <cell r="AF3545">
            <v>1</v>
          </cell>
        </row>
        <row r="3546">
          <cell r="A3546" t="str">
            <v>IS_alqt_plus</v>
          </cell>
          <cell r="K3546" t="str">
            <v>EMAC</v>
          </cell>
          <cell r="M3546" t="str">
            <v>M</v>
          </cell>
          <cell r="AB3546" t="str">
            <v>serum</v>
          </cell>
          <cell r="AF3546">
            <v>1</v>
          </cell>
        </row>
        <row r="3547">
          <cell r="A3547" t="str">
            <v>IS_alqt_plus</v>
          </cell>
          <cell r="K3547" t="str">
            <v>EMAC</v>
          </cell>
          <cell r="M3547" t="str">
            <v>M</v>
          </cell>
          <cell r="AB3547" t="str">
            <v>serum</v>
          </cell>
          <cell r="AF3547">
            <v>1</v>
          </cell>
        </row>
        <row r="3548">
          <cell r="A3548" t="str">
            <v>IS_alqt_plus</v>
          </cell>
          <cell r="K3548" t="str">
            <v>EMAC</v>
          </cell>
          <cell r="M3548" t="str">
            <v>M</v>
          </cell>
          <cell r="AB3548" t="str">
            <v>serum</v>
          </cell>
          <cell r="AF3548">
            <v>0.75</v>
          </cell>
        </row>
        <row r="3549">
          <cell r="A3549" t="str">
            <v>IS_alqt_plus</v>
          </cell>
          <cell r="K3549" t="str">
            <v>DMAD</v>
          </cell>
          <cell r="M3549" t="str">
            <v>F</v>
          </cell>
          <cell r="AB3549" t="str">
            <v>serum</v>
          </cell>
          <cell r="AF3549">
            <v>0.8</v>
          </cell>
        </row>
        <row r="3550">
          <cell r="A3550" t="str">
            <v>IS_alqt_plus</v>
          </cell>
          <cell r="K3550" t="str">
            <v>DMAD</v>
          </cell>
          <cell r="M3550" t="str">
            <v>F</v>
          </cell>
          <cell r="AB3550" t="str">
            <v>WB</v>
          </cell>
          <cell r="AF3550">
            <v>0.75</v>
          </cell>
        </row>
        <row r="3551">
          <cell r="A3551" t="str">
            <v>IS_alqt_plus</v>
          </cell>
          <cell r="K3551" t="str">
            <v>VRUB</v>
          </cell>
          <cell r="M3551" t="str">
            <v>M</v>
          </cell>
          <cell r="AB3551" t="str">
            <v>WB</v>
          </cell>
          <cell r="AF3551">
            <v>0.75</v>
          </cell>
        </row>
        <row r="3552">
          <cell r="A3552" t="str">
            <v>IS_alqt_plus</v>
          </cell>
          <cell r="K3552" t="str">
            <v>VRUB</v>
          </cell>
          <cell r="M3552" t="str">
            <v>F</v>
          </cell>
          <cell r="AB3552" t="str">
            <v>WB</v>
          </cell>
          <cell r="AF3552">
            <v>0.75</v>
          </cell>
        </row>
        <row r="3553">
          <cell r="A3553" t="str">
            <v>IS_alqt_plus</v>
          </cell>
          <cell r="K3553" t="str">
            <v>VRUB</v>
          </cell>
          <cell r="M3553" t="str">
            <v>M</v>
          </cell>
          <cell r="AB3553" t="str">
            <v>serum</v>
          </cell>
          <cell r="AF3553">
            <v>0.35</v>
          </cell>
        </row>
        <row r="3554">
          <cell r="A3554" t="str">
            <v>IS_alqt_plus</v>
          </cell>
          <cell r="K3554" t="str">
            <v>VRUB</v>
          </cell>
          <cell r="M3554" t="str">
            <v>F</v>
          </cell>
          <cell r="AB3554" t="str">
            <v>serum</v>
          </cell>
          <cell r="AF3554">
            <v>0.75</v>
          </cell>
        </row>
        <row r="3555">
          <cell r="A3555" t="str">
            <v>IS_alqt_plus</v>
          </cell>
          <cell r="K3555" t="str">
            <v>PCOQ</v>
          </cell>
          <cell r="M3555" t="str">
            <v>M</v>
          </cell>
          <cell r="AB3555" t="str">
            <v>serum</v>
          </cell>
          <cell r="AF3555">
            <v>0.3</v>
          </cell>
        </row>
        <row r="3556">
          <cell r="A3556" t="str">
            <v>IS_alqt_plus</v>
          </cell>
          <cell r="K3556" t="str">
            <v>DMAD</v>
          </cell>
          <cell r="M3556" t="str">
            <v>F</v>
          </cell>
          <cell r="AB3556" t="str">
            <v>serum</v>
          </cell>
          <cell r="AF3556">
            <v>0.75</v>
          </cell>
        </row>
        <row r="3557">
          <cell r="A3557" t="str">
            <v>gone</v>
          </cell>
          <cell r="K3557" t="str">
            <v>DMAD</v>
          </cell>
          <cell r="M3557" t="str">
            <v>F</v>
          </cell>
          <cell r="AB3557" t="str">
            <v>WB</v>
          </cell>
          <cell r="AF3557">
            <v>0</v>
          </cell>
        </row>
        <row r="3558">
          <cell r="A3558" t="str">
            <v>gone</v>
          </cell>
          <cell r="K3558" t="str">
            <v>DMAD</v>
          </cell>
          <cell r="M3558" t="str">
            <v>M</v>
          </cell>
          <cell r="AB3558" t="str">
            <v>serum</v>
          </cell>
          <cell r="AF3558">
            <v>0</v>
          </cell>
        </row>
        <row r="3559">
          <cell r="A3559" t="str">
            <v>IS_alqt_plus</v>
          </cell>
          <cell r="K3559" t="str">
            <v>DMAD</v>
          </cell>
          <cell r="M3559" t="str">
            <v>M</v>
          </cell>
          <cell r="AB3559" t="str">
            <v>WB</v>
          </cell>
          <cell r="AF3559">
            <v>0.6</v>
          </cell>
        </row>
        <row r="3560">
          <cell r="A3560" t="str">
            <v>gone</v>
          </cell>
          <cell r="K3560" t="str">
            <v>EFLA</v>
          </cell>
          <cell r="M3560" t="str">
            <v>M</v>
          </cell>
          <cell r="AB3560" t="str">
            <v>WB</v>
          </cell>
          <cell r="AF3560">
            <v>0</v>
          </cell>
        </row>
        <row r="3561">
          <cell r="A3561" t="str">
            <v>IS_alqt_plus</v>
          </cell>
          <cell r="K3561" t="str">
            <v>EFLA</v>
          </cell>
          <cell r="M3561" t="str">
            <v>M</v>
          </cell>
          <cell r="AB3561" t="str">
            <v>WB</v>
          </cell>
          <cell r="AF3561">
            <v>0.25</v>
          </cell>
        </row>
        <row r="3562">
          <cell r="A3562" t="str">
            <v>IS_alqt_plus</v>
          </cell>
          <cell r="K3562" t="str">
            <v>EFLA</v>
          </cell>
          <cell r="M3562" t="str">
            <v>M</v>
          </cell>
          <cell r="AB3562" t="str">
            <v>serum</v>
          </cell>
          <cell r="AF3562">
            <v>0.4</v>
          </cell>
        </row>
        <row r="3563">
          <cell r="A3563" t="str">
            <v>IS_alqt_plus</v>
          </cell>
          <cell r="K3563" t="str">
            <v>EFLA</v>
          </cell>
          <cell r="M3563" t="str">
            <v>M</v>
          </cell>
          <cell r="AB3563" t="str">
            <v>serum</v>
          </cell>
          <cell r="AF3563">
            <v>0.4</v>
          </cell>
        </row>
        <row r="3564">
          <cell r="A3564" t="str">
            <v>IS_alqt_plus</v>
          </cell>
          <cell r="K3564" t="str">
            <v>PCOQ</v>
          </cell>
          <cell r="M3564" t="str">
            <v>M</v>
          </cell>
          <cell r="AB3564" t="str">
            <v>PRBC</v>
          </cell>
          <cell r="AF3564">
            <v>0.25</v>
          </cell>
        </row>
        <row r="3565">
          <cell r="A3565" t="str">
            <v>IS_alqt_plus</v>
          </cell>
          <cell r="K3565" t="str">
            <v>LCAT</v>
          </cell>
          <cell r="M3565" t="str">
            <v>F</v>
          </cell>
          <cell r="AB3565" t="str">
            <v>WB</v>
          </cell>
          <cell r="AF3565">
            <v>0.2</v>
          </cell>
        </row>
        <row r="3566">
          <cell r="A3566" t="str">
            <v>IS_alqt_plus</v>
          </cell>
          <cell r="K3566" t="str">
            <v>LCAT</v>
          </cell>
          <cell r="M3566" t="str">
            <v>M</v>
          </cell>
          <cell r="AB3566" t="str">
            <v>serum</v>
          </cell>
          <cell r="AF3566">
            <v>0.8</v>
          </cell>
        </row>
        <row r="3567">
          <cell r="A3567" t="str">
            <v>IS_alqt_plus</v>
          </cell>
          <cell r="K3567" t="str">
            <v>VRUB</v>
          </cell>
          <cell r="M3567" t="str">
            <v>M</v>
          </cell>
          <cell r="AB3567" t="str">
            <v>WB</v>
          </cell>
          <cell r="AF3567">
            <v>0.75</v>
          </cell>
        </row>
        <row r="3568">
          <cell r="A3568" t="str">
            <v>IS_alqt_plus</v>
          </cell>
          <cell r="K3568" t="str">
            <v>VRUB</v>
          </cell>
          <cell r="M3568" t="str">
            <v>M</v>
          </cell>
          <cell r="AB3568" t="str">
            <v>serum</v>
          </cell>
          <cell r="AF3568">
            <v>1.3</v>
          </cell>
        </row>
        <row r="3569">
          <cell r="A3569" t="str">
            <v>IS_alqt_plus</v>
          </cell>
          <cell r="K3569" t="str">
            <v>EUL</v>
          </cell>
          <cell r="M3569" t="str">
            <v>M</v>
          </cell>
          <cell r="AB3569" t="str">
            <v>WB</v>
          </cell>
          <cell r="AF3569">
            <v>0.75</v>
          </cell>
        </row>
        <row r="3570">
          <cell r="A3570" t="str">
            <v>IS_alqt_plus</v>
          </cell>
          <cell r="K3570" t="str">
            <v>EUL</v>
          </cell>
          <cell r="M3570" t="str">
            <v>M</v>
          </cell>
          <cell r="AB3570" t="str">
            <v>WB</v>
          </cell>
          <cell r="AF3570">
            <v>0.7</v>
          </cell>
        </row>
        <row r="3571">
          <cell r="A3571" t="str">
            <v>IS_alqt_plus</v>
          </cell>
          <cell r="K3571" t="str">
            <v>EUL</v>
          </cell>
          <cell r="M3571" t="str">
            <v>M</v>
          </cell>
          <cell r="AB3571" t="str">
            <v>serum</v>
          </cell>
          <cell r="AF3571">
            <v>1</v>
          </cell>
        </row>
        <row r="3572">
          <cell r="A3572" t="str">
            <v>IS_alqt_plus</v>
          </cell>
          <cell r="K3572" t="str">
            <v>EUL</v>
          </cell>
          <cell r="M3572" t="str">
            <v>M</v>
          </cell>
          <cell r="AB3572" t="str">
            <v>serum</v>
          </cell>
          <cell r="AF3572">
            <v>0.9</v>
          </cell>
        </row>
        <row r="3573">
          <cell r="A3573" t="str">
            <v>IS_alqt_plus</v>
          </cell>
          <cell r="K3573" t="str">
            <v>LCAT</v>
          </cell>
          <cell r="M3573" t="str">
            <v>F</v>
          </cell>
          <cell r="AB3573" t="str">
            <v>WB</v>
          </cell>
          <cell r="AF3573">
            <v>0.2</v>
          </cell>
        </row>
        <row r="3574">
          <cell r="A3574" t="str">
            <v>IS_alqt_plus</v>
          </cell>
          <cell r="K3574" t="str">
            <v>PCOQ</v>
          </cell>
          <cell r="M3574" t="str">
            <v>M</v>
          </cell>
          <cell r="AB3574" t="str">
            <v>serum</v>
          </cell>
          <cell r="AF3574">
            <v>0.75</v>
          </cell>
        </row>
        <row r="3575">
          <cell r="A3575" t="str">
            <v>IS_alqt_plus</v>
          </cell>
          <cell r="K3575" t="str">
            <v>PCOQ</v>
          </cell>
          <cell r="M3575" t="str">
            <v>M</v>
          </cell>
          <cell r="AB3575" t="str">
            <v>serum</v>
          </cell>
          <cell r="AF3575">
            <v>0.3</v>
          </cell>
        </row>
        <row r="3576">
          <cell r="A3576" t="str">
            <v>IS_alqt_plus</v>
          </cell>
          <cell r="K3576" t="str">
            <v>VRUB</v>
          </cell>
          <cell r="M3576" t="str">
            <v>M</v>
          </cell>
          <cell r="AB3576" t="str">
            <v>WB</v>
          </cell>
          <cell r="AF3576">
            <v>0.5</v>
          </cell>
        </row>
        <row r="3577">
          <cell r="A3577" t="str">
            <v>IS_alqt_plus</v>
          </cell>
          <cell r="K3577" t="str">
            <v>VRUB</v>
          </cell>
          <cell r="M3577" t="str">
            <v>M</v>
          </cell>
          <cell r="AB3577" t="str">
            <v>WB</v>
          </cell>
          <cell r="AF3577">
            <v>0.5</v>
          </cell>
        </row>
        <row r="3578">
          <cell r="A3578" t="str">
            <v>IS_alqt_plus</v>
          </cell>
          <cell r="K3578" t="str">
            <v>VRUB</v>
          </cell>
          <cell r="M3578" t="str">
            <v>M</v>
          </cell>
          <cell r="AB3578" t="str">
            <v>serum</v>
          </cell>
          <cell r="AF3578">
            <v>0.6</v>
          </cell>
        </row>
        <row r="3579">
          <cell r="A3579" t="str">
            <v>IS_alqt_plus</v>
          </cell>
          <cell r="K3579" t="str">
            <v>VRUB</v>
          </cell>
          <cell r="M3579" t="str">
            <v>M</v>
          </cell>
          <cell r="AB3579" t="str">
            <v>serum</v>
          </cell>
          <cell r="AF3579">
            <v>0.8</v>
          </cell>
        </row>
        <row r="3580">
          <cell r="A3580" t="str">
            <v>IS_alqt_plus</v>
          </cell>
          <cell r="K3580" t="str">
            <v>EMON</v>
          </cell>
          <cell r="M3580" t="str">
            <v>M</v>
          </cell>
          <cell r="AB3580" t="str">
            <v>serum</v>
          </cell>
          <cell r="AF3580">
            <v>0.25</v>
          </cell>
        </row>
        <row r="3581">
          <cell r="A3581" t="str">
            <v>IS_alqt_plus</v>
          </cell>
          <cell r="K3581" t="str">
            <v>EMON</v>
          </cell>
          <cell r="M3581" t="str">
            <v>F</v>
          </cell>
          <cell r="AB3581" t="str">
            <v>serum</v>
          </cell>
          <cell r="AF3581">
            <v>1.1000000000000001</v>
          </cell>
        </row>
        <row r="3582">
          <cell r="A3582" t="str">
            <v>IS_alqt_plus</v>
          </cell>
          <cell r="K3582" t="str">
            <v>EMON</v>
          </cell>
          <cell r="M3582" t="str">
            <v>M</v>
          </cell>
          <cell r="AB3582" t="str">
            <v>serum</v>
          </cell>
          <cell r="AF3582">
            <v>1.1000000000000001</v>
          </cell>
        </row>
        <row r="3583">
          <cell r="A3583" t="str">
            <v>IS_alqt_plus</v>
          </cell>
          <cell r="K3583" t="str">
            <v>EMON</v>
          </cell>
          <cell r="M3583" t="str">
            <v>M</v>
          </cell>
          <cell r="AB3583" t="str">
            <v>serum</v>
          </cell>
          <cell r="AF3583">
            <v>0.5</v>
          </cell>
        </row>
        <row r="3584">
          <cell r="A3584" t="str">
            <v>IS_alqt_plus</v>
          </cell>
          <cell r="K3584" t="str">
            <v>EMON</v>
          </cell>
          <cell r="M3584" t="str">
            <v>F</v>
          </cell>
          <cell r="AB3584" t="str">
            <v>serum</v>
          </cell>
          <cell r="AF3584">
            <v>1</v>
          </cell>
        </row>
        <row r="3585">
          <cell r="A3585" t="str">
            <v>IS_alqt_plus</v>
          </cell>
          <cell r="K3585" t="str">
            <v>EMON</v>
          </cell>
          <cell r="M3585" t="str">
            <v>M</v>
          </cell>
          <cell r="AB3585" t="str">
            <v>serum</v>
          </cell>
          <cell r="AF3585">
            <v>1</v>
          </cell>
        </row>
        <row r="3586">
          <cell r="A3586" t="str">
            <v>IS_alqt_plus</v>
          </cell>
          <cell r="K3586" t="str">
            <v>EMON</v>
          </cell>
          <cell r="M3586" t="str">
            <v>F</v>
          </cell>
          <cell r="AB3586" t="str">
            <v>serum</v>
          </cell>
          <cell r="AF3586">
            <v>0.7</v>
          </cell>
        </row>
        <row r="3587">
          <cell r="A3587" t="str">
            <v>IS_alqt_plus</v>
          </cell>
          <cell r="K3587" t="str">
            <v>ECOL</v>
          </cell>
          <cell r="M3587" t="str">
            <v>M</v>
          </cell>
          <cell r="AB3587" t="str">
            <v>serum</v>
          </cell>
          <cell r="AF3587">
            <v>0.8</v>
          </cell>
        </row>
        <row r="3588">
          <cell r="A3588" t="str">
            <v>IS_alqt_plus</v>
          </cell>
          <cell r="K3588" t="str">
            <v>ECOL</v>
          </cell>
          <cell r="M3588" t="str">
            <v>F</v>
          </cell>
          <cell r="AB3588" t="str">
            <v>serum</v>
          </cell>
          <cell r="AF3588">
            <v>0.6</v>
          </cell>
        </row>
        <row r="3589">
          <cell r="A3589" t="str">
            <v>IS_alqt_plus</v>
          </cell>
          <cell r="K3589" t="str">
            <v>ECOL</v>
          </cell>
          <cell r="M3589" t="str">
            <v>F</v>
          </cell>
          <cell r="AB3589" t="str">
            <v>serum</v>
          </cell>
          <cell r="AF3589">
            <v>0.7</v>
          </cell>
        </row>
        <row r="3590">
          <cell r="A3590" t="str">
            <v>IS_alqt_plus</v>
          </cell>
          <cell r="K3590" t="str">
            <v>ECOL</v>
          </cell>
          <cell r="M3590" t="str">
            <v>M</v>
          </cell>
          <cell r="AB3590" t="str">
            <v>WB</v>
          </cell>
          <cell r="AF3590">
            <v>0.5</v>
          </cell>
        </row>
        <row r="3591">
          <cell r="A3591" t="str">
            <v>gone</v>
          </cell>
          <cell r="K3591" t="str">
            <v>ECOL</v>
          </cell>
          <cell r="M3591" t="str">
            <v>F</v>
          </cell>
          <cell r="AB3591" t="str">
            <v>WB</v>
          </cell>
          <cell r="AF3591">
            <v>0</v>
          </cell>
        </row>
        <row r="3592">
          <cell r="A3592" t="str">
            <v>gone</v>
          </cell>
          <cell r="K3592" t="str">
            <v>ERUB</v>
          </cell>
          <cell r="M3592" t="str">
            <v>F</v>
          </cell>
          <cell r="AB3592" t="str">
            <v>WB</v>
          </cell>
          <cell r="AF3592">
            <v>0</v>
          </cell>
        </row>
        <row r="3593">
          <cell r="A3593" t="str">
            <v>gone</v>
          </cell>
          <cell r="K3593" t="str">
            <v>ERUB</v>
          </cell>
          <cell r="M3593" t="str">
            <v>M</v>
          </cell>
          <cell r="AB3593" t="str">
            <v>WB</v>
          </cell>
          <cell r="AF3593">
            <v>0</v>
          </cell>
        </row>
        <row r="3594">
          <cell r="A3594" t="str">
            <v>IS_alqt_plus</v>
          </cell>
          <cell r="K3594" t="str">
            <v>ERUB</v>
          </cell>
          <cell r="M3594" t="str">
            <v>F</v>
          </cell>
          <cell r="AB3594" t="str">
            <v>serum</v>
          </cell>
          <cell r="AF3594">
            <v>0.65</v>
          </cell>
        </row>
        <row r="3595">
          <cell r="A3595" t="str">
            <v>IS_alqt_plus</v>
          </cell>
          <cell r="K3595" t="str">
            <v>ERUB</v>
          </cell>
          <cell r="M3595" t="str">
            <v>M</v>
          </cell>
          <cell r="AB3595" t="str">
            <v>serum</v>
          </cell>
          <cell r="AF3595">
            <v>0.8</v>
          </cell>
        </row>
        <row r="3596">
          <cell r="A3596" t="str">
            <v>IS_alqt_plus</v>
          </cell>
          <cell r="K3596" t="str">
            <v>ERUB</v>
          </cell>
          <cell r="M3596" t="str">
            <v>M</v>
          </cell>
          <cell r="AB3596" t="str">
            <v>serum</v>
          </cell>
          <cell r="AF3596">
            <v>0.5</v>
          </cell>
        </row>
        <row r="3597">
          <cell r="A3597" t="str">
            <v>gone</v>
          </cell>
          <cell r="K3597" t="str">
            <v>EFLA</v>
          </cell>
          <cell r="M3597" t="str">
            <v>F</v>
          </cell>
          <cell r="AB3597" t="str">
            <v>WB</v>
          </cell>
          <cell r="AF3597">
            <v>0</v>
          </cell>
        </row>
        <row r="3598">
          <cell r="A3598" t="str">
            <v>IS_alqt_plus</v>
          </cell>
          <cell r="K3598" t="str">
            <v>EFLA</v>
          </cell>
          <cell r="M3598" t="str">
            <v>M</v>
          </cell>
          <cell r="AB3598" t="str">
            <v>WB</v>
          </cell>
          <cell r="AF3598">
            <v>0.5</v>
          </cell>
        </row>
        <row r="3599">
          <cell r="A3599" t="str">
            <v>IS_alqt_plus</v>
          </cell>
          <cell r="K3599" t="str">
            <v>EFLA</v>
          </cell>
          <cell r="M3599" t="str">
            <v>F</v>
          </cell>
          <cell r="AB3599" t="str">
            <v>serum</v>
          </cell>
          <cell r="AF3599">
            <v>0.8</v>
          </cell>
        </row>
        <row r="3600">
          <cell r="A3600" t="str">
            <v>IS_alqt_plus</v>
          </cell>
          <cell r="K3600" t="str">
            <v>EFLA</v>
          </cell>
          <cell r="M3600" t="str">
            <v>F</v>
          </cell>
          <cell r="AB3600" t="str">
            <v>serum</v>
          </cell>
          <cell r="AF3600">
            <v>0.2</v>
          </cell>
        </row>
        <row r="3601">
          <cell r="A3601" t="str">
            <v>IS_alqt_plus</v>
          </cell>
          <cell r="K3601" t="str">
            <v>EFLA</v>
          </cell>
          <cell r="M3601" t="str">
            <v>F</v>
          </cell>
          <cell r="AB3601" t="str">
            <v>serum</v>
          </cell>
          <cell r="AF3601">
            <v>0.2</v>
          </cell>
        </row>
        <row r="3602">
          <cell r="A3602" t="str">
            <v>IS_alqt_plus</v>
          </cell>
          <cell r="K3602" t="str">
            <v>EFLA</v>
          </cell>
          <cell r="M3602" t="str">
            <v>M</v>
          </cell>
          <cell r="AB3602" t="str">
            <v>serum</v>
          </cell>
          <cell r="AF3602">
            <v>0.9</v>
          </cell>
        </row>
        <row r="3603">
          <cell r="A3603" t="str">
            <v>IS_alqt_plus</v>
          </cell>
          <cell r="K3603" t="str">
            <v>EFLA</v>
          </cell>
          <cell r="M3603" t="str">
            <v>M</v>
          </cell>
          <cell r="AB3603" t="str">
            <v>serum</v>
          </cell>
          <cell r="AF3603">
            <v>0.8</v>
          </cell>
        </row>
        <row r="3604">
          <cell r="A3604" t="str">
            <v>IS_alqt_plus</v>
          </cell>
          <cell r="K3604" t="str">
            <v>LCAT</v>
          </cell>
          <cell r="M3604" t="str">
            <v>F</v>
          </cell>
          <cell r="AB3604" t="str">
            <v>WB</v>
          </cell>
          <cell r="AF3604">
            <v>0.2</v>
          </cell>
        </row>
        <row r="3605">
          <cell r="A3605" t="str">
            <v>IS_alqt_plus</v>
          </cell>
          <cell r="K3605" t="str">
            <v>PCOQ</v>
          </cell>
          <cell r="M3605" t="str">
            <v>F</v>
          </cell>
          <cell r="AB3605" t="str">
            <v>serum</v>
          </cell>
          <cell r="AF3605">
            <v>0.8</v>
          </cell>
        </row>
        <row r="3606">
          <cell r="A3606" t="str">
            <v>IS_alqt_plus</v>
          </cell>
          <cell r="K3606" t="str">
            <v>PCOQ</v>
          </cell>
          <cell r="M3606" t="str">
            <v>F</v>
          </cell>
          <cell r="AB3606" t="str">
            <v>serum</v>
          </cell>
          <cell r="AF3606">
            <v>0.8</v>
          </cell>
        </row>
        <row r="3607">
          <cell r="A3607" t="str">
            <v>IS_alqt_plus</v>
          </cell>
          <cell r="K3607" t="str">
            <v>PCOQ</v>
          </cell>
          <cell r="M3607" t="str">
            <v>F</v>
          </cell>
          <cell r="AB3607" t="str">
            <v>serum</v>
          </cell>
          <cell r="AF3607">
            <v>0.7</v>
          </cell>
        </row>
        <row r="3608">
          <cell r="A3608" t="str">
            <v>IS_alqt_plus</v>
          </cell>
          <cell r="K3608" t="str">
            <v>LCAT</v>
          </cell>
          <cell r="M3608" t="str">
            <v>F</v>
          </cell>
          <cell r="AB3608" t="str">
            <v>WB</v>
          </cell>
          <cell r="AF3608">
            <v>0.6</v>
          </cell>
        </row>
        <row r="3609">
          <cell r="A3609" t="str">
            <v>IS_alqt_plus</v>
          </cell>
          <cell r="K3609" t="str">
            <v>LCAT</v>
          </cell>
          <cell r="M3609" t="str">
            <v>M</v>
          </cell>
          <cell r="AB3609" t="str">
            <v>serum</v>
          </cell>
          <cell r="AF3609">
            <v>0.7</v>
          </cell>
        </row>
        <row r="3610">
          <cell r="A3610" t="str">
            <v>IS_alqt_plus</v>
          </cell>
          <cell r="K3610" t="str">
            <v>LCAT</v>
          </cell>
          <cell r="M3610" t="str">
            <v>M</v>
          </cell>
          <cell r="AB3610" t="str">
            <v>serum</v>
          </cell>
          <cell r="AF3610">
            <v>0.7</v>
          </cell>
        </row>
        <row r="3611">
          <cell r="A3611" t="str">
            <v>IS_alqt_plus</v>
          </cell>
          <cell r="K3611" t="str">
            <v>EMON</v>
          </cell>
          <cell r="M3611" t="str">
            <v>F</v>
          </cell>
          <cell r="AB3611" t="str">
            <v>serum</v>
          </cell>
          <cell r="AF3611">
            <v>1.5</v>
          </cell>
        </row>
        <row r="3612">
          <cell r="A3612" t="str">
            <v>IS_alqt_plus</v>
          </cell>
          <cell r="K3612" t="str">
            <v>VRUB</v>
          </cell>
          <cell r="M3612" t="str">
            <v>F</v>
          </cell>
          <cell r="AB3612" t="str">
            <v>WB</v>
          </cell>
          <cell r="AF3612">
            <v>0.5</v>
          </cell>
        </row>
        <row r="3613">
          <cell r="A3613" t="str">
            <v>IS_alqt_plus</v>
          </cell>
          <cell r="K3613" t="str">
            <v>VRUB</v>
          </cell>
          <cell r="M3613" t="str">
            <v>M</v>
          </cell>
          <cell r="AB3613" t="str">
            <v>WB</v>
          </cell>
          <cell r="AF3613">
            <v>0.5</v>
          </cell>
        </row>
        <row r="3614">
          <cell r="A3614" t="str">
            <v>IS_alqt_plus</v>
          </cell>
          <cell r="K3614" t="str">
            <v>VRUB</v>
          </cell>
          <cell r="M3614" t="str">
            <v>F</v>
          </cell>
          <cell r="AB3614" t="str">
            <v>WB</v>
          </cell>
          <cell r="AF3614">
            <v>0.5</v>
          </cell>
        </row>
        <row r="3615">
          <cell r="A3615" t="str">
            <v>IS_alqt_plus</v>
          </cell>
          <cell r="K3615" t="str">
            <v>EMON</v>
          </cell>
          <cell r="M3615" t="str">
            <v>F</v>
          </cell>
          <cell r="AB3615" t="str">
            <v>serum</v>
          </cell>
          <cell r="AF3615">
            <v>1.5</v>
          </cell>
        </row>
        <row r="3616">
          <cell r="A3616" t="str">
            <v>IS_alqt_plus</v>
          </cell>
          <cell r="K3616" t="str">
            <v>VRUB</v>
          </cell>
          <cell r="M3616" t="str">
            <v>F</v>
          </cell>
          <cell r="AB3616" t="str">
            <v>serum</v>
          </cell>
          <cell r="AF3616">
            <v>0.7</v>
          </cell>
        </row>
        <row r="3617">
          <cell r="A3617" t="str">
            <v>IS_alqt_plus</v>
          </cell>
          <cell r="K3617" t="str">
            <v>VRUB</v>
          </cell>
          <cell r="M3617" t="str">
            <v>F</v>
          </cell>
          <cell r="AB3617" t="str">
            <v>serum</v>
          </cell>
          <cell r="AF3617">
            <v>0.7</v>
          </cell>
        </row>
        <row r="3618">
          <cell r="A3618" t="str">
            <v>IS_alqt_plus</v>
          </cell>
          <cell r="K3618" t="str">
            <v>VRUB</v>
          </cell>
          <cell r="M3618" t="str">
            <v>M</v>
          </cell>
          <cell r="AB3618" t="str">
            <v>serum</v>
          </cell>
          <cell r="AF3618">
            <v>1</v>
          </cell>
        </row>
        <row r="3619">
          <cell r="A3619" t="str">
            <v>IS_alqt_plus</v>
          </cell>
          <cell r="K3619" t="str">
            <v>VRUB</v>
          </cell>
          <cell r="M3619" t="str">
            <v>M</v>
          </cell>
          <cell r="AB3619" t="str">
            <v>serum</v>
          </cell>
          <cell r="AF3619">
            <v>1</v>
          </cell>
        </row>
        <row r="3620">
          <cell r="A3620" t="str">
            <v>IS_alqt_plus</v>
          </cell>
          <cell r="K3620" t="str">
            <v>VRUB</v>
          </cell>
          <cell r="M3620" t="str">
            <v>F</v>
          </cell>
          <cell r="AB3620" t="str">
            <v>serum</v>
          </cell>
          <cell r="AF3620">
            <v>0.5</v>
          </cell>
        </row>
        <row r="3621">
          <cell r="A3621" t="str">
            <v>IS_alqt_plus</v>
          </cell>
          <cell r="K3621" t="str">
            <v>VRUB</v>
          </cell>
          <cell r="M3621" t="str">
            <v>F</v>
          </cell>
          <cell r="AB3621" t="str">
            <v>serum</v>
          </cell>
          <cell r="AF3621">
            <v>1</v>
          </cell>
        </row>
        <row r="3622">
          <cell r="A3622" t="str">
            <v>IS_alqt_plus</v>
          </cell>
          <cell r="K3622" t="str">
            <v>DMAD</v>
          </cell>
          <cell r="M3622" t="str">
            <v>F</v>
          </cell>
          <cell r="AB3622" t="str">
            <v>serum</v>
          </cell>
          <cell r="AF3622">
            <v>0.9</v>
          </cell>
        </row>
        <row r="3623">
          <cell r="A3623" t="str">
            <v>IS_alqt_plus</v>
          </cell>
          <cell r="K3623" t="str">
            <v>DMAD</v>
          </cell>
          <cell r="M3623" t="str">
            <v>F</v>
          </cell>
          <cell r="AB3623" t="str">
            <v>WB</v>
          </cell>
          <cell r="AF3623">
            <v>0.5</v>
          </cell>
        </row>
        <row r="3624">
          <cell r="A3624" t="str">
            <v>IS_alqt_plus</v>
          </cell>
          <cell r="K3624" t="str">
            <v>LCAT</v>
          </cell>
          <cell r="M3624" t="str">
            <v>M</v>
          </cell>
          <cell r="AB3624" t="str">
            <v>WB</v>
          </cell>
          <cell r="AF3624">
            <v>1</v>
          </cell>
        </row>
        <row r="3625">
          <cell r="A3625" t="str">
            <v>IS_alqt_plus</v>
          </cell>
          <cell r="K3625" t="str">
            <v>PCOQ</v>
          </cell>
          <cell r="M3625" t="str">
            <v>F</v>
          </cell>
          <cell r="AB3625" t="str">
            <v>serum</v>
          </cell>
          <cell r="AF3625">
            <v>0.6</v>
          </cell>
        </row>
        <row r="3626">
          <cell r="A3626" t="str">
            <v>IS_alqt_plus</v>
          </cell>
          <cell r="K3626" t="str">
            <v>PCOQ</v>
          </cell>
          <cell r="M3626" t="str">
            <v>F</v>
          </cell>
          <cell r="AB3626" t="str">
            <v>serum</v>
          </cell>
          <cell r="AF3626">
            <v>0.4</v>
          </cell>
        </row>
        <row r="3627">
          <cell r="A3627" t="str">
            <v>IS_alqt_plus</v>
          </cell>
          <cell r="K3627" t="str">
            <v>LCAT</v>
          </cell>
          <cell r="M3627" t="str">
            <v>F</v>
          </cell>
          <cell r="AB3627" t="str">
            <v>WB</v>
          </cell>
          <cell r="AF3627">
            <v>0.25</v>
          </cell>
        </row>
        <row r="3628">
          <cell r="A3628" t="str">
            <v>IS_alqt_plus</v>
          </cell>
          <cell r="K3628" t="str">
            <v>PCOQ</v>
          </cell>
          <cell r="M3628" t="str">
            <v>F</v>
          </cell>
          <cell r="AB3628" t="str">
            <v>serum</v>
          </cell>
          <cell r="AF3628">
            <v>0.8</v>
          </cell>
        </row>
        <row r="3629">
          <cell r="A3629" t="str">
            <v>IS_alqt_plus</v>
          </cell>
          <cell r="K3629" t="str">
            <v>PCOQ</v>
          </cell>
          <cell r="M3629" t="str">
            <v>F</v>
          </cell>
          <cell r="AB3629" t="str">
            <v>serum</v>
          </cell>
          <cell r="AF3629">
            <v>0.65</v>
          </cell>
        </row>
        <row r="3630">
          <cell r="A3630" t="str">
            <v>IS_alqt_plus</v>
          </cell>
          <cell r="K3630" t="str">
            <v>VRUB</v>
          </cell>
          <cell r="M3630" t="str">
            <v>F</v>
          </cell>
          <cell r="AB3630" t="str">
            <v>WB</v>
          </cell>
          <cell r="AF3630">
            <v>0.5</v>
          </cell>
        </row>
        <row r="3631">
          <cell r="A3631" t="str">
            <v>IS_alqt_plus</v>
          </cell>
          <cell r="K3631" t="str">
            <v>VRUB</v>
          </cell>
          <cell r="M3631" t="str">
            <v>M</v>
          </cell>
          <cell r="AB3631" t="str">
            <v>WB</v>
          </cell>
          <cell r="AF3631">
            <v>0.5</v>
          </cell>
        </row>
        <row r="3632">
          <cell r="A3632" t="str">
            <v>IS_alqt_plus</v>
          </cell>
          <cell r="K3632" t="str">
            <v>VRUB</v>
          </cell>
          <cell r="M3632" t="str">
            <v>F</v>
          </cell>
          <cell r="AB3632" t="str">
            <v>serum</v>
          </cell>
          <cell r="AF3632">
            <v>0.7</v>
          </cell>
        </row>
        <row r="3633">
          <cell r="A3633" t="str">
            <v>IS_alqt_plus</v>
          </cell>
          <cell r="K3633" t="str">
            <v>VRUB</v>
          </cell>
          <cell r="M3633" t="str">
            <v>M</v>
          </cell>
          <cell r="AB3633" t="str">
            <v>serum</v>
          </cell>
          <cell r="AF3633">
            <v>0.5</v>
          </cell>
        </row>
        <row r="3634">
          <cell r="A3634" t="str">
            <v>IS_alqt_plus</v>
          </cell>
          <cell r="K3634" t="str">
            <v>VRUB</v>
          </cell>
          <cell r="M3634" t="str">
            <v>M</v>
          </cell>
          <cell r="AB3634" t="str">
            <v>serum</v>
          </cell>
          <cell r="AF3634">
            <v>0.5</v>
          </cell>
        </row>
        <row r="3635">
          <cell r="A3635" t="str">
            <v>IS_alqt_plus</v>
          </cell>
          <cell r="K3635" t="str">
            <v>ECOL</v>
          </cell>
          <cell r="M3635" t="str">
            <v>M</v>
          </cell>
          <cell r="AB3635" t="str">
            <v>serum</v>
          </cell>
          <cell r="AF3635">
            <v>1</v>
          </cell>
        </row>
        <row r="3636">
          <cell r="A3636" t="str">
            <v>IS_alqt_plus</v>
          </cell>
          <cell r="K3636" t="str">
            <v>ECOL</v>
          </cell>
          <cell r="M3636" t="str">
            <v>M</v>
          </cell>
          <cell r="AB3636" t="str">
            <v>serum</v>
          </cell>
          <cell r="AF3636">
            <v>1</v>
          </cell>
        </row>
        <row r="3637">
          <cell r="A3637" t="str">
            <v>IS_alqt_plus</v>
          </cell>
          <cell r="K3637" t="str">
            <v>DMAD</v>
          </cell>
          <cell r="M3637" t="str">
            <v>F</v>
          </cell>
          <cell r="AB3637" t="str">
            <v>WB</v>
          </cell>
          <cell r="AF3637">
            <v>1</v>
          </cell>
        </row>
        <row r="3638">
          <cell r="A3638" t="str">
            <v>IS_alqt_plus</v>
          </cell>
          <cell r="K3638" t="str">
            <v>ERUF</v>
          </cell>
          <cell r="M3638" t="str">
            <v>M</v>
          </cell>
          <cell r="AB3638" t="str">
            <v>WB</v>
          </cell>
          <cell r="AF3638">
            <v>0.5</v>
          </cell>
        </row>
        <row r="3639">
          <cell r="A3639" t="str">
            <v>IS_alqt_plus</v>
          </cell>
          <cell r="K3639" t="str">
            <v>ERUF</v>
          </cell>
          <cell r="M3639" t="str">
            <v>M</v>
          </cell>
          <cell r="AB3639" t="str">
            <v>serum</v>
          </cell>
          <cell r="AF3639">
            <v>0.75</v>
          </cell>
        </row>
        <row r="3640">
          <cell r="A3640" t="str">
            <v>IS_alqt_plus</v>
          </cell>
          <cell r="K3640" t="str">
            <v>ERUF</v>
          </cell>
          <cell r="M3640" t="str">
            <v>M</v>
          </cell>
          <cell r="AB3640" t="str">
            <v>serum</v>
          </cell>
          <cell r="AF3640">
            <v>0.75</v>
          </cell>
        </row>
        <row r="3641">
          <cell r="A3641" t="str">
            <v>IS_alqt_minus</v>
          </cell>
          <cell r="K3641" t="str">
            <v>VVV</v>
          </cell>
          <cell r="M3641" t="str">
            <v>M</v>
          </cell>
          <cell r="AB3641" t="str">
            <v>WB</v>
          </cell>
          <cell r="AF3641">
            <v>0.15</v>
          </cell>
        </row>
        <row r="3642">
          <cell r="A3642" t="str">
            <v>IS_alqt_minus</v>
          </cell>
          <cell r="K3642" t="str">
            <v>VVV</v>
          </cell>
          <cell r="M3642" t="str">
            <v>M</v>
          </cell>
          <cell r="AB3642" t="str">
            <v>WB</v>
          </cell>
          <cell r="AF3642">
            <v>0.15</v>
          </cell>
        </row>
        <row r="3643">
          <cell r="A3643" t="str">
            <v>IS_alqt_plus</v>
          </cell>
          <cell r="K3643" t="str">
            <v>VVV</v>
          </cell>
          <cell r="M3643" t="str">
            <v>M</v>
          </cell>
          <cell r="AB3643" t="str">
            <v>serum</v>
          </cell>
          <cell r="AF3643">
            <v>0.45</v>
          </cell>
        </row>
        <row r="3644">
          <cell r="A3644" t="str">
            <v>IS_alqt_plus</v>
          </cell>
          <cell r="K3644" t="str">
            <v>VVV</v>
          </cell>
          <cell r="M3644" t="str">
            <v>M</v>
          </cell>
          <cell r="AB3644" t="str">
            <v>serum</v>
          </cell>
          <cell r="AF3644">
            <v>0.35</v>
          </cell>
        </row>
        <row r="3645">
          <cell r="A3645" t="str">
            <v>IS_alqt_plus</v>
          </cell>
          <cell r="K3645" t="str">
            <v>EFLA</v>
          </cell>
          <cell r="M3645" t="str">
            <v>F</v>
          </cell>
          <cell r="AB3645" t="str">
            <v>serum</v>
          </cell>
          <cell r="AF3645">
            <v>1.5</v>
          </cell>
        </row>
        <row r="3646">
          <cell r="A3646" t="str">
            <v>IS_alqt_plus</v>
          </cell>
          <cell r="K3646" t="str">
            <v>LCAT</v>
          </cell>
          <cell r="M3646" t="str">
            <v>M</v>
          </cell>
          <cell r="AB3646" t="str">
            <v>WB</v>
          </cell>
          <cell r="AF3646">
            <v>0.2</v>
          </cell>
        </row>
        <row r="3647">
          <cell r="A3647" t="str">
            <v>IS_alqt_plus</v>
          </cell>
          <cell r="K3647" t="str">
            <v>LCAT</v>
          </cell>
          <cell r="M3647" t="str">
            <v>M</v>
          </cell>
          <cell r="AB3647" t="str">
            <v>WB</v>
          </cell>
          <cell r="AF3647">
            <v>0.2</v>
          </cell>
        </row>
        <row r="3648">
          <cell r="A3648" t="str">
            <v>IS_alqt_plus</v>
          </cell>
          <cell r="K3648" t="str">
            <v>LCAT</v>
          </cell>
          <cell r="M3648" t="str">
            <v>F</v>
          </cell>
          <cell r="AB3648" t="str">
            <v>serum</v>
          </cell>
          <cell r="AF3648">
            <v>0.6</v>
          </cell>
        </row>
        <row r="3649">
          <cell r="A3649" t="str">
            <v>IS_alqt_plus</v>
          </cell>
          <cell r="K3649" t="str">
            <v>LCAT</v>
          </cell>
          <cell r="M3649" t="str">
            <v>F</v>
          </cell>
          <cell r="AB3649" t="str">
            <v>serum</v>
          </cell>
          <cell r="AF3649">
            <v>0.6</v>
          </cell>
        </row>
        <row r="3650">
          <cell r="A3650" t="str">
            <v>IS_alqt_plus</v>
          </cell>
          <cell r="K3650" t="str">
            <v>LCAT</v>
          </cell>
          <cell r="M3650" t="str">
            <v>M</v>
          </cell>
          <cell r="AB3650" t="str">
            <v>serum</v>
          </cell>
          <cell r="AF3650">
            <v>0.4</v>
          </cell>
        </row>
        <row r="3651">
          <cell r="A3651" t="str">
            <v>IS_alqt_plus</v>
          </cell>
          <cell r="K3651" t="str">
            <v>LCAT</v>
          </cell>
          <cell r="M3651" t="str">
            <v>M</v>
          </cell>
          <cell r="AB3651" t="str">
            <v>serum</v>
          </cell>
          <cell r="AF3651">
            <v>0.5</v>
          </cell>
        </row>
        <row r="3652">
          <cell r="A3652" t="str">
            <v>IS_alqt_plus</v>
          </cell>
          <cell r="K3652" t="str">
            <v>EFLA</v>
          </cell>
          <cell r="M3652" t="str">
            <v>M</v>
          </cell>
          <cell r="AB3652" t="str">
            <v>serum</v>
          </cell>
          <cell r="AF3652">
            <v>0.7</v>
          </cell>
        </row>
        <row r="3653">
          <cell r="A3653" t="str">
            <v>IS_alqt_plus</v>
          </cell>
          <cell r="K3653" t="str">
            <v>LTAR</v>
          </cell>
          <cell r="M3653" t="str">
            <v>M</v>
          </cell>
          <cell r="AB3653" t="str">
            <v>WB</v>
          </cell>
          <cell r="AF3653">
            <v>0.6</v>
          </cell>
        </row>
        <row r="3654">
          <cell r="A3654" t="str">
            <v>IS_alqt_plus</v>
          </cell>
          <cell r="K3654" t="str">
            <v>LTAR</v>
          </cell>
          <cell r="M3654" t="str">
            <v>M</v>
          </cell>
          <cell r="AB3654" t="str">
            <v>serum</v>
          </cell>
          <cell r="AF3654">
            <v>0.4</v>
          </cell>
        </row>
        <row r="3655">
          <cell r="A3655" t="str">
            <v>IS_alqt_plus</v>
          </cell>
          <cell r="K3655" t="str">
            <v>LTAR</v>
          </cell>
          <cell r="M3655" t="str">
            <v>M</v>
          </cell>
          <cell r="AB3655" t="str">
            <v>serum</v>
          </cell>
          <cell r="AF3655">
            <v>0.2</v>
          </cell>
        </row>
        <row r="3656">
          <cell r="A3656" t="str">
            <v>IS_alqt_plus</v>
          </cell>
          <cell r="K3656" t="str">
            <v>EFLA</v>
          </cell>
          <cell r="M3656" t="str">
            <v>F</v>
          </cell>
          <cell r="AB3656" t="str">
            <v>WB</v>
          </cell>
          <cell r="AF3656">
            <v>0.5</v>
          </cell>
        </row>
        <row r="3657">
          <cell r="A3657" t="str">
            <v>IS_alqt_plus</v>
          </cell>
          <cell r="K3657" t="str">
            <v>EFLA</v>
          </cell>
          <cell r="M3657" t="str">
            <v>F</v>
          </cell>
          <cell r="AB3657" t="str">
            <v>serum</v>
          </cell>
          <cell r="AF3657">
            <v>0.75</v>
          </cell>
        </row>
        <row r="3658">
          <cell r="A3658" t="str">
            <v>IS_alqt_plus</v>
          </cell>
          <cell r="K3658" t="str">
            <v>EFLA</v>
          </cell>
          <cell r="M3658" t="str">
            <v>F</v>
          </cell>
          <cell r="AB3658" t="str">
            <v>serum</v>
          </cell>
          <cell r="AF3658">
            <v>0.2</v>
          </cell>
        </row>
        <row r="3659">
          <cell r="A3659" t="str">
            <v>IS_alqt_plus</v>
          </cell>
          <cell r="K3659" t="str">
            <v>EFLA</v>
          </cell>
          <cell r="M3659" t="str">
            <v>F</v>
          </cell>
          <cell r="AB3659" t="str">
            <v>serum</v>
          </cell>
          <cell r="AF3659">
            <v>0.2</v>
          </cell>
        </row>
        <row r="3660">
          <cell r="A3660" t="str">
            <v>IS_alqt_plus</v>
          </cell>
          <cell r="K3660" t="str">
            <v>MMUR</v>
          </cell>
          <cell r="M3660" t="str">
            <v>M</v>
          </cell>
          <cell r="AB3660" t="str">
            <v>WB</v>
          </cell>
          <cell r="AF3660">
            <v>0.2</v>
          </cell>
        </row>
        <row r="3661">
          <cell r="A3661" t="str">
            <v>IS_alqt_plus</v>
          </cell>
          <cell r="K3661" t="str">
            <v>LCAT</v>
          </cell>
          <cell r="M3661" t="str">
            <v>M</v>
          </cell>
          <cell r="AB3661" t="str">
            <v>WB</v>
          </cell>
          <cell r="AF3661">
            <v>0.2</v>
          </cell>
        </row>
        <row r="3662">
          <cell r="A3662" t="str">
            <v>IS_alqt_plus</v>
          </cell>
          <cell r="K3662" t="str">
            <v>LCAT</v>
          </cell>
          <cell r="M3662" t="str">
            <v>M</v>
          </cell>
          <cell r="AB3662" t="str">
            <v>WB</v>
          </cell>
          <cell r="AF3662">
            <v>0.2</v>
          </cell>
        </row>
        <row r="3663">
          <cell r="A3663" t="str">
            <v>IS_alqt_plus</v>
          </cell>
          <cell r="K3663" t="str">
            <v>LCAT</v>
          </cell>
          <cell r="M3663" t="str">
            <v>M</v>
          </cell>
          <cell r="AB3663" t="str">
            <v>WB</v>
          </cell>
          <cell r="AF3663">
            <v>0.2</v>
          </cell>
        </row>
        <row r="3664">
          <cell r="A3664" t="str">
            <v>IS_alqt_plus</v>
          </cell>
          <cell r="K3664" t="str">
            <v>LCAT</v>
          </cell>
          <cell r="M3664" t="str">
            <v>M</v>
          </cell>
          <cell r="AB3664" t="str">
            <v>WB</v>
          </cell>
          <cell r="AF3664">
            <v>0.2</v>
          </cell>
        </row>
        <row r="3665">
          <cell r="A3665" t="str">
            <v>IS_alqt_plus</v>
          </cell>
          <cell r="K3665" t="str">
            <v>LCAT</v>
          </cell>
          <cell r="M3665" t="str">
            <v>M</v>
          </cell>
          <cell r="AB3665" t="str">
            <v>WB</v>
          </cell>
          <cell r="AF3665">
            <v>0.2</v>
          </cell>
        </row>
        <row r="3666">
          <cell r="A3666" t="str">
            <v>IS_alqt_plus</v>
          </cell>
          <cell r="K3666" t="str">
            <v>LCAT</v>
          </cell>
          <cell r="M3666" t="str">
            <v>M</v>
          </cell>
          <cell r="AB3666" t="str">
            <v>WB</v>
          </cell>
          <cell r="AF3666">
            <v>0.2</v>
          </cell>
        </row>
        <row r="3667">
          <cell r="A3667" t="str">
            <v>IS_alqt_plus</v>
          </cell>
          <cell r="K3667" t="str">
            <v>LCAT</v>
          </cell>
          <cell r="M3667" t="str">
            <v>M</v>
          </cell>
          <cell r="AB3667" t="str">
            <v>WB</v>
          </cell>
          <cell r="AF3667">
            <v>0.2</v>
          </cell>
        </row>
        <row r="3668">
          <cell r="A3668" t="str">
            <v>IS_alqt_plus</v>
          </cell>
          <cell r="K3668" t="str">
            <v>LCAT</v>
          </cell>
          <cell r="M3668" t="str">
            <v>M</v>
          </cell>
          <cell r="AB3668" t="str">
            <v>WB</v>
          </cell>
          <cell r="AF3668">
            <v>0.2</v>
          </cell>
        </row>
        <row r="3669">
          <cell r="A3669" t="str">
            <v>IS_alqt_plus</v>
          </cell>
          <cell r="K3669" t="str">
            <v>LCAT</v>
          </cell>
          <cell r="M3669" t="str">
            <v>M</v>
          </cell>
          <cell r="AB3669" t="str">
            <v>WB</v>
          </cell>
          <cell r="AF3669">
            <v>0.2</v>
          </cell>
        </row>
        <row r="3670">
          <cell r="A3670" t="str">
            <v>unk</v>
          </cell>
          <cell r="K3670" t="str">
            <v>LCAT</v>
          </cell>
          <cell r="M3670" t="str">
            <v>M</v>
          </cell>
          <cell r="AB3670" t="str">
            <v>WB</v>
          </cell>
          <cell r="AF3670">
            <v>0.3</v>
          </cell>
        </row>
        <row r="3671">
          <cell r="A3671" t="str">
            <v>IS_alqt_plus</v>
          </cell>
          <cell r="K3671" t="str">
            <v>LCAT</v>
          </cell>
          <cell r="M3671" t="str">
            <v>M</v>
          </cell>
          <cell r="AB3671" t="str">
            <v>WB</v>
          </cell>
          <cell r="AF3671">
            <v>0.2</v>
          </cell>
        </row>
        <row r="3672">
          <cell r="A3672" t="str">
            <v>unk</v>
          </cell>
          <cell r="K3672" t="str">
            <v>LCAT</v>
          </cell>
          <cell r="M3672" t="str">
            <v>M</v>
          </cell>
          <cell r="AB3672" t="str">
            <v>WB</v>
          </cell>
          <cell r="AF3672">
            <v>0.2</v>
          </cell>
        </row>
        <row r="3673">
          <cell r="A3673" t="str">
            <v>unk</v>
          </cell>
          <cell r="K3673" t="str">
            <v>LCAT</v>
          </cell>
          <cell r="M3673" t="str">
            <v>M</v>
          </cell>
          <cell r="AB3673" t="str">
            <v>WB</v>
          </cell>
          <cell r="AF3673">
            <v>0.2</v>
          </cell>
        </row>
        <row r="3674">
          <cell r="A3674" t="str">
            <v>IS_alqt_plus</v>
          </cell>
          <cell r="K3674" t="str">
            <v>PCOQ</v>
          </cell>
          <cell r="M3674" t="str">
            <v>M</v>
          </cell>
          <cell r="AB3674" t="str">
            <v>serum</v>
          </cell>
          <cell r="AF3674">
            <v>1</v>
          </cell>
        </row>
        <row r="3675">
          <cell r="A3675" t="str">
            <v>IS_alqt_plus</v>
          </cell>
          <cell r="K3675" t="str">
            <v>PCOQ</v>
          </cell>
          <cell r="M3675" t="str">
            <v>M</v>
          </cell>
          <cell r="AB3675" t="str">
            <v>serum</v>
          </cell>
          <cell r="AF3675">
            <v>1</v>
          </cell>
        </row>
        <row r="3676">
          <cell r="A3676" t="str">
            <v>IS_alqt_plus</v>
          </cell>
          <cell r="K3676" t="str">
            <v>PCOQ</v>
          </cell>
          <cell r="M3676" t="str">
            <v>M</v>
          </cell>
          <cell r="AB3676" t="str">
            <v>serum</v>
          </cell>
          <cell r="AF3676">
            <v>1</v>
          </cell>
        </row>
        <row r="3677">
          <cell r="A3677" t="str">
            <v>IS_alqt_plus</v>
          </cell>
          <cell r="K3677" t="str">
            <v>PCOQ</v>
          </cell>
          <cell r="M3677" t="str">
            <v>M</v>
          </cell>
          <cell r="AB3677" t="str">
            <v>serum</v>
          </cell>
          <cell r="AF3677">
            <v>1</v>
          </cell>
        </row>
        <row r="3678">
          <cell r="A3678" t="str">
            <v>IS_alqt_plus</v>
          </cell>
          <cell r="K3678" t="str">
            <v>PCOQ</v>
          </cell>
          <cell r="M3678" t="str">
            <v>M</v>
          </cell>
          <cell r="AB3678" t="str">
            <v>serum</v>
          </cell>
          <cell r="AF3678">
            <v>1</v>
          </cell>
        </row>
        <row r="3679">
          <cell r="A3679" t="str">
            <v>IS_alqt_plus</v>
          </cell>
          <cell r="K3679" t="str">
            <v>PCOQ</v>
          </cell>
          <cell r="M3679" t="str">
            <v>M</v>
          </cell>
          <cell r="AB3679" t="str">
            <v>serum</v>
          </cell>
          <cell r="AF3679">
            <v>1</v>
          </cell>
        </row>
        <row r="3680">
          <cell r="A3680" t="str">
            <v>IS_alqt_plus</v>
          </cell>
          <cell r="K3680" t="str">
            <v>PCOQ</v>
          </cell>
          <cell r="M3680" t="str">
            <v>M</v>
          </cell>
          <cell r="AB3680" t="str">
            <v>serum</v>
          </cell>
          <cell r="AF3680">
            <v>1</v>
          </cell>
        </row>
        <row r="3681">
          <cell r="A3681" t="str">
            <v>IS_alqt_plus</v>
          </cell>
          <cell r="K3681" t="str">
            <v>PCOQ</v>
          </cell>
          <cell r="M3681" t="str">
            <v>M</v>
          </cell>
          <cell r="AB3681" t="str">
            <v>serum</v>
          </cell>
          <cell r="AF3681">
            <v>0.9</v>
          </cell>
        </row>
        <row r="3682">
          <cell r="A3682" t="str">
            <v>IS_alqt_plus</v>
          </cell>
          <cell r="K3682" t="str">
            <v>PCOQ</v>
          </cell>
          <cell r="M3682" t="str">
            <v>M</v>
          </cell>
          <cell r="AB3682" t="str">
            <v>serum</v>
          </cell>
          <cell r="AF3682">
            <v>1</v>
          </cell>
        </row>
        <row r="3683">
          <cell r="A3683" t="str">
            <v>IS_alqt_plus</v>
          </cell>
          <cell r="K3683" t="str">
            <v>PCOQ</v>
          </cell>
          <cell r="M3683" t="str">
            <v>M</v>
          </cell>
          <cell r="AB3683" t="str">
            <v>serum</v>
          </cell>
          <cell r="AF3683">
            <v>1</v>
          </cell>
        </row>
        <row r="3684">
          <cell r="A3684" t="str">
            <v>IS_alqt_plus</v>
          </cell>
          <cell r="K3684" t="str">
            <v>PCOQ</v>
          </cell>
          <cell r="M3684" t="str">
            <v>M</v>
          </cell>
          <cell r="AB3684" t="str">
            <v>serum</v>
          </cell>
          <cell r="AF3684">
            <v>1.1000000000000001</v>
          </cell>
        </row>
        <row r="3685">
          <cell r="A3685" t="str">
            <v>IS_alqt_plus</v>
          </cell>
          <cell r="K3685" t="str">
            <v>PCOQ</v>
          </cell>
          <cell r="M3685" t="str">
            <v>M</v>
          </cell>
          <cell r="AB3685" t="str">
            <v>serum</v>
          </cell>
          <cell r="AF3685">
            <v>1.1000000000000001</v>
          </cell>
        </row>
        <row r="3686">
          <cell r="A3686" t="str">
            <v>IS_alqt_plus</v>
          </cell>
          <cell r="K3686" t="str">
            <v>PCOQ</v>
          </cell>
          <cell r="M3686" t="str">
            <v>M</v>
          </cell>
          <cell r="AB3686" t="str">
            <v>serum</v>
          </cell>
          <cell r="AF3686">
            <v>1</v>
          </cell>
        </row>
        <row r="3687">
          <cell r="A3687" t="str">
            <v>IS_alqt_plus</v>
          </cell>
          <cell r="K3687" t="str">
            <v>PCOQ</v>
          </cell>
          <cell r="M3687" t="str">
            <v>M</v>
          </cell>
          <cell r="AB3687" t="str">
            <v>serum</v>
          </cell>
          <cell r="AF3687">
            <v>1</v>
          </cell>
        </row>
        <row r="3688">
          <cell r="A3688" t="str">
            <v>IS_alqt_plus</v>
          </cell>
          <cell r="K3688" t="str">
            <v>PCOQ</v>
          </cell>
          <cell r="M3688" t="str">
            <v>M</v>
          </cell>
          <cell r="AB3688" t="str">
            <v>serum</v>
          </cell>
          <cell r="AF3688">
            <v>0.5</v>
          </cell>
        </row>
        <row r="3689">
          <cell r="A3689" t="str">
            <v>IS_alqt_plus</v>
          </cell>
          <cell r="K3689" t="str">
            <v>PCOQ</v>
          </cell>
          <cell r="M3689" t="str">
            <v>M</v>
          </cell>
          <cell r="AB3689" t="str">
            <v>serum</v>
          </cell>
          <cell r="AF3689">
            <v>0.8</v>
          </cell>
        </row>
        <row r="3690">
          <cell r="A3690" t="str">
            <v>IS_alqt_plus</v>
          </cell>
          <cell r="K3690" t="str">
            <v>NPYG</v>
          </cell>
          <cell r="M3690" t="str">
            <v>F</v>
          </cell>
          <cell r="AB3690" t="str">
            <v>PRBC</v>
          </cell>
          <cell r="AF3690">
            <v>0.2</v>
          </cell>
        </row>
        <row r="3691">
          <cell r="A3691" t="str">
            <v>IS_alqt_plus</v>
          </cell>
          <cell r="K3691" t="str">
            <v>LCAT</v>
          </cell>
          <cell r="M3691" t="str">
            <v>M</v>
          </cell>
          <cell r="AB3691" t="str">
            <v>WB</v>
          </cell>
          <cell r="AF3691">
            <v>0.2</v>
          </cell>
        </row>
        <row r="3692">
          <cell r="A3692" t="str">
            <v>IS_alqt_plus</v>
          </cell>
          <cell r="K3692" t="str">
            <v>LCAT</v>
          </cell>
          <cell r="M3692" t="str">
            <v>F</v>
          </cell>
          <cell r="AB3692" t="str">
            <v>serum</v>
          </cell>
          <cell r="AF3692">
            <v>0.8</v>
          </cell>
        </row>
        <row r="3693">
          <cell r="A3693" t="str">
            <v>IS_alqt_plus</v>
          </cell>
          <cell r="K3693" t="str">
            <v>ECOL</v>
          </cell>
          <cell r="M3693" t="str">
            <v>M</v>
          </cell>
          <cell r="AB3693" t="str">
            <v>serum</v>
          </cell>
          <cell r="AF3693">
            <v>1</v>
          </cell>
        </row>
        <row r="3694">
          <cell r="A3694" t="str">
            <v>IS_alqt_plus</v>
          </cell>
          <cell r="K3694" t="str">
            <v>ECOL</v>
          </cell>
          <cell r="M3694" t="str">
            <v>M</v>
          </cell>
          <cell r="AB3694" t="str">
            <v>serum</v>
          </cell>
          <cell r="AF3694">
            <v>1</v>
          </cell>
        </row>
        <row r="3695">
          <cell r="A3695" t="str">
            <v>IS_alqt_plus</v>
          </cell>
          <cell r="K3695" t="str">
            <v>ECOL</v>
          </cell>
          <cell r="M3695" t="str">
            <v>M</v>
          </cell>
          <cell r="AB3695" t="str">
            <v>serum</v>
          </cell>
          <cell r="AF3695">
            <v>1</v>
          </cell>
        </row>
        <row r="3696">
          <cell r="A3696" t="str">
            <v>IS_alqt_plus</v>
          </cell>
          <cell r="K3696" t="str">
            <v>ECOL</v>
          </cell>
          <cell r="M3696" t="str">
            <v>M</v>
          </cell>
          <cell r="AB3696" t="str">
            <v>serum</v>
          </cell>
          <cell r="AF3696">
            <v>1</v>
          </cell>
        </row>
        <row r="3697">
          <cell r="A3697" t="str">
            <v>IS_alqt_plus</v>
          </cell>
          <cell r="K3697" t="str">
            <v>ECOL</v>
          </cell>
          <cell r="M3697" t="str">
            <v>M</v>
          </cell>
          <cell r="AB3697" t="str">
            <v>serum</v>
          </cell>
          <cell r="AF3697">
            <v>1</v>
          </cell>
        </row>
        <row r="3698">
          <cell r="A3698" t="str">
            <v>IS_alqt_plus</v>
          </cell>
          <cell r="K3698" t="str">
            <v>ECOL</v>
          </cell>
          <cell r="M3698" t="str">
            <v>M</v>
          </cell>
          <cell r="AB3698" t="str">
            <v>serum</v>
          </cell>
          <cell r="AF3698">
            <v>0.75</v>
          </cell>
        </row>
        <row r="3699">
          <cell r="A3699" t="str">
            <v>IS_alqt_plus</v>
          </cell>
          <cell r="K3699" t="str">
            <v>ECOL</v>
          </cell>
          <cell r="M3699" t="str">
            <v>M</v>
          </cell>
          <cell r="AB3699" t="str">
            <v>WB</v>
          </cell>
          <cell r="AF3699">
            <v>0.6</v>
          </cell>
        </row>
        <row r="3700">
          <cell r="A3700" t="str">
            <v>IS_alqt_plus</v>
          </cell>
          <cell r="K3700" t="str">
            <v>ECOL</v>
          </cell>
          <cell r="M3700" t="str">
            <v>M</v>
          </cell>
          <cell r="AB3700" t="str">
            <v>WB</v>
          </cell>
          <cell r="AF3700">
            <v>0.75</v>
          </cell>
        </row>
        <row r="3701">
          <cell r="A3701" t="str">
            <v>IS_alqt_plus</v>
          </cell>
          <cell r="K3701" t="str">
            <v>ECOL</v>
          </cell>
          <cell r="M3701" t="str">
            <v>M</v>
          </cell>
          <cell r="AB3701" t="str">
            <v>WB</v>
          </cell>
          <cell r="AF3701">
            <v>0.75</v>
          </cell>
        </row>
        <row r="3702">
          <cell r="A3702" t="str">
            <v>IS_alqt_plus</v>
          </cell>
          <cell r="K3702" t="str">
            <v>ECOL</v>
          </cell>
          <cell r="M3702" t="str">
            <v>M</v>
          </cell>
          <cell r="AB3702" t="str">
            <v>WB</v>
          </cell>
          <cell r="AF3702">
            <v>0.75</v>
          </cell>
        </row>
        <row r="3703">
          <cell r="A3703" t="str">
            <v>gone</v>
          </cell>
          <cell r="K3703" t="str">
            <v>ECOL</v>
          </cell>
          <cell r="M3703" t="str">
            <v>M</v>
          </cell>
          <cell r="AB3703" t="str">
            <v>WB</v>
          </cell>
          <cell r="AF3703">
            <v>0</v>
          </cell>
        </row>
        <row r="3704">
          <cell r="A3704" t="str">
            <v>IS_alqt_plus</v>
          </cell>
          <cell r="K3704" t="str">
            <v>ECOL</v>
          </cell>
          <cell r="M3704" t="str">
            <v>M</v>
          </cell>
          <cell r="AB3704" t="str">
            <v>WB</v>
          </cell>
          <cell r="AF3704">
            <v>0.75</v>
          </cell>
        </row>
        <row r="3705">
          <cell r="A3705" t="str">
            <v>IS_alqt_plus</v>
          </cell>
          <cell r="K3705" t="str">
            <v>LCAT</v>
          </cell>
          <cell r="M3705" t="str">
            <v>M</v>
          </cell>
          <cell r="AB3705" t="str">
            <v>WB</v>
          </cell>
          <cell r="AF3705">
            <v>0.2</v>
          </cell>
        </row>
        <row r="3706">
          <cell r="A3706" t="str">
            <v>IS_alqt_plus</v>
          </cell>
          <cell r="K3706" t="str">
            <v>PCOQ</v>
          </cell>
          <cell r="M3706" t="str">
            <v>M</v>
          </cell>
          <cell r="AB3706" t="str">
            <v>serum</v>
          </cell>
          <cell r="AF3706">
            <v>0.6</v>
          </cell>
        </row>
        <row r="3707">
          <cell r="A3707" t="str">
            <v>gone</v>
          </cell>
          <cell r="K3707" t="str">
            <v>HGG</v>
          </cell>
          <cell r="M3707" t="str">
            <v>M</v>
          </cell>
          <cell r="AB3707" t="str">
            <v>WB</v>
          </cell>
          <cell r="AF3707">
            <v>0</v>
          </cell>
        </row>
        <row r="3708">
          <cell r="A3708" t="str">
            <v>IS_alqt_plus</v>
          </cell>
          <cell r="K3708" t="str">
            <v>HGG</v>
          </cell>
          <cell r="M3708" t="str">
            <v>F</v>
          </cell>
          <cell r="AB3708" t="str">
            <v>WB</v>
          </cell>
          <cell r="AF3708">
            <v>0.5</v>
          </cell>
        </row>
        <row r="3709">
          <cell r="A3709" t="str">
            <v>IS_alqt_plus</v>
          </cell>
          <cell r="K3709" t="str">
            <v>HGG</v>
          </cell>
          <cell r="M3709" t="str">
            <v>F</v>
          </cell>
          <cell r="AB3709" t="str">
            <v>WB</v>
          </cell>
          <cell r="AF3709">
            <v>0.5</v>
          </cell>
        </row>
        <row r="3710">
          <cell r="A3710" t="str">
            <v>IS_alqt_plus</v>
          </cell>
          <cell r="K3710" t="str">
            <v>HGG</v>
          </cell>
          <cell r="M3710" t="str">
            <v>M</v>
          </cell>
          <cell r="AB3710" t="str">
            <v>serum</v>
          </cell>
          <cell r="AF3710">
            <v>0.85</v>
          </cell>
        </row>
        <row r="3711">
          <cell r="A3711" t="str">
            <v>IS_alqt_plus</v>
          </cell>
          <cell r="K3711" t="str">
            <v>HGG</v>
          </cell>
          <cell r="M3711" t="str">
            <v>F</v>
          </cell>
          <cell r="AB3711" t="str">
            <v>serum</v>
          </cell>
          <cell r="AF3711">
            <v>0.4</v>
          </cell>
        </row>
        <row r="3712">
          <cell r="A3712" t="str">
            <v>IS_alqt_plus</v>
          </cell>
          <cell r="K3712" t="str">
            <v>HGG</v>
          </cell>
          <cell r="M3712" t="str">
            <v>F</v>
          </cell>
          <cell r="AB3712" t="str">
            <v>serum</v>
          </cell>
          <cell r="AF3712">
            <v>0.75</v>
          </cell>
        </row>
        <row r="3713">
          <cell r="A3713" t="str">
            <v>gone</v>
          </cell>
          <cell r="K3713" t="str">
            <v>EFLA</v>
          </cell>
          <cell r="M3713" t="str">
            <v>M</v>
          </cell>
          <cell r="AB3713" t="str">
            <v>WB</v>
          </cell>
          <cell r="AF3713">
            <v>0</v>
          </cell>
        </row>
        <row r="3714">
          <cell r="A3714" t="str">
            <v>IS_alqt_plus</v>
          </cell>
          <cell r="K3714" t="str">
            <v>EFLA</v>
          </cell>
          <cell r="M3714" t="str">
            <v>M</v>
          </cell>
          <cell r="AB3714" t="str">
            <v>serum</v>
          </cell>
          <cell r="AF3714">
            <v>0.5</v>
          </cell>
        </row>
        <row r="3715">
          <cell r="A3715" t="str">
            <v>IS_alqt_plus</v>
          </cell>
          <cell r="K3715" t="str">
            <v>EFLA</v>
          </cell>
          <cell r="M3715" t="str">
            <v>M</v>
          </cell>
          <cell r="AB3715" t="str">
            <v>serum</v>
          </cell>
          <cell r="AF3715">
            <v>0.5</v>
          </cell>
        </row>
        <row r="3716">
          <cell r="A3716" t="str">
            <v>gone</v>
          </cell>
          <cell r="K3716" t="str">
            <v>EMAC</v>
          </cell>
          <cell r="M3716" t="str">
            <v>M</v>
          </cell>
          <cell r="AB3716" t="str">
            <v>WB</v>
          </cell>
          <cell r="AF3716">
            <v>0</v>
          </cell>
        </row>
        <row r="3717">
          <cell r="A3717" t="str">
            <v>IS_alqt_plus</v>
          </cell>
          <cell r="K3717" t="str">
            <v>EMAC</v>
          </cell>
          <cell r="M3717" t="str">
            <v>M</v>
          </cell>
          <cell r="AB3717" t="str">
            <v>serum</v>
          </cell>
          <cell r="AF3717">
            <v>0.5</v>
          </cell>
        </row>
        <row r="3718">
          <cell r="A3718" t="str">
            <v>IS</v>
          </cell>
          <cell r="K3718" t="str">
            <v>TAR</v>
          </cell>
          <cell r="M3718" t="str">
            <v>ND</v>
          </cell>
          <cell r="AB3718" t="str">
            <v>blood cards</v>
          </cell>
          <cell r="AF3718">
            <v>3</v>
          </cell>
        </row>
        <row r="3719">
          <cell r="A3719" t="str">
            <v>IS_alqt_plus</v>
          </cell>
          <cell r="K3719" t="str">
            <v>PCOQ</v>
          </cell>
          <cell r="M3719" t="str">
            <v>F</v>
          </cell>
          <cell r="AB3719" t="str">
            <v>serum</v>
          </cell>
          <cell r="AF3719">
            <v>0.5</v>
          </cell>
        </row>
        <row r="3720">
          <cell r="A3720" t="str">
            <v>IS_alqt_plus</v>
          </cell>
          <cell r="K3720" t="str">
            <v>PCOQ</v>
          </cell>
          <cell r="M3720" t="str">
            <v>M</v>
          </cell>
          <cell r="AB3720" t="str">
            <v>serum</v>
          </cell>
          <cell r="AF3720">
            <v>0.5</v>
          </cell>
        </row>
        <row r="3721">
          <cell r="A3721" t="str">
            <v>IS_alqt_plus</v>
          </cell>
          <cell r="K3721" t="str">
            <v>PCOQ</v>
          </cell>
          <cell r="M3721" t="str">
            <v>F</v>
          </cell>
          <cell r="AB3721" t="str">
            <v>serum</v>
          </cell>
          <cell r="AF3721">
            <v>0.5</v>
          </cell>
        </row>
        <row r="3722">
          <cell r="A3722" t="str">
            <v>IS_alqt_plus</v>
          </cell>
          <cell r="K3722" t="str">
            <v>PDIA</v>
          </cell>
          <cell r="M3722" t="str">
            <v>M</v>
          </cell>
          <cell r="AB3722" t="str">
            <v>serum</v>
          </cell>
          <cell r="AF3722">
            <v>0.5</v>
          </cell>
        </row>
        <row r="3723">
          <cell r="A3723" t="str">
            <v>IS_alqt_plus</v>
          </cell>
          <cell r="K3723" t="str">
            <v>PTAT</v>
          </cell>
          <cell r="M3723" t="str">
            <v>M</v>
          </cell>
          <cell r="AB3723" t="str">
            <v>serum</v>
          </cell>
          <cell r="AF3723">
            <v>0.5</v>
          </cell>
        </row>
        <row r="3724">
          <cell r="A3724" t="str">
            <v>unk</v>
          </cell>
          <cell r="K3724" t="str">
            <v>LCAT</v>
          </cell>
          <cell r="M3724" t="str">
            <v>M</v>
          </cell>
          <cell r="AB3724" t="str">
            <v>WB</v>
          </cell>
          <cell r="AF3724">
            <v>0.2</v>
          </cell>
        </row>
        <row r="3725">
          <cell r="A3725" t="str">
            <v>IS_alqt_plus</v>
          </cell>
          <cell r="K3725" t="str">
            <v>ERUF</v>
          </cell>
          <cell r="M3725" t="str">
            <v>M</v>
          </cell>
          <cell r="AB3725" t="str">
            <v>WB</v>
          </cell>
          <cell r="AF3725">
            <v>0.75</v>
          </cell>
        </row>
        <row r="3726">
          <cell r="A3726" t="str">
            <v>IS_alqt_plus</v>
          </cell>
          <cell r="K3726" t="str">
            <v>ERUF</v>
          </cell>
          <cell r="M3726" t="str">
            <v>M</v>
          </cell>
          <cell r="AB3726" t="str">
            <v>WB</v>
          </cell>
          <cell r="AF3726">
            <v>0.5</v>
          </cell>
        </row>
        <row r="3727">
          <cell r="A3727" t="str">
            <v>IS_alqt_plus</v>
          </cell>
          <cell r="K3727" t="str">
            <v>ERUF</v>
          </cell>
          <cell r="M3727" t="str">
            <v>M</v>
          </cell>
          <cell r="AB3727" t="str">
            <v>WB</v>
          </cell>
          <cell r="AF3727">
            <v>0.75</v>
          </cell>
        </row>
        <row r="3728">
          <cell r="A3728" t="str">
            <v>IS_alqt_plus</v>
          </cell>
          <cell r="K3728" t="str">
            <v>ERUF</v>
          </cell>
          <cell r="M3728" t="str">
            <v>M</v>
          </cell>
          <cell r="AB3728" t="str">
            <v>WB</v>
          </cell>
          <cell r="AF3728">
            <v>0.75</v>
          </cell>
        </row>
        <row r="3729">
          <cell r="A3729" t="str">
            <v>IS_alqt_plus</v>
          </cell>
          <cell r="K3729" t="str">
            <v>ERUF</v>
          </cell>
          <cell r="M3729" t="str">
            <v>M</v>
          </cell>
          <cell r="AB3729" t="str">
            <v>WB</v>
          </cell>
          <cell r="AF3729">
            <v>1.3</v>
          </cell>
        </row>
        <row r="3730">
          <cell r="A3730" t="str">
            <v>IS_alqt_plus</v>
          </cell>
          <cell r="K3730" t="str">
            <v>ERUF</v>
          </cell>
          <cell r="M3730" t="str">
            <v>M</v>
          </cell>
          <cell r="AB3730" t="str">
            <v>WB</v>
          </cell>
          <cell r="AF3730">
            <v>0.75</v>
          </cell>
        </row>
        <row r="3731">
          <cell r="A3731" t="str">
            <v>IS_alqt_plus</v>
          </cell>
          <cell r="K3731" t="str">
            <v>ERUF</v>
          </cell>
          <cell r="M3731" t="str">
            <v>M</v>
          </cell>
          <cell r="AB3731" t="str">
            <v>WB</v>
          </cell>
          <cell r="AF3731">
            <v>1.3</v>
          </cell>
        </row>
        <row r="3732">
          <cell r="A3732" t="str">
            <v>IS_alqt_plus</v>
          </cell>
          <cell r="K3732" t="str">
            <v>ERUF</v>
          </cell>
          <cell r="M3732" t="str">
            <v>M</v>
          </cell>
          <cell r="AB3732" t="str">
            <v>WB</v>
          </cell>
          <cell r="AF3732">
            <v>0.5</v>
          </cell>
        </row>
        <row r="3733">
          <cell r="A3733" t="str">
            <v>IS_alqt_plus</v>
          </cell>
          <cell r="K3733" t="str">
            <v>ERUF</v>
          </cell>
          <cell r="M3733" t="str">
            <v>M</v>
          </cell>
          <cell r="AB3733" t="str">
            <v>WB</v>
          </cell>
          <cell r="AF3733">
            <v>0.6</v>
          </cell>
        </row>
        <row r="3734">
          <cell r="A3734" t="str">
            <v>IS_alqt_plus</v>
          </cell>
          <cell r="K3734" t="str">
            <v>ERUF</v>
          </cell>
          <cell r="M3734" t="str">
            <v>M</v>
          </cell>
          <cell r="AB3734" t="str">
            <v>WB</v>
          </cell>
          <cell r="AF3734">
            <v>0.75</v>
          </cell>
        </row>
        <row r="3735">
          <cell r="A3735" t="str">
            <v>IS_alqt_plus</v>
          </cell>
          <cell r="K3735" t="str">
            <v>ERUF</v>
          </cell>
          <cell r="M3735" t="str">
            <v>M</v>
          </cell>
          <cell r="AB3735" t="str">
            <v>WB</v>
          </cell>
          <cell r="AF3735">
            <v>0.75</v>
          </cell>
        </row>
        <row r="3736">
          <cell r="A3736" t="str">
            <v>IS_alqt_plus</v>
          </cell>
          <cell r="K3736" t="str">
            <v>ERUF</v>
          </cell>
          <cell r="M3736" t="str">
            <v>M</v>
          </cell>
          <cell r="AB3736" t="str">
            <v>WB</v>
          </cell>
          <cell r="AF3736">
            <v>0.5</v>
          </cell>
        </row>
        <row r="3737">
          <cell r="A3737" t="str">
            <v>IS_alqt_plus</v>
          </cell>
          <cell r="K3737" t="str">
            <v>ERUF</v>
          </cell>
          <cell r="M3737" t="str">
            <v>M</v>
          </cell>
          <cell r="AB3737" t="str">
            <v>WB</v>
          </cell>
          <cell r="AF3737">
            <v>0.5</v>
          </cell>
        </row>
        <row r="3738">
          <cell r="A3738" t="str">
            <v>IS_alqt_plus</v>
          </cell>
          <cell r="K3738" t="str">
            <v>ERUF</v>
          </cell>
          <cell r="M3738" t="str">
            <v>M</v>
          </cell>
          <cell r="AB3738" t="str">
            <v>WB</v>
          </cell>
          <cell r="AF3738">
            <v>0.2</v>
          </cell>
        </row>
        <row r="3739">
          <cell r="A3739" t="str">
            <v>IS_alqt_plus</v>
          </cell>
          <cell r="K3739" t="str">
            <v>ERUF</v>
          </cell>
          <cell r="M3739" t="str">
            <v>M</v>
          </cell>
          <cell r="AB3739" t="str">
            <v>WB</v>
          </cell>
          <cell r="AF3739">
            <v>0.2</v>
          </cell>
        </row>
        <row r="3740">
          <cell r="A3740" t="str">
            <v>unk</v>
          </cell>
          <cell r="K3740" t="str">
            <v>ERUF</v>
          </cell>
          <cell r="M3740" t="str">
            <v>M</v>
          </cell>
          <cell r="AB3740" t="str">
            <v>WB</v>
          </cell>
          <cell r="AF3740">
            <v>0.5</v>
          </cell>
        </row>
        <row r="3741">
          <cell r="A3741" t="str">
            <v>IS_alqt_plus</v>
          </cell>
          <cell r="K3741" t="str">
            <v>ERUF</v>
          </cell>
          <cell r="M3741" t="str">
            <v>M</v>
          </cell>
          <cell r="AB3741" t="str">
            <v>serum</v>
          </cell>
          <cell r="AF3741">
            <v>1.5</v>
          </cell>
        </row>
        <row r="3742">
          <cell r="A3742" t="str">
            <v>IS_alqt_plus</v>
          </cell>
          <cell r="K3742" t="str">
            <v>ERUF</v>
          </cell>
          <cell r="M3742" t="str">
            <v>M</v>
          </cell>
          <cell r="AB3742" t="str">
            <v>serum</v>
          </cell>
          <cell r="AF3742">
            <v>1.3</v>
          </cell>
        </row>
        <row r="3743">
          <cell r="A3743" t="str">
            <v>IS_alqt_plus</v>
          </cell>
          <cell r="K3743" t="str">
            <v>ERUF</v>
          </cell>
          <cell r="M3743" t="str">
            <v>M</v>
          </cell>
          <cell r="AB3743" t="str">
            <v>serum</v>
          </cell>
          <cell r="AF3743">
            <v>1.5</v>
          </cell>
        </row>
        <row r="3744">
          <cell r="A3744" t="str">
            <v>IS_alqt_plus</v>
          </cell>
          <cell r="K3744" t="str">
            <v>ERUF</v>
          </cell>
          <cell r="M3744" t="str">
            <v>M</v>
          </cell>
          <cell r="AB3744" t="str">
            <v>serum</v>
          </cell>
          <cell r="AF3744">
            <v>1.1000000000000001</v>
          </cell>
        </row>
        <row r="3745">
          <cell r="A3745" t="str">
            <v>IS_alqt_plus</v>
          </cell>
          <cell r="K3745" t="str">
            <v>ERUF</v>
          </cell>
          <cell r="M3745" t="str">
            <v>M</v>
          </cell>
          <cell r="AB3745" t="str">
            <v>serum</v>
          </cell>
          <cell r="AF3745">
            <v>1.5</v>
          </cell>
        </row>
        <row r="3746">
          <cell r="A3746" t="str">
            <v>IS_alqt_plus</v>
          </cell>
          <cell r="K3746" t="str">
            <v>ERUF</v>
          </cell>
          <cell r="M3746" t="str">
            <v>M</v>
          </cell>
          <cell r="AB3746" t="str">
            <v>serum</v>
          </cell>
          <cell r="AF3746">
            <v>1</v>
          </cell>
        </row>
        <row r="3747">
          <cell r="A3747" t="str">
            <v>IS_alqt_plus</v>
          </cell>
          <cell r="K3747" t="str">
            <v>ERUF</v>
          </cell>
          <cell r="M3747" t="str">
            <v>M</v>
          </cell>
          <cell r="AB3747" t="str">
            <v>serum</v>
          </cell>
          <cell r="AF3747">
            <v>1.5</v>
          </cell>
        </row>
        <row r="3748">
          <cell r="A3748" t="str">
            <v>IS_alqt_plus</v>
          </cell>
          <cell r="K3748" t="str">
            <v>ERUF</v>
          </cell>
          <cell r="M3748" t="str">
            <v>M</v>
          </cell>
          <cell r="AB3748" t="str">
            <v>serum</v>
          </cell>
          <cell r="AF3748">
            <v>1</v>
          </cell>
        </row>
        <row r="3749">
          <cell r="A3749" t="str">
            <v>IS_alqt_plus</v>
          </cell>
          <cell r="K3749" t="str">
            <v>ERUF</v>
          </cell>
          <cell r="M3749" t="str">
            <v>M</v>
          </cell>
          <cell r="AB3749" t="str">
            <v>serum</v>
          </cell>
          <cell r="AF3749">
            <v>0.5</v>
          </cell>
        </row>
        <row r="3750">
          <cell r="A3750" t="str">
            <v>IS_alqt_plus</v>
          </cell>
          <cell r="K3750" t="str">
            <v>ERUF</v>
          </cell>
          <cell r="M3750" t="str">
            <v>M</v>
          </cell>
          <cell r="AB3750" t="str">
            <v>serum</v>
          </cell>
          <cell r="AF3750">
            <v>1.5</v>
          </cell>
        </row>
        <row r="3751">
          <cell r="A3751" t="str">
            <v>IS_alqt_plus</v>
          </cell>
          <cell r="K3751" t="str">
            <v>ERUF</v>
          </cell>
          <cell r="M3751" t="str">
            <v>M</v>
          </cell>
          <cell r="AB3751" t="str">
            <v>serum</v>
          </cell>
          <cell r="AF3751">
            <v>1.5</v>
          </cell>
        </row>
        <row r="3752">
          <cell r="A3752" t="str">
            <v>IS_alqt_plus</v>
          </cell>
          <cell r="K3752" t="str">
            <v>ERUF</v>
          </cell>
          <cell r="M3752" t="str">
            <v>M</v>
          </cell>
          <cell r="AB3752" t="str">
            <v>serum</v>
          </cell>
          <cell r="AF3752">
            <v>1</v>
          </cell>
        </row>
        <row r="3753">
          <cell r="A3753" t="str">
            <v>IS_alqt_plus</v>
          </cell>
          <cell r="K3753" t="str">
            <v>ERUF</v>
          </cell>
          <cell r="M3753" t="str">
            <v>M</v>
          </cell>
          <cell r="AB3753" t="str">
            <v>serum</v>
          </cell>
          <cell r="AF3753">
            <v>1.5</v>
          </cell>
        </row>
        <row r="3754">
          <cell r="A3754" t="str">
            <v>IS_alqt_plus</v>
          </cell>
          <cell r="K3754" t="str">
            <v>ERUF</v>
          </cell>
          <cell r="M3754" t="str">
            <v>M</v>
          </cell>
          <cell r="AB3754" t="str">
            <v>serum</v>
          </cell>
          <cell r="AF3754">
            <v>1.25</v>
          </cell>
        </row>
        <row r="3755">
          <cell r="A3755" t="str">
            <v>IS_alqt_plus</v>
          </cell>
          <cell r="K3755" t="str">
            <v>ERUF</v>
          </cell>
          <cell r="M3755" t="str">
            <v>M</v>
          </cell>
          <cell r="AB3755" t="str">
            <v>serum</v>
          </cell>
          <cell r="AF3755">
            <v>1.5</v>
          </cell>
        </row>
        <row r="3756">
          <cell r="A3756" t="str">
            <v>IS_alqt_plus</v>
          </cell>
          <cell r="K3756" t="str">
            <v>ERUF</v>
          </cell>
          <cell r="M3756" t="str">
            <v>M</v>
          </cell>
          <cell r="AB3756" t="str">
            <v>serum</v>
          </cell>
          <cell r="AF3756">
            <v>1.5</v>
          </cell>
        </row>
        <row r="3757">
          <cell r="A3757" t="str">
            <v>IS_alqt_plus</v>
          </cell>
          <cell r="K3757" t="str">
            <v>ERUF</v>
          </cell>
          <cell r="M3757" t="str">
            <v>M</v>
          </cell>
          <cell r="AB3757" t="str">
            <v>serum</v>
          </cell>
          <cell r="AF3757">
            <v>1.3</v>
          </cell>
        </row>
        <row r="3758">
          <cell r="A3758" t="str">
            <v>IS_alqt_plus</v>
          </cell>
          <cell r="K3758" t="str">
            <v>EFLA</v>
          </cell>
          <cell r="M3758" t="str">
            <v>F</v>
          </cell>
          <cell r="AB3758" t="str">
            <v>serum</v>
          </cell>
          <cell r="AF3758">
            <v>1.5</v>
          </cell>
        </row>
        <row r="3759">
          <cell r="A3759" t="str">
            <v>unk</v>
          </cell>
          <cell r="K3759" t="str">
            <v>VRUB</v>
          </cell>
          <cell r="M3759" t="str">
            <v>M</v>
          </cell>
          <cell r="AB3759" t="str">
            <v>serum</v>
          </cell>
          <cell r="AF3759">
            <v>0.35</v>
          </cell>
        </row>
        <row r="3760">
          <cell r="A3760" t="str">
            <v>IS_alqt_plus</v>
          </cell>
          <cell r="K3760" t="str">
            <v>EFLA</v>
          </cell>
          <cell r="M3760" t="str">
            <v>F</v>
          </cell>
          <cell r="AB3760" t="str">
            <v>WB</v>
          </cell>
          <cell r="AF3760">
            <v>0.6</v>
          </cell>
        </row>
        <row r="3761">
          <cell r="A3761" t="str">
            <v>IS_alqt_plus</v>
          </cell>
          <cell r="K3761" t="str">
            <v>EFLA</v>
          </cell>
          <cell r="M3761" t="str">
            <v>F</v>
          </cell>
          <cell r="AB3761" t="str">
            <v>serum</v>
          </cell>
          <cell r="AF3761">
            <v>1.5</v>
          </cell>
        </row>
        <row r="3762">
          <cell r="A3762" t="str">
            <v>IS_alqt_plus</v>
          </cell>
          <cell r="K3762" t="str">
            <v>EFLA</v>
          </cell>
          <cell r="M3762" t="str">
            <v>F</v>
          </cell>
          <cell r="AB3762" t="str">
            <v>serum</v>
          </cell>
          <cell r="AF3762">
            <v>0.6</v>
          </cell>
        </row>
        <row r="3763">
          <cell r="A3763" t="str">
            <v>IS_alqt_plus</v>
          </cell>
          <cell r="K3763" t="str">
            <v>EFLA</v>
          </cell>
          <cell r="M3763" t="str">
            <v>F</v>
          </cell>
          <cell r="AB3763" t="str">
            <v>serum</v>
          </cell>
          <cell r="AF3763">
            <v>0.6</v>
          </cell>
        </row>
        <row r="3764">
          <cell r="A3764" t="str">
            <v>IS_alqt_plus</v>
          </cell>
          <cell r="K3764" t="str">
            <v>EFLA</v>
          </cell>
          <cell r="M3764" t="str">
            <v>F</v>
          </cell>
          <cell r="AB3764" t="str">
            <v>serum</v>
          </cell>
          <cell r="AF3764">
            <v>0.2</v>
          </cell>
        </row>
        <row r="3765">
          <cell r="A3765" t="str">
            <v>IS_alqt_plus</v>
          </cell>
          <cell r="K3765" t="str">
            <v>EFLA</v>
          </cell>
          <cell r="M3765" t="str">
            <v>F</v>
          </cell>
          <cell r="AB3765" t="str">
            <v>serum</v>
          </cell>
          <cell r="AF3765">
            <v>0.2</v>
          </cell>
        </row>
        <row r="3766">
          <cell r="A3766" t="str">
            <v>IS_alqt_minus</v>
          </cell>
          <cell r="K3766" t="str">
            <v>MMUR</v>
          </cell>
          <cell r="M3766" t="str">
            <v>F</v>
          </cell>
          <cell r="AB3766" t="str">
            <v>serum</v>
          </cell>
          <cell r="AF3766">
            <v>0.15</v>
          </cell>
        </row>
        <row r="3767">
          <cell r="A3767" t="str">
            <v>IS_alqt_plus</v>
          </cell>
          <cell r="K3767" t="str">
            <v>ECOL</v>
          </cell>
          <cell r="M3767" t="str">
            <v>M</v>
          </cell>
          <cell r="AB3767" t="str">
            <v>WB</v>
          </cell>
          <cell r="AF3767">
            <v>1.2</v>
          </cell>
        </row>
        <row r="3768">
          <cell r="A3768" t="str">
            <v>IS_alqt_plus</v>
          </cell>
          <cell r="K3768" t="str">
            <v>EMON</v>
          </cell>
          <cell r="M3768" t="str">
            <v>F</v>
          </cell>
          <cell r="AB3768" t="str">
            <v>serum</v>
          </cell>
          <cell r="AF3768">
            <v>1.5</v>
          </cell>
        </row>
        <row r="3769">
          <cell r="A3769" t="str">
            <v>IS_alqt_plus</v>
          </cell>
          <cell r="K3769" t="str">
            <v>EMON</v>
          </cell>
          <cell r="M3769" t="str">
            <v>F</v>
          </cell>
          <cell r="AB3769" t="str">
            <v>serum</v>
          </cell>
          <cell r="AF3769">
            <v>1.5</v>
          </cell>
        </row>
        <row r="3770">
          <cell r="A3770" t="str">
            <v>IS_alqt_plus</v>
          </cell>
          <cell r="K3770" t="str">
            <v>EMON</v>
          </cell>
          <cell r="M3770" t="str">
            <v>F</v>
          </cell>
          <cell r="AB3770" t="str">
            <v>serum</v>
          </cell>
          <cell r="AF3770">
            <v>1.5</v>
          </cell>
        </row>
        <row r="3771">
          <cell r="A3771" t="str">
            <v>IS_alqt_plus</v>
          </cell>
          <cell r="K3771" t="str">
            <v>EMON</v>
          </cell>
          <cell r="M3771" t="str">
            <v>F</v>
          </cell>
          <cell r="AB3771" t="str">
            <v>serum</v>
          </cell>
          <cell r="AF3771">
            <v>1.4</v>
          </cell>
        </row>
        <row r="3772">
          <cell r="A3772" t="str">
            <v>IS_alqt_plus</v>
          </cell>
          <cell r="K3772" t="str">
            <v>EMON</v>
          </cell>
          <cell r="M3772" t="str">
            <v>F</v>
          </cell>
          <cell r="AB3772" t="str">
            <v>serum</v>
          </cell>
          <cell r="AF3772">
            <v>1.5</v>
          </cell>
        </row>
        <row r="3773">
          <cell r="A3773" t="str">
            <v>IS_alqt_plus</v>
          </cell>
          <cell r="K3773" t="str">
            <v>EMON</v>
          </cell>
          <cell r="M3773" t="str">
            <v>F</v>
          </cell>
          <cell r="AB3773" t="str">
            <v>serum</v>
          </cell>
          <cell r="AF3773">
            <v>1.25</v>
          </cell>
        </row>
        <row r="3774">
          <cell r="A3774" t="str">
            <v>gone</v>
          </cell>
          <cell r="K3774" t="str">
            <v>EFLA</v>
          </cell>
          <cell r="M3774" t="str">
            <v>F</v>
          </cell>
          <cell r="AB3774" t="str">
            <v>WB</v>
          </cell>
          <cell r="AF3774">
            <v>0</v>
          </cell>
        </row>
        <row r="3775">
          <cell r="A3775" t="str">
            <v>gone</v>
          </cell>
          <cell r="K3775" t="str">
            <v>EFLA</v>
          </cell>
          <cell r="M3775" t="str">
            <v>M</v>
          </cell>
          <cell r="AB3775" t="str">
            <v>WB</v>
          </cell>
          <cell r="AF3775">
            <v>0</v>
          </cell>
        </row>
        <row r="3776">
          <cell r="A3776" t="str">
            <v>IS_alqt_plus</v>
          </cell>
          <cell r="K3776" t="str">
            <v>EFLA</v>
          </cell>
          <cell r="M3776" t="str">
            <v>F</v>
          </cell>
          <cell r="AB3776" t="str">
            <v>serum</v>
          </cell>
          <cell r="AF3776">
            <v>0.75</v>
          </cell>
        </row>
        <row r="3777">
          <cell r="A3777" t="str">
            <v>IS_alqt_plus</v>
          </cell>
          <cell r="K3777" t="str">
            <v>EFLA</v>
          </cell>
          <cell r="M3777" t="str">
            <v>M</v>
          </cell>
          <cell r="AB3777" t="str">
            <v>serum</v>
          </cell>
          <cell r="AF3777">
            <v>0.75</v>
          </cell>
        </row>
        <row r="3778">
          <cell r="A3778" t="str">
            <v>IS_alqt_plus</v>
          </cell>
          <cell r="K3778" t="str">
            <v>DMAD</v>
          </cell>
          <cell r="M3778" t="str">
            <v>F</v>
          </cell>
          <cell r="AB3778" t="str">
            <v>serum</v>
          </cell>
          <cell r="AF3778">
            <v>0.55000000000000004</v>
          </cell>
        </row>
        <row r="3779">
          <cell r="A3779" t="str">
            <v>IS_alqt_plus</v>
          </cell>
          <cell r="K3779" t="str">
            <v>DMAD</v>
          </cell>
          <cell r="M3779" t="str">
            <v>F</v>
          </cell>
          <cell r="AB3779" t="str">
            <v>serum</v>
          </cell>
          <cell r="AF3779">
            <v>0.7</v>
          </cell>
        </row>
        <row r="3780">
          <cell r="A3780" t="str">
            <v>IS_alqt_plus</v>
          </cell>
          <cell r="K3780" t="str">
            <v>DMAD</v>
          </cell>
          <cell r="M3780" t="str">
            <v>F</v>
          </cell>
          <cell r="AB3780" t="str">
            <v>WB</v>
          </cell>
          <cell r="AF3780">
            <v>0.7</v>
          </cell>
        </row>
        <row r="3781">
          <cell r="A3781" t="str">
            <v>IS_alqt_plus</v>
          </cell>
          <cell r="K3781" t="str">
            <v>DMAD</v>
          </cell>
          <cell r="M3781" t="str">
            <v>F</v>
          </cell>
          <cell r="AB3781" t="str">
            <v>WB</v>
          </cell>
          <cell r="AF3781">
            <v>0.5</v>
          </cell>
        </row>
        <row r="3782">
          <cell r="A3782" t="str">
            <v>IS_alqt_plus</v>
          </cell>
          <cell r="K3782" t="str">
            <v>DMAD</v>
          </cell>
          <cell r="M3782" t="str">
            <v>F</v>
          </cell>
          <cell r="AB3782" t="str">
            <v>WB</v>
          </cell>
          <cell r="AF3782">
            <v>0.6</v>
          </cell>
        </row>
        <row r="3783">
          <cell r="A3783" t="str">
            <v>unk</v>
          </cell>
          <cell r="K3783" t="str">
            <v>LCAT</v>
          </cell>
          <cell r="M3783" t="str">
            <v>M</v>
          </cell>
          <cell r="AB3783" t="str">
            <v>WB</v>
          </cell>
          <cell r="AF3783">
            <v>0.2</v>
          </cell>
        </row>
        <row r="3784">
          <cell r="A3784" t="str">
            <v>IS_alqt_plus</v>
          </cell>
          <cell r="K3784" t="str">
            <v>PCOQ</v>
          </cell>
          <cell r="M3784" t="str">
            <v>M</v>
          </cell>
          <cell r="AB3784" t="str">
            <v>serum</v>
          </cell>
          <cell r="AF3784">
            <v>1.2</v>
          </cell>
        </row>
        <row r="3785">
          <cell r="A3785" t="str">
            <v>IS_alqt_plus</v>
          </cell>
          <cell r="K3785" t="str">
            <v>EFLA</v>
          </cell>
          <cell r="M3785" t="str">
            <v>F</v>
          </cell>
          <cell r="AB3785" t="str">
            <v>WB</v>
          </cell>
          <cell r="AF3785">
            <v>0.5</v>
          </cell>
        </row>
        <row r="3786">
          <cell r="A3786" t="str">
            <v>IS_alqt_plus</v>
          </cell>
          <cell r="K3786" t="str">
            <v>EFLA</v>
          </cell>
          <cell r="M3786" t="str">
            <v>F</v>
          </cell>
          <cell r="AB3786" t="str">
            <v>WB</v>
          </cell>
          <cell r="AF3786">
            <v>0.5</v>
          </cell>
        </row>
        <row r="3787">
          <cell r="A3787" t="str">
            <v>IS_alqt_plus</v>
          </cell>
          <cell r="K3787" t="str">
            <v>EFLA</v>
          </cell>
          <cell r="M3787" t="str">
            <v>F</v>
          </cell>
          <cell r="AB3787" t="str">
            <v>WB</v>
          </cell>
          <cell r="AF3787">
            <v>1.5</v>
          </cell>
        </row>
        <row r="3788">
          <cell r="A3788" t="str">
            <v>IS_alqt_plus</v>
          </cell>
          <cell r="K3788" t="str">
            <v>EFLA</v>
          </cell>
          <cell r="M3788" t="str">
            <v>F</v>
          </cell>
          <cell r="AB3788" t="str">
            <v>WB</v>
          </cell>
          <cell r="AF3788">
            <v>1.5</v>
          </cell>
        </row>
        <row r="3789">
          <cell r="A3789" t="str">
            <v>IS_alqt_plus</v>
          </cell>
          <cell r="K3789" t="str">
            <v>EFLA</v>
          </cell>
          <cell r="M3789" t="str">
            <v>F</v>
          </cell>
          <cell r="AB3789" t="str">
            <v>WB</v>
          </cell>
          <cell r="AF3789">
            <v>0.5</v>
          </cell>
        </row>
        <row r="3790">
          <cell r="A3790" t="str">
            <v>gone</v>
          </cell>
          <cell r="K3790" t="str">
            <v>EFLA</v>
          </cell>
          <cell r="M3790" t="str">
            <v>F</v>
          </cell>
          <cell r="AB3790" t="str">
            <v>WB</v>
          </cell>
          <cell r="AF3790">
            <v>0</v>
          </cell>
        </row>
        <row r="3791">
          <cell r="A3791" t="str">
            <v>IS_alqt_minus</v>
          </cell>
          <cell r="K3791" t="str">
            <v>EFLA</v>
          </cell>
          <cell r="M3791" t="str">
            <v>F</v>
          </cell>
          <cell r="AB3791" t="str">
            <v>WB</v>
          </cell>
          <cell r="AF3791">
            <v>0.05</v>
          </cell>
        </row>
        <row r="3792">
          <cell r="A3792" t="str">
            <v>IS_alqt_plus</v>
          </cell>
          <cell r="K3792" t="str">
            <v>EFLA</v>
          </cell>
          <cell r="M3792" t="str">
            <v>F</v>
          </cell>
          <cell r="AB3792" t="str">
            <v>WB</v>
          </cell>
          <cell r="AF3792">
            <v>0.75</v>
          </cell>
        </row>
        <row r="3793">
          <cell r="A3793" t="str">
            <v>IS_alqt_plus</v>
          </cell>
          <cell r="K3793" t="str">
            <v>EFLA</v>
          </cell>
          <cell r="M3793" t="str">
            <v>F</v>
          </cell>
          <cell r="AB3793" t="str">
            <v>WB</v>
          </cell>
          <cell r="AF3793">
            <v>1.5</v>
          </cell>
        </row>
        <row r="3794">
          <cell r="A3794" t="str">
            <v>IS_alqt_plus</v>
          </cell>
          <cell r="K3794" t="str">
            <v>EFLA</v>
          </cell>
          <cell r="M3794" t="str">
            <v>F</v>
          </cell>
          <cell r="AB3794" t="str">
            <v>WB</v>
          </cell>
          <cell r="AF3794">
            <v>1.5</v>
          </cell>
        </row>
        <row r="3795">
          <cell r="A3795" t="str">
            <v>IS_alqt_plus</v>
          </cell>
          <cell r="K3795" t="str">
            <v>EFLA</v>
          </cell>
          <cell r="M3795" t="str">
            <v>F</v>
          </cell>
          <cell r="AB3795" t="str">
            <v>WB</v>
          </cell>
          <cell r="AF3795">
            <v>1.3</v>
          </cell>
        </row>
        <row r="3796">
          <cell r="A3796" t="str">
            <v>IS_alqt_plus</v>
          </cell>
          <cell r="K3796" t="str">
            <v>EFLA</v>
          </cell>
          <cell r="M3796" t="str">
            <v>F</v>
          </cell>
          <cell r="AB3796" t="str">
            <v>WB</v>
          </cell>
          <cell r="AF3796">
            <v>1</v>
          </cell>
        </row>
        <row r="3797">
          <cell r="A3797" t="str">
            <v>IS_alqt_plus</v>
          </cell>
          <cell r="K3797" t="str">
            <v>EFLA</v>
          </cell>
          <cell r="M3797" t="str">
            <v>F</v>
          </cell>
          <cell r="AB3797" t="str">
            <v>WB</v>
          </cell>
          <cell r="AF3797">
            <v>1.3</v>
          </cell>
        </row>
        <row r="3798">
          <cell r="A3798" t="str">
            <v>IS_alqt_plus</v>
          </cell>
          <cell r="K3798" t="str">
            <v>EFLA</v>
          </cell>
          <cell r="M3798" t="str">
            <v>F</v>
          </cell>
          <cell r="AB3798" t="str">
            <v>WB</v>
          </cell>
          <cell r="AF3798">
            <v>0.5</v>
          </cell>
        </row>
        <row r="3799">
          <cell r="A3799" t="str">
            <v>IS_alqt_plus</v>
          </cell>
          <cell r="K3799" t="str">
            <v>EFLA</v>
          </cell>
          <cell r="M3799" t="str">
            <v>F</v>
          </cell>
          <cell r="AB3799" t="str">
            <v>WB</v>
          </cell>
          <cell r="AF3799">
            <v>1.5</v>
          </cell>
        </row>
        <row r="3800">
          <cell r="A3800" t="str">
            <v>IS_alqt_plus</v>
          </cell>
          <cell r="K3800" t="str">
            <v>EFLA</v>
          </cell>
          <cell r="M3800" t="str">
            <v>F</v>
          </cell>
          <cell r="AB3800" t="str">
            <v>WB</v>
          </cell>
          <cell r="AF3800">
            <v>0.75</v>
          </cell>
        </row>
        <row r="3801">
          <cell r="A3801" t="str">
            <v>IS_alqt_plus</v>
          </cell>
          <cell r="K3801" t="str">
            <v>EFLA</v>
          </cell>
          <cell r="M3801" t="str">
            <v>F</v>
          </cell>
          <cell r="AB3801" t="str">
            <v>WB</v>
          </cell>
          <cell r="AF3801">
            <v>1.5</v>
          </cell>
        </row>
        <row r="3802">
          <cell r="A3802" t="str">
            <v>IS_alqt_plus</v>
          </cell>
          <cell r="K3802" t="str">
            <v>EFLA</v>
          </cell>
          <cell r="M3802" t="str">
            <v>F</v>
          </cell>
          <cell r="AB3802" t="str">
            <v>WB</v>
          </cell>
          <cell r="AF3802">
            <v>1.5</v>
          </cell>
        </row>
        <row r="3803">
          <cell r="A3803" t="str">
            <v>IS_alqt_plus</v>
          </cell>
          <cell r="K3803" t="str">
            <v>EFLA</v>
          </cell>
          <cell r="M3803" t="str">
            <v>F</v>
          </cell>
          <cell r="AB3803" t="str">
            <v>WB</v>
          </cell>
          <cell r="AF3803">
            <v>1.5</v>
          </cell>
        </row>
        <row r="3804">
          <cell r="A3804" t="str">
            <v>IS_alqt_plus</v>
          </cell>
          <cell r="K3804" t="str">
            <v>EFLA</v>
          </cell>
          <cell r="M3804" t="str">
            <v>F</v>
          </cell>
          <cell r="AB3804" t="str">
            <v>WB</v>
          </cell>
          <cell r="AF3804">
            <v>0.5</v>
          </cell>
        </row>
        <row r="3805">
          <cell r="A3805" t="str">
            <v>gone</v>
          </cell>
          <cell r="K3805" t="str">
            <v>EFLA</v>
          </cell>
          <cell r="M3805" t="str">
            <v>F</v>
          </cell>
          <cell r="AB3805" t="str">
            <v>WB</v>
          </cell>
          <cell r="AF3805">
            <v>0</v>
          </cell>
        </row>
        <row r="3806">
          <cell r="A3806" t="str">
            <v>gone</v>
          </cell>
          <cell r="K3806" t="str">
            <v>EFLA</v>
          </cell>
          <cell r="M3806" t="str">
            <v>F</v>
          </cell>
          <cell r="AB3806" t="str">
            <v>WB</v>
          </cell>
          <cell r="AF3806">
            <v>0</v>
          </cell>
        </row>
        <row r="3807">
          <cell r="A3807" t="str">
            <v>gone</v>
          </cell>
          <cell r="K3807" t="str">
            <v>EFLA</v>
          </cell>
          <cell r="M3807" t="str">
            <v>F</v>
          </cell>
          <cell r="AB3807" t="str">
            <v>WB</v>
          </cell>
          <cell r="AF3807">
            <v>0</v>
          </cell>
        </row>
        <row r="3808">
          <cell r="A3808" t="str">
            <v>gone</v>
          </cell>
          <cell r="K3808" t="str">
            <v>EFLA</v>
          </cell>
          <cell r="M3808" t="str">
            <v>F</v>
          </cell>
          <cell r="AB3808" t="str">
            <v>WB</v>
          </cell>
          <cell r="AF3808">
            <v>0</v>
          </cell>
        </row>
        <row r="3809">
          <cell r="A3809" t="str">
            <v>unk</v>
          </cell>
          <cell r="K3809" t="str">
            <v>EFLA</v>
          </cell>
          <cell r="M3809" t="str">
            <v>F</v>
          </cell>
          <cell r="AB3809" t="str">
            <v>WB</v>
          </cell>
          <cell r="AF3809">
            <v>0.35</v>
          </cell>
        </row>
        <row r="3810">
          <cell r="A3810" t="str">
            <v>unk</v>
          </cell>
          <cell r="K3810" t="str">
            <v>EFLA</v>
          </cell>
          <cell r="M3810" t="str">
            <v>F</v>
          </cell>
          <cell r="AB3810" t="str">
            <v>WB</v>
          </cell>
          <cell r="AF3810">
            <v>0.5</v>
          </cell>
        </row>
        <row r="3811">
          <cell r="A3811" t="str">
            <v>unk</v>
          </cell>
          <cell r="K3811" t="str">
            <v>EFLA</v>
          </cell>
          <cell r="M3811" t="str">
            <v>F</v>
          </cell>
          <cell r="AB3811" t="str">
            <v>WB</v>
          </cell>
          <cell r="AF3811">
            <v>0.5</v>
          </cell>
        </row>
        <row r="3812">
          <cell r="A3812" t="str">
            <v>unk</v>
          </cell>
          <cell r="K3812" t="str">
            <v>EFLA</v>
          </cell>
          <cell r="M3812" t="str">
            <v>F</v>
          </cell>
          <cell r="AB3812" t="str">
            <v>WB</v>
          </cell>
          <cell r="AF3812">
            <v>1.3</v>
          </cell>
        </row>
        <row r="3813">
          <cell r="A3813" t="str">
            <v>unk</v>
          </cell>
          <cell r="K3813" t="str">
            <v>EFLA</v>
          </cell>
          <cell r="M3813" t="str">
            <v>F</v>
          </cell>
          <cell r="AB3813" t="str">
            <v>WB</v>
          </cell>
          <cell r="AF3813">
            <v>2</v>
          </cell>
        </row>
        <row r="3814">
          <cell r="A3814" t="str">
            <v>IS_alqt_plus</v>
          </cell>
          <cell r="K3814" t="str">
            <v>EFLA</v>
          </cell>
          <cell r="M3814" t="str">
            <v>F</v>
          </cell>
          <cell r="AB3814" t="str">
            <v>serum</v>
          </cell>
          <cell r="AF3814">
            <v>1.5</v>
          </cell>
        </row>
        <row r="3815">
          <cell r="A3815" t="str">
            <v>IS_alqt_plus</v>
          </cell>
          <cell r="K3815" t="str">
            <v>EFLA</v>
          </cell>
          <cell r="M3815" t="str">
            <v>F</v>
          </cell>
          <cell r="AB3815" t="str">
            <v>serum</v>
          </cell>
          <cell r="AF3815">
            <v>0.7</v>
          </cell>
        </row>
        <row r="3816">
          <cell r="A3816" t="str">
            <v>IS_alqt_plus</v>
          </cell>
          <cell r="K3816" t="str">
            <v>EFLA</v>
          </cell>
          <cell r="M3816" t="str">
            <v>F</v>
          </cell>
          <cell r="AB3816" t="str">
            <v>serum</v>
          </cell>
          <cell r="AF3816">
            <v>1.5</v>
          </cell>
        </row>
        <row r="3817">
          <cell r="A3817" t="str">
            <v>IS_alqt_plus</v>
          </cell>
          <cell r="K3817" t="str">
            <v>EFLA</v>
          </cell>
          <cell r="M3817" t="str">
            <v>F</v>
          </cell>
          <cell r="AB3817" t="str">
            <v>serum</v>
          </cell>
          <cell r="AF3817">
            <v>1.3</v>
          </cell>
        </row>
        <row r="3818">
          <cell r="A3818" t="str">
            <v>IS_alqt_plus</v>
          </cell>
          <cell r="K3818" t="str">
            <v>LCAT</v>
          </cell>
          <cell r="M3818" t="str">
            <v>F</v>
          </cell>
          <cell r="AB3818" t="str">
            <v>serum</v>
          </cell>
          <cell r="AF3818">
            <v>1.5</v>
          </cell>
        </row>
        <row r="3819">
          <cell r="A3819" t="str">
            <v>IS_alqt_plus</v>
          </cell>
          <cell r="K3819" t="str">
            <v>LCAT</v>
          </cell>
          <cell r="M3819" t="str">
            <v>F</v>
          </cell>
          <cell r="AB3819" t="str">
            <v>serum</v>
          </cell>
          <cell r="AF3819">
            <v>1</v>
          </cell>
        </row>
        <row r="3820">
          <cell r="A3820" t="str">
            <v>IS_alqt_plus</v>
          </cell>
          <cell r="K3820" t="str">
            <v>LCAT</v>
          </cell>
          <cell r="M3820" t="str">
            <v>F</v>
          </cell>
          <cell r="AB3820" t="str">
            <v>serum</v>
          </cell>
          <cell r="AF3820">
            <v>1.5</v>
          </cell>
        </row>
        <row r="3821">
          <cell r="A3821" t="str">
            <v>IS_alqt_plus</v>
          </cell>
          <cell r="K3821" t="str">
            <v>LCAT</v>
          </cell>
          <cell r="M3821" t="str">
            <v>F</v>
          </cell>
          <cell r="AB3821" t="str">
            <v>serum</v>
          </cell>
          <cell r="AF3821">
            <v>1.5</v>
          </cell>
        </row>
        <row r="3822">
          <cell r="A3822" t="str">
            <v>IS_alqt_plus</v>
          </cell>
          <cell r="K3822" t="str">
            <v>LCAT</v>
          </cell>
          <cell r="M3822" t="str">
            <v>F</v>
          </cell>
          <cell r="AB3822" t="str">
            <v>serum</v>
          </cell>
          <cell r="AF3822">
            <v>1.1000000000000001</v>
          </cell>
        </row>
        <row r="3823">
          <cell r="A3823" t="str">
            <v>IS_alqt_plus</v>
          </cell>
          <cell r="K3823" t="str">
            <v>LCAT</v>
          </cell>
          <cell r="M3823" t="str">
            <v>F</v>
          </cell>
          <cell r="AB3823" t="str">
            <v>serum</v>
          </cell>
          <cell r="AF3823">
            <v>1.1000000000000001</v>
          </cell>
        </row>
        <row r="3824">
          <cell r="A3824" t="str">
            <v>IS_alqt_plus</v>
          </cell>
          <cell r="K3824" t="str">
            <v>LCAT</v>
          </cell>
          <cell r="M3824" t="str">
            <v>F</v>
          </cell>
          <cell r="AB3824" t="str">
            <v>serum</v>
          </cell>
          <cell r="AF3824">
            <v>1.1000000000000001</v>
          </cell>
        </row>
        <row r="3825">
          <cell r="A3825" t="str">
            <v>IS_alqt_plus</v>
          </cell>
          <cell r="K3825" t="str">
            <v>LCAT</v>
          </cell>
          <cell r="M3825" t="str">
            <v>F</v>
          </cell>
          <cell r="AB3825" t="str">
            <v>serum</v>
          </cell>
          <cell r="AF3825">
            <v>1</v>
          </cell>
        </row>
        <row r="3826">
          <cell r="A3826" t="str">
            <v>IS_alqt_plus</v>
          </cell>
          <cell r="K3826" t="str">
            <v>LCAT</v>
          </cell>
          <cell r="M3826" t="str">
            <v>F</v>
          </cell>
          <cell r="AB3826" t="str">
            <v>serum</v>
          </cell>
          <cell r="AF3826">
            <v>1</v>
          </cell>
        </row>
        <row r="3827">
          <cell r="A3827" t="str">
            <v>IS_alqt_plus</v>
          </cell>
          <cell r="K3827" t="str">
            <v>LCAT</v>
          </cell>
          <cell r="M3827" t="str">
            <v>F</v>
          </cell>
          <cell r="AB3827" t="str">
            <v>serum</v>
          </cell>
          <cell r="AF3827">
            <v>1.1000000000000001</v>
          </cell>
        </row>
        <row r="3828">
          <cell r="A3828" t="str">
            <v>IS_alqt_plus</v>
          </cell>
          <cell r="K3828" t="str">
            <v>LCAT</v>
          </cell>
          <cell r="M3828" t="str">
            <v>F</v>
          </cell>
          <cell r="AB3828" t="str">
            <v>serum</v>
          </cell>
          <cell r="AF3828">
            <v>1</v>
          </cell>
        </row>
        <row r="3829">
          <cell r="A3829" t="str">
            <v>IS_alqt_plus</v>
          </cell>
          <cell r="K3829" t="str">
            <v>LCAT</v>
          </cell>
          <cell r="M3829" t="str">
            <v>F</v>
          </cell>
          <cell r="AB3829" t="str">
            <v>serum</v>
          </cell>
          <cell r="AF3829">
            <v>1.5</v>
          </cell>
        </row>
        <row r="3830">
          <cell r="A3830" t="str">
            <v>IS_alqt_plus</v>
          </cell>
          <cell r="K3830" t="str">
            <v>LCAT</v>
          </cell>
          <cell r="M3830" t="str">
            <v>F</v>
          </cell>
          <cell r="AB3830" t="str">
            <v>serum</v>
          </cell>
          <cell r="AF3830">
            <v>1.5</v>
          </cell>
        </row>
        <row r="3831">
          <cell r="A3831" t="str">
            <v>IS_alqt_plus</v>
          </cell>
          <cell r="K3831" t="str">
            <v>LCAT</v>
          </cell>
          <cell r="M3831" t="str">
            <v>F</v>
          </cell>
          <cell r="AB3831" t="str">
            <v>serum</v>
          </cell>
          <cell r="AF3831">
            <v>1.5</v>
          </cell>
        </row>
        <row r="3832">
          <cell r="A3832" t="str">
            <v>IS_alqt_plus</v>
          </cell>
          <cell r="K3832" t="str">
            <v>LCAT</v>
          </cell>
          <cell r="M3832" t="str">
            <v>F</v>
          </cell>
          <cell r="AB3832" t="str">
            <v>serum</v>
          </cell>
          <cell r="AF3832">
            <v>1</v>
          </cell>
        </row>
        <row r="3833">
          <cell r="A3833" t="str">
            <v>IS_alqt_plus</v>
          </cell>
          <cell r="K3833" t="str">
            <v>LCAT</v>
          </cell>
          <cell r="M3833" t="str">
            <v>F</v>
          </cell>
          <cell r="AB3833" t="str">
            <v>serum</v>
          </cell>
          <cell r="AF3833">
            <v>1</v>
          </cell>
        </row>
        <row r="3834">
          <cell r="A3834" t="str">
            <v>IS_alqt_plus</v>
          </cell>
          <cell r="K3834" t="str">
            <v>LCAT</v>
          </cell>
          <cell r="M3834" t="str">
            <v>F</v>
          </cell>
          <cell r="AB3834" t="str">
            <v>serum</v>
          </cell>
          <cell r="AF3834">
            <v>1</v>
          </cell>
        </row>
        <row r="3835">
          <cell r="A3835" t="str">
            <v>IS_alqt_plus</v>
          </cell>
          <cell r="K3835" t="str">
            <v>LCAT</v>
          </cell>
          <cell r="M3835" t="str">
            <v>F</v>
          </cell>
          <cell r="AB3835" t="str">
            <v>serum</v>
          </cell>
          <cell r="AF3835">
            <v>1</v>
          </cell>
        </row>
        <row r="3836">
          <cell r="A3836" t="str">
            <v>IS_alqt_plus</v>
          </cell>
          <cell r="K3836" t="str">
            <v>LCAT</v>
          </cell>
          <cell r="M3836" t="str">
            <v>F</v>
          </cell>
          <cell r="AB3836" t="str">
            <v>serum</v>
          </cell>
          <cell r="AF3836">
            <v>1.5</v>
          </cell>
        </row>
        <row r="3837">
          <cell r="A3837" t="str">
            <v>IS_alqt_plus</v>
          </cell>
          <cell r="K3837" t="str">
            <v>LCAT</v>
          </cell>
          <cell r="M3837" t="str">
            <v>F</v>
          </cell>
          <cell r="AB3837" t="str">
            <v>serum</v>
          </cell>
          <cell r="AF3837">
            <v>1.5</v>
          </cell>
        </row>
        <row r="3838">
          <cell r="A3838" t="str">
            <v>IS_alqt_plus</v>
          </cell>
          <cell r="K3838" t="str">
            <v>LCAT</v>
          </cell>
          <cell r="M3838" t="str">
            <v>F</v>
          </cell>
          <cell r="AB3838" t="str">
            <v>serum</v>
          </cell>
          <cell r="AF3838">
            <v>1.1000000000000001</v>
          </cell>
        </row>
        <row r="3839">
          <cell r="A3839" t="str">
            <v>IS_alqt_plus</v>
          </cell>
          <cell r="K3839" t="str">
            <v>LCAT</v>
          </cell>
          <cell r="M3839" t="str">
            <v>F</v>
          </cell>
          <cell r="AB3839" t="str">
            <v>serum</v>
          </cell>
          <cell r="AF3839">
            <v>0.75</v>
          </cell>
        </row>
        <row r="3840">
          <cell r="A3840" t="str">
            <v>IS_alqt_plus</v>
          </cell>
          <cell r="K3840" t="str">
            <v>EMON</v>
          </cell>
          <cell r="M3840" t="str">
            <v>M</v>
          </cell>
          <cell r="AB3840" t="str">
            <v>serum</v>
          </cell>
          <cell r="AF3840">
            <v>1.5</v>
          </cell>
        </row>
        <row r="3841">
          <cell r="A3841" t="str">
            <v>IS_alqt_plus</v>
          </cell>
          <cell r="K3841" t="str">
            <v>EMON</v>
          </cell>
          <cell r="M3841" t="str">
            <v>M</v>
          </cell>
          <cell r="AB3841" t="str">
            <v>serum</v>
          </cell>
          <cell r="AF3841">
            <v>1.5</v>
          </cell>
        </row>
        <row r="3842">
          <cell r="A3842" t="str">
            <v>IS_alqt_plus</v>
          </cell>
          <cell r="K3842" t="str">
            <v>EFLA</v>
          </cell>
          <cell r="M3842" t="str">
            <v>F</v>
          </cell>
          <cell r="AB3842" t="str">
            <v>serum</v>
          </cell>
          <cell r="AF3842">
            <v>0.2</v>
          </cell>
        </row>
        <row r="3843">
          <cell r="A3843" t="str">
            <v>IS_alqt_plus</v>
          </cell>
          <cell r="K3843" t="str">
            <v>EFLA</v>
          </cell>
          <cell r="M3843" t="str">
            <v>F</v>
          </cell>
          <cell r="AB3843" t="str">
            <v>serum</v>
          </cell>
          <cell r="AF3843">
            <v>0.2</v>
          </cell>
        </row>
        <row r="3844">
          <cell r="A3844" t="str">
            <v>IS_alqt_plus</v>
          </cell>
          <cell r="K3844" t="str">
            <v>EFLA</v>
          </cell>
          <cell r="M3844" t="str">
            <v>F</v>
          </cell>
          <cell r="AB3844" t="str">
            <v>serum</v>
          </cell>
          <cell r="AF3844">
            <v>0.2</v>
          </cell>
        </row>
        <row r="3845">
          <cell r="A3845" t="str">
            <v>IS_alqt_plus</v>
          </cell>
          <cell r="K3845" t="str">
            <v>EFLA</v>
          </cell>
          <cell r="M3845" t="str">
            <v>F</v>
          </cell>
          <cell r="AB3845" t="str">
            <v>serum</v>
          </cell>
          <cell r="AF3845">
            <v>0.2</v>
          </cell>
        </row>
        <row r="3846">
          <cell r="A3846" t="str">
            <v>IS_alqt_plus</v>
          </cell>
          <cell r="K3846" t="str">
            <v>EFLA</v>
          </cell>
          <cell r="M3846" t="str">
            <v>F</v>
          </cell>
          <cell r="AB3846" t="str">
            <v>serum</v>
          </cell>
          <cell r="AF3846">
            <v>0.2</v>
          </cell>
        </row>
        <row r="3847">
          <cell r="A3847" t="str">
            <v>IS_alqt_minus</v>
          </cell>
          <cell r="K3847" t="str">
            <v>EFLA</v>
          </cell>
          <cell r="M3847" t="str">
            <v>F</v>
          </cell>
          <cell r="AB3847" t="str">
            <v>serum</v>
          </cell>
          <cell r="AF3847">
            <v>0.1</v>
          </cell>
        </row>
        <row r="3848">
          <cell r="A3848" t="str">
            <v>unk</v>
          </cell>
          <cell r="K3848" t="str">
            <v>LCAT</v>
          </cell>
          <cell r="M3848" t="str">
            <v>M</v>
          </cell>
          <cell r="AB3848" t="str">
            <v>WB</v>
          </cell>
          <cell r="AF3848">
            <v>0.2</v>
          </cell>
        </row>
        <row r="3849">
          <cell r="A3849" t="str">
            <v>unk</v>
          </cell>
          <cell r="K3849" t="str">
            <v>LCAT</v>
          </cell>
          <cell r="M3849" t="str">
            <v>M</v>
          </cell>
          <cell r="AB3849" t="str">
            <v>WB</v>
          </cell>
          <cell r="AF3849">
            <v>0.2</v>
          </cell>
        </row>
        <row r="3850">
          <cell r="A3850" t="str">
            <v>IS_alqt_plus</v>
          </cell>
          <cell r="K3850" t="str">
            <v>LCAT</v>
          </cell>
          <cell r="M3850" t="str">
            <v>F</v>
          </cell>
          <cell r="AB3850" t="str">
            <v>WB</v>
          </cell>
          <cell r="AF3850">
            <v>1.2</v>
          </cell>
        </row>
        <row r="3851">
          <cell r="A3851" t="str">
            <v>IS_alqt_plus</v>
          </cell>
          <cell r="K3851" t="str">
            <v>LCAT</v>
          </cell>
          <cell r="M3851" t="str">
            <v>F</v>
          </cell>
          <cell r="AB3851" t="str">
            <v>WB</v>
          </cell>
          <cell r="AF3851">
            <v>1.5</v>
          </cell>
        </row>
        <row r="3852">
          <cell r="A3852" t="str">
            <v>IS_alqt_plus</v>
          </cell>
          <cell r="K3852" t="str">
            <v>LCAT</v>
          </cell>
          <cell r="M3852" t="str">
            <v>F</v>
          </cell>
          <cell r="AB3852" t="str">
            <v>WB</v>
          </cell>
          <cell r="AF3852">
            <v>1.1000000000000001</v>
          </cell>
        </row>
        <row r="3853">
          <cell r="A3853" t="str">
            <v>IS_alqt_plus</v>
          </cell>
          <cell r="K3853" t="str">
            <v>LCAT</v>
          </cell>
          <cell r="M3853" t="str">
            <v>F</v>
          </cell>
          <cell r="AB3853" t="str">
            <v>WB</v>
          </cell>
          <cell r="AF3853">
            <v>1</v>
          </cell>
        </row>
        <row r="3854">
          <cell r="A3854" t="str">
            <v>IS_alqt_plus</v>
          </cell>
          <cell r="K3854" t="str">
            <v>LCAT</v>
          </cell>
          <cell r="M3854" t="str">
            <v>F</v>
          </cell>
          <cell r="AB3854" t="str">
            <v>WB</v>
          </cell>
          <cell r="AF3854">
            <v>1.2</v>
          </cell>
        </row>
        <row r="3855">
          <cell r="A3855" t="str">
            <v>IS_alqt_plus</v>
          </cell>
          <cell r="K3855" t="str">
            <v>LCAT</v>
          </cell>
          <cell r="M3855" t="str">
            <v>M</v>
          </cell>
          <cell r="AB3855" t="str">
            <v>WB</v>
          </cell>
          <cell r="AF3855">
            <v>0.9</v>
          </cell>
        </row>
        <row r="3856">
          <cell r="A3856" t="str">
            <v>IS_alqt_plus</v>
          </cell>
          <cell r="K3856" t="str">
            <v>LCAT</v>
          </cell>
          <cell r="M3856" t="str">
            <v>F</v>
          </cell>
          <cell r="AB3856" t="str">
            <v>WB</v>
          </cell>
          <cell r="AF3856">
            <v>1</v>
          </cell>
        </row>
        <row r="3857">
          <cell r="A3857" t="str">
            <v>IS_alqt_plus</v>
          </cell>
          <cell r="K3857" t="str">
            <v>LCAT</v>
          </cell>
          <cell r="M3857" t="str">
            <v>M</v>
          </cell>
          <cell r="AB3857" t="str">
            <v>WB</v>
          </cell>
          <cell r="AF3857">
            <v>1</v>
          </cell>
        </row>
        <row r="3858">
          <cell r="A3858" t="str">
            <v>unk</v>
          </cell>
          <cell r="K3858" t="str">
            <v>LCAT</v>
          </cell>
          <cell r="M3858" t="str">
            <v>F</v>
          </cell>
          <cell r="AB3858" t="str">
            <v>WB</v>
          </cell>
          <cell r="AF3858">
            <v>1</v>
          </cell>
        </row>
        <row r="3859">
          <cell r="A3859" t="str">
            <v>IS_alqt_plus</v>
          </cell>
          <cell r="K3859" t="str">
            <v>LCAT</v>
          </cell>
          <cell r="M3859" t="str">
            <v>M</v>
          </cell>
          <cell r="AB3859" t="str">
            <v>WB</v>
          </cell>
          <cell r="AF3859">
            <v>1.5</v>
          </cell>
        </row>
        <row r="3860">
          <cell r="A3860" t="str">
            <v>IS_alqt_plus</v>
          </cell>
          <cell r="K3860" t="str">
            <v>LCAT</v>
          </cell>
          <cell r="M3860" t="str">
            <v>F</v>
          </cell>
          <cell r="AB3860" t="str">
            <v>WB</v>
          </cell>
          <cell r="AF3860">
            <v>0.3</v>
          </cell>
        </row>
        <row r="3861">
          <cell r="A3861" t="str">
            <v>IS_alqt_plus</v>
          </cell>
          <cell r="K3861" t="str">
            <v>LCAT</v>
          </cell>
          <cell r="M3861" t="str">
            <v>F</v>
          </cell>
          <cell r="AB3861" t="str">
            <v>WB</v>
          </cell>
          <cell r="AF3861">
            <v>0.2</v>
          </cell>
        </row>
        <row r="3862">
          <cell r="A3862" t="str">
            <v>IS_alqt_plus</v>
          </cell>
          <cell r="K3862" t="str">
            <v>DMAD</v>
          </cell>
          <cell r="M3862" t="str">
            <v>F</v>
          </cell>
          <cell r="AB3862" t="str">
            <v>Fluid- pericardial</v>
          </cell>
          <cell r="AF3862">
            <v>1.5</v>
          </cell>
        </row>
        <row r="3863">
          <cell r="A3863" t="str">
            <v>IS_alqt_plus</v>
          </cell>
          <cell r="K3863" t="str">
            <v>LCAT</v>
          </cell>
          <cell r="M3863" t="str">
            <v>F</v>
          </cell>
          <cell r="AB3863" t="str">
            <v>serum</v>
          </cell>
          <cell r="AF3863">
            <v>1</v>
          </cell>
        </row>
        <row r="3864">
          <cell r="A3864" t="str">
            <v>IS_alqt_plus</v>
          </cell>
          <cell r="K3864" t="str">
            <v>LCAT</v>
          </cell>
          <cell r="M3864" t="str">
            <v>F</v>
          </cell>
          <cell r="AB3864" t="str">
            <v>serum</v>
          </cell>
          <cell r="AF3864">
            <v>1</v>
          </cell>
        </row>
        <row r="3865">
          <cell r="A3865" t="str">
            <v>IS_alqt_plus</v>
          </cell>
          <cell r="K3865" t="str">
            <v>LCAT</v>
          </cell>
          <cell r="M3865" t="str">
            <v>F</v>
          </cell>
          <cell r="AB3865" t="str">
            <v>serum</v>
          </cell>
          <cell r="AF3865">
            <v>1</v>
          </cell>
        </row>
        <row r="3866">
          <cell r="A3866" t="str">
            <v>IS_alqt_plus</v>
          </cell>
          <cell r="K3866" t="str">
            <v>LCAT</v>
          </cell>
          <cell r="M3866" t="str">
            <v>F</v>
          </cell>
          <cell r="AB3866" t="str">
            <v>serum</v>
          </cell>
          <cell r="AF3866">
            <v>1</v>
          </cell>
        </row>
        <row r="3867">
          <cell r="A3867" t="str">
            <v>IS_alqt_plus</v>
          </cell>
          <cell r="K3867" t="str">
            <v>LCAT</v>
          </cell>
          <cell r="M3867" t="str">
            <v>F</v>
          </cell>
          <cell r="AB3867" t="str">
            <v>serum</v>
          </cell>
          <cell r="AF3867">
            <v>0.4</v>
          </cell>
        </row>
        <row r="3868">
          <cell r="A3868" t="str">
            <v>IS_alqt_plus</v>
          </cell>
          <cell r="K3868" t="str">
            <v>LCAT</v>
          </cell>
          <cell r="M3868" t="str">
            <v>F</v>
          </cell>
          <cell r="AB3868" t="str">
            <v>serum</v>
          </cell>
          <cell r="AF3868">
            <v>1</v>
          </cell>
        </row>
        <row r="3869">
          <cell r="A3869" t="str">
            <v>IS_alqt_plus</v>
          </cell>
          <cell r="K3869" t="str">
            <v>LCAT</v>
          </cell>
          <cell r="M3869" t="str">
            <v>F</v>
          </cell>
          <cell r="AB3869" t="str">
            <v>serum</v>
          </cell>
          <cell r="AF3869">
            <v>1</v>
          </cell>
        </row>
        <row r="3870">
          <cell r="A3870" t="str">
            <v>IS_alqt_plus</v>
          </cell>
          <cell r="K3870" t="str">
            <v>MMUR</v>
          </cell>
          <cell r="M3870" t="str">
            <v>F</v>
          </cell>
          <cell r="AB3870" t="str">
            <v>WB</v>
          </cell>
          <cell r="AF3870">
            <v>0.5</v>
          </cell>
        </row>
        <row r="3871">
          <cell r="A3871" t="str">
            <v>IS_alqt_minus</v>
          </cell>
          <cell r="K3871" t="str">
            <v>MMUR</v>
          </cell>
          <cell r="M3871" t="str">
            <v>F</v>
          </cell>
          <cell r="AB3871" t="str">
            <v>WB</v>
          </cell>
          <cell r="AF3871">
            <v>0.1</v>
          </cell>
        </row>
        <row r="3872">
          <cell r="A3872" t="str">
            <v>gone</v>
          </cell>
          <cell r="K3872" t="str">
            <v>MMUR</v>
          </cell>
          <cell r="M3872" t="str">
            <v>F</v>
          </cell>
          <cell r="AB3872" t="str">
            <v>WB</v>
          </cell>
          <cell r="AF3872">
            <v>0</v>
          </cell>
        </row>
        <row r="3873">
          <cell r="A3873" t="str">
            <v>gone</v>
          </cell>
          <cell r="K3873" t="str">
            <v>MMUR</v>
          </cell>
          <cell r="M3873" t="str">
            <v>F</v>
          </cell>
          <cell r="AB3873" t="str">
            <v>WB</v>
          </cell>
          <cell r="AF3873">
            <v>0</v>
          </cell>
        </row>
        <row r="3874">
          <cell r="A3874" t="str">
            <v>gone</v>
          </cell>
          <cell r="K3874" t="str">
            <v>MMUR</v>
          </cell>
          <cell r="M3874" t="str">
            <v>F</v>
          </cell>
          <cell r="AB3874" t="str">
            <v>WB</v>
          </cell>
          <cell r="AF3874">
            <v>0</v>
          </cell>
        </row>
        <row r="3875">
          <cell r="A3875" t="str">
            <v>gone</v>
          </cell>
          <cell r="K3875" t="str">
            <v>MMUR</v>
          </cell>
          <cell r="M3875" t="str">
            <v>F</v>
          </cell>
          <cell r="AB3875" t="str">
            <v>serum</v>
          </cell>
          <cell r="AF3875">
            <v>0</v>
          </cell>
        </row>
        <row r="3876">
          <cell r="A3876" t="str">
            <v>gone</v>
          </cell>
          <cell r="K3876" t="str">
            <v>MMUR</v>
          </cell>
          <cell r="M3876" t="str">
            <v>F</v>
          </cell>
          <cell r="AB3876" t="str">
            <v>serum</v>
          </cell>
          <cell r="AF3876">
            <v>0</v>
          </cell>
        </row>
        <row r="3877">
          <cell r="A3877" t="str">
            <v>gone</v>
          </cell>
          <cell r="K3877" t="str">
            <v>MMUR</v>
          </cell>
          <cell r="M3877" t="str">
            <v>F</v>
          </cell>
          <cell r="AB3877" t="str">
            <v>serum</v>
          </cell>
          <cell r="AF3877">
            <v>0</v>
          </cell>
        </row>
        <row r="3878">
          <cell r="A3878" t="str">
            <v>IS_alqt_minus</v>
          </cell>
          <cell r="K3878" t="str">
            <v>MMUR</v>
          </cell>
          <cell r="M3878" t="str">
            <v>F</v>
          </cell>
          <cell r="AB3878" t="str">
            <v>serum</v>
          </cell>
          <cell r="AF3878">
            <v>0.15</v>
          </cell>
        </row>
        <row r="3879">
          <cell r="A3879" t="str">
            <v>IS_alqt_minus</v>
          </cell>
          <cell r="K3879" t="str">
            <v>MMUR</v>
          </cell>
          <cell r="M3879" t="str">
            <v>F</v>
          </cell>
          <cell r="AB3879" t="str">
            <v>serum</v>
          </cell>
          <cell r="AF3879">
            <v>0.1</v>
          </cell>
        </row>
        <row r="3880">
          <cell r="A3880" t="str">
            <v>IS_alqt_minus</v>
          </cell>
          <cell r="K3880" t="str">
            <v>MMUR</v>
          </cell>
          <cell r="M3880" t="str">
            <v>F</v>
          </cell>
          <cell r="AB3880" t="str">
            <v>serum</v>
          </cell>
          <cell r="AF3880">
            <v>0.1</v>
          </cell>
        </row>
        <row r="3881">
          <cell r="A3881" t="str">
            <v>IS_alqt_minus</v>
          </cell>
          <cell r="K3881" t="str">
            <v>MMUR</v>
          </cell>
          <cell r="M3881" t="str">
            <v>F</v>
          </cell>
          <cell r="AB3881" t="str">
            <v>serum</v>
          </cell>
          <cell r="AF3881">
            <v>0.1</v>
          </cell>
        </row>
        <row r="3882">
          <cell r="A3882" t="str">
            <v>IS_alqt_plus</v>
          </cell>
          <cell r="K3882" t="str">
            <v>MMUR</v>
          </cell>
          <cell r="M3882" t="str">
            <v>F</v>
          </cell>
          <cell r="AB3882" t="str">
            <v>WB</v>
          </cell>
          <cell r="AF3882">
            <v>0.5</v>
          </cell>
        </row>
        <row r="3883">
          <cell r="A3883" t="str">
            <v>gone</v>
          </cell>
          <cell r="K3883" t="str">
            <v>VVV</v>
          </cell>
          <cell r="M3883" t="str">
            <v>F</v>
          </cell>
          <cell r="AB3883" t="str">
            <v>WB</v>
          </cell>
          <cell r="AF3883">
            <v>0</v>
          </cell>
        </row>
        <row r="3884">
          <cell r="A3884" t="str">
            <v>IS_alqt_minus</v>
          </cell>
          <cell r="K3884" t="str">
            <v>VVV</v>
          </cell>
          <cell r="M3884" t="str">
            <v>M</v>
          </cell>
          <cell r="AB3884" t="str">
            <v>WB</v>
          </cell>
          <cell r="AF3884">
            <v>0.1</v>
          </cell>
        </row>
        <row r="3885">
          <cell r="A3885" t="str">
            <v>IS_alqt_plus</v>
          </cell>
          <cell r="K3885" t="str">
            <v>VVV</v>
          </cell>
          <cell r="M3885" t="str">
            <v>F</v>
          </cell>
          <cell r="AB3885" t="str">
            <v>serum</v>
          </cell>
          <cell r="AF3885">
            <v>0.55000000000000004</v>
          </cell>
        </row>
        <row r="3886">
          <cell r="A3886" t="str">
            <v>IS_alqt_plus</v>
          </cell>
          <cell r="K3886" t="str">
            <v>VVV</v>
          </cell>
          <cell r="M3886" t="str">
            <v>F</v>
          </cell>
          <cell r="AB3886" t="str">
            <v>serum</v>
          </cell>
          <cell r="AF3886">
            <v>0.9</v>
          </cell>
        </row>
        <row r="3887">
          <cell r="A3887" t="str">
            <v>IS_alqt_plus</v>
          </cell>
          <cell r="K3887" t="str">
            <v>VVV</v>
          </cell>
          <cell r="M3887" t="str">
            <v>M</v>
          </cell>
          <cell r="AB3887" t="str">
            <v>serum</v>
          </cell>
          <cell r="AF3887">
            <v>0.5</v>
          </cell>
        </row>
        <row r="3888">
          <cell r="A3888" t="str">
            <v>IS_alqt_plus</v>
          </cell>
          <cell r="K3888" t="str">
            <v>VVV</v>
          </cell>
          <cell r="M3888" t="str">
            <v>M</v>
          </cell>
          <cell r="AB3888" t="str">
            <v>serum</v>
          </cell>
          <cell r="AF3888">
            <v>0.75</v>
          </cell>
        </row>
        <row r="3889">
          <cell r="A3889" t="str">
            <v>IS_alqt_plus</v>
          </cell>
          <cell r="K3889" t="str">
            <v>DMAD</v>
          </cell>
          <cell r="M3889" t="str">
            <v>F</v>
          </cell>
          <cell r="AB3889" t="str">
            <v>serum</v>
          </cell>
          <cell r="AF3889">
            <v>0.55000000000000004</v>
          </cell>
        </row>
        <row r="3890">
          <cell r="A3890" t="str">
            <v>IS_alqt_plus</v>
          </cell>
          <cell r="K3890" t="str">
            <v>DMAD</v>
          </cell>
          <cell r="M3890" t="str">
            <v>F</v>
          </cell>
          <cell r="AB3890" t="str">
            <v>WB</v>
          </cell>
          <cell r="AF3890">
            <v>0.25</v>
          </cell>
        </row>
        <row r="3891">
          <cell r="A3891" t="str">
            <v>IS_alqt_plus</v>
          </cell>
          <cell r="K3891" t="str">
            <v>DMAD</v>
          </cell>
          <cell r="M3891" t="str">
            <v>F</v>
          </cell>
          <cell r="AB3891" t="str">
            <v>serum</v>
          </cell>
          <cell r="AF3891">
            <v>0.6</v>
          </cell>
        </row>
        <row r="3892">
          <cell r="A3892" t="str">
            <v>IS_alqt_plus</v>
          </cell>
          <cell r="K3892" t="str">
            <v>DMAD</v>
          </cell>
          <cell r="M3892" t="str">
            <v>F</v>
          </cell>
          <cell r="AB3892" t="str">
            <v>serum</v>
          </cell>
          <cell r="AF3892">
            <v>0.45</v>
          </cell>
        </row>
        <row r="3893">
          <cell r="A3893" t="str">
            <v>IS_alqt_plus</v>
          </cell>
          <cell r="K3893" t="str">
            <v>DMAD</v>
          </cell>
          <cell r="M3893" t="str">
            <v>F</v>
          </cell>
          <cell r="AB3893" t="str">
            <v>WB</v>
          </cell>
          <cell r="AF3893">
            <v>0.3</v>
          </cell>
        </row>
        <row r="3894">
          <cell r="A3894" t="str">
            <v>IS_alqt_minus</v>
          </cell>
          <cell r="K3894" t="str">
            <v>MMUR</v>
          </cell>
          <cell r="M3894" t="str">
            <v>F</v>
          </cell>
          <cell r="AB3894" t="str">
            <v>WB</v>
          </cell>
          <cell r="AF3894">
            <v>0.1</v>
          </cell>
        </row>
        <row r="3895">
          <cell r="A3895" t="str">
            <v>IS_alqt_minus</v>
          </cell>
          <cell r="K3895" t="str">
            <v>MMUR</v>
          </cell>
          <cell r="M3895" t="str">
            <v>F</v>
          </cell>
          <cell r="AB3895" t="str">
            <v>WB</v>
          </cell>
          <cell r="AF3895">
            <v>0.1</v>
          </cell>
        </row>
        <row r="3896">
          <cell r="A3896" t="str">
            <v>IS_alqt_minus</v>
          </cell>
          <cell r="K3896" t="str">
            <v>MMUR</v>
          </cell>
          <cell r="M3896" t="str">
            <v>F</v>
          </cell>
          <cell r="AB3896" t="str">
            <v>WB</v>
          </cell>
          <cell r="AF3896">
            <v>0.1</v>
          </cell>
        </row>
        <row r="3897">
          <cell r="A3897" t="str">
            <v>IS_alqt_minus</v>
          </cell>
          <cell r="K3897" t="str">
            <v>MMUR</v>
          </cell>
          <cell r="M3897" t="str">
            <v>F</v>
          </cell>
          <cell r="AB3897" t="str">
            <v>WB</v>
          </cell>
          <cell r="AF3897">
            <v>0.1</v>
          </cell>
        </row>
        <row r="3898">
          <cell r="A3898" t="str">
            <v>gone</v>
          </cell>
          <cell r="K3898" t="str">
            <v>MMUR</v>
          </cell>
          <cell r="M3898" t="str">
            <v>F</v>
          </cell>
          <cell r="AB3898" t="str">
            <v>WB</v>
          </cell>
          <cell r="AF3898">
            <v>0</v>
          </cell>
        </row>
        <row r="3899">
          <cell r="A3899" t="str">
            <v>gone</v>
          </cell>
          <cell r="K3899" t="str">
            <v>MMUR</v>
          </cell>
          <cell r="M3899" t="str">
            <v>F</v>
          </cell>
          <cell r="AB3899" t="str">
            <v>WB</v>
          </cell>
          <cell r="AF3899">
            <v>0</v>
          </cell>
        </row>
        <row r="3900">
          <cell r="A3900" t="str">
            <v>gone</v>
          </cell>
          <cell r="K3900" t="str">
            <v>MMUR</v>
          </cell>
          <cell r="M3900" t="str">
            <v>F</v>
          </cell>
          <cell r="AB3900" t="str">
            <v>WB</v>
          </cell>
          <cell r="AF3900">
            <v>0</v>
          </cell>
        </row>
        <row r="3901">
          <cell r="A3901" t="str">
            <v>gone</v>
          </cell>
          <cell r="K3901" t="str">
            <v>MMUR</v>
          </cell>
          <cell r="M3901" t="str">
            <v>F</v>
          </cell>
          <cell r="AB3901" t="str">
            <v>WB</v>
          </cell>
          <cell r="AF3901">
            <v>0</v>
          </cell>
        </row>
        <row r="3902">
          <cell r="A3902" t="str">
            <v>gone</v>
          </cell>
          <cell r="K3902" t="str">
            <v>MMUR</v>
          </cell>
          <cell r="M3902" t="str">
            <v>F</v>
          </cell>
          <cell r="AB3902" t="str">
            <v>WB</v>
          </cell>
          <cell r="AF3902">
            <v>0</v>
          </cell>
        </row>
        <row r="3903">
          <cell r="A3903" t="str">
            <v>gone</v>
          </cell>
          <cell r="K3903" t="str">
            <v>MMUR</v>
          </cell>
          <cell r="M3903" t="str">
            <v>F</v>
          </cell>
          <cell r="AB3903" t="str">
            <v>WB</v>
          </cell>
          <cell r="AF3903">
            <v>0</v>
          </cell>
        </row>
        <row r="3904">
          <cell r="A3904" t="str">
            <v>IS_alqt_plus</v>
          </cell>
          <cell r="K3904" t="str">
            <v>MMUR</v>
          </cell>
          <cell r="M3904" t="str">
            <v>F</v>
          </cell>
          <cell r="AB3904" t="str">
            <v>WB</v>
          </cell>
          <cell r="AF3904">
            <v>0.5</v>
          </cell>
        </row>
        <row r="3905">
          <cell r="A3905" t="str">
            <v>IS_alqt_minus</v>
          </cell>
          <cell r="K3905" t="str">
            <v>MMUR</v>
          </cell>
          <cell r="M3905" t="str">
            <v>F</v>
          </cell>
          <cell r="AB3905" t="str">
            <v>serum</v>
          </cell>
          <cell r="AF3905">
            <v>0.05</v>
          </cell>
        </row>
        <row r="3906">
          <cell r="A3906" t="str">
            <v>IS_alqt_minus</v>
          </cell>
          <cell r="K3906" t="str">
            <v>MMUR</v>
          </cell>
          <cell r="M3906" t="str">
            <v>F</v>
          </cell>
          <cell r="AB3906" t="str">
            <v>serum</v>
          </cell>
          <cell r="AF3906">
            <v>0.1</v>
          </cell>
        </row>
        <row r="3907">
          <cell r="A3907" t="str">
            <v>IS_alqt_minus</v>
          </cell>
          <cell r="K3907" t="str">
            <v>MMUR</v>
          </cell>
          <cell r="M3907" t="str">
            <v>F</v>
          </cell>
          <cell r="AB3907" t="str">
            <v>serum</v>
          </cell>
          <cell r="AF3907">
            <v>0.1</v>
          </cell>
        </row>
        <row r="3908">
          <cell r="A3908" t="str">
            <v>IS_alqt_minus</v>
          </cell>
          <cell r="K3908" t="str">
            <v>MMUR</v>
          </cell>
          <cell r="M3908" t="str">
            <v>F</v>
          </cell>
          <cell r="AB3908" t="str">
            <v>serum</v>
          </cell>
          <cell r="AF3908">
            <v>0.1</v>
          </cell>
        </row>
        <row r="3909">
          <cell r="A3909" t="str">
            <v>IS_alqt_minus</v>
          </cell>
          <cell r="K3909" t="str">
            <v>MMUR</v>
          </cell>
          <cell r="M3909" t="str">
            <v>F</v>
          </cell>
          <cell r="AB3909" t="str">
            <v>serum</v>
          </cell>
          <cell r="AF3909">
            <v>0.1</v>
          </cell>
        </row>
        <row r="3910">
          <cell r="A3910" t="str">
            <v>IS_alqt_minus</v>
          </cell>
          <cell r="K3910" t="str">
            <v>MMUR</v>
          </cell>
          <cell r="M3910" t="str">
            <v>F</v>
          </cell>
          <cell r="AB3910" t="str">
            <v>serum</v>
          </cell>
          <cell r="AF3910">
            <v>0.1</v>
          </cell>
        </row>
        <row r="3911">
          <cell r="A3911" t="str">
            <v>gone</v>
          </cell>
          <cell r="K3911" t="str">
            <v>MMUR</v>
          </cell>
          <cell r="M3911" t="str">
            <v>F</v>
          </cell>
          <cell r="AB3911" t="str">
            <v>serum</v>
          </cell>
          <cell r="AF3911">
            <v>0</v>
          </cell>
        </row>
        <row r="3912">
          <cell r="A3912" t="str">
            <v>gone</v>
          </cell>
          <cell r="K3912" t="str">
            <v>MMUR</v>
          </cell>
          <cell r="M3912" t="str">
            <v>F</v>
          </cell>
          <cell r="AB3912" t="str">
            <v>serum</v>
          </cell>
          <cell r="AF3912">
            <v>0</v>
          </cell>
        </row>
        <row r="3913">
          <cell r="A3913" t="str">
            <v>IS_alqt_plus</v>
          </cell>
          <cell r="K3913" t="str">
            <v>MMUR</v>
          </cell>
          <cell r="M3913" t="str">
            <v>F</v>
          </cell>
          <cell r="AB3913" t="str">
            <v>WB</v>
          </cell>
          <cell r="AF3913">
            <v>0.5</v>
          </cell>
        </row>
        <row r="3914">
          <cell r="A3914" t="str">
            <v>IS_alqt_plus</v>
          </cell>
          <cell r="K3914" t="str">
            <v>EMON</v>
          </cell>
          <cell r="M3914" t="str">
            <v>F</v>
          </cell>
          <cell r="AB3914" t="str">
            <v>serum</v>
          </cell>
          <cell r="AF3914">
            <v>1.5</v>
          </cell>
        </row>
        <row r="3915">
          <cell r="A3915" t="str">
            <v>gone</v>
          </cell>
          <cell r="K3915" t="str">
            <v>VVV</v>
          </cell>
          <cell r="M3915" t="str">
            <v>F</v>
          </cell>
          <cell r="AB3915" t="str">
            <v>WB</v>
          </cell>
          <cell r="AF3915">
            <v>0</v>
          </cell>
        </row>
        <row r="3916">
          <cell r="A3916" t="str">
            <v>IS_alqt_plus</v>
          </cell>
          <cell r="K3916" t="str">
            <v>EMON</v>
          </cell>
          <cell r="M3916" t="str">
            <v>F</v>
          </cell>
          <cell r="AB3916" t="str">
            <v>serum</v>
          </cell>
          <cell r="AF3916">
            <v>1.5</v>
          </cell>
        </row>
        <row r="3917">
          <cell r="A3917" t="str">
            <v>IS_alqt_plus</v>
          </cell>
          <cell r="K3917" t="str">
            <v>VVV</v>
          </cell>
          <cell r="M3917" t="str">
            <v>F</v>
          </cell>
          <cell r="AB3917" t="str">
            <v>serum</v>
          </cell>
          <cell r="AF3917">
            <v>0.65</v>
          </cell>
        </row>
        <row r="3918">
          <cell r="A3918" t="str">
            <v>IS_alqt_plus</v>
          </cell>
          <cell r="K3918" t="str">
            <v>VVV</v>
          </cell>
          <cell r="M3918" t="str">
            <v>F</v>
          </cell>
          <cell r="AB3918" t="str">
            <v>serum</v>
          </cell>
          <cell r="AF3918">
            <v>0.65</v>
          </cell>
        </row>
        <row r="3919">
          <cell r="A3919" t="str">
            <v>IS_alqt_plus</v>
          </cell>
          <cell r="K3919" t="str">
            <v>EFLA</v>
          </cell>
          <cell r="M3919" t="str">
            <v>M</v>
          </cell>
          <cell r="AB3919" t="str">
            <v>WB</v>
          </cell>
          <cell r="AF3919">
            <v>0.6</v>
          </cell>
        </row>
        <row r="3920">
          <cell r="A3920" t="str">
            <v>IS_alqt_plus</v>
          </cell>
          <cell r="K3920" t="str">
            <v>EFLA</v>
          </cell>
          <cell r="M3920" t="str">
            <v>M</v>
          </cell>
          <cell r="AB3920" t="str">
            <v>WB</v>
          </cell>
          <cell r="AF3920">
            <v>0.6</v>
          </cell>
        </row>
        <row r="3921">
          <cell r="A3921" t="str">
            <v>IS_alqt_plus</v>
          </cell>
          <cell r="K3921" t="str">
            <v>EFLA</v>
          </cell>
          <cell r="M3921" t="str">
            <v>M</v>
          </cell>
          <cell r="AB3921" t="str">
            <v>serum</v>
          </cell>
          <cell r="AF3921">
            <v>0.75</v>
          </cell>
        </row>
        <row r="3922">
          <cell r="A3922" t="str">
            <v>IS_alqt_plus</v>
          </cell>
          <cell r="K3922" t="str">
            <v>EFLA</v>
          </cell>
          <cell r="M3922" t="str">
            <v>M</v>
          </cell>
          <cell r="AB3922" t="str">
            <v>serum</v>
          </cell>
          <cell r="AF3922">
            <v>0.6</v>
          </cell>
        </row>
        <row r="3923">
          <cell r="A3923" t="str">
            <v>IS_alqt_plus</v>
          </cell>
          <cell r="K3923" t="str">
            <v>EFLA</v>
          </cell>
          <cell r="M3923" t="str">
            <v>M</v>
          </cell>
          <cell r="AB3923" t="str">
            <v>serum</v>
          </cell>
          <cell r="AF3923">
            <v>0.2</v>
          </cell>
        </row>
        <row r="3924">
          <cell r="A3924" t="str">
            <v>IS_alqt_plus</v>
          </cell>
          <cell r="K3924" t="str">
            <v>VRUB</v>
          </cell>
          <cell r="M3924" t="str">
            <v>M</v>
          </cell>
          <cell r="AB3924" t="str">
            <v>WB</v>
          </cell>
          <cell r="AF3924">
            <v>0.5</v>
          </cell>
        </row>
        <row r="3925">
          <cell r="A3925" t="str">
            <v>IS_alqt_plus</v>
          </cell>
          <cell r="K3925" t="str">
            <v>VRUB</v>
          </cell>
          <cell r="M3925" t="str">
            <v>F</v>
          </cell>
          <cell r="AB3925" t="str">
            <v>WB</v>
          </cell>
          <cell r="AF3925">
            <v>0.65</v>
          </cell>
        </row>
        <row r="3926">
          <cell r="A3926" t="str">
            <v>IS_alqt_plus</v>
          </cell>
          <cell r="K3926" t="str">
            <v>VRUB</v>
          </cell>
          <cell r="M3926" t="str">
            <v>M</v>
          </cell>
          <cell r="AB3926" t="str">
            <v>serum</v>
          </cell>
          <cell r="AF3926">
            <v>0.8</v>
          </cell>
        </row>
        <row r="3927">
          <cell r="A3927" t="str">
            <v>IS_alqt_plus</v>
          </cell>
          <cell r="K3927" t="str">
            <v>VRUB</v>
          </cell>
          <cell r="M3927" t="str">
            <v>F</v>
          </cell>
          <cell r="AB3927" t="str">
            <v>serum</v>
          </cell>
          <cell r="AF3927">
            <v>0.9</v>
          </cell>
        </row>
        <row r="3928">
          <cell r="A3928" t="str">
            <v>IS_alqt_plus</v>
          </cell>
          <cell r="K3928" t="str">
            <v>EMON</v>
          </cell>
          <cell r="M3928" t="str">
            <v>F</v>
          </cell>
          <cell r="AB3928" t="str">
            <v>serum</v>
          </cell>
          <cell r="AF3928">
            <v>1.5</v>
          </cell>
        </row>
        <row r="3929">
          <cell r="A3929" t="str">
            <v>IS_alqt_plus</v>
          </cell>
          <cell r="K3929" t="str">
            <v>EMON</v>
          </cell>
          <cell r="M3929" t="str">
            <v>F</v>
          </cell>
          <cell r="AB3929" t="str">
            <v>serum</v>
          </cell>
          <cell r="AF3929">
            <v>1.5</v>
          </cell>
        </row>
        <row r="3930">
          <cell r="A3930" t="str">
            <v>IS_alqt_plus</v>
          </cell>
          <cell r="K3930" t="str">
            <v>DMAD</v>
          </cell>
          <cell r="M3930" t="str">
            <v>F</v>
          </cell>
          <cell r="AB3930" t="str">
            <v>serum</v>
          </cell>
          <cell r="AF3930">
            <v>0.3</v>
          </cell>
        </row>
        <row r="3931">
          <cell r="A3931" t="str">
            <v>IS_alqt_plus</v>
          </cell>
          <cell r="K3931" t="str">
            <v>DMAD</v>
          </cell>
          <cell r="M3931" t="str">
            <v>F</v>
          </cell>
          <cell r="AB3931" t="str">
            <v>WB</v>
          </cell>
          <cell r="AF3931">
            <v>0.45</v>
          </cell>
        </row>
        <row r="3932">
          <cell r="A3932" t="str">
            <v>IS_alqt_plus</v>
          </cell>
          <cell r="K3932" t="str">
            <v>VRUB</v>
          </cell>
          <cell r="M3932" t="str">
            <v>F</v>
          </cell>
          <cell r="AB3932" t="str">
            <v>Fluid- pericardial</v>
          </cell>
          <cell r="AF3932">
            <v>2</v>
          </cell>
        </row>
        <row r="3933">
          <cell r="A3933" t="str">
            <v>IS_alqt_plus</v>
          </cell>
          <cell r="K3933" t="str">
            <v>LCAT</v>
          </cell>
          <cell r="M3933" t="str">
            <v>F</v>
          </cell>
          <cell r="AB3933" t="str">
            <v>serum</v>
          </cell>
          <cell r="AF3933">
            <v>0.7</v>
          </cell>
        </row>
        <row r="3934">
          <cell r="A3934" t="str">
            <v>IS_alqt_plus</v>
          </cell>
          <cell r="K3934" t="str">
            <v>VRUB</v>
          </cell>
          <cell r="M3934" t="str">
            <v>F</v>
          </cell>
          <cell r="AB3934" t="str">
            <v>Fluid- pericardial</v>
          </cell>
          <cell r="AF3934">
            <v>1.5</v>
          </cell>
        </row>
        <row r="3935">
          <cell r="A3935" t="str">
            <v>IS_alqt_plus</v>
          </cell>
          <cell r="K3935" t="str">
            <v>LCAT</v>
          </cell>
          <cell r="M3935" t="str">
            <v>F</v>
          </cell>
          <cell r="AB3935" t="str">
            <v>WB</v>
          </cell>
          <cell r="AF3935">
            <v>0.65</v>
          </cell>
        </row>
        <row r="3936">
          <cell r="A3936" t="str">
            <v>IS_alqt_plus</v>
          </cell>
          <cell r="K3936" t="str">
            <v>PCOQ</v>
          </cell>
          <cell r="M3936" t="str">
            <v>M</v>
          </cell>
          <cell r="AB3936" t="str">
            <v>serum</v>
          </cell>
          <cell r="AF3936">
            <v>0.6</v>
          </cell>
        </row>
        <row r="3937">
          <cell r="A3937" t="str">
            <v>IS_alqt_plus</v>
          </cell>
          <cell r="K3937" t="str">
            <v>PCOQ</v>
          </cell>
          <cell r="M3937" t="str">
            <v>M</v>
          </cell>
          <cell r="AB3937" t="str">
            <v>serum</v>
          </cell>
          <cell r="AF3937">
            <v>0.55000000000000004</v>
          </cell>
        </row>
        <row r="3938">
          <cell r="A3938" t="str">
            <v>IS_alqt_plus</v>
          </cell>
          <cell r="K3938" t="str">
            <v>PCOQ</v>
          </cell>
          <cell r="M3938" t="str">
            <v>M</v>
          </cell>
          <cell r="AB3938" t="str">
            <v>serum</v>
          </cell>
          <cell r="AF3938">
            <v>0.75</v>
          </cell>
        </row>
        <row r="3939">
          <cell r="A3939" t="str">
            <v>IS_alqt_plus</v>
          </cell>
          <cell r="K3939" t="str">
            <v>PCOQ</v>
          </cell>
          <cell r="M3939" t="str">
            <v>M</v>
          </cell>
          <cell r="AB3939" t="str">
            <v>serum</v>
          </cell>
          <cell r="AF3939">
            <v>0.55000000000000004</v>
          </cell>
        </row>
        <row r="3940">
          <cell r="A3940" t="str">
            <v>IS_alqt_plus</v>
          </cell>
          <cell r="K3940" t="str">
            <v>OCRA</v>
          </cell>
          <cell r="M3940" t="str">
            <v>F</v>
          </cell>
          <cell r="AB3940" t="str">
            <v>serum</v>
          </cell>
          <cell r="AF3940">
            <v>0.6</v>
          </cell>
        </row>
        <row r="3941">
          <cell r="A3941" t="str">
            <v>IS_alqt_plus</v>
          </cell>
          <cell r="K3941" t="str">
            <v>OCRA</v>
          </cell>
          <cell r="M3941" t="str">
            <v>F</v>
          </cell>
          <cell r="AB3941" t="str">
            <v>serum</v>
          </cell>
          <cell r="AF3941">
            <v>0.6</v>
          </cell>
        </row>
        <row r="3942">
          <cell r="A3942" t="str">
            <v>IS_alqt_plus</v>
          </cell>
          <cell r="K3942" t="str">
            <v>OCRA</v>
          </cell>
          <cell r="M3942" t="str">
            <v>F</v>
          </cell>
          <cell r="AB3942" t="str">
            <v>serum</v>
          </cell>
          <cell r="AF3942">
            <v>0.6</v>
          </cell>
        </row>
        <row r="3943">
          <cell r="A3943" t="str">
            <v>IS_alqt_plus</v>
          </cell>
          <cell r="K3943" t="str">
            <v>OCRA</v>
          </cell>
          <cell r="M3943" t="str">
            <v>F</v>
          </cell>
          <cell r="AB3943" t="str">
            <v>serum</v>
          </cell>
          <cell r="AF3943">
            <v>0.6</v>
          </cell>
        </row>
        <row r="3944">
          <cell r="A3944" t="str">
            <v>IS_alqt_plus</v>
          </cell>
          <cell r="K3944" t="str">
            <v>NPYG</v>
          </cell>
          <cell r="M3944" t="str">
            <v>M</v>
          </cell>
          <cell r="AB3944" t="str">
            <v>WB</v>
          </cell>
          <cell r="AF3944">
            <v>0.5</v>
          </cell>
        </row>
        <row r="3945">
          <cell r="A3945" t="str">
            <v>IS_alqt_plus</v>
          </cell>
          <cell r="K3945" t="str">
            <v>NPYG</v>
          </cell>
          <cell r="M3945" t="str">
            <v>M</v>
          </cell>
          <cell r="AB3945" t="str">
            <v>serum</v>
          </cell>
          <cell r="AF3945">
            <v>0.45</v>
          </cell>
        </row>
        <row r="3946">
          <cell r="A3946" t="str">
            <v>IS_alqt_plus</v>
          </cell>
          <cell r="K3946" t="str">
            <v>EALB</v>
          </cell>
          <cell r="M3946" t="str">
            <v>F</v>
          </cell>
          <cell r="AB3946" t="str">
            <v>WB</v>
          </cell>
          <cell r="AF3946">
            <v>0.7</v>
          </cell>
        </row>
        <row r="3947">
          <cell r="A3947" t="str">
            <v>IS_alqt_plus</v>
          </cell>
          <cell r="K3947" t="str">
            <v>EFUL</v>
          </cell>
          <cell r="M3947" t="str">
            <v>F</v>
          </cell>
          <cell r="AB3947" t="str">
            <v>WB</v>
          </cell>
          <cell r="AF3947">
            <v>0.65</v>
          </cell>
        </row>
        <row r="3948">
          <cell r="A3948" t="str">
            <v>IS_alqt_plus</v>
          </cell>
          <cell r="K3948" t="str">
            <v>EALB</v>
          </cell>
          <cell r="M3948" t="str">
            <v>F</v>
          </cell>
          <cell r="AB3948" t="str">
            <v>serum</v>
          </cell>
          <cell r="AF3948">
            <v>0.5</v>
          </cell>
        </row>
        <row r="3949">
          <cell r="A3949" t="str">
            <v>IS_alqt_plus</v>
          </cell>
          <cell r="K3949" t="str">
            <v>EALB</v>
          </cell>
          <cell r="M3949" t="str">
            <v>F</v>
          </cell>
          <cell r="AB3949" t="str">
            <v>serum</v>
          </cell>
          <cell r="AF3949">
            <v>0.6</v>
          </cell>
        </row>
        <row r="3950">
          <cell r="A3950" t="str">
            <v>IS_alqt_plus</v>
          </cell>
          <cell r="K3950" t="str">
            <v>EFUL</v>
          </cell>
          <cell r="M3950" t="str">
            <v>F</v>
          </cell>
          <cell r="AB3950" t="str">
            <v>serum</v>
          </cell>
          <cell r="AF3950">
            <v>0.75</v>
          </cell>
        </row>
        <row r="3951">
          <cell r="A3951" t="str">
            <v>gone</v>
          </cell>
          <cell r="K3951" t="str">
            <v>EFUL</v>
          </cell>
          <cell r="M3951" t="str">
            <v>F</v>
          </cell>
          <cell r="AB3951" t="str">
            <v>serum</v>
          </cell>
          <cell r="AF3951">
            <v>0</v>
          </cell>
        </row>
        <row r="3952">
          <cell r="A3952" t="str">
            <v>IS_alqt_plus</v>
          </cell>
          <cell r="K3952" t="str">
            <v>ECOL</v>
          </cell>
          <cell r="M3952" t="str">
            <v>F</v>
          </cell>
          <cell r="AB3952" t="str">
            <v>WB</v>
          </cell>
          <cell r="AF3952">
            <v>0.8</v>
          </cell>
        </row>
        <row r="3953">
          <cell r="A3953" t="str">
            <v>IS_alqt_plus</v>
          </cell>
          <cell r="K3953" t="str">
            <v>LCAT</v>
          </cell>
          <cell r="M3953" t="str">
            <v>F</v>
          </cell>
          <cell r="AB3953" t="str">
            <v>WB</v>
          </cell>
          <cell r="AF3953">
            <v>1</v>
          </cell>
        </row>
        <row r="3954">
          <cell r="A3954" t="str">
            <v>gone</v>
          </cell>
          <cell r="K3954" t="str">
            <v>ERUB</v>
          </cell>
          <cell r="M3954" t="str">
            <v>F</v>
          </cell>
          <cell r="AB3954" t="str">
            <v>WB</v>
          </cell>
          <cell r="AF3954">
            <v>0</v>
          </cell>
        </row>
        <row r="3955">
          <cell r="A3955" t="str">
            <v>IS_alqt_plus</v>
          </cell>
          <cell r="K3955" t="str">
            <v>ERUB</v>
          </cell>
          <cell r="M3955" t="str">
            <v>M</v>
          </cell>
          <cell r="AB3955" t="str">
            <v>WB</v>
          </cell>
          <cell r="AF3955">
            <v>0.5</v>
          </cell>
        </row>
        <row r="3956">
          <cell r="A3956" t="str">
            <v>IS_alqt_plus</v>
          </cell>
          <cell r="K3956" t="str">
            <v>LCAT</v>
          </cell>
          <cell r="M3956" t="str">
            <v>F</v>
          </cell>
          <cell r="AB3956" t="str">
            <v>serum</v>
          </cell>
          <cell r="AF3956">
            <v>0.5</v>
          </cell>
        </row>
        <row r="3957">
          <cell r="A3957" t="str">
            <v>IS_alqt_plus</v>
          </cell>
          <cell r="K3957" t="str">
            <v>LCAT</v>
          </cell>
          <cell r="M3957" t="str">
            <v>F</v>
          </cell>
          <cell r="AB3957" t="str">
            <v>serum</v>
          </cell>
          <cell r="AF3957">
            <v>0.5</v>
          </cell>
        </row>
        <row r="3958">
          <cell r="A3958" t="str">
            <v>IS_alqt_plus</v>
          </cell>
          <cell r="K3958" t="str">
            <v>ERUB</v>
          </cell>
          <cell r="M3958" t="str">
            <v>F</v>
          </cell>
          <cell r="AB3958" t="str">
            <v>serum</v>
          </cell>
          <cell r="AF3958">
            <v>0.5</v>
          </cell>
        </row>
        <row r="3959">
          <cell r="A3959" t="str">
            <v>IS_alqt_plus</v>
          </cell>
          <cell r="K3959" t="str">
            <v>ERUB</v>
          </cell>
          <cell r="M3959" t="str">
            <v>F</v>
          </cell>
          <cell r="AB3959" t="str">
            <v>serum</v>
          </cell>
          <cell r="AF3959">
            <v>0.5</v>
          </cell>
        </row>
        <row r="3960">
          <cell r="A3960" t="str">
            <v>IS_alqt_plus</v>
          </cell>
          <cell r="K3960" t="str">
            <v>ERUB</v>
          </cell>
          <cell r="M3960" t="str">
            <v>M</v>
          </cell>
          <cell r="AB3960" t="str">
            <v>serum</v>
          </cell>
          <cell r="AF3960">
            <v>0.5</v>
          </cell>
        </row>
        <row r="3961">
          <cell r="A3961" t="str">
            <v>IS_alqt_plus</v>
          </cell>
          <cell r="K3961" t="str">
            <v>ERUB</v>
          </cell>
          <cell r="M3961" t="str">
            <v>M</v>
          </cell>
          <cell r="AB3961" t="str">
            <v>serum</v>
          </cell>
          <cell r="AF3961">
            <v>0.5</v>
          </cell>
        </row>
        <row r="3962">
          <cell r="A3962" t="str">
            <v>IS_alqt_minus</v>
          </cell>
          <cell r="K3962" t="str">
            <v>CMED</v>
          </cell>
          <cell r="M3962" t="str">
            <v>F</v>
          </cell>
          <cell r="AB3962" t="str">
            <v>serum</v>
          </cell>
          <cell r="AF3962">
            <v>0.05</v>
          </cell>
        </row>
        <row r="3963">
          <cell r="A3963" t="str">
            <v>IS_alqt_plus</v>
          </cell>
          <cell r="K3963" t="str">
            <v>CMED</v>
          </cell>
          <cell r="M3963" t="str">
            <v>F</v>
          </cell>
          <cell r="AB3963" t="str">
            <v>serum</v>
          </cell>
          <cell r="AF3963">
            <v>0.2</v>
          </cell>
        </row>
        <row r="3964">
          <cell r="A3964" t="str">
            <v>IS_alqt_plus</v>
          </cell>
          <cell r="K3964" t="str">
            <v>CMED</v>
          </cell>
          <cell r="M3964" t="str">
            <v>F</v>
          </cell>
          <cell r="AB3964" t="str">
            <v>serum</v>
          </cell>
          <cell r="AF3964">
            <v>0.35</v>
          </cell>
        </row>
        <row r="3965">
          <cell r="A3965" t="str">
            <v>IS_alqt_plus</v>
          </cell>
          <cell r="K3965" t="str">
            <v>CMED</v>
          </cell>
          <cell r="M3965" t="str">
            <v>F</v>
          </cell>
          <cell r="AB3965" t="str">
            <v>serum</v>
          </cell>
          <cell r="AF3965">
            <v>0.3</v>
          </cell>
        </row>
        <row r="3966">
          <cell r="A3966" t="str">
            <v>IS_alqt_minus</v>
          </cell>
          <cell r="K3966" t="str">
            <v>CMED</v>
          </cell>
          <cell r="M3966" t="str">
            <v>F</v>
          </cell>
          <cell r="AB3966" t="str">
            <v>serum</v>
          </cell>
          <cell r="AF3966">
            <v>0.15</v>
          </cell>
        </row>
        <row r="3967">
          <cell r="A3967" t="str">
            <v>gone</v>
          </cell>
          <cell r="K3967" t="str">
            <v>CMED</v>
          </cell>
          <cell r="M3967" t="str">
            <v>F</v>
          </cell>
          <cell r="AB3967" t="str">
            <v>serum</v>
          </cell>
          <cell r="AF3967">
            <v>0</v>
          </cell>
        </row>
        <row r="3968">
          <cell r="A3968" t="str">
            <v>IS_alqt_plus</v>
          </cell>
          <cell r="K3968" t="str">
            <v>CMED</v>
          </cell>
          <cell r="M3968" t="str">
            <v>F</v>
          </cell>
          <cell r="AB3968" t="str">
            <v>WB</v>
          </cell>
          <cell r="AF3968">
            <v>0.2</v>
          </cell>
        </row>
        <row r="3969">
          <cell r="A3969" t="str">
            <v>IS_alqt_plus</v>
          </cell>
          <cell r="K3969" t="str">
            <v>CMED</v>
          </cell>
          <cell r="M3969" t="str">
            <v>F</v>
          </cell>
          <cell r="AB3969" t="str">
            <v>WB</v>
          </cell>
          <cell r="AF3969">
            <v>0.2</v>
          </cell>
        </row>
        <row r="3970">
          <cell r="A3970" t="str">
            <v>IS_alqt_plus</v>
          </cell>
          <cell r="K3970" t="str">
            <v>CMED</v>
          </cell>
          <cell r="M3970" t="str">
            <v>F</v>
          </cell>
          <cell r="AB3970" t="str">
            <v>WB</v>
          </cell>
          <cell r="AF3970">
            <v>0.2</v>
          </cell>
        </row>
        <row r="3971">
          <cell r="A3971" t="str">
            <v>IS_alqt_plus</v>
          </cell>
          <cell r="K3971" t="str">
            <v>CMED</v>
          </cell>
          <cell r="M3971" t="str">
            <v>F</v>
          </cell>
          <cell r="AB3971" t="str">
            <v>WB</v>
          </cell>
          <cell r="AF3971">
            <v>0.7</v>
          </cell>
        </row>
        <row r="3972">
          <cell r="A3972" t="str">
            <v>IS_alqt_minus</v>
          </cell>
          <cell r="K3972" t="str">
            <v>CMED</v>
          </cell>
          <cell r="M3972" t="str">
            <v>F</v>
          </cell>
          <cell r="AB3972" t="str">
            <v>WB</v>
          </cell>
          <cell r="AF3972">
            <v>0.15</v>
          </cell>
        </row>
        <row r="3973">
          <cell r="A3973" t="str">
            <v>IS_alqt_plus</v>
          </cell>
          <cell r="K3973" t="str">
            <v>CMED</v>
          </cell>
          <cell r="M3973" t="str">
            <v>F</v>
          </cell>
          <cell r="AB3973" t="str">
            <v>WB</v>
          </cell>
          <cell r="AF3973">
            <v>0.2</v>
          </cell>
        </row>
        <row r="3974">
          <cell r="A3974" t="str">
            <v>IS_alqt_plus</v>
          </cell>
          <cell r="K3974" t="str">
            <v>CMED</v>
          </cell>
          <cell r="M3974" t="str">
            <v>F</v>
          </cell>
          <cell r="AB3974" t="str">
            <v>WB</v>
          </cell>
          <cell r="AF3974">
            <v>0.2</v>
          </cell>
        </row>
        <row r="3975">
          <cell r="A3975" t="str">
            <v>gone</v>
          </cell>
          <cell r="K3975" t="str">
            <v>CMED</v>
          </cell>
          <cell r="M3975" t="str">
            <v>F</v>
          </cell>
          <cell r="AB3975" t="str">
            <v>WB</v>
          </cell>
          <cell r="AF3975">
            <v>0</v>
          </cell>
        </row>
        <row r="3976">
          <cell r="A3976" t="str">
            <v>gone</v>
          </cell>
          <cell r="K3976" t="str">
            <v>CMED</v>
          </cell>
          <cell r="M3976" t="str">
            <v>F</v>
          </cell>
          <cell r="AB3976" t="str">
            <v>WB</v>
          </cell>
          <cell r="AF3976">
            <v>0</v>
          </cell>
        </row>
        <row r="3977">
          <cell r="A3977" t="str">
            <v>gone</v>
          </cell>
          <cell r="K3977" t="str">
            <v>CMED</v>
          </cell>
          <cell r="M3977" t="str">
            <v>F</v>
          </cell>
          <cell r="AB3977" t="str">
            <v>WB</v>
          </cell>
          <cell r="AF3977">
            <v>0</v>
          </cell>
        </row>
        <row r="3978">
          <cell r="A3978" t="str">
            <v>IS_alqt_plus</v>
          </cell>
          <cell r="K3978" t="str">
            <v>LCAT</v>
          </cell>
          <cell r="M3978" t="str">
            <v>M</v>
          </cell>
          <cell r="AB3978" t="str">
            <v>WB</v>
          </cell>
          <cell r="AF3978">
            <v>0.4</v>
          </cell>
        </row>
        <row r="3979">
          <cell r="A3979" t="str">
            <v>IS_alqt_plus</v>
          </cell>
          <cell r="K3979" t="str">
            <v>LCAT</v>
          </cell>
          <cell r="M3979" t="str">
            <v>M</v>
          </cell>
          <cell r="AB3979" t="str">
            <v>WB</v>
          </cell>
          <cell r="AF3979">
            <v>1.2</v>
          </cell>
        </row>
        <row r="3980">
          <cell r="A3980" t="str">
            <v>IS_alqt_plus</v>
          </cell>
          <cell r="K3980" t="str">
            <v>LCAT</v>
          </cell>
          <cell r="M3980" t="str">
            <v>M</v>
          </cell>
          <cell r="AB3980" t="str">
            <v>WB</v>
          </cell>
          <cell r="AF3980">
            <v>0.9</v>
          </cell>
        </row>
        <row r="3981">
          <cell r="A3981" t="str">
            <v>IS_alqt_plus</v>
          </cell>
          <cell r="K3981" t="str">
            <v>LCAT</v>
          </cell>
          <cell r="M3981" t="str">
            <v>M</v>
          </cell>
          <cell r="AB3981" t="str">
            <v>WB</v>
          </cell>
          <cell r="AF3981">
            <v>1.3</v>
          </cell>
        </row>
        <row r="3982">
          <cell r="A3982" t="str">
            <v>IS_alqt_plus</v>
          </cell>
          <cell r="K3982" t="str">
            <v>LCAT</v>
          </cell>
          <cell r="M3982" t="str">
            <v>F</v>
          </cell>
          <cell r="AB3982" t="str">
            <v>WB</v>
          </cell>
          <cell r="AF3982">
            <v>0.75</v>
          </cell>
        </row>
        <row r="3983">
          <cell r="A3983" t="str">
            <v>IS_alqt_plus</v>
          </cell>
          <cell r="K3983" t="str">
            <v>LCAT</v>
          </cell>
          <cell r="M3983" t="str">
            <v>M</v>
          </cell>
          <cell r="AB3983" t="str">
            <v>WB</v>
          </cell>
          <cell r="AF3983">
            <v>0.3</v>
          </cell>
        </row>
        <row r="3984">
          <cell r="A3984" t="str">
            <v>IS_alqt_plus</v>
          </cell>
          <cell r="K3984" t="str">
            <v>LCAT</v>
          </cell>
          <cell r="M3984" t="str">
            <v>M</v>
          </cell>
          <cell r="AB3984" t="str">
            <v>WB</v>
          </cell>
          <cell r="AF3984">
            <v>1</v>
          </cell>
        </row>
        <row r="3985">
          <cell r="A3985" t="str">
            <v>IS_alqt_plus</v>
          </cell>
          <cell r="K3985" t="str">
            <v>LCAT</v>
          </cell>
          <cell r="M3985" t="str">
            <v>M</v>
          </cell>
          <cell r="AB3985" t="str">
            <v>WB</v>
          </cell>
          <cell r="AF3985">
            <v>0.7</v>
          </cell>
        </row>
        <row r="3986">
          <cell r="A3986" t="str">
            <v>IS_alqt_plus</v>
          </cell>
          <cell r="K3986" t="str">
            <v>LCAT</v>
          </cell>
          <cell r="M3986" t="str">
            <v>F</v>
          </cell>
          <cell r="AB3986" t="str">
            <v>WB</v>
          </cell>
          <cell r="AF3986">
            <v>1</v>
          </cell>
        </row>
        <row r="3987">
          <cell r="A3987" t="str">
            <v>IS_alqt_plus</v>
          </cell>
          <cell r="K3987" t="str">
            <v>LCAT</v>
          </cell>
          <cell r="M3987" t="str">
            <v>F</v>
          </cell>
          <cell r="AB3987" t="str">
            <v>WB</v>
          </cell>
          <cell r="AF3987">
            <v>0.75</v>
          </cell>
        </row>
        <row r="3988">
          <cell r="A3988" t="str">
            <v>IS_alqt_plus</v>
          </cell>
          <cell r="K3988" t="str">
            <v>LCAT</v>
          </cell>
          <cell r="M3988" t="str">
            <v>F</v>
          </cell>
          <cell r="AB3988" t="str">
            <v>WB</v>
          </cell>
          <cell r="AF3988">
            <v>0.8</v>
          </cell>
        </row>
        <row r="3989">
          <cell r="A3989" t="str">
            <v>IS_alqt_plus</v>
          </cell>
          <cell r="K3989" t="str">
            <v>LCAT</v>
          </cell>
          <cell r="M3989" t="str">
            <v>M</v>
          </cell>
          <cell r="AB3989" t="str">
            <v>WB</v>
          </cell>
          <cell r="AF3989">
            <v>0.7</v>
          </cell>
        </row>
        <row r="3990">
          <cell r="A3990" t="str">
            <v>gone</v>
          </cell>
          <cell r="K3990" t="str">
            <v>LCAT</v>
          </cell>
          <cell r="M3990" t="str">
            <v>M</v>
          </cell>
          <cell r="AB3990" t="str">
            <v>WB</v>
          </cell>
          <cell r="AF3990">
            <v>0</v>
          </cell>
        </row>
        <row r="3991">
          <cell r="A3991" t="str">
            <v>IS_alqt_plus</v>
          </cell>
          <cell r="K3991" t="str">
            <v>LCAT</v>
          </cell>
          <cell r="M3991" t="str">
            <v>F</v>
          </cell>
          <cell r="AB3991" t="str">
            <v>WB</v>
          </cell>
          <cell r="AF3991">
            <v>0.75</v>
          </cell>
        </row>
        <row r="3992">
          <cell r="A3992" t="str">
            <v>IS_alqt_plus</v>
          </cell>
          <cell r="K3992" t="str">
            <v>LCAT</v>
          </cell>
          <cell r="M3992" t="str">
            <v>F</v>
          </cell>
          <cell r="AB3992" t="str">
            <v>plasma</v>
          </cell>
          <cell r="AF3992">
            <v>0.75</v>
          </cell>
        </row>
        <row r="3993">
          <cell r="A3993" t="str">
            <v>IS_alqt_plus</v>
          </cell>
          <cell r="K3993" t="str">
            <v>EMON</v>
          </cell>
          <cell r="M3993" t="str">
            <v>M</v>
          </cell>
          <cell r="AB3993" t="str">
            <v>serum</v>
          </cell>
          <cell r="AF3993">
            <v>1.5</v>
          </cell>
        </row>
        <row r="3994">
          <cell r="A3994" t="str">
            <v>IS_alqt_plus</v>
          </cell>
          <cell r="K3994" t="str">
            <v>EMON</v>
          </cell>
          <cell r="M3994" t="str">
            <v>M</v>
          </cell>
          <cell r="AB3994" t="str">
            <v>serum</v>
          </cell>
          <cell r="AF3994">
            <v>1.5</v>
          </cell>
        </row>
        <row r="3995">
          <cell r="A3995" t="str">
            <v>IS_alqt_plus</v>
          </cell>
          <cell r="K3995" t="str">
            <v>EMON</v>
          </cell>
          <cell r="M3995" t="str">
            <v>M</v>
          </cell>
          <cell r="AB3995" t="str">
            <v>serum</v>
          </cell>
          <cell r="AF3995">
            <v>1.5</v>
          </cell>
        </row>
        <row r="3996">
          <cell r="A3996" t="str">
            <v>IS_alqt_plus</v>
          </cell>
          <cell r="K3996" t="str">
            <v>EMON</v>
          </cell>
          <cell r="M3996" t="str">
            <v>M</v>
          </cell>
          <cell r="AB3996" t="str">
            <v>serum</v>
          </cell>
          <cell r="AF3996">
            <v>1.5</v>
          </cell>
        </row>
        <row r="3997">
          <cell r="A3997" t="str">
            <v>IS_alqt_plus</v>
          </cell>
          <cell r="K3997" t="str">
            <v>EMON</v>
          </cell>
          <cell r="M3997" t="str">
            <v>M</v>
          </cell>
          <cell r="AB3997" t="str">
            <v>serum</v>
          </cell>
          <cell r="AF3997">
            <v>1.1000000000000001</v>
          </cell>
        </row>
        <row r="3998">
          <cell r="A3998" t="str">
            <v>IS_alqt_plus</v>
          </cell>
          <cell r="K3998" t="str">
            <v>EMON</v>
          </cell>
          <cell r="M3998" t="str">
            <v>M</v>
          </cell>
          <cell r="AB3998" t="str">
            <v>serum</v>
          </cell>
          <cell r="AF3998">
            <v>1.5</v>
          </cell>
        </row>
        <row r="3999">
          <cell r="A3999" t="str">
            <v>IS_alqt_plus</v>
          </cell>
          <cell r="K3999" t="str">
            <v>EMON</v>
          </cell>
          <cell r="M3999" t="str">
            <v>M</v>
          </cell>
          <cell r="AB3999" t="str">
            <v>serum</v>
          </cell>
          <cell r="AF3999">
            <v>1.5</v>
          </cell>
        </row>
        <row r="4000">
          <cell r="A4000" t="str">
            <v>IS_alqt_plus</v>
          </cell>
          <cell r="K4000" t="str">
            <v>EMON</v>
          </cell>
          <cell r="M4000" t="str">
            <v>M</v>
          </cell>
          <cell r="AB4000" t="str">
            <v>serum</v>
          </cell>
          <cell r="AF4000">
            <v>1.5</v>
          </cell>
        </row>
        <row r="4001">
          <cell r="A4001" t="str">
            <v>IS_alqt_plus</v>
          </cell>
          <cell r="K4001" t="str">
            <v>EMON</v>
          </cell>
          <cell r="M4001" t="str">
            <v>M</v>
          </cell>
          <cell r="AB4001" t="str">
            <v>serum</v>
          </cell>
          <cell r="AF4001">
            <v>1.5</v>
          </cell>
        </row>
        <row r="4002">
          <cell r="A4002" t="str">
            <v>IS_alqt_plus</v>
          </cell>
          <cell r="K4002" t="str">
            <v>EMON</v>
          </cell>
          <cell r="M4002" t="str">
            <v>M</v>
          </cell>
          <cell r="AB4002" t="str">
            <v>serum</v>
          </cell>
          <cell r="AF4002">
            <v>1.25</v>
          </cell>
        </row>
        <row r="4003">
          <cell r="A4003" t="str">
            <v>IS_alqt_plus</v>
          </cell>
          <cell r="K4003" t="str">
            <v>EMON</v>
          </cell>
          <cell r="M4003" t="str">
            <v>M</v>
          </cell>
          <cell r="AB4003" t="str">
            <v>serum</v>
          </cell>
          <cell r="AF4003">
            <v>1.5</v>
          </cell>
        </row>
        <row r="4004">
          <cell r="A4004" t="str">
            <v>IS_alqt_plus</v>
          </cell>
          <cell r="K4004" t="str">
            <v>EMON</v>
          </cell>
          <cell r="M4004" t="str">
            <v>M</v>
          </cell>
          <cell r="AB4004" t="str">
            <v>serum</v>
          </cell>
          <cell r="AF4004">
            <v>1.5</v>
          </cell>
        </row>
        <row r="4005">
          <cell r="A4005" t="str">
            <v>IS_alqt_plus</v>
          </cell>
          <cell r="K4005" t="str">
            <v>EMON</v>
          </cell>
          <cell r="M4005" t="str">
            <v>M</v>
          </cell>
          <cell r="AB4005" t="str">
            <v>serum</v>
          </cell>
          <cell r="AF4005">
            <v>1.5</v>
          </cell>
        </row>
        <row r="4006">
          <cell r="A4006" t="str">
            <v>IS_alqt_plus</v>
          </cell>
          <cell r="K4006" t="str">
            <v>EMON</v>
          </cell>
          <cell r="M4006" t="str">
            <v>M</v>
          </cell>
          <cell r="AB4006" t="str">
            <v>serum</v>
          </cell>
          <cell r="AF4006">
            <v>1.5</v>
          </cell>
        </row>
        <row r="4007">
          <cell r="A4007" t="str">
            <v>IS_alqt_plus</v>
          </cell>
          <cell r="K4007" t="str">
            <v>EMON</v>
          </cell>
          <cell r="M4007" t="str">
            <v>M</v>
          </cell>
          <cell r="AB4007" t="str">
            <v>serum</v>
          </cell>
          <cell r="AF4007">
            <v>1.5</v>
          </cell>
        </row>
        <row r="4008">
          <cell r="A4008" t="str">
            <v>IS_alqt_plus</v>
          </cell>
          <cell r="K4008" t="str">
            <v>EMON</v>
          </cell>
          <cell r="M4008" t="str">
            <v>M</v>
          </cell>
          <cell r="AB4008" t="str">
            <v>serum</v>
          </cell>
          <cell r="AF4008">
            <v>1.5</v>
          </cell>
        </row>
        <row r="4009">
          <cell r="A4009" t="str">
            <v>IS_alqt_plus</v>
          </cell>
          <cell r="K4009" t="str">
            <v>EMON</v>
          </cell>
          <cell r="M4009" t="str">
            <v>M</v>
          </cell>
          <cell r="AB4009" t="str">
            <v>serum</v>
          </cell>
          <cell r="AF4009">
            <v>1.5</v>
          </cell>
        </row>
        <row r="4010">
          <cell r="A4010" t="str">
            <v>IS_alqt_plus</v>
          </cell>
          <cell r="K4010" t="str">
            <v>EMON</v>
          </cell>
          <cell r="M4010" t="str">
            <v>M</v>
          </cell>
          <cell r="AB4010" t="str">
            <v>serum</v>
          </cell>
          <cell r="AF4010">
            <v>1.5</v>
          </cell>
        </row>
        <row r="4011">
          <cell r="A4011" t="str">
            <v>IS_alqt_plus</v>
          </cell>
          <cell r="K4011" t="str">
            <v>EMON</v>
          </cell>
          <cell r="M4011" t="str">
            <v>M</v>
          </cell>
          <cell r="AB4011" t="str">
            <v>serum</v>
          </cell>
          <cell r="AF4011">
            <v>1.5</v>
          </cell>
        </row>
        <row r="4012">
          <cell r="A4012" t="str">
            <v>IS_alqt_plus</v>
          </cell>
          <cell r="K4012" t="str">
            <v>EMON</v>
          </cell>
          <cell r="M4012" t="str">
            <v>M</v>
          </cell>
          <cell r="AB4012" t="str">
            <v>serum</v>
          </cell>
          <cell r="AF4012">
            <v>1.5</v>
          </cell>
        </row>
        <row r="4013">
          <cell r="A4013" t="str">
            <v>IS_alqt_plus</v>
          </cell>
          <cell r="K4013" t="str">
            <v>EMON</v>
          </cell>
          <cell r="M4013" t="str">
            <v>M</v>
          </cell>
          <cell r="AB4013" t="str">
            <v>serum</v>
          </cell>
          <cell r="AF4013">
            <v>1.5</v>
          </cell>
        </row>
        <row r="4014">
          <cell r="A4014" t="str">
            <v>IS_alqt_plus</v>
          </cell>
          <cell r="K4014" t="str">
            <v>EMON</v>
          </cell>
          <cell r="M4014" t="str">
            <v>M</v>
          </cell>
          <cell r="AB4014" t="str">
            <v>serum</v>
          </cell>
          <cell r="AF4014">
            <v>1.25</v>
          </cell>
        </row>
        <row r="4015">
          <cell r="A4015" t="str">
            <v>IS_alqt_plus</v>
          </cell>
          <cell r="K4015" t="str">
            <v>LCAT</v>
          </cell>
          <cell r="M4015" t="str">
            <v>M</v>
          </cell>
          <cell r="AB4015" t="str">
            <v>WB</v>
          </cell>
          <cell r="AF4015">
            <v>1</v>
          </cell>
        </row>
        <row r="4016">
          <cell r="A4016" t="str">
            <v>IS_alqt_plus</v>
          </cell>
          <cell r="K4016" t="str">
            <v>LCAT</v>
          </cell>
          <cell r="M4016" t="str">
            <v>M</v>
          </cell>
          <cell r="AB4016" t="str">
            <v>serum</v>
          </cell>
          <cell r="AF4016">
            <v>0.8</v>
          </cell>
        </row>
        <row r="4017">
          <cell r="A4017" t="str">
            <v>IS_alqt_plus</v>
          </cell>
          <cell r="K4017" t="str">
            <v>OCRA</v>
          </cell>
          <cell r="M4017" t="str">
            <v>F</v>
          </cell>
          <cell r="AB4017" t="str">
            <v>WB</v>
          </cell>
          <cell r="AF4017">
            <v>0.2</v>
          </cell>
        </row>
        <row r="4018">
          <cell r="A4018" t="str">
            <v>IS_alqt_plus</v>
          </cell>
          <cell r="K4018" t="str">
            <v>OCRA</v>
          </cell>
          <cell r="M4018" t="str">
            <v>F</v>
          </cell>
          <cell r="AB4018" t="str">
            <v>WB</v>
          </cell>
          <cell r="AF4018">
            <v>0.2</v>
          </cell>
        </row>
        <row r="4019">
          <cell r="A4019" t="str">
            <v>IS_alqt_plus</v>
          </cell>
          <cell r="K4019" t="str">
            <v>OCRA</v>
          </cell>
          <cell r="M4019" t="str">
            <v>F</v>
          </cell>
          <cell r="AB4019" t="str">
            <v>WB</v>
          </cell>
          <cell r="AF4019">
            <v>0.2</v>
          </cell>
        </row>
        <row r="4020">
          <cell r="A4020" t="str">
            <v>IS_alqt_plus</v>
          </cell>
          <cell r="K4020" t="str">
            <v>OCRA</v>
          </cell>
          <cell r="M4020" t="str">
            <v>F</v>
          </cell>
          <cell r="AB4020" t="str">
            <v>serum</v>
          </cell>
          <cell r="AF4020">
            <v>0.4</v>
          </cell>
        </row>
        <row r="4021">
          <cell r="A4021" t="str">
            <v>IS_alqt_plus</v>
          </cell>
          <cell r="K4021" t="str">
            <v>OCRA</v>
          </cell>
          <cell r="M4021" t="str">
            <v>F</v>
          </cell>
          <cell r="AB4021" t="str">
            <v>serum</v>
          </cell>
          <cell r="AF4021">
            <v>0.25</v>
          </cell>
        </row>
        <row r="4022">
          <cell r="A4022" t="str">
            <v>IS_alqt_plus</v>
          </cell>
          <cell r="K4022" t="str">
            <v>LCAT</v>
          </cell>
          <cell r="M4022" t="str">
            <v>M</v>
          </cell>
          <cell r="AB4022" t="str">
            <v>WB</v>
          </cell>
          <cell r="AF4022">
            <v>1.5</v>
          </cell>
        </row>
        <row r="4023">
          <cell r="A4023" t="str">
            <v>IS_alqt_plus</v>
          </cell>
          <cell r="K4023" t="str">
            <v>LCAT</v>
          </cell>
          <cell r="M4023" t="str">
            <v>M</v>
          </cell>
          <cell r="AB4023" t="str">
            <v>WB</v>
          </cell>
          <cell r="AF4023">
            <v>0.6</v>
          </cell>
        </row>
        <row r="4024">
          <cell r="A4024" t="str">
            <v>IS_alqt_plus</v>
          </cell>
          <cell r="K4024" t="str">
            <v>LCAT</v>
          </cell>
          <cell r="M4024" t="str">
            <v>F</v>
          </cell>
          <cell r="AB4024" t="str">
            <v>serum</v>
          </cell>
          <cell r="AF4024">
            <v>0.55000000000000004</v>
          </cell>
        </row>
        <row r="4025">
          <cell r="A4025" t="str">
            <v>IS_alqt_plus</v>
          </cell>
          <cell r="K4025" t="str">
            <v>LCAT</v>
          </cell>
          <cell r="M4025" t="str">
            <v>F</v>
          </cell>
          <cell r="AB4025" t="str">
            <v>serum</v>
          </cell>
          <cell r="AF4025">
            <v>0.5</v>
          </cell>
        </row>
        <row r="4026">
          <cell r="A4026" t="str">
            <v>IS_alqt_plus</v>
          </cell>
          <cell r="K4026" t="str">
            <v>LCAT</v>
          </cell>
          <cell r="M4026" t="str">
            <v>F</v>
          </cell>
          <cell r="AB4026" t="str">
            <v>serum</v>
          </cell>
          <cell r="AF4026">
            <v>0.3</v>
          </cell>
        </row>
        <row r="4027">
          <cell r="A4027" t="str">
            <v>IS_alqt_plus</v>
          </cell>
          <cell r="K4027" t="str">
            <v>EUL</v>
          </cell>
          <cell r="M4027" t="str">
            <v>M</v>
          </cell>
          <cell r="AB4027" t="str">
            <v>serum</v>
          </cell>
          <cell r="AF4027">
            <v>0.5</v>
          </cell>
        </row>
        <row r="4028">
          <cell r="A4028" t="str">
            <v>IS_alqt_plus</v>
          </cell>
          <cell r="K4028" t="str">
            <v>EUL</v>
          </cell>
          <cell r="M4028" t="str">
            <v>M</v>
          </cell>
          <cell r="AB4028" t="str">
            <v>serum</v>
          </cell>
          <cell r="AF4028">
            <v>0.5</v>
          </cell>
        </row>
        <row r="4029">
          <cell r="A4029" t="str">
            <v>IS_alqt_plus</v>
          </cell>
          <cell r="K4029" t="str">
            <v>EUL</v>
          </cell>
          <cell r="M4029" t="str">
            <v>M</v>
          </cell>
          <cell r="AB4029" t="str">
            <v>WB</v>
          </cell>
          <cell r="AF4029">
            <v>0.5</v>
          </cell>
        </row>
        <row r="4030">
          <cell r="A4030" t="str">
            <v>IS_alqt_plus</v>
          </cell>
          <cell r="K4030" t="str">
            <v>LCAT</v>
          </cell>
          <cell r="M4030" t="str">
            <v>F</v>
          </cell>
          <cell r="AB4030" t="str">
            <v>WB</v>
          </cell>
          <cell r="AF4030">
            <v>0.8</v>
          </cell>
        </row>
        <row r="4031">
          <cell r="A4031" t="str">
            <v>IS_alqt_plus</v>
          </cell>
          <cell r="K4031" t="str">
            <v>LCAT</v>
          </cell>
          <cell r="M4031" t="str">
            <v>F</v>
          </cell>
          <cell r="AB4031" t="str">
            <v>serum</v>
          </cell>
          <cell r="AF4031">
            <v>0.9</v>
          </cell>
        </row>
        <row r="4032">
          <cell r="A4032" t="str">
            <v>IS_alqt_plus</v>
          </cell>
          <cell r="K4032" t="str">
            <v>LCAT</v>
          </cell>
          <cell r="M4032" t="str">
            <v>F</v>
          </cell>
          <cell r="AB4032" t="str">
            <v>WB</v>
          </cell>
          <cell r="AF4032">
            <v>0.6</v>
          </cell>
        </row>
        <row r="4033">
          <cell r="A4033" t="str">
            <v>IS_alqt_plus</v>
          </cell>
          <cell r="K4033" t="str">
            <v>LCAT</v>
          </cell>
          <cell r="M4033" t="str">
            <v>F</v>
          </cell>
          <cell r="AB4033" t="str">
            <v>WB</v>
          </cell>
          <cell r="AF4033">
            <v>0.8</v>
          </cell>
        </row>
        <row r="4034">
          <cell r="A4034" t="str">
            <v>IS_alqt_plus</v>
          </cell>
          <cell r="K4034" t="str">
            <v>LCAT</v>
          </cell>
          <cell r="M4034" t="str">
            <v>F</v>
          </cell>
          <cell r="AB4034" t="str">
            <v>serum</v>
          </cell>
          <cell r="AF4034">
            <v>0.9</v>
          </cell>
        </row>
        <row r="4035">
          <cell r="A4035" t="str">
            <v>IS_alqt_plus</v>
          </cell>
          <cell r="K4035" t="str">
            <v>PCOQ</v>
          </cell>
          <cell r="M4035" t="str">
            <v>M</v>
          </cell>
          <cell r="AB4035" t="str">
            <v>serum</v>
          </cell>
          <cell r="AF4035">
            <v>0.5</v>
          </cell>
        </row>
        <row r="4036">
          <cell r="A4036" t="str">
            <v>IS_alqt_plus</v>
          </cell>
          <cell r="K4036" t="str">
            <v>PCOQ</v>
          </cell>
          <cell r="M4036" t="str">
            <v>M</v>
          </cell>
          <cell r="AB4036" t="str">
            <v>serum</v>
          </cell>
          <cell r="AF4036">
            <v>0.3</v>
          </cell>
        </row>
        <row r="4037">
          <cell r="A4037" t="str">
            <v>IS_alqt_plus</v>
          </cell>
          <cell r="K4037" t="str">
            <v>LCAT</v>
          </cell>
          <cell r="M4037" t="str">
            <v>M</v>
          </cell>
          <cell r="AB4037" t="str">
            <v>WB</v>
          </cell>
          <cell r="AF4037">
            <v>0.75</v>
          </cell>
        </row>
        <row r="4038">
          <cell r="A4038" t="str">
            <v>IS_alqt_plus</v>
          </cell>
          <cell r="K4038" t="str">
            <v>HGG</v>
          </cell>
          <cell r="M4038" t="str">
            <v>F</v>
          </cell>
          <cell r="AB4038" t="str">
            <v>WB</v>
          </cell>
          <cell r="AF4038">
            <v>0.6</v>
          </cell>
        </row>
        <row r="4039">
          <cell r="A4039" t="str">
            <v>gone</v>
          </cell>
          <cell r="K4039" t="str">
            <v>HGG</v>
          </cell>
          <cell r="M4039" t="str">
            <v>F</v>
          </cell>
          <cell r="AB4039" t="str">
            <v>WB</v>
          </cell>
          <cell r="AF4039">
            <v>0</v>
          </cell>
        </row>
        <row r="4040">
          <cell r="A4040" t="str">
            <v>IS_alqt_minus</v>
          </cell>
          <cell r="K4040" t="str">
            <v>HGG</v>
          </cell>
          <cell r="M4040" t="str">
            <v>F</v>
          </cell>
          <cell r="AB4040" t="str">
            <v>WB</v>
          </cell>
          <cell r="AF4040">
            <v>0.1</v>
          </cell>
        </row>
        <row r="4041">
          <cell r="A4041" t="str">
            <v>IS_alqt_plus</v>
          </cell>
          <cell r="K4041" t="str">
            <v>HGG</v>
          </cell>
          <cell r="M4041" t="str">
            <v>F</v>
          </cell>
          <cell r="AB4041" t="str">
            <v>WB</v>
          </cell>
          <cell r="AF4041">
            <v>0.5</v>
          </cell>
        </row>
        <row r="4042">
          <cell r="A4042" t="str">
            <v>IS_alqt_plus</v>
          </cell>
          <cell r="K4042" t="str">
            <v>HGG</v>
          </cell>
          <cell r="M4042" t="str">
            <v>F</v>
          </cell>
          <cell r="AB4042" t="str">
            <v>serum</v>
          </cell>
          <cell r="AF4042">
            <v>0.4</v>
          </cell>
        </row>
        <row r="4043">
          <cell r="A4043" t="str">
            <v>IS_alqt_plus</v>
          </cell>
          <cell r="K4043" t="str">
            <v>HGG</v>
          </cell>
          <cell r="M4043" t="str">
            <v>F</v>
          </cell>
          <cell r="AB4043" t="str">
            <v>serum</v>
          </cell>
          <cell r="AF4043">
            <v>0.3</v>
          </cell>
        </row>
        <row r="4044">
          <cell r="A4044" t="str">
            <v>IS_alqt_plus</v>
          </cell>
          <cell r="K4044" t="str">
            <v>EMON</v>
          </cell>
          <cell r="M4044" t="str">
            <v>F</v>
          </cell>
          <cell r="AB4044" t="str">
            <v>serum</v>
          </cell>
          <cell r="AF4044">
            <v>1.5</v>
          </cell>
        </row>
        <row r="4045">
          <cell r="A4045" t="str">
            <v>IS_alqt_plus</v>
          </cell>
          <cell r="K4045" t="str">
            <v>EMON</v>
          </cell>
          <cell r="M4045" t="str">
            <v>F</v>
          </cell>
          <cell r="AB4045" t="str">
            <v>serum</v>
          </cell>
          <cell r="AF4045">
            <v>1</v>
          </cell>
        </row>
        <row r="4046">
          <cell r="A4046" t="str">
            <v>IS_alqt_plus</v>
          </cell>
          <cell r="K4046" t="str">
            <v>EMON</v>
          </cell>
          <cell r="M4046" t="str">
            <v>F</v>
          </cell>
          <cell r="AB4046" t="str">
            <v>serum</v>
          </cell>
          <cell r="AF4046">
            <v>1.5</v>
          </cell>
        </row>
        <row r="4047">
          <cell r="A4047" t="str">
            <v>IS_alqt_plus</v>
          </cell>
          <cell r="K4047" t="str">
            <v>EMON</v>
          </cell>
          <cell r="M4047" t="str">
            <v>M</v>
          </cell>
          <cell r="AB4047" t="str">
            <v>serum</v>
          </cell>
          <cell r="AF4047">
            <v>1.5</v>
          </cell>
        </row>
        <row r="4048">
          <cell r="A4048" t="str">
            <v>IS_alqt_plus</v>
          </cell>
          <cell r="K4048" t="str">
            <v>EMON</v>
          </cell>
          <cell r="M4048" t="str">
            <v>M</v>
          </cell>
          <cell r="AB4048" t="str">
            <v>serum</v>
          </cell>
          <cell r="AF4048">
            <v>1.5</v>
          </cell>
        </row>
        <row r="4049">
          <cell r="A4049" t="str">
            <v>IS_alqt_plus</v>
          </cell>
          <cell r="K4049" t="str">
            <v>EMON</v>
          </cell>
          <cell r="M4049" t="str">
            <v>M</v>
          </cell>
          <cell r="AB4049" t="str">
            <v>serum</v>
          </cell>
          <cell r="AF4049">
            <v>0.75</v>
          </cell>
        </row>
        <row r="4050">
          <cell r="A4050" t="str">
            <v>IS_alqt_plus</v>
          </cell>
          <cell r="K4050" t="str">
            <v>EMON</v>
          </cell>
          <cell r="M4050" t="str">
            <v>F</v>
          </cell>
          <cell r="AB4050" t="str">
            <v>serum</v>
          </cell>
          <cell r="AF4050">
            <v>0.4</v>
          </cell>
        </row>
        <row r="4051">
          <cell r="A4051" t="str">
            <v>IS_alqt_plus</v>
          </cell>
          <cell r="K4051" t="str">
            <v>EMON</v>
          </cell>
          <cell r="M4051" t="str">
            <v>F</v>
          </cell>
          <cell r="AB4051" t="str">
            <v>serum</v>
          </cell>
          <cell r="AF4051">
            <v>0.25</v>
          </cell>
        </row>
        <row r="4052">
          <cell r="A4052" t="str">
            <v>IS_alqt_plus</v>
          </cell>
          <cell r="K4052" t="str">
            <v>EMON</v>
          </cell>
          <cell r="M4052" t="str">
            <v>F</v>
          </cell>
          <cell r="AB4052" t="str">
            <v>serum</v>
          </cell>
          <cell r="AF4052">
            <v>1</v>
          </cell>
        </row>
        <row r="4053">
          <cell r="A4053" t="str">
            <v>IS_alqt_plus</v>
          </cell>
          <cell r="K4053" t="str">
            <v>EMON</v>
          </cell>
          <cell r="M4053" t="str">
            <v>F</v>
          </cell>
          <cell r="AB4053" t="str">
            <v>serum</v>
          </cell>
          <cell r="AF4053">
            <v>1</v>
          </cell>
        </row>
        <row r="4054">
          <cell r="A4054" t="str">
            <v>IS_alqt_plus</v>
          </cell>
          <cell r="K4054" t="str">
            <v>EMON</v>
          </cell>
          <cell r="M4054" t="str">
            <v>F</v>
          </cell>
          <cell r="AB4054" t="str">
            <v>serum</v>
          </cell>
          <cell r="AF4054">
            <v>1</v>
          </cell>
        </row>
        <row r="4055">
          <cell r="A4055" t="str">
            <v>IS_alqt_plus</v>
          </cell>
          <cell r="K4055" t="str">
            <v>EMON</v>
          </cell>
          <cell r="M4055" t="str">
            <v>F</v>
          </cell>
          <cell r="AB4055" t="str">
            <v>serum</v>
          </cell>
          <cell r="AF4055">
            <v>1</v>
          </cell>
        </row>
        <row r="4056">
          <cell r="A4056" t="str">
            <v>unk</v>
          </cell>
          <cell r="K4056" t="str">
            <v>EMON</v>
          </cell>
          <cell r="M4056" t="str">
            <v>M</v>
          </cell>
          <cell r="AB4056" t="str">
            <v>WB</v>
          </cell>
          <cell r="AF4056">
            <v>1.25</v>
          </cell>
        </row>
        <row r="4057">
          <cell r="A4057" t="str">
            <v>IS_alqt_plus</v>
          </cell>
          <cell r="K4057" t="str">
            <v>EMON</v>
          </cell>
          <cell r="M4057" t="str">
            <v>F</v>
          </cell>
          <cell r="AB4057" t="str">
            <v>serum</v>
          </cell>
          <cell r="AF4057">
            <v>1</v>
          </cell>
        </row>
        <row r="4058">
          <cell r="A4058" t="str">
            <v>IS_alqt_plus</v>
          </cell>
          <cell r="K4058" t="str">
            <v>EMON</v>
          </cell>
          <cell r="M4058" t="str">
            <v>F</v>
          </cell>
          <cell r="AB4058" t="str">
            <v>serum</v>
          </cell>
          <cell r="AF4058">
            <v>1</v>
          </cell>
        </row>
        <row r="4059">
          <cell r="A4059" t="str">
            <v>IS_alqt_plus</v>
          </cell>
          <cell r="K4059" t="str">
            <v>EMON</v>
          </cell>
          <cell r="M4059" t="str">
            <v>F</v>
          </cell>
          <cell r="AB4059" t="str">
            <v>serum</v>
          </cell>
          <cell r="AF4059">
            <v>1</v>
          </cell>
        </row>
        <row r="4060">
          <cell r="A4060" t="str">
            <v>IS_alqt_plus</v>
          </cell>
          <cell r="K4060" t="str">
            <v>EMON</v>
          </cell>
          <cell r="M4060" t="str">
            <v>F</v>
          </cell>
          <cell r="AB4060" t="str">
            <v>serum</v>
          </cell>
          <cell r="AF4060">
            <v>1</v>
          </cell>
        </row>
        <row r="4061">
          <cell r="A4061" t="str">
            <v>IS_alqt_plus</v>
          </cell>
          <cell r="K4061" t="str">
            <v>EMON</v>
          </cell>
          <cell r="M4061" t="str">
            <v>F</v>
          </cell>
          <cell r="AB4061" t="str">
            <v>serum</v>
          </cell>
          <cell r="AF4061">
            <v>1.25</v>
          </cell>
        </row>
        <row r="4062">
          <cell r="A4062" t="str">
            <v>IS_alqt_plus</v>
          </cell>
          <cell r="K4062" t="str">
            <v>EMON</v>
          </cell>
          <cell r="M4062" t="str">
            <v>F</v>
          </cell>
          <cell r="AB4062" t="str">
            <v>serum</v>
          </cell>
          <cell r="AF4062">
            <v>1</v>
          </cell>
        </row>
        <row r="4063">
          <cell r="A4063" t="str">
            <v>IS_alqt_plus</v>
          </cell>
          <cell r="K4063" t="str">
            <v>EMON</v>
          </cell>
          <cell r="M4063" t="str">
            <v>F</v>
          </cell>
          <cell r="AB4063" t="str">
            <v>serum</v>
          </cell>
          <cell r="AF4063">
            <v>1</v>
          </cell>
        </row>
        <row r="4064">
          <cell r="A4064" t="str">
            <v>IS_alqt_plus</v>
          </cell>
          <cell r="K4064" t="str">
            <v>EMON</v>
          </cell>
          <cell r="M4064" t="str">
            <v>F</v>
          </cell>
          <cell r="AB4064" t="str">
            <v>serum</v>
          </cell>
          <cell r="AF4064">
            <v>1</v>
          </cell>
        </row>
        <row r="4065">
          <cell r="A4065" t="str">
            <v>IS_alqt_plus</v>
          </cell>
          <cell r="K4065" t="str">
            <v>EMON</v>
          </cell>
          <cell r="M4065" t="str">
            <v>F</v>
          </cell>
          <cell r="AB4065" t="str">
            <v>serum</v>
          </cell>
          <cell r="AF4065">
            <v>1</v>
          </cell>
        </row>
        <row r="4066">
          <cell r="A4066" t="str">
            <v>IS_alqt_plus</v>
          </cell>
          <cell r="K4066" t="str">
            <v>EMON</v>
          </cell>
          <cell r="M4066" t="str">
            <v>F</v>
          </cell>
          <cell r="AB4066" t="str">
            <v>serum</v>
          </cell>
          <cell r="AF4066">
            <v>1</v>
          </cell>
        </row>
        <row r="4067">
          <cell r="A4067" t="str">
            <v>IS_alqt_plus</v>
          </cell>
          <cell r="K4067" t="str">
            <v>EMON</v>
          </cell>
          <cell r="M4067" t="str">
            <v>F</v>
          </cell>
          <cell r="AB4067" t="str">
            <v>serum</v>
          </cell>
          <cell r="AF4067">
            <v>1</v>
          </cell>
        </row>
        <row r="4068">
          <cell r="A4068" t="str">
            <v>IS_alqt_plus</v>
          </cell>
          <cell r="K4068" t="str">
            <v>EMON</v>
          </cell>
          <cell r="M4068" t="str">
            <v>F</v>
          </cell>
          <cell r="AB4068" t="str">
            <v>serum</v>
          </cell>
          <cell r="AF4068">
            <v>1</v>
          </cell>
        </row>
        <row r="4069">
          <cell r="A4069" t="str">
            <v>IS_alqt_plus</v>
          </cell>
          <cell r="K4069" t="str">
            <v>EMON</v>
          </cell>
          <cell r="M4069" t="str">
            <v>F</v>
          </cell>
          <cell r="AB4069" t="str">
            <v>serum</v>
          </cell>
          <cell r="AF4069">
            <v>1</v>
          </cell>
        </row>
        <row r="4070">
          <cell r="A4070" t="str">
            <v>IS_alqt_plus</v>
          </cell>
          <cell r="K4070" t="str">
            <v>EMON</v>
          </cell>
          <cell r="M4070" t="str">
            <v>F</v>
          </cell>
          <cell r="AB4070" t="str">
            <v>serum</v>
          </cell>
          <cell r="AF4070">
            <v>1</v>
          </cell>
        </row>
        <row r="4071">
          <cell r="A4071" t="str">
            <v>IS_alqt_plus</v>
          </cell>
          <cell r="K4071" t="str">
            <v>EMON</v>
          </cell>
          <cell r="M4071" t="str">
            <v>F</v>
          </cell>
          <cell r="AB4071" t="str">
            <v>serum</v>
          </cell>
          <cell r="AF4071">
            <v>1.2</v>
          </cell>
        </row>
        <row r="4072">
          <cell r="A4072" t="str">
            <v>IS_alqt_plus</v>
          </cell>
          <cell r="K4072" t="str">
            <v>EMON</v>
          </cell>
          <cell r="M4072" t="str">
            <v>F</v>
          </cell>
          <cell r="AB4072" t="str">
            <v>serum</v>
          </cell>
          <cell r="AF4072">
            <v>1</v>
          </cell>
        </row>
        <row r="4073">
          <cell r="A4073" t="str">
            <v>IS_alqt_plus</v>
          </cell>
          <cell r="K4073" t="str">
            <v>EMON</v>
          </cell>
          <cell r="M4073" t="str">
            <v>F</v>
          </cell>
          <cell r="AB4073" t="str">
            <v>serum</v>
          </cell>
          <cell r="AF4073">
            <v>1</v>
          </cell>
        </row>
        <row r="4074">
          <cell r="A4074" t="str">
            <v>IS_alqt_plus</v>
          </cell>
          <cell r="K4074" t="str">
            <v>EMON</v>
          </cell>
          <cell r="M4074" t="str">
            <v>F</v>
          </cell>
          <cell r="AB4074" t="str">
            <v>serum</v>
          </cell>
          <cell r="AF4074">
            <v>1</v>
          </cell>
        </row>
        <row r="4075">
          <cell r="A4075" t="str">
            <v>IS_alqt_plus</v>
          </cell>
          <cell r="K4075" t="str">
            <v>EMON</v>
          </cell>
          <cell r="M4075" t="str">
            <v>F</v>
          </cell>
          <cell r="AB4075" t="str">
            <v>serum</v>
          </cell>
          <cell r="AF4075">
            <v>1.2</v>
          </cell>
        </row>
        <row r="4076">
          <cell r="A4076" t="str">
            <v>IS_alqt_plus</v>
          </cell>
          <cell r="K4076" t="str">
            <v>EMON</v>
          </cell>
          <cell r="M4076" t="str">
            <v>F</v>
          </cell>
          <cell r="AB4076" t="str">
            <v>serum</v>
          </cell>
          <cell r="AF4076">
            <v>1</v>
          </cell>
        </row>
        <row r="4077">
          <cell r="A4077" t="str">
            <v>IS_alqt_plus</v>
          </cell>
          <cell r="K4077" t="str">
            <v>EMON</v>
          </cell>
          <cell r="M4077" t="str">
            <v>F</v>
          </cell>
          <cell r="AB4077" t="str">
            <v>serum</v>
          </cell>
          <cell r="AF4077">
            <v>1</v>
          </cell>
        </row>
        <row r="4078">
          <cell r="A4078" t="str">
            <v>IS_alqt_plus</v>
          </cell>
          <cell r="K4078" t="str">
            <v>EMON</v>
          </cell>
          <cell r="M4078" t="str">
            <v>F</v>
          </cell>
          <cell r="AB4078" t="str">
            <v>serum</v>
          </cell>
          <cell r="AF4078">
            <v>1</v>
          </cell>
        </row>
        <row r="4079">
          <cell r="A4079" t="str">
            <v>IS_alqt_plus</v>
          </cell>
          <cell r="K4079" t="str">
            <v>EMON</v>
          </cell>
          <cell r="M4079" t="str">
            <v>F</v>
          </cell>
          <cell r="AB4079" t="str">
            <v>serum</v>
          </cell>
          <cell r="AF4079">
            <v>1</v>
          </cell>
        </row>
        <row r="4080">
          <cell r="A4080" t="str">
            <v>IS_alqt_plus</v>
          </cell>
          <cell r="K4080" t="str">
            <v>EMON</v>
          </cell>
          <cell r="M4080" t="str">
            <v>F</v>
          </cell>
          <cell r="AB4080" t="str">
            <v>serum</v>
          </cell>
          <cell r="AF4080">
            <v>1</v>
          </cell>
        </row>
        <row r="4081">
          <cell r="A4081" t="str">
            <v>IS_alqt_plus</v>
          </cell>
          <cell r="K4081" t="str">
            <v>ECOR</v>
          </cell>
          <cell r="M4081" t="str">
            <v>M</v>
          </cell>
          <cell r="AB4081" t="str">
            <v>WB</v>
          </cell>
          <cell r="AF4081">
            <v>0.6</v>
          </cell>
        </row>
        <row r="4082">
          <cell r="A4082" t="str">
            <v>IS_alqt_plus</v>
          </cell>
          <cell r="K4082" t="str">
            <v>ERUF</v>
          </cell>
          <cell r="M4082" t="str">
            <v>F</v>
          </cell>
          <cell r="AB4082" t="str">
            <v>WB</v>
          </cell>
          <cell r="AF4082">
            <v>0.6</v>
          </cell>
        </row>
        <row r="4083">
          <cell r="A4083" t="str">
            <v>IS_alqt_plus</v>
          </cell>
          <cell r="K4083" t="str">
            <v>ECOR</v>
          </cell>
          <cell r="M4083" t="str">
            <v>F</v>
          </cell>
          <cell r="AB4083" t="str">
            <v>serum</v>
          </cell>
          <cell r="AF4083">
            <v>0.5</v>
          </cell>
        </row>
        <row r="4084">
          <cell r="A4084" t="str">
            <v>IS_alqt_plus</v>
          </cell>
          <cell r="K4084" t="str">
            <v>ECOR</v>
          </cell>
          <cell r="M4084" t="str">
            <v>F</v>
          </cell>
          <cell r="AB4084" t="str">
            <v>serum</v>
          </cell>
          <cell r="AF4084">
            <v>0.5</v>
          </cell>
        </row>
        <row r="4085">
          <cell r="A4085" t="str">
            <v>gone</v>
          </cell>
          <cell r="K4085" t="str">
            <v>ECOR</v>
          </cell>
          <cell r="M4085" t="str">
            <v>F</v>
          </cell>
          <cell r="AB4085" t="str">
            <v>WB</v>
          </cell>
          <cell r="AF4085">
            <v>0</v>
          </cell>
        </row>
        <row r="4086">
          <cell r="A4086" t="str">
            <v>IS_alqt_plus</v>
          </cell>
          <cell r="K4086" t="str">
            <v>EMON</v>
          </cell>
          <cell r="M4086" t="str">
            <v>F</v>
          </cell>
          <cell r="AB4086" t="str">
            <v>serum</v>
          </cell>
          <cell r="AF4086">
            <v>1</v>
          </cell>
        </row>
        <row r="4087">
          <cell r="A4087" t="str">
            <v>IS_alqt_plus</v>
          </cell>
          <cell r="K4087" t="str">
            <v>EMON</v>
          </cell>
          <cell r="M4087" t="str">
            <v>F</v>
          </cell>
          <cell r="AB4087" t="str">
            <v>serum</v>
          </cell>
          <cell r="AF4087">
            <v>1</v>
          </cell>
        </row>
        <row r="4088">
          <cell r="A4088" t="str">
            <v>IS_alqt_plus</v>
          </cell>
          <cell r="K4088" t="str">
            <v>EFLA</v>
          </cell>
          <cell r="M4088" t="str">
            <v>F</v>
          </cell>
          <cell r="AB4088" t="str">
            <v>WB</v>
          </cell>
          <cell r="AF4088">
            <v>0.2</v>
          </cell>
        </row>
        <row r="4089">
          <cell r="A4089" t="str">
            <v>IS_alqt_plus</v>
          </cell>
          <cell r="K4089" t="str">
            <v>ERUB</v>
          </cell>
          <cell r="M4089" t="str">
            <v>F</v>
          </cell>
          <cell r="AB4089" t="str">
            <v>WB</v>
          </cell>
          <cell r="AF4089">
            <v>0.5</v>
          </cell>
        </row>
        <row r="4090">
          <cell r="A4090" t="str">
            <v>IS_alqt_plus</v>
          </cell>
          <cell r="K4090" t="str">
            <v>LCAT</v>
          </cell>
          <cell r="M4090" t="str">
            <v>F</v>
          </cell>
          <cell r="AB4090" t="str">
            <v>serum</v>
          </cell>
          <cell r="AF4090">
            <v>0.3</v>
          </cell>
        </row>
        <row r="4091">
          <cell r="A4091" t="str">
            <v>IS_alqt_plus</v>
          </cell>
          <cell r="K4091" t="str">
            <v>ERUB</v>
          </cell>
          <cell r="M4091" t="str">
            <v>F</v>
          </cell>
          <cell r="AB4091" t="str">
            <v>serum</v>
          </cell>
          <cell r="AF4091">
            <v>0.9</v>
          </cell>
        </row>
        <row r="4092">
          <cell r="A4092" t="str">
            <v>IS_alqt_plus</v>
          </cell>
          <cell r="K4092" t="str">
            <v>LCAT</v>
          </cell>
          <cell r="M4092" t="str">
            <v>M</v>
          </cell>
          <cell r="AB4092" t="str">
            <v>WB</v>
          </cell>
          <cell r="AF4092">
            <v>0.4</v>
          </cell>
        </row>
        <row r="4093">
          <cell r="A4093" t="str">
            <v>IS_alqt_plus</v>
          </cell>
          <cell r="K4093" t="str">
            <v>VRUB</v>
          </cell>
          <cell r="M4093" t="str">
            <v>F</v>
          </cell>
          <cell r="AB4093" t="str">
            <v>WB</v>
          </cell>
          <cell r="AF4093">
            <v>0.5</v>
          </cell>
        </row>
        <row r="4094">
          <cell r="A4094" t="str">
            <v>IS_alqt_plus</v>
          </cell>
          <cell r="K4094" t="str">
            <v>PCOQ</v>
          </cell>
          <cell r="M4094" t="str">
            <v>M</v>
          </cell>
          <cell r="AB4094" t="str">
            <v>serum</v>
          </cell>
          <cell r="AF4094">
            <v>0.6</v>
          </cell>
        </row>
        <row r="4095">
          <cell r="A4095" t="str">
            <v>IS_alqt_plus</v>
          </cell>
          <cell r="K4095" t="str">
            <v>PCOQ</v>
          </cell>
          <cell r="M4095" t="str">
            <v>M</v>
          </cell>
          <cell r="AB4095" t="str">
            <v>serum</v>
          </cell>
          <cell r="AF4095">
            <v>0.5</v>
          </cell>
        </row>
        <row r="4096">
          <cell r="A4096" t="str">
            <v>IS_alqt_plus</v>
          </cell>
          <cell r="K4096" t="str">
            <v>LCAT</v>
          </cell>
          <cell r="M4096" t="str">
            <v>M</v>
          </cell>
          <cell r="AB4096" t="str">
            <v>WB</v>
          </cell>
          <cell r="AF4096">
            <v>0.8</v>
          </cell>
        </row>
        <row r="4097">
          <cell r="A4097" t="str">
            <v>IS_alqt_plus</v>
          </cell>
          <cell r="K4097" t="str">
            <v>PCOQ</v>
          </cell>
          <cell r="M4097" t="str">
            <v>M</v>
          </cell>
          <cell r="AB4097" t="str">
            <v>serum</v>
          </cell>
          <cell r="AF4097">
            <v>0.8</v>
          </cell>
        </row>
        <row r="4098">
          <cell r="A4098" t="str">
            <v>IS_alqt_plus</v>
          </cell>
          <cell r="K4098" t="str">
            <v>EMON</v>
          </cell>
          <cell r="M4098" t="str">
            <v>M</v>
          </cell>
          <cell r="AB4098" t="str">
            <v>serum</v>
          </cell>
          <cell r="AF4098">
            <v>0.8</v>
          </cell>
        </row>
        <row r="4099">
          <cell r="A4099" t="str">
            <v>IS_alqt_plus</v>
          </cell>
          <cell r="K4099" t="str">
            <v>EMON</v>
          </cell>
          <cell r="M4099" t="str">
            <v>M</v>
          </cell>
          <cell r="AB4099" t="str">
            <v>serum</v>
          </cell>
          <cell r="AF4099">
            <v>1.2</v>
          </cell>
        </row>
        <row r="4100">
          <cell r="A4100" t="str">
            <v>IS_alqt_plus</v>
          </cell>
          <cell r="K4100" t="str">
            <v>LCAT</v>
          </cell>
          <cell r="M4100" t="str">
            <v>F</v>
          </cell>
          <cell r="AB4100" t="str">
            <v>WB</v>
          </cell>
          <cell r="AF4100">
            <v>0.25</v>
          </cell>
        </row>
        <row r="4101">
          <cell r="A4101" t="str">
            <v>IS_alqt_plus</v>
          </cell>
          <cell r="K4101" t="str">
            <v>LCAT</v>
          </cell>
          <cell r="M4101" t="str">
            <v>M</v>
          </cell>
          <cell r="AB4101" t="str">
            <v>serum</v>
          </cell>
          <cell r="AF4101">
            <v>0.8</v>
          </cell>
        </row>
        <row r="4102">
          <cell r="A4102" t="str">
            <v>IS_alqt_plus</v>
          </cell>
          <cell r="K4102" t="str">
            <v>LCAT</v>
          </cell>
          <cell r="M4102" t="str">
            <v>F</v>
          </cell>
          <cell r="AB4102" t="str">
            <v>WB</v>
          </cell>
          <cell r="AF4102">
            <v>0.8</v>
          </cell>
        </row>
        <row r="4103">
          <cell r="A4103" t="str">
            <v>IS_alqt_plus</v>
          </cell>
          <cell r="K4103" t="str">
            <v>LCAT</v>
          </cell>
          <cell r="M4103" t="str">
            <v>F</v>
          </cell>
          <cell r="AB4103" t="str">
            <v>WB</v>
          </cell>
          <cell r="AF4103">
            <v>1</v>
          </cell>
        </row>
        <row r="4104">
          <cell r="A4104" t="str">
            <v>IS_alqt_plus</v>
          </cell>
          <cell r="K4104" t="str">
            <v>LCAT</v>
          </cell>
          <cell r="M4104" t="str">
            <v>F</v>
          </cell>
          <cell r="AB4104" t="str">
            <v>serum</v>
          </cell>
          <cell r="AF4104">
            <v>0.5</v>
          </cell>
        </row>
        <row r="4105">
          <cell r="A4105" t="str">
            <v>IS_alqt_plus</v>
          </cell>
          <cell r="K4105" t="str">
            <v>LCAT</v>
          </cell>
          <cell r="M4105" t="str">
            <v>F</v>
          </cell>
          <cell r="AB4105" t="str">
            <v>WB</v>
          </cell>
          <cell r="AF4105">
            <v>0.2</v>
          </cell>
        </row>
        <row r="4106">
          <cell r="A4106" t="str">
            <v>IS_alqt_plus</v>
          </cell>
          <cell r="K4106" t="str">
            <v>LCAT</v>
          </cell>
          <cell r="M4106" t="str">
            <v>F</v>
          </cell>
          <cell r="AB4106" t="str">
            <v>WB</v>
          </cell>
          <cell r="AF4106">
            <v>0.2</v>
          </cell>
        </row>
        <row r="4107">
          <cell r="A4107" t="str">
            <v>IS_alqt_plus</v>
          </cell>
          <cell r="K4107" t="str">
            <v>LCAT</v>
          </cell>
          <cell r="M4107" t="str">
            <v>M</v>
          </cell>
          <cell r="AB4107" t="str">
            <v>serum</v>
          </cell>
          <cell r="AF4107">
            <v>0.5</v>
          </cell>
        </row>
        <row r="4108">
          <cell r="A4108" t="str">
            <v>IS_alqt_plus</v>
          </cell>
          <cell r="K4108" t="str">
            <v>LCAT</v>
          </cell>
          <cell r="M4108" t="str">
            <v>M</v>
          </cell>
          <cell r="AB4108" t="str">
            <v>serum</v>
          </cell>
          <cell r="AF4108">
            <v>0.75</v>
          </cell>
        </row>
        <row r="4109">
          <cell r="A4109" t="str">
            <v>IS_alqt_plus</v>
          </cell>
          <cell r="K4109" t="str">
            <v>ERUF</v>
          </cell>
          <cell r="M4109" t="str">
            <v>F</v>
          </cell>
          <cell r="AB4109" t="str">
            <v>WB</v>
          </cell>
          <cell r="AF4109">
            <v>0.7</v>
          </cell>
        </row>
        <row r="4110">
          <cell r="A4110" t="str">
            <v>IS_alqt_plus</v>
          </cell>
          <cell r="K4110" t="str">
            <v>ERUF</v>
          </cell>
          <cell r="M4110" t="str">
            <v>F</v>
          </cell>
          <cell r="AB4110" t="str">
            <v>serum</v>
          </cell>
          <cell r="AF4110">
            <v>0.9</v>
          </cell>
        </row>
        <row r="4111">
          <cell r="A4111" t="str">
            <v>IS_alqt_plus</v>
          </cell>
          <cell r="K4111" t="str">
            <v>LCAT</v>
          </cell>
          <cell r="M4111" t="str">
            <v>F</v>
          </cell>
          <cell r="AB4111" t="str">
            <v>WB</v>
          </cell>
          <cell r="AF4111">
            <v>0.2</v>
          </cell>
        </row>
        <row r="4112">
          <cell r="A4112" t="str">
            <v>IS_alqt_plus</v>
          </cell>
          <cell r="K4112" t="str">
            <v>LCAT</v>
          </cell>
          <cell r="M4112" t="str">
            <v>F</v>
          </cell>
          <cell r="AB4112" t="str">
            <v>WB</v>
          </cell>
          <cell r="AF4112">
            <v>0.2</v>
          </cell>
        </row>
        <row r="4113">
          <cell r="A4113" t="str">
            <v>IS_alqt_plus</v>
          </cell>
          <cell r="K4113" t="str">
            <v>LCAT</v>
          </cell>
          <cell r="M4113" t="str">
            <v>F</v>
          </cell>
          <cell r="AB4113" t="str">
            <v>WB</v>
          </cell>
          <cell r="AF4113">
            <v>0.2</v>
          </cell>
        </row>
        <row r="4114">
          <cell r="A4114" t="str">
            <v>IS_alqt_plus</v>
          </cell>
          <cell r="K4114" t="str">
            <v>LCAT</v>
          </cell>
          <cell r="M4114" t="str">
            <v>M</v>
          </cell>
          <cell r="AB4114" t="str">
            <v>serum</v>
          </cell>
          <cell r="AF4114">
            <v>0.9</v>
          </cell>
        </row>
        <row r="4115">
          <cell r="A4115" t="str">
            <v>IS_alqt_plus</v>
          </cell>
          <cell r="K4115" t="str">
            <v>LCAT</v>
          </cell>
          <cell r="M4115" t="str">
            <v>M</v>
          </cell>
          <cell r="AB4115" t="str">
            <v>serum</v>
          </cell>
          <cell r="AF4115">
            <v>0.6</v>
          </cell>
        </row>
        <row r="4116">
          <cell r="A4116" t="str">
            <v>IS_alqt_plus</v>
          </cell>
          <cell r="K4116" t="str">
            <v>LCAT</v>
          </cell>
          <cell r="M4116" t="str">
            <v>M</v>
          </cell>
          <cell r="AB4116" t="str">
            <v>serum</v>
          </cell>
          <cell r="AF4116">
            <v>0.4</v>
          </cell>
        </row>
        <row r="4117">
          <cell r="A4117" t="str">
            <v>IS_alqt_plus</v>
          </cell>
          <cell r="K4117" t="str">
            <v>LCAT</v>
          </cell>
          <cell r="M4117" t="str">
            <v>M</v>
          </cell>
          <cell r="AB4117" t="str">
            <v>serum</v>
          </cell>
          <cell r="AF4117">
            <v>0.85</v>
          </cell>
        </row>
        <row r="4118">
          <cell r="A4118" t="str">
            <v>IS_alqt_minus</v>
          </cell>
          <cell r="K4118" t="str">
            <v>MMUR</v>
          </cell>
          <cell r="M4118" t="str">
            <v>F</v>
          </cell>
          <cell r="AB4118" t="str">
            <v>PRBC</v>
          </cell>
          <cell r="AF4118">
            <v>0.1</v>
          </cell>
        </row>
        <row r="4119">
          <cell r="A4119" t="str">
            <v>IS_alqt_minus</v>
          </cell>
          <cell r="K4119" t="str">
            <v>MMUR</v>
          </cell>
          <cell r="M4119" t="str">
            <v>F</v>
          </cell>
          <cell r="AB4119" t="str">
            <v>serum</v>
          </cell>
          <cell r="AF4119">
            <v>7.0000000000000007E-2</v>
          </cell>
        </row>
        <row r="4120">
          <cell r="A4120" t="str">
            <v>IS_alqt_minus</v>
          </cell>
          <cell r="K4120" t="str">
            <v>MMUR</v>
          </cell>
          <cell r="M4120" t="str">
            <v>F</v>
          </cell>
          <cell r="AB4120" t="str">
            <v>PRBC</v>
          </cell>
          <cell r="AF4120">
            <v>0.05</v>
          </cell>
        </row>
        <row r="4121">
          <cell r="A4121" t="str">
            <v>IS_alqt_minus</v>
          </cell>
          <cell r="K4121" t="str">
            <v>MMUR</v>
          </cell>
          <cell r="M4121" t="str">
            <v>F</v>
          </cell>
          <cell r="AB4121" t="str">
            <v>serum</v>
          </cell>
          <cell r="AF4121">
            <v>0.05</v>
          </cell>
        </row>
        <row r="4122">
          <cell r="A4122" t="str">
            <v>IS_alqt_minus</v>
          </cell>
          <cell r="K4122" t="str">
            <v>MMUR</v>
          </cell>
          <cell r="M4122" t="str">
            <v>F</v>
          </cell>
          <cell r="AB4122" t="str">
            <v>PRBC</v>
          </cell>
          <cell r="AF4122">
            <v>0.1</v>
          </cell>
        </row>
        <row r="4123">
          <cell r="A4123" t="str">
            <v>IS_alqt_plus</v>
          </cell>
          <cell r="K4123" t="str">
            <v>VRUB</v>
          </cell>
          <cell r="M4123" t="str">
            <v>F</v>
          </cell>
          <cell r="AB4123" t="str">
            <v>WB</v>
          </cell>
          <cell r="AF4123">
            <v>0.4</v>
          </cell>
        </row>
        <row r="4124">
          <cell r="A4124" t="str">
            <v>IS_alqt_plus</v>
          </cell>
          <cell r="K4124" t="str">
            <v>PCOQ</v>
          </cell>
          <cell r="M4124" t="str">
            <v>M</v>
          </cell>
          <cell r="AB4124" t="str">
            <v>Fluid- pericardial</v>
          </cell>
          <cell r="AF4124">
            <v>0.35</v>
          </cell>
        </row>
        <row r="4125">
          <cell r="A4125" t="str">
            <v>IS_alqt_plus</v>
          </cell>
          <cell r="K4125" t="str">
            <v>DMAD</v>
          </cell>
          <cell r="M4125" t="str">
            <v>M</v>
          </cell>
          <cell r="AB4125" t="str">
            <v>Fluid- pericardial</v>
          </cell>
          <cell r="AF4125">
            <v>1.3</v>
          </cell>
        </row>
        <row r="4126">
          <cell r="A4126" t="str">
            <v>IS_alqt_plus</v>
          </cell>
          <cell r="K4126" t="str">
            <v>DMAD</v>
          </cell>
          <cell r="M4126" t="str">
            <v>F</v>
          </cell>
          <cell r="AB4126" t="str">
            <v>Fluid- pericardial</v>
          </cell>
          <cell r="AF4126">
            <v>1.5</v>
          </cell>
        </row>
        <row r="4127">
          <cell r="A4127" t="str">
            <v>gone</v>
          </cell>
          <cell r="K4127" t="str">
            <v>MMUR</v>
          </cell>
          <cell r="M4127" t="str">
            <v>F</v>
          </cell>
          <cell r="AB4127" t="str">
            <v>WB</v>
          </cell>
          <cell r="AF4127">
            <v>0</v>
          </cell>
        </row>
        <row r="4128">
          <cell r="A4128" t="str">
            <v>gone</v>
          </cell>
          <cell r="K4128" t="str">
            <v>MMUR</v>
          </cell>
          <cell r="M4128" t="str">
            <v>F</v>
          </cell>
          <cell r="AB4128" t="str">
            <v>WB</v>
          </cell>
          <cell r="AF4128">
            <v>0</v>
          </cell>
        </row>
        <row r="4129">
          <cell r="A4129" t="str">
            <v>gone</v>
          </cell>
          <cell r="K4129" t="str">
            <v>MMUR</v>
          </cell>
          <cell r="M4129" t="str">
            <v>F</v>
          </cell>
          <cell r="AB4129" t="str">
            <v>WB</v>
          </cell>
          <cell r="AF4129">
            <v>0</v>
          </cell>
        </row>
        <row r="4130">
          <cell r="A4130" t="str">
            <v>IS_alqt_plus</v>
          </cell>
          <cell r="K4130" t="str">
            <v>LCAT</v>
          </cell>
          <cell r="M4130" t="str">
            <v>F</v>
          </cell>
          <cell r="AB4130" t="str">
            <v>serum</v>
          </cell>
          <cell r="AF4130">
            <v>0.5</v>
          </cell>
        </row>
        <row r="4131">
          <cell r="A4131" t="str">
            <v>unk</v>
          </cell>
          <cell r="K4131" t="str">
            <v>LCAT</v>
          </cell>
          <cell r="M4131" t="str">
            <v>F</v>
          </cell>
          <cell r="AB4131" t="str">
            <v>WB</v>
          </cell>
          <cell r="AF4131">
            <v>0.25</v>
          </cell>
        </row>
        <row r="4132">
          <cell r="A4132" t="str">
            <v>IS_alqt_minus</v>
          </cell>
          <cell r="K4132" t="str">
            <v>CMED</v>
          </cell>
          <cell r="M4132" t="str">
            <v>M</v>
          </cell>
          <cell r="AB4132" t="str">
            <v>plasma</v>
          </cell>
          <cell r="AF4132">
            <v>0.05</v>
          </cell>
        </row>
        <row r="4133">
          <cell r="A4133" t="str">
            <v>IS_alqt_minus</v>
          </cell>
          <cell r="K4133" t="str">
            <v>CMED</v>
          </cell>
          <cell r="M4133" t="str">
            <v>M</v>
          </cell>
          <cell r="AB4133" t="str">
            <v>plasma</v>
          </cell>
          <cell r="AF4133">
            <v>0.03</v>
          </cell>
        </row>
        <row r="4134">
          <cell r="A4134" t="str">
            <v>IS_alqt_minus</v>
          </cell>
          <cell r="K4134" t="str">
            <v>CMED</v>
          </cell>
          <cell r="M4134" t="str">
            <v>F</v>
          </cell>
          <cell r="AB4134" t="str">
            <v>plasma</v>
          </cell>
          <cell r="AF4134">
            <v>0.15</v>
          </cell>
        </row>
        <row r="4135">
          <cell r="A4135" t="str">
            <v>IS_alqt_minus</v>
          </cell>
          <cell r="K4135" t="str">
            <v>CMED</v>
          </cell>
          <cell r="M4135" t="str">
            <v>F</v>
          </cell>
          <cell r="AB4135" t="str">
            <v>plasma</v>
          </cell>
          <cell r="AF4135">
            <v>0.15</v>
          </cell>
        </row>
        <row r="4136">
          <cell r="A4136" t="str">
            <v>IS_alqt_plus</v>
          </cell>
          <cell r="K4136" t="str">
            <v>PDIA</v>
          </cell>
          <cell r="M4136" t="str">
            <v>M</v>
          </cell>
          <cell r="AB4136" t="str">
            <v>serum</v>
          </cell>
          <cell r="AF4136">
            <v>0.4</v>
          </cell>
        </row>
        <row r="4137">
          <cell r="A4137" t="str">
            <v>unk</v>
          </cell>
          <cell r="K4137" t="str">
            <v>LCAT</v>
          </cell>
          <cell r="M4137" t="str">
            <v>F</v>
          </cell>
          <cell r="AB4137" t="str">
            <v>WB</v>
          </cell>
          <cell r="AF4137">
            <v>0.25</v>
          </cell>
        </row>
        <row r="4138">
          <cell r="A4138" t="str">
            <v>IS_alqt_plus</v>
          </cell>
          <cell r="K4138" t="str">
            <v>LCAT</v>
          </cell>
          <cell r="M4138" t="str">
            <v>F</v>
          </cell>
          <cell r="AB4138" t="str">
            <v>WB</v>
          </cell>
          <cell r="AF4138">
            <v>0.5</v>
          </cell>
        </row>
        <row r="4139">
          <cell r="A4139" t="str">
            <v>IS_alqt_plus</v>
          </cell>
          <cell r="K4139" t="str">
            <v>LCAT</v>
          </cell>
          <cell r="M4139" t="str">
            <v>M</v>
          </cell>
          <cell r="AB4139" t="str">
            <v>WB</v>
          </cell>
          <cell r="AF4139">
            <v>0.5</v>
          </cell>
        </row>
        <row r="4140">
          <cell r="A4140" t="str">
            <v>IS_alqt_plus</v>
          </cell>
          <cell r="K4140" t="str">
            <v>LCAT</v>
          </cell>
          <cell r="M4140" t="str">
            <v>F</v>
          </cell>
          <cell r="AB4140" t="str">
            <v>serum</v>
          </cell>
          <cell r="AF4140">
            <v>0.7</v>
          </cell>
        </row>
        <row r="4141">
          <cell r="A4141" t="str">
            <v>IS_alqt_plus</v>
          </cell>
          <cell r="K4141" t="str">
            <v>LCAT</v>
          </cell>
          <cell r="M4141" t="str">
            <v>M</v>
          </cell>
          <cell r="AB4141" t="str">
            <v>serum</v>
          </cell>
          <cell r="AF4141">
            <v>0.6</v>
          </cell>
        </row>
        <row r="4142">
          <cell r="A4142" t="str">
            <v>IS_alqt_plus</v>
          </cell>
          <cell r="K4142" t="str">
            <v>LCAT</v>
          </cell>
          <cell r="M4142" t="str">
            <v>M</v>
          </cell>
          <cell r="AB4142" t="str">
            <v>serum</v>
          </cell>
          <cell r="AF4142">
            <v>0.5</v>
          </cell>
        </row>
        <row r="4143">
          <cell r="A4143" t="str">
            <v>IS_alqt_plus</v>
          </cell>
          <cell r="K4143" t="str">
            <v>VRUB</v>
          </cell>
          <cell r="M4143" t="str">
            <v>F</v>
          </cell>
          <cell r="AB4143" t="str">
            <v>serum</v>
          </cell>
          <cell r="AF4143">
            <v>1</v>
          </cell>
        </row>
        <row r="4144">
          <cell r="A4144" t="str">
            <v>IS_alqt_plus</v>
          </cell>
          <cell r="K4144" t="str">
            <v>VRUB</v>
          </cell>
          <cell r="M4144" t="str">
            <v>F</v>
          </cell>
          <cell r="AB4144" t="str">
            <v>serum</v>
          </cell>
          <cell r="AF4144">
            <v>0.75</v>
          </cell>
        </row>
        <row r="4145">
          <cell r="A4145" t="str">
            <v>IS_alqt_plus</v>
          </cell>
          <cell r="K4145" t="str">
            <v>ERUB</v>
          </cell>
          <cell r="M4145" t="str">
            <v>M</v>
          </cell>
          <cell r="AB4145" t="str">
            <v>WB</v>
          </cell>
          <cell r="AF4145">
            <v>0.8</v>
          </cell>
        </row>
        <row r="4146">
          <cell r="A4146" t="str">
            <v>gone</v>
          </cell>
          <cell r="K4146" t="str">
            <v>VVV</v>
          </cell>
          <cell r="M4146" t="str">
            <v>M</v>
          </cell>
          <cell r="AB4146" t="str">
            <v>WB</v>
          </cell>
          <cell r="AF4146">
            <v>0</v>
          </cell>
        </row>
        <row r="4147">
          <cell r="A4147" t="str">
            <v>IS_alqt_plus</v>
          </cell>
          <cell r="K4147" t="str">
            <v>ERUB</v>
          </cell>
          <cell r="M4147" t="str">
            <v>M</v>
          </cell>
          <cell r="AB4147" t="str">
            <v>serum</v>
          </cell>
          <cell r="AF4147">
            <v>0.5</v>
          </cell>
        </row>
        <row r="4148">
          <cell r="A4148" t="str">
            <v>IS_alqt_plus</v>
          </cell>
          <cell r="K4148" t="str">
            <v>ERUB</v>
          </cell>
          <cell r="M4148" t="str">
            <v>M</v>
          </cell>
          <cell r="AB4148" t="str">
            <v>serum</v>
          </cell>
          <cell r="AF4148">
            <v>0.5</v>
          </cell>
        </row>
        <row r="4149">
          <cell r="A4149" t="str">
            <v>IS_alqt_plus</v>
          </cell>
          <cell r="K4149" t="str">
            <v>VVV</v>
          </cell>
          <cell r="M4149" t="str">
            <v>M</v>
          </cell>
          <cell r="AB4149" t="str">
            <v>serum</v>
          </cell>
          <cell r="AF4149">
            <v>0.75</v>
          </cell>
        </row>
        <row r="4150">
          <cell r="A4150" t="str">
            <v>IS_alqt_plus</v>
          </cell>
          <cell r="K4150" t="str">
            <v>ECOL</v>
          </cell>
          <cell r="M4150" t="str">
            <v>M</v>
          </cell>
          <cell r="AB4150" t="str">
            <v>serum</v>
          </cell>
          <cell r="AF4150">
            <v>1</v>
          </cell>
        </row>
        <row r="4151">
          <cell r="A4151" t="str">
            <v>IS_alqt_plus</v>
          </cell>
          <cell r="K4151" t="str">
            <v>LCAT</v>
          </cell>
          <cell r="M4151" t="str">
            <v>F</v>
          </cell>
          <cell r="AB4151" t="str">
            <v>WB</v>
          </cell>
          <cell r="AF4151">
            <v>0.6</v>
          </cell>
        </row>
        <row r="4152">
          <cell r="A4152" t="str">
            <v>IS_alqt_plus</v>
          </cell>
          <cell r="K4152" t="str">
            <v>PCOQ</v>
          </cell>
          <cell r="M4152" t="str">
            <v>M</v>
          </cell>
          <cell r="AB4152" t="str">
            <v>serum</v>
          </cell>
          <cell r="AF4152">
            <v>0.7</v>
          </cell>
        </row>
        <row r="4153">
          <cell r="A4153" t="str">
            <v>gone</v>
          </cell>
          <cell r="K4153" t="str">
            <v>LCAT</v>
          </cell>
          <cell r="M4153" t="str">
            <v>M</v>
          </cell>
          <cell r="AB4153" t="str">
            <v>WB</v>
          </cell>
          <cell r="AF4153">
            <v>0</v>
          </cell>
        </row>
        <row r="4154">
          <cell r="A4154" t="str">
            <v>gone</v>
          </cell>
          <cell r="K4154" t="str">
            <v>LCAT</v>
          </cell>
          <cell r="M4154" t="str">
            <v>F</v>
          </cell>
          <cell r="AB4154" t="str">
            <v>WB</v>
          </cell>
          <cell r="AF4154">
            <v>0</v>
          </cell>
        </row>
        <row r="4155">
          <cell r="A4155" t="str">
            <v>IS_alqt_plus</v>
          </cell>
          <cell r="K4155" t="str">
            <v>LCAT</v>
          </cell>
          <cell r="M4155" t="str">
            <v>F</v>
          </cell>
          <cell r="AB4155" t="str">
            <v>serum</v>
          </cell>
          <cell r="AF4155">
            <v>0.85</v>
          </cell>
        </row>
        <row r="4156">
          <cell r="A4156" t="str">
            <v>IS_alqt_plus</v>
          </cell>
          <cell r="K4156" t="str">
            <v>LCAT</v>
          </cell>
          <cell r="M4156" t="str">
            <v>M</v>
          </cell>
          <cell r="AB4156" t="str">
            <v>serum</v>
          </cell>
          <cell r="AF4156">
            <v>0.4</v>
          </cell>
        </row>
        <row r="4157">
          <cell r="A4157" t="str">
            <v>unk</v>
          </cell>
          <cell r="K4157" t="str">
            <v>ECOL</v>
          </cell>
          <cell r="M4157" t="str">
            <v>F</v>
          </cell>
          <cell r="AB4157" t="str">
            <v>serum</v>
          </cell>
          <cell r="AF4157">
            <v>0.45</v>
          </cell>
        </row>
        <row r="4158">
          <cell r="A4158" t="str">
            <v>IS_alqt_plus</v>
          </cell>
          <cell r="K4158" t="str">
            <v>ECOL</v>
          </cell>
          <cell r="M4158" t="str">
            <v>M</v>
          </cell>
          <cell r="AB4158" t="str">
            <v>serum</v>
          </cell>
          <cell r="AF4158">
            <v>0.75</v>
          </cell>
        </row>
        <row r="4159">
          <cell r="A4159" t="str">
            <v>IS_alqt_plus</v>
          </cell>
          <cell r="K4159" t="str">
            <v>ECOL</v>
          </cell>
          <cell r="M4159" t="str">
            <v>F</v>
          </cell>
          <cell r="AB4159" t="str">
            <v>WB</v>
          </cell>
          <cell r="AF4159">
            <v>0.65</v>
          </cell>
        </row>
        <row r="4160">
          <cell r="A4160" t="str">
            <v>gone</v>
          </cell>
          <cell r="K4160" t="str">
            <v>ECOL</v>
          </cell>
          <cell r="M4160" t="str">
            <v>M</v>
          </cell>
          <cell r="AB4160" t="str">
            <v>WB</v>
          </cell>
          <cell r="AF4160">
            <v>0</v>
          </cell>
        </row>
        <row r="4161">
          <cell r="A4161" t="str">
            <v>IS_alqt_plus</v>
          </cell>
          <cell r="K4161" t="str">
            <v>EFLA</v>
          </cell>
          <cell r="M4161" t="str">
            <v>M</v>
          </cell>
          <cell r="AB4161" t="str">
            <v>serum</v>
          </cell>
          <cell r="AF4161">
            <v>1</v>
          </cell>
        </row>
        <row r="4162">
          <cell r="A4162" t="str">
            <v>IS_alqt_plus</v>
          </cell>
          <cell r="K4162" t="str">
            <v>EFLA</v>
          </cell>
          <cell r="M4162" t="str">
            <v>M</v>
          </cell>
          <cell r="AB4162" t="str">
            <v>serum</v>
          </cell>
          <cell r="AF4162">
            <v>1</v>
          </cell>
        </row>
        <row r="4163">
          <cell r="A4163" t="str">
            <v>IS_alqt_plus</v>
          </cell>
          <cell r="K4163" t="str">
            <v>EFLA</v>
          </cell>
          <cell r="M4163" t="str">
            <v>M</v>
          </cell>
          <cell r="AB4163" t="str">
            <v>serum</v>
          </cell>
          <cell r="AF4163">
            <v>1</v>
          </cell>
        </row>
        <row r="4164">
          <cell r="A4164" t="str">
            <v>IS_alqt_plus</v>
          </cell>
          <cell r="K4164" t="str">
            <v>EFLA</v>
          </cell>
          <cell r="M4164" t="str">
            <v>M</v>
          </cell>
          <cell r="AB4164" t="str">
            <v>serum</v>
          </cell>
          <cell r="AF4164">
            <v>1.1000000000000001</v>
          </cell>
        </row>
        <row r="4165">
          <cell r="A4165" t="str">
            <v>IS_alqt_plus</v>
          </cell>
          <cell r="K4165" t="str">
            <v>EFLA</v>
          </cell>
          <cell r="M4165" t="str">
            <v>M</v>
          </cell>
          <cell r="AB4165" t="str">
            <v>serum</v>
          </cell>
          <cell r="AF4165">
            <v>1</v>
          </cell>
        </row>
        <row r="4166">
          <cell r="A4166" t="str">
            <v>IS_alqt_plus</v>
          </cell>
          <cell r="K4166" t="str">
            <v>EFLA</v>
          </cell>
          <cell r="M4166" t="str">
            <v>M</v>
          </cell>
          <cell r="AB4166" t="str">
            <v>serum</v>
          </cell>
          <cell r="AF4166">
            <v>1</v>
          </cell>
        </row>
        <row r="4167">
          <cell r="A4167" t="str">
            <v>IS_alqt_plus</v>
          </cell>
          <cell r="K4167" t="str">
            <v>EFLA</v>
          </cell>
          <cell r="M4167" t="str">
            <v>M</v>
          </cell>
          <cell r="AB4167" t="str">
            <v>serum</v>
          </cell>
          <cell r="AF4167">
            <v>0.5</v>
          </cell>
        </row>
        <row r="4168">
          <cell r="A4168" t="str">
            <v>IS_alqt_plus</v>
          </cell>
          <cell r="K4168" t="str">
            <v>EFLA</v>
          </cell>
          <cell r="M4168" t="str">
            <v>M</v>
          </cell>
          <cell r="AB4168" t="str">
            <v>serum</v>
          </cell>
          <cell r="AF4168">
            <v>1</v>
          </cell>
        </row>
        <row r="4169">
          <cell r="A4169" t="str">
            <v>IS_alqt_plus</v>
          </cell>
          <cell r="K4169" t="str">
            <v>EFLA</v>
          </cell>
          <cell r="M4169" t="str">
            <v>M</v>
          </cell>
          <cell r="AB4169" t="str">
            <v>serum</v>
          </cell>
          <cell r="AF4169">
            <v>1.1000000000000001</v>
          </cell>
        </row>
        <row r="4170">
          <cell r="A4170" t="str">
            <v>IS_alqt_plus</v>
          </cell>
          <cell r="K4170" t="str">
            <v>EFLA</v>
          </cell>
          <cell r="M4170" t="str">
            <v>M</v>
          </cell>
          <cell r="AB4170" t="str">
            <v>serum</v>
          </cell>
          <cell r="AF4170">
            <v>1.1000000000000001</v>
          </cell>
        </row>
        <row r="4171">
          <cell r="A4171" t="str">
            <v>IS_alqt_plus</v>
          </cell>
          <cell r="K4171" t="str">
            <v>EFLA</v>
          </cell>
          <cell r="M4171" t="str">
            <v>M</v>
          </cell>
          <cell r="AB4171" t="str">
            <v>serum</v>
          </cell>
          <cell r="AF4171">
            <v>1.1000000000000001</v>
          </cell>
        </row>
        <row r="4172">
          <cell r="A4172" t="str">
            <v>IS_alqt_plus</v>
          </cell>
          <cell r="K4172" t="str">
            <v>EFLA</v>
          </cell>
          <cell r="M4172" t="str">
            <v>M</v>
          </cell>
          <cell r="AB4172" t="str">
            <v>serum</v>
          </cell>
          <cell r="AF4172">
            <v>1</v>
          </cell>
        </row>
        <row r="4173">
          <cell r="A4173" t="str">
            <v>IS_alqt_plus</v>
          </cell>
          <cell r="K4173" t="str">
            <v>EFLA</v>
          </cell>
          <cell r="M4173" t="str">
            <v>M</v>
          </cell>
          <cell r="AB4173" t="str">
            <v>serum</v>
          </cell>
          <cell r="AF4173">
            <v>1</v>
          </cell>
        </row>
        <row r="4174">
          <cell r="A4174" t="str">
            <v>IS_alqt_plus</v>
          </cell>
          <cell r="K4174" t="str">
            <v>EFLA</v>
          </cell>
          <cell r="M4174" t="str">
            <v>M</v>
          </cell>
          <cell r="AB4174" t="str">
            <v>serum</v>
          </cell>
          <cell r="AF4174">
            <v>1</v>
          </cell>
        </row>
        <row r="4175">
          <cell r="A4175" t="str">
            <v>IS_alqt_plus</v>
          </cell>
          <cell r="K4175" t="str">
            <v>EFLA</v>
          </cell>
          <cell r="M4175" t="str">
            <v>M</v>
          </cell>
          <cell r="AB4175" t="str">
            <v>serum</v>
          </cell>
          <cell r="AF4175">
            <v>0.75</v>
          </cell>
        </row>
        <row r="4176">
          <cell r="A4176" t="str">
            <v>gone</v>
          </cell>
          <cell r="K4176" t="str">
            <v>EFLA</v>
          </cell>
          <cell r="M4176" t="str">
            <v>M</v>
          </cell>
          <cell r="AB4176" t="str">
            <v>WB</v>
          </cell>
          <cell r="AF4176">
            <v>0</v>
          </cell>
        </row>
        <row r="4177">
          <cell r="A4177" t="str">
            <v>IS_alqt_plus</v>
          </cell>
          <cell r="K4177" t="str">
            <v>EFLA</v>
          </cell>
          <cell r="M4177" t="str">
            <v>M</v>
          </cell>
          <cell r="AB4177" t="str">
            <v>WB</v>
          </cell>
          <cell r="AF4177">
            <v>0.8</v>
          </cell>
        </row>
        <row r="4178">
          <cell r="A4178" t="str">
            <v>IS_alqt_plus</v>
          </cell>
          <cell r="K4178" t="str">
            <v>EFLA</v>
          </cell>
          <cell r="M4178" t="str">
            <v>M</v>
          </cell>
          <cell r="AB4178" t="str">
            <v>WB</v>
          </cell>
          <cell r="AF4178">
            <v>1</v>
          </cell>
        </row>
        <row r="4179">
          <cell r="A4179" t="str">
            <v>IS_alqt_plus</v>
          </cell>
          <cell r="K4179" t="str">
            <v>EFLA</v>
          </cell>
          <cell r="M4179" t="str">
            <v>M</v>
          </cell>
          <cell r="AB4179" t="str">
            <v>WB</v>
          </cell>
          <cell r="AF4179">
            <v>1.2</v>
          </cell>
        </row>
        <row r="4180">
          <cell r="A4180" t="str">
            <v>IS_alqt_plus</v>
          </cell>
          <cell r="K4180" t="str">
            <v>EFLA</v>
          </cell>
          <cell r="M4180" t="str">
            <v>M</v>
          </cell>
          <cell r="AB4180" t="str">
            <v>WB</v>
          </cell>
          <cell r="AF4180">
            <v>0.65</v>
          </cell>
        </row>
        <row r="4181">
          <cell r="A4181" t="str">
            <v>gone</v>
          </cell>
          <cell r="K4181" t="str">
            <v>EFLA</v>
          </cell>
          <cell r="M4181" t="str">
            <v>M</v>
          </cell>
          <cell r="AB4181" t="str">
            <v>WB</v>
          </cell>
          <cell r="AF4181">
            <v>0</v>
          </cell>
        </row>
        <row r="4182">
          <cell r="A4182" t="str">
            <v>IS_alqt_plus</v>
          </cell>
          <cell r="K4182" t="str">
            <v>EFLA</v>
          </cell>
          <cell r="M4182" t="str">
            <v>M</v>
          </cell>
          <cell r="AB4182" t="str">
            <v>WB</v>
          </cell>
          <cell r="AF4182">
            <v>0.65</v>
          </cell>
        </row>
        <row r="4183">
          <cell r="A4183" t="str">
            <v>IS_alqt_plus</v>
          </cell>
          <cell r="K4183" t="str">
            <v>EFLA</v>
          </cell>
          <cell r="M4183" t="str">
            <v>M</v>
          </cell>
          <cell r="AB4183" t="str">
            <v>WB</v>
          </cell>
          <cell r="AF4183">
            <v>1</v>
          </cell>
        </row>
        <row r="4184">
          <cell r="A4184" t="str">
            <v>IS_alqt_plus</v>
          </cell>
          <cell r="K4184" t="str">
            <v>EFLA</v>
          </cell>
          <cell r="M4184" t="str">
            <v>M</v>
          </cell>
          <cell r="AB4184" t="str">
            <v>WB</v>
          </cell>
          <cell r="AF4184">
            <v>1</v>
          </cell>
        </row>
        <row r="4185">
          <cell r="A4185" t="str">
            <v>IS_alqt_plus</v>
          </cell>
          <cell r="K4185" t="str">
            <v>EFLA</v>
          </cell>
          <cell r="M4185" t="str">
            <v>M</v>
          </cell>
          <cell r="AB4185" t="str">
            <v>WB</v>
          </cell>
          <cell r="AF4185">
            <v>1</v>
          </cell>
        </row>
        <row r="4186">
          <cell r="A4186" t="str">
            <v>IS_alqt_plus</v>
          </cell>
          <cell r="K4186" t="str">
            <v>EFLA</v>
          </cell>
          <cell r="M4186" t="str">
            <v>M</v>
          </cell>
          <cell r="AB4186" t="str">
            <v>WB</v>
          </cell>
          <cell r="AF4186">
            <v>1</v>
          </cell>
        </row>
        <row r="4187">
          <cell r="A4187" t="str">
            <v>IS_alqt_plus</v>
          </cell>
          <cell r="K4187" t="str">
            <v>EFLA</v>
          </cell>
          <cell r="M4187" t="str">
            <v>M</v>
          </cell>
          <cell r="AB4187" t="str">
            <v>WB</v>
          </cell>
          <cell r="AF4187">
            <v>1</v>
          </cell>
        </row>
        <row r="4188">
          <cell r="A4188" t="str">
            <v>IS_alqt_plus</v>
          </cell>
          <cell r="K4188" t="str">
            <v>EFLA</v>
          </cell>
          <cell r="M4188" t="str">
            <v>M</v>
          </cell>
          <cell r="AB4188" t="str">
            <v>WB</v>
          </cell>
          <cell r="AF4188">
            <v>0.7</v>
          </cell>
        </row>
        <row r="4189">
          <cell r="A4189" t="str">
            <v>IS_alqt_plus</v>
          </cell>
          <cell r="K4189" t="str">
            <v>EFLA</v>
          </cell>
          <cell r="M4189" t="str">
            <v>M</v>
          </cell>
          <cell r="AB4189" t="str">
            <v>WB</v>
          </cell>
          <cell r="AF4189">
            <v>0.7</v>
          </cell>
        </row>
        <row r="4190">
          <cell r="A4190" t="str">
            <v>IS_alqt_plus</v>
          </cell>
          <cell r="K4190" t="str">
            <v>EFLA</v>
          </cell>
          <cell r="M4190" t="str">
            <v>M</v>
          </cell>
          <cell r="AB4190" t="str">
            <v>WB</v>
          </cell>
          <cell r="AF4190">
            <v>1</v>
          </cell>
        </row>
        <row r="4191">
          <cell r="A4191" t="str">
            <v>IS_alqt_plus</v>
          </cell>
          <cell r="K4191" t="str">
            <v>ECOL</v>
          </cell>
          <cell r="M4191" t="str">
            <v>M</v>
          </cell>
          <cell r="AB4191" t="str">
            <v>serum</v>
          </cell>
          <cell r="AF4191">
            <v>1.1000000000000001</v>
          </cell>
        </row>
        <row r="4192">
          <cell r="A4192" t="str">
            <v>IS_alqt_plus</v>
          </cell>
          <cell r="K4192" t="str">
            <v>ECOL</v>
          </cell>
          <cell r="M4192" t="str">
            <v>M</v>
          </cell>
          <cell r="AB4192" t="str">
            <v>serum</v>
          </cell>
          <cell r="AF4192">
            <v>1</v>
          </cell>
        </row>
        <row r="4193">
          <cell r="A4193" t="str">
            <v>IS_alqt_plus</v>
          </cell>
          <cell r="K4193" t="str">
            <v>ECOL</v>
          </cell>
          <cell r="M4193" t="str">
            <v>M</v>
          </cell>
          <cell r="AB4193" t="str">
            <v>serum</v>
          </cell>
          <cell r="AF4193">
            <v>1</v>
          </cell>
        </row>
        <row r="4194">
          <cell r="A4194" t="str">
            <v>IS_alqt_plus</v>
          </cell>
          <cell r="K4194" t="str">
            <v>ECOL</v>
          </cell>
          <cell r="M4194" t="str">
            <v>M</v>
          </cell>
          <cell r="AB4194" t="str">
            <v>serum</v>
          </cell>
          <cell r="AF4194">
            <v>1.1000000000000001</v>
          </cell>
        </row>
        <row r="4195">
          <cell r="A4195" t="str">
            <v>IS_alqt_plus</v>
          </cell>
          <cell r="K4195" t="str">
            <v>ECOL</v>
          </cell>
          <cell r="M4195" t="str">
            <v>M</v>
          </cell>
          <cell r="AB4195" t="str">
            <v>serum</v>
          </cell>
          <cell r="AF4195">
            <v>1.2</v>
          </cell>
        </row>
        <row r="4196">
          <cell r="A4196" t="str">
            <v>IS_alqt_plus</v>
          </cell>
          <cell r="K4196" t="str">
            <v>ECOL</v>
          </cell>
          <cell r="M4196" t="str">
            <v>M</v>
          </cell>
          <cell r="AB4196" t="str">
            <v>serum</v>
          </cell>
          <cell r="AF4196">
            <v>1</v>
          </cell>
        </row>
        <row r="4197">
          <cell r="A4197" t="str">
            <v>IS_alqt_plus</v>
          </cell>
          <cell r="K4197" t="str">
            <v>ECOL</v>
          </cell>
          <cell r="M4197" t="str">
            <v>M</v>
          </cell>
          <cell r="AB4197" t="str">
            <v>serum</v>
          </cell>
          <cell r="AF4197">
            <v>1</v>
          </cell>
        </row>
        <row r="4198">
          <cell r="A4198" t="str">
            <v>IS_alqt_plus</v>
          </cell>
          <cell r="K4198" t="str">
            <v>ECOL</v>
          </cell>
          <cell r="M4198" t="str">
            <v>M</v>
          </cell>
          <cell r="AB4198" t="str">
            <v>serum</v>
          </cell>
          <cell r="AF4198">
            <v>1</v>
          </cell>
        </row>
        <row r="4199">
          <cell r="A4199" t="str">
            <v>IS_alqt_plus</v>
          </cell>
          <cell r="K4199" t="str">
            <v>ECOL</v>
          </cell>
          <cell r="M4199" t="str">
            <v>M</v>
          </cell>
          <cell r="AB4199" t="str">
            <v>serum</v>
          </cell>
          <cell r="AF4199">
            <v>1</v>
          </cell>
        </row>
        <row r="4200">
          <cell r="A4200" t="str">
            <v>IS_alqt_plus</v>
          </cell>
          <cell r="K4200" t="str">
            <v>ECOL</v>
          </cell>
          <cell r="M4200" t="str">
            <v>M</v>
          </cell>
          <cell r="AB4200" t="str">
            <v>serum</v>
          </cell>
          <cell r="AF4200">
            <v>1</v>
          </cell>
        </row>
        <row r="4201">
          <cell r="A4201" t="str">
            <v>IS_alqt_plus</v>
          </cell>
          <cell r="K4201" t="str">
            <v>ECOL</v>
          </cell>
          <cell r="M4201" t="str">
            <v>M</v>
          </cell>
          <cell r="AB4201" t="str">
            <v>serum</v>
          </cell>
          <cell r="AF4201">
            <v>1</v>
          </cell>
        </row>
        <row r="4202">
          <cell r="A4202" t="str">
            <v>IS_alqt_plus</v>
          </cell>
          <cell r="K4202" t="str">
            <v>ECOL</v>
          </cell>
          <cell r="M4202" t="str">
            <v>M</v>
          </cell>
          <cell r="AB4202" t="str">
            <v>serum</v>
          </cell>
          <cell r="AF4202">
            <v>1</v>
          </cell>
        </row>
        <row r="4203">
          <cell r="A4203" t="str">
            <v>IS_alqt_plus</v>
          </cell>
          <cell r="K4203" t="str">
            <v>ECOL</v>
          </cell>
          <cell r="M4203" t="str">
            <v>M</v>
          </cell>
          <cell r="AB4203" t="str">
            <v>serum</v>
          </cell>
          <cell r="AF4203">
            <v>1</v>
          </cell>
        </row>
        <row r="4204">
          <cell r="A4204" t="str">
            <v>IS_alqt_plus</v>
          </cell>
          <cell r="K4204" t="str">
            <v>ECOL</v>
          </cell>
          <cell r="M4204" t="str">
            <v>M</v>
          </cell>
          <cell r="AB4204" t="str">
            <v>serum</v>
          </cell>
          <cell r="AF4204">
            <v>0.6</v>
          </cell>
        </row>
        <row r="4205">
          <cell r="A4205" t="str">
            <v>IS_alqt_plus</v>
          </cell>
          <cell r="K4205" t="str">
            <v>ECOL</v>
          </cell>
          <cell r="M4205" t="str">
            <v>M</v>
          </cell>
          <cell r="AB4205" t="str">
            <v>serum</v>
          </cell>
          <cell r="AF4205">
            <v>1</v>
          </cell>
        </row>
        <row r="4206">
          <cell r="A4206" t="str">
            <v>IS_alqt_plus</v>
          </cell>
          <cell r="K4206" t="str">
            <v>ECOL</v>
          </cell>
          <cell r="M4206" t="str">
            <v>M</v>
          </cell>
          <cell r="AB4206" t="str">
            <v>serum</v>
          </cell>
          <cell r="AF4206">
            <v>1</v>
          </cell>
        </row>
        <row r="4207">
          <cell r="A4207" t="str">
            <v>IS_alqt_plus</v>
          </cell>
          <cell r="K4207" t="str">
            <v>ECOL</v>
          </cell>
          <cell r="M4207" t="str">
            <v>M</v>
          </cell>
          <cell r="AB4207" t="str">
            <v>serum</v>
          </cell>
          <cell r="AF4207">
            <v>1</v>
          </cell>
        </row>
        <row r="4208">
          <cell r="A4208" t="str">
            <v>IS_alqt_plus</v>
          </cell>
          <cell r="K4208" t="str">
            <v>ECOL</v>
          </cell>
          <cell r="M4208" t="str">
            <v>M</v>
          </cell>
          <cell r="AB4208" t="str">
            <v>serum</v>
          </cell>
          <cell r="AF4208">
            <v>1</v>
          </cell>
        </row>
        <row r="4209">
          <cell r="A4209" t="str">
            <v>IS_alqt_plus</v>
          </cell>
          <cell r="K4209" t="str">
            <v>ECOL</v>
          </cell>
          <cell r="M4209" t="str">
            <v>M</v>
          </cell>
          <cell r="AB4209" t="str">
            <v>serum</v>
          </cell>
          <cell r="AF4209">
            <v>1</v>
          </cell>
        </row>
        <row r="4210">
          <cell r="A4210" t="str">
            <v>IS_alqt_plus</v>
          </cell>
          <cell r="K4210" t="str">
            <v>ECOL</v>
          </cell>
          <cell r="M4210" t="str">
            <v>M</v>
          </cell>
          <cell r="AB4210" t="str">
            <v>serum</v>
          </cell>
          <cell r="AF4210">
            <v>1</v>
          </cell>
        </row>
        <row r="4211">
          <cell r="A4211" t="str">
            <v>IS_alqt_plus</v>
          </cell>
          <cell r="K4211" t="str">
            <v>ECOL</v>
          </cell>
          <cell r="M4211" t="str">
            <v>M</v>
          </cell>
          <cell r="AB4211" t="str">
            <v>serum</v>
          </cell>
          <cell r="AF4211">
            <v>0.4</v>
          </cell>
        </row>
        <row r="4212">
          <cell r="A4212" t="str">
            <v>IS_alqt_plus</v>
          </cell>
          <cell r="K4212" t="str">
            <v>ECOL</v>
          </cell>
          <cell r="M4212" t="str">
            <v>M</v>
          </cell>
          <cell r="AB4212" t="str">
            <v>serum</v>
          </cell>
          <cell r="AF4212">
            <v>1</v>
          </cell>
        </row>
        <row r="4213">
          <cell r="A4213" t="str">
            <v>IS_alqt_plus</v>
          </cell>
          <cell r="K4213" t="str">
            <v>ECOL</v>
          </cell>
          <cell r="M4213" t="str">
            <v>M</v>
          </cell>
          <cell r="AB4213" t="str">
            <v>serum</v>
          </cell>
          <cell r="AF4213">
            <v>0.9</v>
          </cell>
        </row>
        <row r="4214">
          <cell r="A4214" t="str">
            <v>IS_alqt_plus</v>
          </cell>
          <cell r="K4214" t="str">
            <v>ECOL</v>
          </cell>
          <cell r="M4214" t="str">
            <v>M</v>
          </cell>
          <cell r="AB4214" t="str">
            <v>serum</v>
          </cell>
          <cell r="AF4214">
            <v>1</v>
          </cell>
        </row>
        <row r="4215">
          <cell r="A4215" t="str">
            <v>IS_alqt_plus</v>
          </cell>
          <cell r="K4215" t="str">
            <v>ECOL</v>
          </cell>
          <cell r="M4215" t="str">
            <v>M</v>
          </cell>
          <cell r="AB4215" t="str">
            <v>serum</v>
          </cell>
          <cell r="AF4215">
            <v>1.1000000000000001</v>
          </cell>
        </row>
        <row r="4216">
          <cell r="A4216" t="str">
            <v>IS_alqt_plus</v>
          </cell>
          <cell r="K4216" t="str">
            <v>ECOL</v>
          </cell>
          <cell r="M4216" t="str">
            <v>M</v>
          </cell>
          <cell r="AB4216" t="str">
            <v>serum</v>
          </cell>
          <cell r="AF4216">
            <v>0.5</v>
          </cell>
        </row>
        <row r="4217">
          <cell r="A4217" t="str">
            <v>IS_alqt_plus</v>
          </cell>
          <cell r="K4217" t="str">
            <v>ECOL</v>
          </cell>
          <cell r="M4217" t="str">
            <v>M</v>
          </cell>
          <cell r="AB4217" t="str">
            <v>serum</v>
          </cell>
          <cell r="AF4217">
            <v>1</v>
          </cell>
        </row>
        <row r="4218">
          <cell r="A4218" t="str">
            <v>IS_alqt_plus</v>
          </cell>
          <cell r="K4218" t="str">
            <v>ECOL</v>
          </cell>
          <cell r="M4218" t="str">
            <v>M</v>
          </cell>
          <cell r="AB4218" t="str">
            <v>serum</v>
          </cell>
          <cell r="AF4218">
            <v>1.1000000000000001</v>
          </cell>
        </row>
        <row r="4219">
          <cell r="A4219" t="str">
            <v>IS_alqt_plus</v>
          </cell>
          <cell r="K4219" t="str">
            <v>ECOL</v>
          </cell>
          <cell r="M4219" t="str">
            <v>M</v>
          </cell>
          <cell r="AB4219" t="str">
            <v>WB</v>
          </cell>
          <cell r="AF4219">
            <v>1.4</v>
          </cell>
        </row>
        <row r="4220">
          <cell r="A4220" t="str">
            <v>IS_alqt_plus</v>
          </cell>
          <cell r="K4220" t="str">
            <v>ECOL</v>
          </cell>
          <cell r="M4220" t="str">
            <v>M</v>
          </cell>
          <cell r="AB4220" t="str">
            <v>WB</v>
          </cell>
          <cell r="AF4220">
            <v>1.3</v>
          </cell>
        </row>
        <row r="4221">
          <cell r="A4221" t="str">
            <v>IS_alqt_plus</v>
          </cell>
          <cell r="K4221" t="str">
            <v>ECOL</v>
          </cell>
          <cell r="M4221" t="str">
            <v>M</v>
          </cell>
          <cell r="AB4221" t="str">
            <v>WB</v>
          </cell>
          <cell r="AF4221">
            <v>1.3</v>
          </cell>
        </row>
        <row r="4222">
          <cell r="A4222" t="str">
            <v>IS_alqt_plus</v>
          </cell>
          <cell r="K4222" t="str">
            <v>ECOL</v>
          </cell>
          <cell r="M4222" t="str">
            <v>M</v>
          </cell>
          <cell r="AB4222" t="str">
            <v>WB</v>
          </cell>
          <cell r="AF4222">
            <v>1</v>
          </cell>
        </row>
        <row r="4223">
          <cell r="A4223" t="str">
            <v>IS_alqt_plus</v>
          </cell>
          <cell r="K4223" t="str">
            <v>ECOL</v>
          </cell>
          <cell r="M4223" t="str">
            <v>M</v>
          </cell>
          <cell r="AB4223" t="str">
            <v>WB</v>
          </cell>
          <cell r="AF4223">
            <v>1.3</v>
          </cell>
        </row>
        <row r="4224">
          <cell r="A4224" t="str">
            <v>IS_alqt_plus</v>
          </cell>
          <cell r="K4224" t="str">
            <v>ECOL</v>
          </cell>
          <cell r="M4224" t="str">
            <v>M</v>
          </cell>
          <cell r="AB4224" t="str">
            <v>WB</v>
          </cell>
          <cell r="AF4224">
            <v>1.3</v>
          </cell>
        </row>
        <row r="4225">
          <cell r="A4225" t="str">
            <v>IS_alqt_plus</v>
          </cell>
          <cell r="K4225" t="str">
            <v>ECOL</v>
          </cell>
          <cell r="M4225" t="str">
            <v>M</v>
          </cell>
          <cell r="AB4225" t="str">
            <v>WB</v>
          </cell>
          <cell r="AF4225">
            <v>1.3</v>
          </cell>
        </row>
        <row r="4226">
          <cell r="A4226" t="str">
            <v>IS_alqt_plus</v>
          </cell>
          <cell r="K4226" t="str">
            <v>ECOL</v>
          </cell>
          <cell r="M4226" t="str">
            <v>M</v>
          </cell>
          <cell r="AB4226" t="str">
            <v>WB</v>
          </cell>
          <cell r="AF4226">
            <v>1.3</v>
          </cell>
        </row>
        <row r="4227">
          <cell r="A4227" t="str">
            <v>IS_alqt_plus</v>
          </cell>
          <cell r="K4227" t="str">
            <v>ECOL</v>
          </cell>
          <cell r="M4227" t="str">
            <v>M</v>
          </cell>
          <cell r="AB4227" t="str">
            <v>WB</v>
          </cell>
          <cell r="AF4227">
            <v>1</v>
          </cell>
        </row>
        <row r="4228">
          <cell r="A4228" t="str">
            <v>IS_alqt_plus</v>
          </cell>
          <cell r="K4228" t="str">
            <v>ECOL</v>
          </cell>
          <cell r="M4228" t="str">
            <v>M</v>
          </cell>
          <cell r="AB4228" t="str">
            <v>WB</v>
          </cell>
          <cell r="AF4228">
            <v>0.75</v>
          </cell>
        </row>
        <row r="4229">
          <cell r="A4229" t="str">
            <v>IS_alqt_plus</v>
          </cell>
          <cell r="K4229" t="str">
            <v>ECOL</v>
          </cell>
          <cell r="M4229" t="str">
            <v>M</v>
          </cell>
          <cell r="AB4229" t="str">
            <v>WB</v>
          </cell>
          <cell r="AF4229">
            <v>1.3</v>
          </cell>
        </row>
        <row r="4230">
          <cell r="A4230" t="str">
            <v>IS_alqt_plus</v>
          </cell>
          <cell r="K4230" t="str">
            <v>ECOL</v>
          </cell>
          <cell r="M4230" t="str">
            <v>M</v>
          </cell>
          <cell r="AB4230" t="str">
            <v>WB</v>
          </cell>
          <cell r="AF4230">
            <v>0.75</v>
          </cell>
        </row>
        <row r="4231">
          <cell r="A4231" t="str">
            <v>gone</v>
          </cell>
          <cell r="K4231" t="str">
            <v>ERUB</v>
          </cell>
          <cell r="M4231" t="str">
            <v>M</v>
          </cell>
          <cell r="AB4231" t="str">
            <v>WB</v>
          </cell>
          <cell r="AF4231">
            <v>0</v>
          </cell>
        </row>
        <row r="4232">
          <cell r="A4232" t="str">
            <v>IS_alqt_plus</v>
          </cell>
          <cell r="K4232" t="str">
            <v>PCOQ</v>
          </cell>
          <cell r="M4232" t="str">
            <v>M</v>
          </cell>
          <cell r="AB4232" t="str">
            <v>serum</v>
          </cell>
          <cell r="AF4232">
            <v>0.6</v>
          </cell>
        </row>
        <row r="4233">
          <cell r="A4233" t="str">
            <v>IS_alqt_plus</v>
          </cell>
          <cell r="K4233" t="str">
            <v>VRUB</v>
          </cell>
          <cell r="M4233" t="str">
            <v>F</v>
          </cell>
          <cell r="AB4233" t="str">
            <v>WB</v>
          </cell>
          <cell r="AF4233">
            <v>0.6</v>
          </cell>
        </row>
        <row r="4234">
          <cell r="A4234" t="str">
            <v>IS_alqt_plus</v>
          </cell>
          <cell r="K4234" t="str">
            <v>VRUB</v>
          </cell>
          <cell r="M4234" t="str">
            <v>F</v>
          </cell>
          <cell r="AB4234" t="str">
            <v>WB</v>
          </cell>
          <cell r="AF4234">
            <v>0.5</v>
          </cell>
        </row>
        <row r="4235">
          <cell r="A4235" t="str">
            <v>IS_alqt_plus</v>
          </cell>
          <cell r="K4235" t="str">
            <v>DMAD</v>
          </cell>
          <cell r="M4235" t="str">
            <v>F</v>
          </cell>
          <cell r="AB4235" t="str">
            <v>serum</v>
          </cell>
          <cell r="AF4235">
            <v>0.6</v>
          </cell>
        </row>
        <row r="4236">
          <cell r="A4236" t="str">
            <v>gone</v>
          </cell>
          <cell r="K4236" t="str">
            <v>DMAD</v>
          </cell>
          <cell r="M4236" t="str">
            <v>M</v>
          </cell>
          <cell r="AB4236" t="str">
            <v>serum</v>
          </cell>
          <cell r="AF4236">
            <v>0</v>
          </cell>
        </row>
        <row r="4237">
          <cell r="A4237" t="str">
            <v>IS_alqt_plus</v>
          </cell>
          <cell r="K4237" t="str">
            <v>DMAD</v>
          </cell>
          <cell r="M4237" t="str">
            <v>F</v>
          </cell>
          <cell r="AB4237" t="str">
            <v>WB</v>
          </cell>
          <cell r="AF4237">
            <v>0.6</v>
          </cell>
        </row>
        <row r="4238">
          <cell r="A4238" t="str">
            <v>gone</v>
          </cell>
          <cell r="K4238" t="str">
            <v>DMAD</v>
          </cell>
          <cell r="M4238" t="str">
            <v>M</v>
          </cell>
          <cell r="AB4238" t="str">
            <v>WB</v>
          </cell>
          <cell r="AF4238">
            <v>0</v>
          </cell>
        </row>
        <row r="4239">
          <cell r="A4239" t="str">
            <v>gone</v>
          </cell>
          <cell r="K4239" t="str">
            <v>ECOR</v>
          </cell>
          <cell r="M4239" t="str">
            <v>F</v>
          </cell>
          <cell r="AB4239" t="str">
            <v>WB</v>
          </cell>
          <cell r="AF4239">
            <v>0</v>
          </cell>
        </row>
        <row r="4240">
          <cell r="A4240" t="str">
            <v>gone</v>
          </cell>
          <cell r="K4240" t="str">
            <v>LCAT</v>
          </cell>
          <cell r="M4240" t="str">
            <v>F</v>
          </cell>
          <cell r="AB4240" t="str">
            <v>WB</v>
          </cell>
          <cell r="AF4240">
            <v>0</v>
          </cell>
        </row>
        <row r="4241">
          <cell r="A4241" t="str">
            <v>IS_alqt_plus</v>
          </cell>
          <cell r="K4241" t="str">
            <v>LCAT</v>
          </cell>
          <cell r="M4241" t="str">
            <v>M</v>
          </cell>
          <cell r="AB4241" t="str">
            <v>WB</v>
          </cell>
          <cell r="AF4241">
            <v>0.4</v>
          </cell>
        </row>
        <row r="4242">
          <cell r="A4242" t="str">
            <v>gone</v>
          </cell>
          <cell r="K4242" t="str">
            <v>PCOQ</v>
          </cell>
          <cell r="M4242" t="str">
            <v>M</v>
          </cell>
          <cell r="AB4242" t="str">
            <v>serum</v>
          </cell>
          <cell r="AF4242">
            <v>0</v>
          </cell>
        </row>
        <row r="4243">
          <cell r="A4243" t="str">
            <v>IS_alqt_plus</v>
          </cell>
          <cell r="K4243" t="str">
            <v>PCOQ</v>
          </cell>
          <cell r="M4243" t="str">
            <v>M</v>
          </cell>
          <cell r="AB4243" t="str">
            <v>serum</v>
          </cell>
          <cell r="AF4243">
            <v>0.4</v>
          </cell>
        </row>
        <row r="4244">
          <cell r="A4244" t="str">
            <v>IS_alqt_plus</v>
          </cell>
          <cell r="K4244" t="str">
            <v>PCOQ</v>
          </cell>
          <cell r="M4244" t="str">
            <v>M</v>
          </cell>
          <cell r="AB4244" t="str">
            <v>serum</v>
          </cell>
          <cell r="AF4244">
            <v>0.3</v>
          </cell>
        </row>
        <row r="4245">
          <cell r="A4245" t="str">
            <v>IS_alqt_plus</v>
          </cell>
          <cell r="K4245" t="str">
            <v>VVV</v>
          </cell>
          <cell r="M4245" t="str">
            <v>M</v>
          </cell>
          <cell r="AB4245" t="str">
            <v>WB</v>
          </cell>
          <cell r="AF4245">
            <v>1.5</v>
          </cell>
        </row>
        <row r="4246">
          <cell r="A4246" t="str">
            <v>IS_alqt_plus</v>
          </cell>
          <cell r="K4246" t="str">
            <v>VVV</v>
          </cell>
          <cell r="M4246" t="str">
            <v>M</v>
          </cell>
          <cell r="AB4246" t="str">
            <v>serum</v>
          </cell>
          <cell r="AF4246">
            <v>0.7</v>
          </cell>
        </row>
        <row r="4247">
          <cell r="A4247" t="str">
            <v>IS_alqt_plus</v>
          </cell>
          <cell r="K4247" t="str">
            <v>LCAT</v>
          </cell>
          <cell r="M4247" t="str">
            <v>F</v>
          </cell>
          <cell r="AB4247" t="str">
            <v>WB</v>
          </cell>
          <cell r="AF4247">
            <v>0.7</v>
          </cell>
        </row>
        <row r="4248">
          <cell r="A4248" t="str">
            <v>IS_alqt_plus</v>
          </cell>
          <cell r="K4248" t="str">
            <v>DMAD</v>
          </cell>
          <cell r="M4248" t="str">
            <v>F</v>
          </cell>
          <cell r="AB4248" t="str">
            <v>serum</v>
          </cell>
          <cell r="AF4248">
            <v>0.5</v>
          </cell>
        </row>
        <row r="4249">
          <cell r="A4249" t="str">
            <v>IS_alqt_plus</v>
          </cell>
          <cell r="K4249" t="str">
            <v>DMAD</v>
          </cell>
          <cell r="M4249" t="str">
            <v>F</v>
          </cell>
          <cell r="AB4249" t="str">
            <v>WB</v>
          </cell>
          <cell r="AF4249">
            <v>0.6</v>
          </cell>
        </row>
        <row r="4250">
          <cell r="A4250" t="str">
            <v>IS_alqt_plus</v>
          </cell>
          <cell r="K4250" t="str">
            <v>VVV</v>
          </cell>
          <cell r="M4250" t="str">
            <v>M</v>
          </cell>
          <cell r="AB4250" t="str">
            <v>serum</v>
          </cell>
          <cell r="AF4250">
            <v>0.4</v>
          </cell>
        </row>
        <row r="4251">
          <cell r="A4251" t="str">
            <v>IS_alqt_plus</v>
          </cell>
          <cell r="K4251" t="str">
            <v>LCAT</v>
          </cell>
          <cell r="M4251" t="str">
            <v>M</v>
          </cell>
          <cell r="AB4251" t="str">
            <v>WB</v>
          </cell>
          <cell r="AF4251">
            <v>1.3</v>
          </cell>
        </row>
        <row r="4252">
          <cell r="A4252" t="str">
            <v>IS_alqt_plus</v>
          </cell>
          <cell r="K4252" t="str">
            <v>LCAT</v>
          </cell>
          <cell r="M4252" t="str">
            <v>M</v>
          </cell>
          <cell r="AB4252" t="str">
            <v>WB</v>
          </cell>
          <cell r="AF4252">
            <v>1.2</v>
          </cell>
        </row>
        <row r="4253">
          <cell r="A4253" t="str">
            <v>IS_alqt_plus</v>
          </cell>
          <cell r="K4253" t="str">
            <v>LCAT</v>
          </cell>
          <cell r="M4253" t="str">
            <v>F</v>
          </cell>
          <cell r="AB4253" t="str">
            <v>WB</v>
          </cell>
          <cell r="AF4253">
            <v>0.2</v>
          </cell>
        </row>
        <row r="4254">
          <cell r="A4254" t="str">
            <v>IS_alqt_plus</v>
          </cell>
          <cell r="K4254" t="str">
            <v>LCAT</v>
          </cell>
          <cell r="M4254" t="str">
            <v>F</v>
          </cell>
          <cell r="AB4254" t="str">
            <v>WB</v>
          </cell>
          <cell r="AF4254">
            <v>0.2</v>
          </cell>
        </row>
        <row r="4255">
          <cell r="A4255" t="str">
            <v>IS_alqt_plus</v>
          </cell>
          <cell r="K4255" t="str">
            <v>LCAT</v>
          </cell>
          <cell r="M4255" t="str">
            <v>F</v>
          </cell>
          <cell r="AB4255" t="str">
            <v>WB</v>
          </cell>
          <cell r="AF4255">
            <v>0.2</v>
          </cell>
        </row>
        <row r="4256">
          <cell r="A4256" t="str">
            <v>IS_alqt_plus</v>
          </cell>
          <cell r="K4256" t="str">
            <v>LCAT</v>
          </cell>
          <cell r="M4256" t="str">
            <v>F</v>
          </cell>
          <cell r="AB4256" t="str">
            <v>serum</v>
          </cell>
          <cell r="AF4256">
            <v>0.5</v>
          </cell>
        </row>
        <row r="4257">
          <cell r="A4257" t="str">
            <v>IS_alqt_plus</v>
          </cell>
          <cell r="K4257" t="str">
            <v>LCAT</v>
          </cell>
          <cell r="M4257" t="str">
            <v>F</v>
          </cell>
          <cell r="AB4257" t="str">
            <v>serum</v>
          </cell>
          <cell r="AF4257">
            <v>0.7</v>
          </cell>
        </row>
        <row r="4258">
          <cell r="A4258" t="str">
            <v>IS_alqt_plus</v>
          </cell>
          <cell r="K4258" t="str">
            <v>LCAT</v>
          </cell>
          <cell r="M4258" t="str">
            <v>F</v>
          </cell>
          <cell r="AB4258" t="str">
            <v>serum</v>
          </cell>
          <cell r="AF4258">
            <v>0.6</v>
          </cell>
        </row>
        <row r="4259">
          <cell r="A4259" t="str">
            <v>IS_alqt_plus</v>
          </cell>
          <cell r="K4259" t="str">
            <v>LCAT</v>
          </cell>
          <cell r="M4259" t="str">
            <v>F</v>
          </cell>
          <cell r="AB4259" t="str">
            <v>serum</v>
          </cell>
          <cell r="AF4259">
            <v>0.9</v>
          </cell>
        </row>
        <row r="4260">
          <cell r="A4260" t="str">
            <v>IS_alqt_plus</v>
          </cell>
          <cell r="K4260" t="str">
            <v>ECOL</v>
          </cell>
          <cell r="M4260" t="str">
            <v>M</v>
          </cell>
          <cell r="AB4260" t="str">
            <v>serum</v>
          </cell>
          <cell r="AF4260">
            <v>0.5</v>
          </cell>
        </row>
        <row r="4261">
          <cell r="A4261" t="str">
            <v>IS_alqt_plus</v>
          </cell>
          <cell r="K4261" t="str">
            <v>ECOL</v>
          </cell>
          <cell r="M4261" t="str">
            <v>M</v>
          </cell>
          <cell r="AB4261" t="str">
            <v>WB</v>
          </cell>
          <cell r="AF4261">
            <v>0.5</v>
          </cell>
        </row>
        <row r="4262">
          <cell r="A4262" t="str">
            <v>gone</v>
          </cell>
          <cell r="K4262" t="str">
            <v>ERUB</v>
          </cell>
          <cell r="M4262" t="str">
            <v>F</v>
          </cell>
          <cell r="AB4262" t="str">
            <v>WB</v>
          </cell>
          <cell r="AF4262">
            <v>0</v>
          </cell>
        </row>
        <row r="4263">
          <cell r="A4263" t="str">
            <v>IS_alqt_plus</v>
          </cell>
          <cell r="K4263" t="str">
            <v>ERUB</v>
          </cell>
          <cell r="M4263" t="str">
            <v>F</v>
          </cell>
          <cell r="AB4263" t="str">
            <v>serum</v>
          </cell>
          <cell r="AF4263">
            <v>0.25</v>
          </cell>
        </row>
        <row r="4264">
          <cell r="A4264" t="str">
            <v>IS_alqt_plus</v>
          </cell>
          <cell r="K4264" t="str">
            <v>PCOQ</v>
          </cell>
          <cell r="M4264" t="str">
            <v>M</v>
          </cell>
          <cell r="AB4264" t="str">
            <v>serum</v>
          </cell>
          <cell r="AF4264">
            <v>0.5</v>
          </cell>
        </row>
        <row r="4265">
          <cell r="A4265" t="str">
            <v>IS_alqt_plus</v>
          </cell>
          <cell r="K4265" t="str">
            <v>PDIA</v>
          </cell>
          <cell r="M4265" t="str">
            <v>M</v>
          </cell>
          <cell r="AB4265" t="str">
            <v>serum</v>
          </cell>
          <cell r="AF4265">
            <v>0.5</v>
          </cell>
        </row>
        <row r="4266">
          <cell r="A4266" t="str">
            <v>gone</v>
          </cell>
          <cell r="K4266" t="str">
            <v>PCOQ</v>
          </cell>
          <cell r="M4266" t="str">
            <v>M</v>
          </cell>
          <cell r="AB4266" t="str">
            <v>serum</v>
          </cell>
          <cell r="AF4266">
            <v>0</v>
          </cell>
        </row>
        <row r="4267">
          <cell r="A4267" t="str">
            <v>IS_alqt_plus</v>
          </cell>
          <cell r="K4267" t="str">
            <v>PCOQ</v>
          </cell>
          <cell r="M4267" t="str">
            <v>M</v>
          </cell>
          <cell r="AB4267" t="str">
            <v>serum</v>
          </cell>
          <cell r="AF4267">
            <v>0.9</v>
          </cell>
        </row>
        <row r="4268">
          <cell r="A4268" t="str">
            <v>IS_alqt_plus</v>
          </cell>
          <cell r="K4268" t="str">
            <v>LCAT</v>
          </cell>
          <cell r="M4268" t="str">
            <v>F</v>
          </cell>
          <cell r="AB4268" t="str">
            <v>WB</v>
          </cell>
          <cell r="AF4268">
            <v>0.2</v>
          </cell>
        </row>
        <row r="4269">
          <cell r="A4269" t="str">
            <v>IS_alqt_plus</v>
          </cell>
          <cell r="K4269" t="str">
            <v>LCAT</v>
          </cell>
          <cell r="M4269" t="str">
            <v>F</v>
          </cell>
          <cell r="AB4269" t="str">
            <v>WB</v>
          </cell>
          <cell r="AF4269">
            <v>0.2</v>
          </cell>
        </row>
        <row r="4270">
          <cell r="A4270" t="str">
            <v>IS_alqt_plus</v>
          </cell>
          <cell r="K4270" t="str">
            <v>LCAT</v>
          </cell>
          <cell r="M4270" t="str">
            <v>M</v>
          </cell>
          <cell r="AB4270" t="str">
            <v>serum</v>
          </cell>
          <cell r="AF4270">
            <v>0.25</v>
          </cell>
        </row>
        <row r="4271">
          <cell r="A4271" t="str">
            <v>IS_alqt_plus</v>
          </cell>
          <cell r="K4271" t="str">
            <v>DMAD</v>
          </cell>
          <cell r="M4271" t="str">
            <v>F</v>
          </cell>
          <cell r="AB4271" t="str">
            <v>Fluid- pericardial</v>
          </cell>
          <cell r="AF4271">
            <v>1.5</v>
          </cell>
        </row>
        <row r="4272">
          <cell r="A4272" t="str">
            <v>IS_alqt_plus</v>
          </cell>
          <cell r="K4272" t="str">
            <v>VVV</v>
          </cell>
          <cell r="M4272" t="str">
            <v>M</v>
          </cell>
          <cell r="AB4272" t="str">
            <v>serum</v>
          </cell>
          <cell r="AF4272">
            <v>0.65</v>
          </cell>
        </row>
        <row r="4273">
          <cell r="A4273" t="str">
            <v>IS_alqt_plus</v>
          </cell>
          <cell r="K4273" t="str">
            <v>EMAC</v>
          </cell>
          <cell r="M4273" t="str">
            <v>M</v>
          </cell>
          <cell r="AB4273" t="str">
            <v>WB</v>
          </cell>
          <cell r="AF4273">
            <v>0.75</v>
          </cell>
        </row>
        <row r="4274">
          <cell r="A4274" t="str">
            <v>IS_alqt_plus</v>
          </cell>
          <cell r="K4274" t="str">
            <v>ESAN</v>
          </cell>
          <cell r="M4274" t="str">
            <v>F</v>
          </cell>
          <cell r="AB4274" t="str">
            <v>WB</v>
          </cell>
          <cell r="AF4274">
            <v>0.6</v>
          </cell>
        </row>
        <row r="4275">
          <cell r="A4275" t="str">
            <v>IS_alqt_plus</v>
          </cell>
          <cell r="K4275" t="str">
            <v>EMAC</v>
          </cell>
          <cell r="M4275" t="str">
            <v>M</v>
          </cell>
          <cell r="AB4275" t="str">
            <v>serum</v>
          </cell>
          <cell r="AF4275">
            <v>0.8</v>
          </cell>
        </row>
        <row r="4276">
          <cell r="A4276" t="str">
            <v>IS_alqt_plus</v>
          </cell>
          <cell r="K4276" t="str">
            <v>ESAN</v>
          </cell>
          <cell r="M4276" t="str">
            <v>F</v>
          </cell>
          <cell r="AB4276" t="str">
            <v>serum</v>
          </cell>
          <cell r="AF4276">
            <v>0.75</v>
          </cell>
        </row>
        <row r="4277">
          <cell r="A4277" t="str">
            <v>IS_alqt_plus</v>
          </cell>
          <cell r="K4277" t="str">
            <v>PCOQ</v>
          </cell>
          <cell r="M4277" t="str">
            <v>M</v>
          </cell>
          <cell r="AB4277" t="str">
            <v>plasma</v>
          </cell>
          <cell r="AF4277">
            <v>0.65</v>
          </cell>
        </row>
        <row r="4278">
          <cell r="A4278" t="str">
            <v>IS_alqt_plus</v>
          </cell>
          <cell r="K4278" t="str">
            <v>VVV</v>
          </cell>
          <cell r="M4278" t="str">
            <v>M</v>
          </cell>
          <cell r="AB4278" t="str">
            <v>serum</v>
          </cell>
          <cell r="AF4278">
            <v>1</v>
          </cell>
        </row>
        <row r="4279">
          <cell r="A4279" t="str">
            <v>IS_alqt_plus</v>
          </cell>
          <cell r="K4279" t="str">
            <v>LCAT</v>
          </cell>
          <cell r="M4279" t="str">
            <v>F</v>
          </cell>
          <cell r="AB4279" t="str">
            <v>WB</v>
          </cell>
          <cell r="AF4279">
            <v>1.1000000000000001</v>
          </cell>
        </row>
        <row r="4280">
          <cell r="A4280" t="str">
            <v>IS_alqt_plus</v>
          </cell>
          <cell r="K4280" t="str">
            <v>LCAT</v>
          </cell>
          <cell r="M4280" t="str">
            <v>F</v>
          </cell>
          <cell r="AB4280" t="str">
            <v>WB</v>
          </cell>
          <cell r="AF4280">
            <v>1.3</v>
          </cell>
        </row>
        <row r="4281">
          <cell r="A4281" t="str">
            <v>IS_alqt_plus</v>
          </cell>
          <cell r="K4281" t="str">
            <v>LCAT</v>
          </cell>
          <cell r="M4281" t="str">
            <v>F</v>
          </cell>
          <cell r="AB4281" t="str">
            <v>WB</v>
          </cell>
          <cell r="AF4281">
            <v>1.1000000000000001</v>
          </cell>
        </row>
        <row r="4282">
          <cell r="A4282" t="str">
            <v>IS_alqt_plus</v>
          </cell>
          <cell r="K4282" t="str">
            <v>LCAT</v>
          </cell>
          <cell r="M4282" t="str">
            <v>F</v>
          </cell>
          <cell r="AB4282" t="str">
            <v>WB</v>
          </cell>
          <cell r="AF4282">
            <v>1.8</v>
          </cell>
        </row>
        <row r="4283">
          <cell r="A4283" t="str">
            <v>IS_alqt_plus</v>
          </cell>
          <cell r="K4283" t="str">
            <v>LCAT</v>
          </cell>
          <cell r="M4283" t="str">
            <v>F</v>
          </cell>
          <cell r="AB4283" t="str">
            <v>WB</v>
          </cell>
          <cell r="AF4283">
            <v>0.25</v>
          </cell>
        </row>
        <row r="4284">
          <cell r="A4284" t="str">
            <v>IS_alqt_plus</v>
          </cell>
          <cell r="K4284" t="str">
            <v>DMAD</v>
          </cell>
          <cell r="M4284" t="str">
            <v>M</v>
          </cell>
          <cell r="AB4284" t="str">
            <v>Fluid- pericardial</v>
          </cell>
          <cell r="AF4284">
            <v>1.5</v>
          </cell>
        </row>
        <row r="4285">
          <cell r="A4285" t="str">
            <v>IS_alqt_plus</v>
          </cell>
          <cell r="K4285" t="str">
            <v>LCAT</v>
          </cell>
          <cell r="M4285" t="str">
            <v>F</v>
          </cell>
          <cell r="AB4285" t="str">
            <v>WB</v>
          </cell>
          <cell r="AF4285">
            <v>1.3</v>
          </cell>
        </row>
        <row r="4286">
          <cell r="A4286" t="str">
            <v>IS_alqt_plus</v>
          </cell>
          <cell r="K4286" t="str">
            <v>LCAT</v>
          </cell>
          <cell r="M4286" t="str">
            <v>F</v>
          </cell>
          <cell r="AB4286" t="str">
            <v>WB</v>
          </cell>
          <cell r="AF4286">
            <v>1</v>
          </cell>
        </row>
        <row r="4287">
          <cell r="A4287" t="str">
            <v>IS_alqt_plus</v>
          </cell>
          <cell r="K4287" t="str">
            <v>LCAT</v>
          </cell>
          <cell r="M4287" t="str">
            <v>F</v>
          </cell>
          <cell r="AB4287" t="str">
            <v>WB</v>
          </cell>
          <cell r="AF4287">
            <v>0.2</v>
          </cell>
        </row>
        <row r="4288">
          <cell r="A4288" t="str">
            <v>unk</v>
          </cell>
          <cell r="K4288" t="str">
            <v>LCAT</v>
          </cell>
          <cell r="M4288" t="str">
            <v>F</v>
          </cell>
          <cell r="AB4288" t="str">
            <v>WB</v>
          </cell>
          <cell r="AF4288">
            <v>0.2</v>
          </cell>
        </row>
        <row r="4289">
          <cell r="A4289" t="str">
            <v>IS_alqt_plus</v>
          </cell>
          <cell r="K4289" t="str">
            <v>PCOQ</v>
          </cell>
          <cell r="M4289" t="str">
            <v>M</v>
          </cell>
          <cell r="AB4289" t="str">
            <v>serum</v>
          </cell>
          <cell r="AF4289">
            <v>1.5</v>
          </cell>
        </row>
        <row r="4290">
          <cell r="A4290" t="str">
            <v>IS_alqt_plus</v>
          </cell>
          <cell r="K4290" t="str">
            <v>PCOQ</v>
          </cell>
          <cell r="M4290" t="str">
            <v>M</v>
          </cell>
          <cell r="AB4290" t="str">
            <v>serum</v>
          </cell>
          <cell r="AF4290">
            <v>1.5</v>
          </cell>
        </row>
        <row r="4291">
          <cell r="A4291" t="str">
            <v>IS_alqt_plus</v>
          </cell>
          <cell r="K4291" t="str">
            <v>PCOQ</v>
          </cell>
          <cell r="M4291" t="str">
            <v>M</v>
          </cell>
          <cell r="AB4291" t="str">
            <v>serum</v>
          </cell>
          <cell r="AF4291">
            <v>1.5</v>
          </cell>
        </row>
        <row r="4292">
          <cell r="A4292" t="str">
            <v>IS_alqt_plus</v>
          </cell>
          <cell r="K4292" t="str">
            <v>PCOQ</v>
          </cell>
          <cell r="M4292" t="str">
            <v>M</v>
          </cell>
          <cell r="AB4292" t="str">
            <v>serum</v>
          </cell>
          <cell r="AF4292">
            <v>1.5</v>
          </cell>
        </row>
        <row r="4293">
          <cell r="A4293" t="str">
            <v>IS_alqt_plus</v>
          </cell>
          <cell r="K4293" t="str">
            <v>PCOQ</v>
          </cell>
          <cell r="M4293" t="str">
            <v>M</v>
          </cell>
          <cell r="AB4293" t="str">
            <v>serum</v>
          </cell>
          <cell r="AF4293">
            <v>1.5</v>
          </cell>
        </row>
        <row r="4294">
          <cell r="A4294" t="str">
            <v>IS_alqt_plus</v>
          </cell>
          <cell r="K4294" t="str">
            <v>PCOQ</v>
          </cell>
          <cell r="M4294" t="str">
            <v>M</v>
          </cell>
          <cell r="AB4294" t="str">
            <v>serum</v>
          </cell>
          <cell r="AF4294">
            <v>0.75</v>
          </cell>
        </row>
        <row r="4295">
          <cell r="A4295" t="str">
            <v>IS_alqt_plus</v>
          </cell>
          <cell r="K4295" t="str">
            <v>PCOQ</v>
          </cell>
          <cell r="M4295" t="str">
            <v>M</v>
          </cell>
          <cell r="AB4295" t="str">
            <v>serum</v>
          </cell>
          <cell r="AF4295">
            <v>1.5</v>
          </cell>
        </row>
        <row r="4296">
          <cell r="A4296" t="str">
            <v>IS_alqt_plus</v>
          </cell>
          <cell r="K4296" t="str">
            <v>PCOQ</v>
          </cell>
          <cell r="M4296" t="str">
            <v>M</v>
          </cell>
          <cell r="AB4296" t="str">
            <v>serum</v>
          </cell>
          <cell r="AF4296">
            <v>1.5</v>
          </cell>
        </row>
        <row r="4297">
          <cell r="A4297" t="str">
            <v>IS_alqt_plus</v>
          </cell>
          <cell r="K4297" t="str">
            <v>PCOQ</v>
          </cell>
          <cell r="M4297" t="str">
            <v>M</v>
          </cell>
          <cell r="AB4297" t="str">
            <v>serum</v>
          </cell>
          <cell r="AF4297">
            <v>1.5</v>
          </cell>
        </row>
        <row r="4298">
          <cell r="A4298" t="str">
            <v>IS_alqt_plus</v>
          </cell>
          <cell r="K4298" t="str">
            <v>PCOQ</v>
          </cell>
          <cell r="M4298" t="str">
            <v>M</v>
          </cell>
          <cell r="AB4298" t="str">
            <v>serum</v>
          </cell>
          <cell r="AF4298">
            <v>1.5</v>
          </cell>
        </row>
        <row r="4299">
          <cell r="A4299" t="str">
            <v>IS_alqt_plus</v>
          </cell>
          <cell r="K4299" t="str">
            <v>PCOQ</v>
          </cell>
          <cell r="M4299" t="str">
            <v>M</v>
          </cell>
          <cell r="AB4299" t="str">
            <v>serum</v>
          </cell>
          <cell r="AF4299">
            <v>1.5</v>
          </cell>
        </row>
        <row r="4300">
          <cell r="A4300" t="str">
            <v>IS_alqt_plus</v>
          </cell>
          <cell r="K4300" t="str">
            <v>PCOQ</v>
          </cell>
          <cell r="M4300" t="str">
            <v>M</v>
          </cell>
          <cell r="AB4300" t="str">
            <v>serum</v>
          </cell>
          <cell r="AF4300">
            <v>1.5</v>
          </cell>
        </row>
        <row r="4301">
          <cell r="A4301" t="str">
            <v>IS_alqt_plus</v>
          </cell>
          <cell r="K4301" t="str">
            <v>PCOQ</v>
          </cell>
          <cell r="M4301" t="str">
            <v>M</v>
          </cell>
          <cell r="AB4301" t="str">
            <v>serum</v>
          </cell>
          <cell r="AF4301">
            <v>1.5</v>
          </cell>
        </row>
        <row r="4302">
          <cell r="A4302" t="str">
            <v>IS_alqt_plus</v>
          </cell>
          <cell r="K4302" t="str">
            <v>PCOQ</v>
          </cell>
          <cell r="M4302" t="str">
            <v>M</v>
          </cell>
          <cell r="AB4302" t="str">
            <v>serum</v>
          </cell>
          <cell r="AF4302">
            <v>1.5</v>
          </cell>
        </row>
        <row r="4303">
          <cell r="A4303" t="str">
            <v>unk</v>
          </cell>
          <cell r="K4303" t="str">
            <v>LCAT</v>
          </cell>
          <cell r="M4303" t="str">
            <v>F</v>
          </cell>
          <cell r="AB4303" t="str">
            <v>WB</v>
          </cell>
          <cell r="AF4303">
            <v>0.3</v>
          </cell>
        </row>
        <row r="4304">
          <cell r="A4304" t="str">
            <v>IS_alqt_plus</v>
          </cell>
          <cell r="K4304" t="str">
            <v>LCAT</v>
          </cell>
          <cell r="M4304" t="str">
            <v>M</v>
          </cell>
          <cell r="AB4304" t="str">
            <v>WB</v>
          </cell>
          <cell r="AF4304">
            <v>0.75</v>
          </cell>
        </row>
        <row r="4305">
          <cell r="A4305" t="str">
            <v>IS_alqt_plus</v>
          </cell>
          <cell r="K4305" t="str">
            <v>PCOQ</v>
          </cell>
          <cell r="M4305" t="str">
            <v>F</v>
          </cell>
          <cell r="AB4305" t="str">
            <v>serum</v>
          </cell>
          <cell r="AF4305">
            <v>0.8</v>
          </cell>
        </row>
        <row r="4306">
          <cell r="A4306" t="str">
            <v>IS_alqt_plus</v>
          </cell>
          <cell r="K4306" t="str">
            <v>PCOQ</v>
          </cell>
          <cell r="M4306" t="str">
            <v>F</v>
          </cell>
          <cell r="AB4306" t="str">
            <v>serum</v>
          </cell>
          <cell r="AF4306">
            <v>0.6</v>
          </cell>
        </row>
        <row r="4307">
          <cell r="A4307" t="str">
            <v>unk</v>
          </cell>
          <cell r="K4307" t="str">
            <v>PCOQ</v>
          </cell>
          <cell r="M4307" t="str">
            <v>F</v>
          </cell>
          <cell r="AB4307" t="str">
            <v>plasma</v>
          </cell>
          <cell r="AF4307">
            <v>0.25</v>
          </cell>
        </row>
        <row r="4308">
          <cell r="A4308" t="str">
            <v>IS_alqt_plus</v>
          </cell>
          <cell r="K4308" t="str">
            <v>PCOQ</v>
          </cell>
          <cell r="M4308" t="str">
            <v>F</v>
          </cell>
          <cell r="AB4308" t="str">
            <v>serum</v>
          </cell>
          <cell r="AF4308">
            <v>0.8</v>
          </cell>
        </row>
        <row r="4309">
          <cell r="A4309" t="str">
            <v>IS_alqt_plus</v>
          </cell>
          <cell r="K4309" t="str">
            <v>LCAT</v>
          </cell>
          <cell r="M4309" t="str">
            <v>F</v>
          </cell>
          <cell r="AB4309" t="str">
            <v>WB</v>
          </cell>
          <cell r="AF4309">
            <v>0.75</v>
          </cell>
        </row>
        <row r="4310">
          <cell r="A4310" t="str">
            <v>gone</v>
          </cell>
          <cell r="K4310" t="str">
            <v>VRUB</v>
          </cell>
          <cell r="M4310" t="str">
            <v>M</v>
          </cell>
          <cell r="AB4310" t="str">
            <v>WB</v>
          </cell>
          <cell r="AF4310">
            <v>0</v>
          </cell>
        </row>
        <row r="4311">
          <cell r="A4311" t="str">
            <v>IS_alqt_plus</v>
          </cell>
          <cell r="K4311" t="str">
            <v>EMON</v>
          </cell>
          <cell r="M4311" t="str">
            <v>F</v>
          </cell>
          <cell r="AB4311" t="str">
            <v>serum</v>
          </cell>
          <cell r="AF4311">
            <v>1.1000000000000001</v>
          </cell>
        </row>
        <row r="4312">
          <cell r="A4312" t="str">
            <v>IS_alqt_plus</v>
          </cell>
          <cell r="K4312" t="str">
            <v>EMON</v>
          </cell>
          <cell r="M4312" t="str">
            <v>M</v>
          </cell>
          <cell r="AB4312" t="str">
            <v>serum</v>
          </cell>
          <cell r="AF4312">
            <v>1.25</v>
          </cell>
        </row>
        <row r="4313">
          <cell r="A4313" t="str">
            <v>IS_alqt_plus</v>
          </cell>
          <cell r="K4313" t="str">
            <v>EMON</v>
          </cell>
          <cell r="M4313" t="str">
            <v>M</v>
          </cell>
          <cell r="AB4313" t="str">
            <v>serum</v>
          </cell>
          <cell r="AF4313">
            <v>0.5</v>
          </cell>
        </row>
        <row r="4314">
          <cell r="A4314" t="str">
            <v>IS_alqt_plus</v>
          </cell>
          <cell r="K4314" t="str">
            <v>EMON</v>
          </cell>
          <cell r="M4314" t="str">
            <v>M</v>
          </cell>
          <cell r="AB4314" t="str">
            <v>serum</v>
          </cell>
          <cell r="AF4314">
            <v>0.5</v>
          </cell>
        </row>
        <row r="4315">
          <cell r="A4315" t="str">
            <v>IS_alqt_plus</v>
          </cell>
          <cell r="K4315" t="str">
            <v>EMON</v>
          </cell>
          <cell r="M4315" t="str">
            <v>M</v>
          </cell>
          <cell r="AB4315" t="str">
            <v>serum</v>
          </cell>
          <cell r="AF4315">
            <v>0.5</v>
          </cell>
        </row>
        <row r="4316">
          <cell r="A4316" t="str">
            <v>IS_alqt_plus</v>
          </cell>
          <cell r="K4316" t="str">
            <v>EMON</v>
          </cell>
          <cell r="M4316" t="str">
            <v>M</v>
          </cell>
          <cell r="AB4316" t="str">
            <v>serum</v>
          </cell>
          <cell r="AF4316">
            <v>0.5</v>
          </cell>
        </row>
        <row r="4317">
          <cell r="A4317" t="str">
            <v>IS_alqt_plus</v>
          </cell>
          <cell r="K4317" t="str">
            <v>LCAT</v>
          </cell>
          <cell r="M4317" t="str">
            <v>M</v>
          </cell>
          <cell r="AB4317" t="str">
            <v>serum</v>
          </cell>
          <cell r="AF4317">
            <v>0.4</v>
          </cell>
        </row>
        <row r="4318">
          <cell r="A4318" t="str">
            <v>IS_alqt_plus</v>
          </cell>
          <cell r="K4318" t="str">
            <v>ERUF</v>
          </cell>
          <cell r="M4318" t="str">
            <v>F</v>
          </cell>
          <cell r="AB4318" t="str">
            <v>serum</v>
          </cell>
          <cell r="AF4318">
            <v>0.6</v>
          </cell>
        </row>
        <row r="4319">
          <cell r="A4319" t="str">
            <v>IS_alqt_plus</v>
          </cell>
          <cell r="K4319" t="str">
            <v>VVV</v>
          </cell>
          <cell r="M4319" t="str">
            <v>M</v>
          </cell>
          <cell r="AB4319" t="str">
            <v>serum</v>
          </cell>
          <cell r="AF4319">
            <v>1</v>
          </cell>
        </row>
        <row r="4320">
          <cell r="A4320" t="str">
            <v>IS_alqt_plus</v>
          </cell>
          <cell r="K4320" t="str">
            <v>LCAT</v>
          </cell>
          <cell r="M4320" t="str">
            <v>F</v>
          </cell>
          <cell r="AB4320" t="str">
            <v>WB</v>
          </cell>
          <cell r="AF4320">
            <v>0.9</v>
          </cell>
        </row>
        <row r="4321">
          <cell r="A4321" t="str">
            <v>gone</v>
          </cell>
          <cell r="K4321" t="str">
            <v>LCAT</v>
          </cell>
          <cell r="M4321" t="str">
            <v>F</v>
          </cell>
          <cell r="AB4321" t="str">
            <v>WB</v>
          </cell>
          <cell r="AF4321">
            <v>0</v>
          </cell>
        </row>
        <row r="4322">
          <cell r="A4322" t="str">
            <v>IS_alqt_plus</v>
          </cell>
          <cell r="K4322" t="str">
            <v>LCAT</v>
          </cell>
          <cell r="M4322" t="str">
            <v>M</v>
          </cell>
          <cell r="AB4322" t="str">
            <v>serum</v>
          </cell>
          <cell r="AF4322">
            <v>0.5</v>
          </cell>
        </row>
        <row r="4323">
          <cell r="A4323" t="str">
            <v>IS_alqt_plus</v>
          </cell>
          <cell r="K4323" t="str">
            <v>LCAT</v>
          </cell>
          <cell r="M4323" t="str">
            <v>M</v>
          </cell>
          <cell r="AB4323" t="str">
            <v>serum</v>
          </cell>
          <cell r="AF4323">
            <v>0.8</v>
          </cell>
        </row>
        <row r="4324">
          <cell r="A4324" t="str">
            <v>IS_alqt_plus</v>
          </cell>
          <cell r="K4324" t="str">
            <v>PCOQ</v>
          </cell>
          <cell r="M4324" t="str">
            <v>F</v>
          </cell>
          <cell r="AB4324" t="str">
            <v>serum</v>
          </cell>
          <cell r="AF4324">
            <v>0.7</v>
          </cell>
        </row>
        <row r="4325">
          <cell r="A4325" t="str">
            <v>IS_alqt_plus</v>
          </cell>
          <cell r="K4325" t="str">
            <v>PCOQ</v>
          </cell>
          <cell r="M4325" t="str">
            <v>M</v>
          </cell>
          <cell r="AB4325" t="str">
            <v>serum</v>
          </cell>
          <cell r="AF4325">
            <v>0.5</v>
          </cell>
        </row>
        <row r="4326">
          <cell r="A4326" t="str">
            <v>IS_alqt_plus</v>
          </cell>
          <cell r="K4326" t="str">
            <v>LCAT</v>
          </cell>
          <cell r="M4326" t="str">
            <v>M</v>
          </cell>
          <cell r="AB4326" t="str">
            <v>serum</v>
          </cell>
          <cell r="AF4326">
            <v>0.75</v>
          </cell>
        </row>
        <row r="4327">
          <cell r="A4327" t="str">
            <v>IS_alqt_plus</v>
          </cell>
          <cell r="K4327" t="str">
            <v>LCAT</v>
          </cell>
          <cell r="M4327" t="str">
            <v>M</v>
          </cell>
          <cell r="AB4327" t="str">
            <v>serum</v>
          </cell>
          <cell r="AF4327">
            <v>0.4</v>
          </cell>
        </row>
        <row r="4328">
          <cell r="A4328" t="str">
            <v>IS_alqt_plus</v>
          </cell>
          <cell r="K4328" t="str">
            <v>LCAT</v>
          </cell>
          <cell r="M4328" t="str">
            <v>M</v>
          </cell>
          <cell r="AB4328" t="str">
            <v>serum</v>
          </cell>
          <cell r="AF4328">
            <v>0.5</v>
          </cell>
        </row>
        <row r="4329">
          <cell r="A4329" t="str">
            <v>IS_alqt_plus</v>
          </cell>
          <cell r="K4329" t="str">
            <v>LCAT</v>
          </cell>
          <cell r="M4329" t="str">
            <v>M</v>
          </cell>
          <cell r="AB4329" t="str">
            <v>serum</v>
          </cell>
          <cell r="AF4329">
            <v>0.5</v>
          </cell>
        </row>
        <row r="4330">
          <cell r="A4330" t="str">
            <v>IS_alqt_plus</v>
          </cell>
          <cell r="K4330" t="str">
            <v>LCAT</v>
          </cell>
          <cell r="M4330" t="str">
            <v>M</v>
          </cell>
          <cell r="AB4330" t="str">
            <v>serum</v>
          </cell>
          <cell r="AF4330">
            <v>0.9</v>
          </cell>
        </row>
        <row r="4331">
          <cell r="A4331" t="str">
            <v>IS_alqt_plus</v>
          </cell>
          <cell r="K4331" t="str">
            <v>VVV</v>
          </cell>
          <cell r="M4331" t="str">
            <v>F</v>
          </cell>
          <cell r="AB4331" t="str">
            <v>WB</v>
          </cell>
          <cell r="AF4331">
            <v>0.65</v>
          </cell>
        </row>
        <row r="4332">
          <cell r="A4332" t="str">
            <v>IS_alqt_minus</v>
          </cell>
          <cell r="K4332" t="str">
            <v>NPYG</v>
          </cell>
          <cell r="M4332" t="str">
            <v>M</v>
          </cell>
          <cell r="AB4332" t="str">
            <v>serum</v>
          </cell>
          <cell r="AF4332">
            <v>0.15</v>
          </cell>
        </row>
        <row r="4333">
          <cell r="A4333" t="str">
            <v>IS_alqt_plus</v>
          </cell>
          <cell r="K4333" t="str">
            <v>VVV</v>
          </cell>
          <cell r="M4333" t="str">
            <v>F</v>
          </cell>
          <cell r="AB4333" t="str">
            <v>serum</v>
          </cell>
          <cell r="AF4333">
            <v>0.8</v>
          </cell>
        </row>
        <row r="4334">
          <cell r="A4334" t="str">
            <v>IS_alqt_plus</v>
          </cell>
          <cell r="K4334" t="str">
            <v>NPYG</v>
          </cell>
          <cell r="M4334" t="str">
            <v>F</v>
          </cell>
          <cell r="AB4334" t="str">
            <v>serum</v>
          </cell>
          <cell r="AF4334">
            <v>0.2</v>
          </cell>
        </row>
        <row r="4335">
          <cell r="A4335" t="str">
            <v>IS_alqt_plus</v>
          </cell>
          <cell r="K4335" t="str">
            <v>NCOU</v>
          </cell>
          <cell r="M4335" t="str">
            <v>F</v>
          </cell>
          <cell r="AB4335" t="str">
            <v>WB</v>
          </cell>
          <cell r="AF4335">
            <v>0.25</v>
          </cell>
        </row>
        <row r="4336">
          <cell r="A4336" t="str">
            <v>IS_alqt_plus</v>
          </cell>
          <cell r="K4336" t="str">
            <v>NCOU</v>
          </cell>
          <cell r="M4336" t="str">
            <v>F</v>
          </cell>
          <cell r="AB4336" t="str">
            <v>serum</v>
          </cell>
          <cell r="AF4336">
            <v>0.25</v>
          </cell>
        </row>
        <row r="4337">
          <cell r="A4337" t="str">
            <v>IS_alqt_plus</v>
          </cell>
          <cell r="K4337" t="str">
            <v>NPYG</v>
          </cell>
          <cell r="M4337" t="str">
            <v>F</v>
          </cell>
          <cell r="AB4337" t="str">
            <v>WB</v>
          </cell>
          <cell r="AF4337">
            <v>0.3</v>
          </cell>
        </row>
        <row r="4338">
          <cell r="A4338" t="str">
            <v>IS_alqt_plus</v>
          </cell>
          <cell r="K4338" t="str">
            <v>NPYG</v>
          </cell>
          <cell r="M4338" t="str">
            <v>M</v>
          </cell>
          <cell r="AB4338" t="str">
            <v>WB</v>
          </cell>
          <cell r="AF4338">
            <v>0.25</v>
          </cell>
        </row>
        <row r="4339">
          <cell r="A4339" t="str">
            <v>IS_alqt_plus</v>
          </cell>
          <cell r="K4339" t="str">
            <v>NPYG</v>
          </cell>
          <cell r="M4339" t="str">
            <v>F</v>
          </cell>
          <cell r="AB4339" t="str">
            <v>WB</v>
          </cell>
          <cell r="AF4339">
            <v>0.25</v>
          </cell>
        </row>
        <row r="4340">
          <cell r="A4340" t="str">
            <v>IS_alqt_plus</v>
          </cell>
          <cell r="K4340" t="str">
            <v>NPYG</v>
          </cell>
          <cell r="M4340" t="str">
            <v>F</v>
          </cell>
          <cell r="AB4340" t="str">
            <v>serum</v>
          </cell>
          <cell r="AF4340">
            <v>0.2</v>
          </cell>
        </row>
        <row r="4341">
          <cell r="A4341" t="str">
            <v>IS_alqt_minus</v>
          </cell>
          <cell r="K4341" t="str">
            <v>NPYG</v>
          </cell>
          <cell r="M4341" t="str">
            <v>M</v>
          </cell>
          <cell r="AB4341" t="str">
            <v>serum</v>
          </cell>
          <cell r="AF4341">
            <v>0.1</v>
          </cell>
        </row>
        <row r="4342">
          <cell r="A4342" t="str">
            <v>IS_alqt_minus</v>
          </cell>
          <cell r="K4342" t="str">
            <v>NPYG</v>
          </cell>
          <cell r="M4342" t="str">
            <v>F</v>
          </cell>
          <cell r="AB4342" t="str">
            <v>serum</v>
          </cell>
          <cell r="AF4342">
            <v>0.1</v>
          </cell>
        </row>
        <row r="4343">
          <cell r="A4343" t="str">
            <v>IS_alqt_plus</v>
          </cell>
          <cell r="K4343" t="str">
            <v>LCAT</v>
          </cell>
          <cell r="M4343" t="str">
            <v>M</v>
          </cell>
          <cell r="AB4343" t="str">
            <v>WB</v>
          </cell>
          <cell r="AF4343">
            <v>0.8</v>
          </cell>
        </row>
        <row r="4344">
          <cell r="A4344" t="str">
            <v>IS_alqt_plus</v>
          </cell>
          <cell r="K4344" t="str">
            <v>LCAT</v>
          </cell>
          <cell r="M4344" t="str">
            <v>F</v>
          </cell>
          <cell r="AB4344" t="str">
            <v>WB</v>
          </cell>
          <cell r="AF4344">
            <v>1</v>
          </cell>
        </row>
        <row r="4345">
          <cell r="A4345" t="str">
            <v>IS_alqt_plus</v>
          </cell>
          <cell r="K4345" t="str">
            <v>VRUB</v>
          </cell>
          <cell r="M4345" t="str">
            <v>F</v>
          </cell>
          <cell r="AB4345" t="str">
            <v>WB</v>
          </cell>
          <cell r="AF4345">
            <v>1.2</v>
          </cell>
        </row>
        <row r="4346">
          <cell r="A4346" t="str">
            <v>IS_alqt_plus</v>
          </cell>
          <cell r="K4346" t="str">
            <v>LCAT</v>
          </cell>
          <cell r="M4346" t="str">
            <v>F</v>
          </cell>
          <cell r="AB4346" t="str">
            <v>serum</v>
          </cell>
          <cell r="AF4346">
            <v>0.7</v>
          </cell>
        </row>
        <row r="4347">
          <cell r="A4347" t="str">
            <v>IS_alqt_plus</v>
          </cell>
          <cell r="K4347" t="str">
            <v>LCAT</v>
          </cell>
          <cell r="M4347" t="str">
            <v>F</v>
          </cell>
          <cell r="AB4347" t="str">
            <v>serum</v>
          </cell>
          <cell r="AF4347">
            <v>0.6</v>
          </cell>
        </row>
        <row r="4348">
          <cell r="A4348" t="str">
            <v>IS_alqt_plus</v>
          </cell>
          <cell r="K4348" t="str">
            <v>LCAT</v>
          </cell>
          <cell r="M4348" t="str">
            <v>M</v>
          </cell>
          <cell r="AB4348" t="str">
            <v>serum</v>
          </cell>
          <cell r="AF4348">
            <v>0.75</v>
          </cell>
        </row>
        <row r="4349">
          <cell r="A4349" t="str">
            <v>IS_alqt_plus</v>
          </cell>
          <cell r="K4349" t="str">
            <v>LCAT</v>
          </cell>
          <cell r="M4349" t="str">
            <v>M</v>
          </cell>
          <cell r="AB4349" t="str">
            <v>serum</v>
          </cell>
          <cell r="AF4349">
            <v>0.75</v>
          </cell>
        </row>
        <row r="4350">
          <cell r="A4350" t="str">
            <v>IS_alqt_plus</v>
          </cell>
          <cell r="K4350" t="str">
            <v>VRUB</v>
          </cell>
          <cell r="M4350" t="str">
            <v>F</v>
          </cell>
          <cell r="AB4350" t="str">
            <v>serum</v>
          </cell>
          <cell r="AF4350">
            <v>1.1000000000000001</v>
          </cell>
        </row>
        <row r="4351">
          <cell r="A4351" t="str">
            <v>IS_alqt_plus</v>
          </cell>
          <cell r="K4351" t="str">
            <v>DMAD</v>
          </cell>
          <cell r="M4351" t="str">
            <v>M</v>
          </cell>
          <cell r="AB4351" t="str">
            <v>serum</v>
          </cell>
          <cell r="AF4351">
            <v>1.25</v>
          </cell>
        </row>
        <row r="4352">
          <cell r="A4352" t="str">
            <v>IS_alqt_plus</v>
          </cell>
          <cell r="K4352" t="str">
            <v>DMAD</v>
          </cell>
          <cell r="M4352" t="str">
            <v>M</v>
          </cell>
          <cell r="AB4352" t="str">
            <v>WB</v>
          </cell>
          <cell r="AF4352">
            <v>0.6</v>
          </cell>
        </row>
        <row r="4353">
          <cell r="A4353" t="str">
            <v>IS_alqt_plus</v>
          </cell>
          <cell r="K4353" t="str">
            <v>EFLA</v>
          </cell>
          <cell r="M4353" t="str">
            <v>F</v>
          </cell>
          <cell r="AB4353" t="str">
            <v>serum</v>
          </cell>
          <cell r="AF4353">
            <v>1</v>
          </cell>
        </row>
        <row r="4354">
          <cell r="A4354" t="str">
            <v>IS_alqt_plus</v>
          </cell>
          <cell r="K4354" t="str">
            <v>EFLA</v>
          </cell>
          <cell r="M4354" t="str">
            <v>F</v>
          </cell>
          <cell r="AB4354" t="str">
            <v>serum</v>
          </cell>
          <cell r="AF4354">
            <v>0.2</v>
          </cell>
        </row>
        <row r="4355">
          <cell r="A4355" t="str">
            <v>IS_alqt_plus</v>
          </cell>
          <cell r="K4355" t="str">
            <v>EFLA</v>
          </cell>
          <cell r="M4355" t="str">
            <v>F</v>
          </cell>
          <cell r="AB4355" t="str">
            <v>serum</v>
          </cell>
          <cell r="AF4355">
            <v>0.2</v>
          </cell>
        </row>
        <row r="4356">
          <cell r="A4356" t="str">
            <v>IS_alqt_plus</v>
          </cell>
          <cell r="K4356" t="str">
            <v>EFLA</v>
          </cell>
          <cell r="M4356" t="str">
            <v>F</v>
          </cell>
          <cell r="AB4356" t="str">
            <v>serum</v>
          </cell>
          <cell r="AF4356">
            <v>0.3</v>
          </cell>
        </row>
        <row r="4357">
          <cell r="A4357" t="str">
            <v>IS_alqt_plus</v>
          </cell>
          <cell r="K4357" t="str">
            <v>LCAT</v>
          </cell>
          <cell r="M4357" t="str">
            <v>F</v>
          </cell>
          <cell r="AB4357" t="str">
            <v>WB</v>
          </cell>
          <cell r="AF4357">
            <v>0.85</v>
          </cell>
        </row>
        <row r="4358">
          <cell r="A4358" t="str">
            <v>IS_alqt_plus</v>
          </cell>
          <cell r="K4358" t="str">
            <v>LCAT</v>
          </cell>
          <cell r="M4358" t="str">
            <v>F</v>
          </cell>
          <cell r="AB4358" t="str">
            <v>serum</v>
          </cell>
          <cell r="AF4358">
            <v>0.4</v>
          </cell>
        </row>
        <row r="4359">
          <cell r="A4359" t="str">
            <v>IS_alqt_plus</v>
          </cell>
          <cell r="K4359" t="str">
            <v>EFLA</v>
          </cell>
          <cell r="M4359" t="str">
            <v>F</v>
          </cell>
          <cell r="AB4359" t="str">
            <v>WB</v>
          </cell>
          <cell r="AF4359">
            <v>0.8</v>
          </cell>
        </row>
        <row r="4360">
          <cell r="A4360" t="str">
            <v>IS_alqt_plus</v>
          </cell>
          <cell r="K4360" t="str">
            <v>EFLA</v>
          </cell>
          <cell r="M4360" t="str">
            <v>F</v>
          </cell>
          <cell r="AB4360" t="str">
            <v>WB</v>
          </cell>
          <cell r="AF4360">
            <v>0.8</v>
          </cell>
        </row>
        <row r="4361">
          <cell r="A4361" t="str">
            <v>IS_alqt_plus</v>
          </cell>
          <cell r="K4361" t="str">
            <v>EFLA</v>
          </cell>
          <cell r="M4361" t="str">
            <v>F</v>
          </cell>
          <cell r="AB4361" t="str">
            <v>WB</v>
          </cell>
          <cell r="AF4361">
            <v>1</v>
          </cell>
        </row>
        <row r="4362">
          <cell r="A4362" t="str">
            <v>IS_alqt_plus</v>
          </cell>
          <cell r="K4362" t="str">
            <v>EFLA</v>
          </cell>
          <cell r="M4362" t="str">
            <v>F</v>
          </cell>
          <cell r="AB4362" t="str">
            <v>WB</v>
          </cell>
          <cell r="AF4362">
            <v>1.2</v>
          </cell>
        </row>
        <row r="4363">
          <cell r="A4363" t="str">
            <v>IS_alqt_plus</v>
          </cell>
          <cell r="K4363" t="str">
            <v>EFLA</v>
          </cell>
          <cell r="M4363" t="str">
            <v>F</v>
          </cell>
          <cell r="AB4363" t="str">
            <v>WB</v>
          </cell>
          <cell r="AF4363">
            <v>1.3</v>
          </cell>
        </row>
        <row r="4364">
          <cell r="A4364" t="str">
            <v>IS_alqt_plus</v>
          </cell>
          <cell r="K4364" t="str">
            <v>EFLA</v>
          </cell>
          <cell r="M4364" t="str">
            <v>F</v>
          </cell>
          <cell r="AB4364" t="str">
            <v>WB</v>
          </cell>
          <cell r="AF4364">
            <v>1</v>
          </cell>
        </row>
        <row r="4365">
          <cell r="A4365" t="str">
            <v>IS_alqt_plus</v>
          </cell>
          <cell r="K4365" t="str">
            <v>EFLA</v>
          </cell>
          <cell r="M4365" t="str">
            <v>F</v>
          </cell>
          <cell r="AB4365" t="str">
            <v>WB</v>
          </cell>
          <cell r="AF4365">
            <v>1.3</v>
          </cell>
        </row>
        <row r="4366">
          <cell r="A4366" t="str">
            <v>IS_alqt_plus</v>
          </cell>
          <cell r="K4366" t="str">
            <v>EFLA</v>
          </cell>
          <cell r="M4366" t="str">
            <v>F</v>
          </cell>
          <cell r="AB4366" t="str">
            <v>WB</v>
          </cell>
          <cell r="AF4366">
            <v>1.2</v>
          </cell>
        </row>
        <row r="4367">
          <cell r="A4367" t="str">
            <v>IS_alqt_plus</v>
          </cell>
          <cell r="K4367" t="str">
            <v>EFLA</v>
          </cell>
          <cell r="M4367" t="str">
            <v>F</v>
          </cell>
          <cell r="AB4367" t="str">
            <v>WB</v>
          </cell>
          <cell r="AF4367">
            <v>1.2</v>
          </cell>
        </row>
        <row r="4368">
          <cell r="A4368" t="str">
            <v>IS_alqt_plus</v>
          </cell>
          <cell r="K4368" t="str">
            <v>EFLA</v>
          </cell>
          <cell r="M4368" t="str">
            <v>F</v>
          </cell>
          <cell r="AB4368" t="str">
            <v>WB</v>
          </cell>
          <cell r="AF4368">
            <v>1.5</v>
          </cell>
        </row>
        <row r="4369">
          <cell r="A4369" t="str">
            <v>gone</v>
          </cell>
          <cell r="K4369" t="str">
            <v>EFLA</v>
          </cell>
          <cell r="M4369" t="str">
            <v>F</v>
          </cell>
          <cell r="AB4369" t="str">
            <v>WB</v>
          </cell>
          <cell r="AF4369">
            <v>0</v>
          </cell>
        </row>
        <row r="4370">
          <cell r="A4370" t="str">
            <v>IS_alqt_plus</v>
          </cell>
          <cell r="K4370" t="str">
            <v>EFLA</v>
          </cell>
          <cell r="M4370" t="str">
            <v>F</v>
          </cell>
          <cell r="AB4370" t="str">
            <v>WB</v>
          </cell>
          <cell r="AF4370">
            <v>1.1000000000000001</v>
          </cell>
        </row>
        <row r="4371">
          <cell r="A4371" t="str">
            <v>IS_alqt_plus</v>
          </cell>
          <cell r="K4371" t="str">
            <v>EFLA</v>
          </cell>
          <cell r="M4371" t="str">
            <v>F</v>
          </cell>
          <cell r="AB4371" t="str">
            <v>WB</v>
          </cell>
          <cell r="AF4371">
            <v>1.1000000000000001</v>
          </cell>
        </row>
        <row r="4372">
          <cell r="A4372" t="str">
            <v>IS_alqt_plus</v>
          </cell>
          <cell r="K4372" t="str">
            <v>EFLA</v>
          </cell>
          <cell r="M4372" t="str">
            <v>F</v>
          </cell>
          <cell r="AB4372" t="str">
            <v>WB</v>
          </cell>
          <cell r="AF4372">
            <v>1.25</v>
          </cell>
        </row>
        <row r="4373">
          <cell r="A4373" t="str">
            <v>IS_alqt_plus</v>
          </cell>
          <cell r="K4373" t="str">
            <v>EFLA</v>
          </cell>
          <cell r="M4373" t="str">
            <v>F</v>
          </cell>
          <cell r="AB4373" t="str">
            <v>WB</v>
          </cell>
          <cell r="AF4373">
            <v>1.25</v>
          </cell>
        </row>
        <row r="4374">
          <cell r="A4374" t="str">
            <v>IS_alqt_plus</v>
          </cell>
          <cell r="K4374" t="str">
            <v>EFLA</v>
          </cell>
          <cell r="M4374" t="str">
            <v>F</v>
          </cell>
          <cell r="AB4374" t="str">
            <v>WB</v>
          </cell>
          <cell r="AF4374">
            <v>1</v>
          </cell>
        </row>
        <row r="4375">
          <cell r="A4375" t="str">
            <v>IS_alqt_plus</v>
          </cell>
          <cell r="K4375" t="str">
            <v>EFLA</v>
          </cell>
          <cell r="M4375" t="str">
            <v>F</v>
          </cell>
          <cell r="AB4375" t="str">
            <v>WB</v>
          </cell>
          <cell r="AF4375">
            <v>1.25</v>
          </cell>
        </row>
        <row r="4376">
          <cell r="A4376" t="str">
            <v>IS_alqt_plus</v>
          </cell>
          <cell r="K4376" t="str">
            <v>LCAT</v>
          </cell>
          <cell r="M4376" t="str">
            <v>F</v>
          </cell>
          <cell r="AB4376" t="str">
            <v>WB</v>
          </cell>
          <cell r="AF4376">
            <v>0.7</v>
          </cell>
        </row>
        <row r="4377">
          <cell r="A4377" t="str">
            <v>gone</v>
          </cell>
          <cell r="K4377" t="str">
            <v>LCAT</v>
          </cell>
          <cell r="M4377" t="str">
            <v>M</v>
          </cell>
          <cell r="AB4377" t="str">
            <v>WB</v>
          </cell>
          <cell r="AF4377">
            <v>0</v>
          </cell>
        </row>
        <row r="4378">
          <cell r="A4378" t="str">
            <v>IS_alqt_plus</v>
          </cell>
          <cell r="K4378" t="str">
            <v>EFLA</v>
          </cell>
          <cell r="M4378" t="str">
            <v>F</v>
          </cell>
          <cell r="AB4378" t="str">
            <v>serum</v>
          </cell>
          <cell r="AF4378">
            <v>1.5</v>
          </cell>
        </row>
        <row r="4379">
          <cell r="A4379" t="str">
            <v>IS_alqt_plus</v>
          </cell>
          <cell r="K4379" t="str">
            <v>EFLA</v>
          </cell>
          <cell r="M4379" t="str">
            <v>F</v>
          </cell>
          <cell r="AB4379" t="str">
            <v>serum</v>
          </cell>
          <cell r="AF4379">
            <v>0.7</v>
          </cell>
        </row>
        <row r="4380">
          <cell r="A4380" t="str">
            <v>IS_alqt_plus</v>
          </cell>
          <cell r="K4380" t="str">
            <v>EFLA</v>
          </cell>
          <cell r="M4380" t="str">
            <v>F</v>
          </cell>
          <cell r="AB4380" t="str">
            <v>serum</v>
          </cell>
          <cell r="AF4380">
            <v>1.5</v>
          </cell>
        </row>
        <row r="4381">
          <cell r="A4381" t="str">
            <v>IS_alqt_plus</v>
          </cell>
          <cell r="K4381" t="str">
            <v>EFLA</v>
          </cell>
          <cell r="M4381" t="str">
            <v>F</v>
          </cell>
          <cell r="AB4381" t="str">
            <v>serum</v>
          </cell>
          <cell r="AF4381">
            <v>1.5</v>
          </cell>
        </row>
        <row r="4382">
          <cell r="A4382" t="str">
            <v>IS_alqt_plus</v>
          </cell>
          <cell r="K4382" t="str">
            <v>EFLA</v>
          </cell>
          <cell r="M4382" t="str">
            <v>F</v>
          </cell>
          <cell r="AB4382" t="str">
            <v>serum</v>
          </cell>
          <cell r="AF4382">
            <v>1.5</v>
          </cell>
        </row>
        <row r="4383">
          <cell r="A4383" t="str">
            <v>IS_alqt_plus</v>
          </cell>
          <cell r="K4383" t="str">
            <v>EFLA</v>
          </cell>
          <cell r="M4383" t="str">
            <v>F</v>
          </cell>
          <cell r="AB4383" t="str">
            <v>serum</v>
          </cell>
          <cell r="AF4383">
            <v>1.5</v>
          </cell>
        </row>
        <row r="4384">
          <cell r="A4384" t="str">
            <v>IS_alqt_plus</v>
          </cell>
          <cell r="K4384" t="str">
            <v>EFLA</v>
          </cell>
          <cell r="M4384" t="str">
            <v>F</v>
          </cell>
          <cell r="AB4384" t="str">
            <v>serum</v>
          </cell>
          <cell r="AF4384">
            <v>1.5</v>
          </cell>
        </row>
        <row r="4385">
          <cell r="A4385" t="str">
            <v>IS_alqt_plus</v>
          </cell>
          <cell r="K4385" t="str">
            <v>EFLA</v>
          </cell>
          <cell r="M4385" t="str">
            <v>F</v>
          </cell>
          <cell r="AB4385" t="str">
            <v>serum</v>
          </cell>
          <cell r="AF4385">
            <v>1.5</v>
          </cell>
        </row>
        <row r="4386">
          <cell r="A4386" t="str">
            <v>IS_alqt_plus</v>
          </cell>
          <cell r="K4386" t="str">
            <v>EFLA</v>
          </cell>
          <cell r="M4386" t="str">
            <v>F</v>
          </cell>
          <cell r="AB4386" t="str">
            <v>serum</v>
          </cell>
          <cell r="AF4386">
            <v>1.5</v>
          </cell>
        </row>
        <row r="4387">
          <cell r="A4387" t="str">
            <v>IS_alqt_plus</v>
          </cell>
          <cell r="K4387" t="str">
            <v>EFLA</v>
          </cell>
          <cell r="M4387" t="str">
            <v>F</v>
          </cell>
          <cell r="AB4387" t="str">
            <v>serum</v>
          </cell>
          <cell r="AF4387">
            <v>1.5</v>
          </cell>
        </row>
        <row r="4388">
          <cell r="A4388" t="str">
            <v>IS_alqt_plus</v>
          </cell>
          <cell r="K4388" t="str">
            <v>EFLA</v>
          </cell>
          <cell r="M4388" t="str">
            <v>F</v>
          </cell>
          <cell r="AB4388" t="str">
            <v>serum</v>
          </cell>
          <cell r="AF4388">
            <v>1.5</v>
          </cell>
        </row>
        <row r="4389">
          <cell r="A4389" t="str">
            <v>IS_alqt_plus</v>
          </cell>
          <cell r="K4389" t="str">
            <v>EFLA</v>
          </cell>
          <cell r="M4389" t="str">
            <v>F</v>
          </cell>
          <cell r="AB4389" t="str">
            <v>serum</v>
          </cell>
          <cell r="AF4389">
            <v>1.5</v>
          </cell>
        </row>
        <row r="4390">
          <cell r="A4390" t="str">
            <v>IS_alqt_plus</v>
          </cell>
          <cell r="K4390" t="str">
            <v>EFLA</v>
          </cell>
          <cell r="M4390" t="str">
            <v>F</v>
          </cell>
          <cell r="AB4390" t="str">
            <v>serum</v>
          </cell>
          <cell r="AF4390">
            <v>1.5</v>
          </cell>
        </row>
        <row r="4391">
          <cell r="A4391" t="str">
            <v>IS_alqt_plus</v>
          </cell>
          <cell r="K4391" t="str">
            <v>EFLA</v>
          </cell>
          <cell r="M4391" t="str">
            <v>F</v>
          </cell>
          <cell r="AB4391" t="str">
            <v>serum</v>
          </cell>
          <cell r="AF4391">
            <v>1.5</v>
          </cell>
        </row>
        <row r="4392">
          <cell r="A4392" t="str">
            <v>IS_alqt_plus</v>
          </cell>
          <cell r="K4392" t="str">
            <v>EFLA</v>
          </cell>
          <cell r="M4392" t="str">
            <v>F</v>
          </cell>
          <cell r="AB4392" t="str">
            <v>serum</v>
          </cell>
          <cell r="AF4392">
            <v>1.5</v>
          </cell>
        </row>
        <row r="4393">
          <cell r="A4393" t="str">
            <v>IS_alqt_plus</v>
          </cell>
          <cell r="K4393" t="str">
            <v>EFLA</v>
          </cell>
          <cell r="M4393" t="str">
            <v>F</v>
          </cell>
          <cell r="AB4393" t="str">
            <v>serum</v>
          </cell>
          <cell r="AF4393">
            <v>1.5</v>
          </cell>
        </row>
        <row r="4394">
          <cell r="A4394" t="str">
            <v>IS_alqt_plus</v>
          </cell>
          <cell r="K4394" t="str">
            <v>EFLA</v>
          </cell>
          <cell r="M4394" t="str">
            <v>F</v>
          </cell>
          <cell r="AB4394" t="str">
            <v>serum</v>
          </cell>
          <cell r="AF4394">
            <v>1.5</v>
          </cell>
        </row>
        <row r="4395">
          <cell r="A4395" t="str">
            <v>IS_alqt_plus</v>
          </cell>
          <cell r="K4395" t="str">
            <v>EFLA</v>
          </cell>
          <cell r="M4395" t="str">
            <v>F</v>
          </cell>
          <cell r="AB4395" t="str">
            <v>serum</v>
          </cell>
          <cell r="AF4395">
            <v>1.5</v>
          </cell>
        </row>
        <row r="4396">
          <cell r="A4396" t="str">
            <v>IS_alqt_plus</v>
          </cell>
          <cell r="K4396" t="str">
            <v>EFLA</v>
          </cell>
          <cell r="M4396" t="str">
            <v>F</v>
          </cell>
          <cell r="AB4396" t="str">
            <v>serum</v>
          </cell>
          <cell r="AF4396">
            <v>1.5</v>
          </cell>
        </row>
        <row r="4397">
          <cell r="A4397" t="str">
            <v>IS_alqt_plus</v>
          </cell>
          <cell r="K4397" t="str">
            <v>EFLA</v>
          </cell>
          <cell r="M4397" t="str">
            <v>F</v>
          </cell>
          <cell r="AB4397" t="str">
            <v>serum</v>
          </cell>
          <cell r="AF4397">
            <v>1.5</v>
          </cell>
        </row>
        <row r="4398">
          <cell r="A4398" t="str">
            <v>IS_alqt_plus</v>
          </cell>
          <cell r="K4398" t="str">
            <v>EFLA</v>
          </cell>
          <cell r="M4398" t="str">
            <v>F</v>
          </cell>
          <cell r="AB4398" t="str">
            <v>serum</v>
          </cell>
          <cell r="AF4398">
            <v>1.5</v>
          </cell>
        </row>
        <row r="4399">
          <cell r="A4399" t="str">
            <v>IS_alqt_plus</v>
          </cell>
          <cell r="K4399" t="str">
            <v>EFLA</v>
          </cell>
          <cell r="M4399" t="str">
            <v>F</v>
          </cell>
          <cell r="AB4399" t="str">
            <v>serum</v>
          </cell>
          <cell r="AF4399">
            <v>1.5</v>
          </cell>
        </row>
        <row r="4400">
          <cell r="A4400" t="str">
            <v>IS_alqt_plus</v>
          </cell>
          <cell r="K4400" t="str">
            <v>EFLA</v>
          </cell>
          <cell r="M4400" t="str">
            <v>F</v>
          </cell>
          <cell r="AB4400" t="str">
            <v>serum</v>
          </cell>
          <cell r="AF4400">
            <v>1.5</v>
          </cell>
        </row>
        <row r="4401">
          <cell r="A4401" t="str">
            <v>IS_alqt_plus</v>
          </cell>
          <cell r="K4401" t="str">
            <v>EFLA</v>
          </cell>
          <cell r="M4401" t="str">
            <v>F</v>
          </cell>
          <cell r="AB4401" t="str">
            <v>serum</v>
          </cell>
          <cell r="AF4401">
            <v>1.5</v>
          </cell>
        </row>
        <row r="4402">
          <cell r="A4402" t="str">
            <v>IS_alqt_plus</v>
          </cell>
          <cell r="K4402" t="str">
            <v>EFLA</v>
          </cell>
          <cell r="M4402" t="str">
            <v>F</v>
          </cell>
          <cell r="AB4402" t="str">
            <v>serum</v>
          </cell>
          <cell r="AF4402">
            <v>1.5</v>
          </cell>
        </row>
        <row r="4403">
          <cell r="A4403" t="str">
            <v>IS_alqt_plus</v>
          </cell>
          <cell r="K4403" t="str">
            <v>EFLA</v>
          </cell>
          <cell r="M4403" t="str">
            <v>F</v>
          </cell>
          <cell r="AB4403" t="str">
            <v>serum</v>
          </cell>
          <cell r="AF4403">
            <v>1.5</v>
          </cell>
        </row>
        <row r="4404">
          <cell r="A4404" t="str">
            <v>IS_alqt_plus</v>
          </cell>
          <cell r="K4404" t="str">
            <v>EFLA</v>
          </cell>
          <cell r="M4404" t="str">
            <v>F</v>
          </cell>
          <cell r="AB4404" t="str">
            <v>serum</v>
          </cell>
          <cell r="AF4404">
            <v>1.5</v>
          </cell>
        </row>
        <row r="4405">
          <cell r="A4405" t="str">
            <v>IS_alqt_plus</v>
          </cell>
          <cell r="K4405" t="str">
            <v>EFLA</v>
          </cell>
          <cell r="M4405" t="str">
            <v>F</v>
          </cell>
          <cell r="AB4405" t="str">
            <v>serum</v>
          </cell>
          <cell r="AF4405">
            <v>1.4</v>
          </cell>
        </row>
        <row r="4406">
          <cell r="A4406" t="str">
            <v>IS_alqt_plus</v>
          </cell>
          <cell r="K4406" t="str">
            <v>EFLA</v>
          </cell>
          <cell r="M4406" t="str">
            <v>F</v>
          </cell>
          <cell r="AB4406" t="str">
            <v>serum</v>
          </cell>
          <cell r="AF4406">
            <v>1.5</v>
          </cell>
        </row>
        <row r="4407">
          <cell r="A4407" t="str">
            <v>IS_alqt_plus</v>
          </cell>
          <cell r="K4407" t="str">
            <v>EFLA</v>
          </cell>
          <cell r="M4407" t="str">
            <v>F</v>
          </cell>
          <cell r="AB4407" t="str">
            <v>serum</v>
          </cell>
          <cell r="AF4407">
            <v>1.5</v>
          </cell>
        </row>
        <row r="4408">
          <cell r="A4408" t="str">
            <v>IS_alqt_plus</v>
          </cell>
          <cell r="K4408" t="str">
            <v>EFLA</v>
          </cell>
          <cell r="M4408" t="str">
            <v>F</v>
          </cell>
          <cell r="AB4408" t="str">
            <v>serum</v>
          </cell>
          <cell r="AF4408">
            <v>1.5</v>
          </cell>
        </row>
        <row r="4409">
          <cell r="A4409" t="str">
            <v>IS_alqt_plus</v>
          </cell>
          <cell r="K4409" t="str">
            <v>EFLA</v>
          </cell>
          <cell r="M4409" t="str">
            <v>F</v>
          </cell>
          <cell r="AB4409" t="str">
            <v>serum</v>
          </cell>
          <cell r="AF4409">
            <v>1.5</v>
          </cell>
        </row>
        <row r="4410">
          <cell r="A4410" t="str">
            <v>IS_alqt_plus</v>
          </cell>
          <cell r="K4410" t="str">
            <v>EFLA</v>
          </cell>
          <cell r="M4410" t="str">
            <v>F</v>
          </cell>
          <cell r="AB4410" t="str">
            <v>serum</v>
          </cell>
          <cell r="AF4410">
            <v>1.5</v>
          </cell>
        </row>
        <row r="4411">
          <cell r="A4411" t="str">
            <v>IS_alqt_plus</v>
          </cell>
          <cell r="K4411" t="str">
            <v>EFLA</v>
          </cell>
          <cell r="M4411" t="str">
            <v>F</v>
          </cell>
          <cell r="AB4411" t="str">
            <v>serum</v>
          </cell>
          <cell r="AF4411">
            <v>1.5</v>
          </cell>
        </row>
        <row r="4412">
          <cell r="A4412" t="str">
            <v>IS_alqt_plus</v>
          </cell>
          <cell r="K4412" t="str">
            <v>EFLA</v>
          </cell>
          <cell r="M4412" t="str">
            <v>F</v>
          </cell>
          <cell r="AB4412" t="str">
            <v>serum</v>
          </cell>
          <cell r="AF4412">
            <v>1.5</v>
          </cell>
        </row>
        <row r="4413">
          <cell r="A4413" t="str">
            <v>IS_alqt_plus</v>
          </cell>
          <cell r="K4413" t="str">
            <v>EFLA</v>
          </cell>
          <cell r="M4413" t="str">
            <v>F</v>
          </cell>
          <cell r="AB4413" t="str">
            <v>serum</v>
          </cell>
          <cell r="AF4413">
            <v>1.5</v>
          </cell>
        </row>
        <row r="4414">
          <cell r="A4414" t="str">
            <v>IS_alqt_plus</v>
          </cell>
          <cell r="K4414" t="str">
            <v>EFLA</v>
          </cell>
          <cell r="M4414" t="str">
            <v>F</v>
          </cell>
          <cell r="AB4414" t="str">
            <v>serum</v>
          </cell>
          <cell r="AF4414">
            <v>1.5</v>
          </cell>
        </row>
        <row r="4415">
          <cell r="A4415" t="str">
            <v>IS_alqt_plus</v>
          </cell>
          <cell r="K4415" t="str">
            <v>EFLA</v>
          </cell>
          <cell r="M4415" t="str">
            <v>F</v>
          </cell>
          <cell r="AB4415" t="str">
            <v>serum</v>
          </cell>
          <cell r="AF4415">
            <v>1.5</v>
          </cell>
        </row>
        <row r="4416">
          <cell r="A4416" t="str">
            <v>IS_alqt_plus</v>
          </cell>
          <cell r="K4416" t="str">
            <v>EFLA</v>
          </cell>
          <cell r="M4416" t="str">
            <v>F</v>
          </cell>
          <cell r="AB4416" t="str">
            <v>serum</v>
          </cell>
          <cell r="AF4416">
            <v>1.5</v>
          </cell>
        </row>
        <row r="4417">
          <cell r="A4417" t="str">
            <v>IS_alqt_plus</v>
          </cell>
          <cell r="K4417" t="str">
            <v>EFLA</v>
          </cell>
          <cell r="M4417" t="str">
            <v>F</v>
          </cell>
          <cell r="AB4417" t="str">
            <v>serum</v>
          </cell>
          <cell r="AF4417">
            <v>1.5</v>
          </cell>
        </row>
        <row r="4418">
          <cell r="A4418" t="str">
            <v>IS_alqt_plus</v>
          </cell>
          <cell r="K4418" t="str">
            <v>EFLA</v>
          </cell>
          <cell r="M4418" t="str">
            <v>F</v>
          </cell>
          <cell r="AB4418" t="str">
            <v>serum</v>
          </cell>
          <cell r="AF4418">
            <v>1.5</v>
          </cell>
        </row>
        <row r="4419">
          <cell r="A4419" t="str">
            <v>IS_alqt_plus</v>
          </cell>
          <cell r="K4419" t="str">
            <v>EFLA</v>
          </cell>
          <cell r="M4419" t="str">
            <v>F</v>
          </cell>
          <cell r="AB4419" t="str">
            <v>serum</v>
          </cell>
          <cell r="AF4419">
            <v>1.5</v>
          </cell>
        </row>
        <row r="4420">
          <cell r="A4420" t="str">
            <v>IS_alqt_plus</v>
          </cell>
          <cell r="K4420" t="str">
            <v>EFLA</v>
          </cell>
          <cell r="M4420" t="str">
            <v>F</v>
          </cell>
          <cell r="AB4420" t="str">
            <v>serum</v>
          </cell>
          <cell r="AF4420">
            <v>1.5</v>
          </cell>
        </row>
        <row r="4421">
          <cell r="A4421" t="str">
            <v>IS_alqt_plus</v>
          </cell>
          <cell r="K4421" t="str">
            <v>EFLA</v>
          </cell>
          <cell r="M4421" t="str">
            <v>F</v>
          </cell>
          <cell r="AB4421" t="str">
            <v>serum</v>
          </cell>
          <cell r="AF4421">
            <v>1.5</v>
          </cell>
        </row>
        <row r="4422">
          <cell r="A4422" t="str">
            <v>IS_alqt_plus</v>
          </cell>
          <cell r="K4422" t="str">
            <v>EFLA</v>
          </cell>
          <cell r="M4422" t="str">
            <v>F</v>
          </cell>
          <cell r="AB4422" t="str">
            <v>serum</v>
          </cell>
          <cell r="AF4422">
            <v>1.5</v>
          </cell>
        </row>
        <row r="4423">
          <cell r="A4423" t="str">
            <v>IS_alqt_plus</v>
          </cell>
          <cell r="K4423" t="str">
            <v>EFLA</v>
          </cell>
          <cell r="M4423" t="str">
            <v>F</v>
          </cell>
          <cell r="AB4423" t="str">
            <v>serum</v>
          </cell>
          <cell r="AF4423">
            <v>1.5</v>
          </cell>
        </row>
        <row r="4424">
          <cell r="A4424" t="str">
            <v>IS_alqt_plus</v>
          </cell>
          <cell r="K4424" t="str">
            <v>EFLA</v>
          </cell>
          <cell r="M4424" t="str">
            <v>F</v>
          </cell>
          <cell r="AB4424" t="str">
            <v>serum</v>
          </cell>
          <cell r="AF4424">
            <v>1.5</v>
          </cell>
        </row>
        <row r="4425">
          <cell r="A4425" t="str">
            <v>IS_alqt_plus</v>
          </cell>
          <cell r="K4425" t="str">
            <v>EFLA</v>
          </cell>
          <cell r="M4425" t="str">
            <v>F</v>
          </cell>
          <cell r="AB4425" t="str">
            <v>serum</v>
          </cell>
          <cell r="AF4425">
            <v>0.2</v>
          </cell>
        </row>
        <row r="4426">
          <cell r="A4426" t="str">
            <v>IS_alqt_plus</v>
          </cell>
          <cell r="K4426" t="str">
            <v>EFLA</v>
          </cell>
          <cell r="M4426" t="str">
            <v>F</v>
          </cell>
          <cell r="AB4426" t="str">
            <v>serum</v>
          </cell>
          <cell r="AF4426">
            <v>0.2</v>
          </cell>
        </row>
        <row r="4427">
          <cell r="A4427" t="str">
            <v>IS_alqt_plus</v>
          </cell>
          <cell r="K4427" t="str">
            <v>EFLA</v>
          </cell>
          <cell r="M4427" t="str">
            <v>F</v>
          </cell>
          <cell r="AB4427" t="str">
            <v>serum</v>
          </cell>
          <cell r="AF4427">
            <v>0.2</v>
          </cell>
        </row>
        <row r="4428">
          <cell r="A4428" t="str">
            <v>IS_alqt_plus</v>
          </cell>
          <cell r="K4428" t="str">
            <v>EFLA</v>
          </cell>
          <cell r="M4428" t="str">
            <v>F</v>
          </cell>
          <cell r="AB4428" t="str">
            <v>serum</v>
          </cell>
          <cell r="AF4428">
            <v>0.2</v>
          </cell>
        </row>
        <row r="4429">
          <cell r="A4429" t="str">
            <v>IS_alqt_plus</v>
          </cell>
          <cell r="K4429" t="str">
            <v>EFLA</v>
          </cell>
          <cell r="M4429" t="str">
            <v>F</v>
          </cell>
          <cell r="AB4429" t="str">
            <v>serum</v>
          </cell>
          <cell r="AF4429">
            <v>0.2</v>
          </cell>
        </row>
        <row r="4430">
          <cell r="A4430" t="str">
            <v>IS_alqt_minus</v>
          </cell>
          <cell r="K4430" t="str">
            <v>EFLA</v>
          </cell>
          <cell r="M4430" t="str">
            <v>F</v>
          </cell>
          <cell r="AB4430" t="str">
            <v>serum</v>
          </cell>
          <cell r="AF4430">
            <v>0.15</v>
          </cell>
        </row>
        <row r="4431">
          <cell r="A4431" t="str">
            <v>unk</v>
          </cell>
          <cell r="K4431" t="str">
            <v>EFLA</v>
          </cell>
          <cell r="M4431" t="str">
            <v>F</v>
          </cell>
          <cell r="AB4431" t="str">
            <v>serum</v>
          </cell>
          <cell r="AF4431">
            <v>1</v>
          </cell>
        </row>
        <row r="4432">
          <cell r="A4432" t="str">
            <v>IS_alqt_plus</v>
          </cell>
          <cell r="K4432" t="str">
            <v>LCAT</v>
          </cell>
          <cell r="M4432" t="str">
            <v>F</v>
          </cell>
          <cell r="AB4432" t="str">
            <v>serum</v>
          </cell>
          <cell r="AF4432">
            <v>0.6</v>
          </cell>
        </row>
        <row r="4433">
          <cell r="A4433" t="str">
            <v>IS_alqt_plus</v>
          </cell>
          <cell r="K4433" t="str">
            <v>LCAT</v>
          </cell>
          <cell r="M4433" t="str">
            <v>F</v>
          </cell>
          <cell r="AB4433" t="str">
            <v>serum</v>
          </cell>
          <cell r="AF4433">
            <v>0.65</v>
          </cell>
        </row>
        <row r="4434">
          <cell r="A4434" t="str">
            <v>IS_alqt_plus</v>
          </cell>
          <cell r="K4434" t="str">
            <v>LCAT</v>
          </cell>
          <cell r="M4434" t="str">
            <v>F</v>
          </cell>
          <cell r="AB4434" t="str">
            <v>serum</v>
          </cell>
          <cell r="AF4434">
            <v>0.7</v>
          </cell>
        </row>
        <row r="4435">
          <cell r="A4435" t="str">
            <v>IS_alqt_plus</v>
          </cell>
          <cell r="K4435" t="str">
            <v>ECOL</v>
          </cell>
          <cell r="M4435" t="str">
            <v>F</v>
          </cell>
          <cell r="AB4435" t="str">
            <v>serum</v>
          </cell>
          <cell r="AF4435">
            <v>0.75</v>
          </cell>
        </row>
        <row r="4436">
          <cell r="A4436" t="str">
            <v>IS_alqt_plus</v>
          </cell>
          <cell r="K4436" t="str">
            <v>ECOL</v>
          </cell>
          <cell r="M4436" t="str">
            <v>F</v>
          </cell>
          <cell r="AB4436" t="str">
            <v>serum</v>
          </cell>
          <cell r="AF4436">
            <v>0.75</v>
          </cell>
        </row>
        <row r="4437">
          <cell r="A4437" t="str">
            <v>IS_alqt_plus</v>
          </cell>
          <cell r="K4437" t="str">
            <v>ECOR</v>
          </cell>
          <cell r="M4437" t="str">
            <v>F</v>
          </cell>
          <cell r="AB4437" t="str">
            <v>serum</v>
          </cell>
          <cell r="AF4437">
            <v>1</v>
          </cell>
        </row>
        <row r="4438">
          <cell r="A4438" t="str">
            <v>IS_alqt_plus</v>
          </cell>
          <cell r="K4438" t="str">
            <v>ECOR</v>
          </cell>
          <cell r="M4438" t="str">
            <v>F</v>
          </cell>
          <cell r="AB4438" t="str">
            <v>serum</v>
          </cell>
          <cell r="AF4438">
            <v>0.5</v>
          </cell>
        </row>
        <row r="4439">
          <cell r="A4439" t="str">
            <v>IS_alqt_plus</v>
          </cell>
          <cell r="K4439" t="str">
            <v>ECOL</v>
          </cell>
          <cell r="M4439" t="str">
            <v>F</v>
          </cell>
          <cell r="AB4439" t="str">
            <v>WB</v>
          </cell>
          <cell r="AF4439">
            <v>0.75</v>
          </cell>
        </row>
        <row r="4440">
          <cell r="A4440" t="str">
            <v>gone</v>
          </cell>
          <cell r="K4440" t="str">
            <v>ECOR</v>
          </cell>
          <cell r="M4440" t="str">
            <v>F</v>
          </cell>
          <cell r="AB4440" t="str">
            <v>WB</v>
          </cell>
          <cell r="AF4440">
            <v>0</v>
          </cell>
        </row>
        <row r="4441">
          <cell r="A4441" t="str">
            <v>IS_alqt_plus</v>
          </cell>
          <cell r="K4441" t="str">
            <v>ECOR</v>
          </cell>
          <cell r="M4441" t="str">
            <v>F</v>
          </cell>
          <cell r="AB4441" t="str">
            <v>WB</v>
          </cell>
          <cell r="AF4441">
            <v>0.45</v>
          </cell>
        </row>
        <row r="4442">
          <cell r="A4442" t="str">
            <v>IS_alqt_plus</v>
          </cell>
          <cell r="K4442" t="str">
            <v>PCOQ</v>
          </cell>
          <cell r="M4442" t="str">
            <v>M</v>
          </cell>
          <cell r="AB4442" t="str">
            <v>serum</v>
          </cell>
          <cell r="AF4442">
            <v>0.5</v>
          </cell>
        </row>
        <row r="4443">
          <cell r="A4443" t="str">
            <v>IS_alqt_plus</v>
          </cell>
          <cell r="K4443" t="str">
            <v>PCOQ</v>
          </cell>
          <cell r="M4443" t="str">
            <v>M</v>
          </cell>
          <cell r="AB4443" t="str">
            <v>serum</v>
          </cell>
          <cell r="AF4443">
            <v>0.4</v>
          </cell>
        </row>
        <row r="4444">
          <cell r="A4444" t="str">
            <v>IS_alqt_plus</v>
          </cell>
          <cell r="K4444" t="str">
            <v>PCOQ</v>
          </cell>
          <cell r="M4444" t="str">
            <v>M</v>
          </cell>
          <cell r="AB4444" t="str">
            <v>serum</v>
          </cell>
          <cell r="AF4444">
            <v>0.5</v>
          </cell>
        </row>
        <row r="4445">
          <cell r="A4445" t="str">
            <v>IS_alqt_plus</v>
          </cell>
          <cell r="K4445" t="str">
            <v>PCOQ</v>
          </cell>
          <cell r="M4445" t="str">
            <v>M</v>
          </cell>
          <cell r="AB4445" t="str">
            <v>serum</v>
          </cell>
          <cell r="AF4445">
            <v>1</v>
          </cell>
        </row>
        <row r="4446">
          <cell r="A4446" t="str">
            <v>IS_alqt_plus</v>
          </cell>
          <cell r="K4446" t="str">
            <v>PCOQ</v>
          </cell>
          <cell r="M4446" t="str">
            <v>M</v>
          </cell>
          <cell r="AB4446" t="str">
            <v>serum</v>
          </cell>
          <cell r="AF4446">
            <v>0.4</v>
          </cell>
        </row>
        <row r="4447">
          <cell r="A4447" t="str">
            <v>IS_alqt_plus</v>
          </cell>
          <cell r="K4447" t="str">
            <v>PCOQ</v>
          </cell>
          <cell r="M4447" t="str">
            <v>M</v>
          </cell>
          <cell r="AB4447" t="str">
            <v>serum</v>
          </cell>
          <cell r="AF4447">
            <v>0.45</v>
          </cell>
        </row>
        <row r="4448">
          <cell r="A4448" t="str">
            <v>IS_alqt_plus</v>
          </cell>
          <cell r="K4448" t="str">
            <v>PCOQ</v>
          </cell>
          <cell r="M4448" t="str">
            <v>M</v>
          </cell>
          <cell r="AB4448" t="str">
            <v>serum</v>
          </cell>
          <cell r="AF4448">
            <v>0.65</v>
          </cell>
        </row>
        <row r="4449">
          <cell r="A4449" t="str">
            <v>IS_alqt_plus</v>
          </cell>
          <cell r="K4449" t="str">
            <v>DMAD</v>
          </cell>
          <cell r="M4449" t="str">
            <v>M</v>
          </cell>
          <cell r="AB4449" t="str">
            <v>serum</v>
          </cell>
          <cell r="AF4449">
            <v>0.5</v>
          </cell>
        </row>
        <row r="4450">
          <cell r="A4450" t="str">
            <v>IS_alqt_plus</v>
          </cell>
          <cell r="K4450" t="str">
            <v>DMAD</v>
          </cell>
          <cell r="M4450" t="str">
            <v>M</v>
          </cell>
          <cell r="AB4450" t="str">
            <v>WB</v>
          </cell>
          <cell r="AF4450">
            <v>0.4</v>
          </cell>
        </row>
        <row r="4451">
          <cell r="A4451" t="str">
            <v>IS_alqt_plus</v>
          </cell>
          <cell r="K4451" t="str">
            <v>HGG</v>
          </cell>
          <cell r="M4451" t="str">
            <v>F</v>
          </cell>
          <cell r="AB4451" t="str">
            <v>plasma</v>
          </cell>
          <cell r="AF4451">
            <v>0.4</v>
          </cell>
        </row>
        <row r="4452">
          <cell r="A4452" t="str">
            <v>IS_alqt_plus</v>
          </cell>
          <cell r="K4452" t="str">
            <v>EMAC</v>
          </cell>
          <cell r="M4452" t="str">
            <v>F</v>
          </cell>
          <cell r="AB4452" t="str">
            <v>WB</v>
          </cell>
          <cell r="AF4452">
            <v>0.7</v>
          </cell>
        </row>
        <row r="4453">
          <cell r="A4453" t="str">
            <v>IS_alqt_plus</v>
          </cell>
          <cell r="K4453" t="str">
            <v>EMAC</v>
          </cell>
          <cell r="M4453" t="str">
            <v>F</v>
          </cell>
          <cell r="AB4453" t="str">
            <v>serum</v>
          </cell>
          <cell r="AF4453">
            <v>0.75</v>
          </cell>
        </row>
        <row r="4454">
          <cell r="A4454" t="str">
            <v>IS_alqt_plus</v>
          </cell>
          <cell r="K4454" t="str">
            <v>EMAC</v>
          </cell>
          <cell r="M4454" t="str">
            <v>F</v>
          </cell>
          <cell r="AB4454" t="str">
            <v>serum</v>
          </cell>
          <cell r="AF4454">
            <v>0.75</v>
          </cell>
        </row>
        <row r="4455">
          <cell r="A4455" t="str">
            <v>gone</v>
          </cell>
          <cell r="K4455" t="str">
            <v>EMAC</v>
          </cell>
          <cell r="M4455" t="str">
            <v>F</v>
          </cell>
          <cell r="AB4455" t="str">
            <v>WB</v>
          </cell>
          <cell r="AF4455">
            <v>0</v>
          </cell>
        </row>
        <row r="4456">
          <cell r="A4456" t="str">
            <v>IS_alqt_plus</v>
          </cell>
          <cell r="K4456" t="str">
            <v>EMAC</v>
          </cell>
          <cell r="M4456" t="str">
            <v>M</v>
          </cell>
          <cell r="AB4456" t="str">
            <v>WB</v>
          </cell>
          <cell r="AF4456">
            <v>0.6</v>
          </cell>
        </row>
        <row r="4457">
          <cell r="A4457" t="str">
            <v>IS_alqt_plus</v>
          </cell>
          <cell r="K4457" t="str">
            <v>EMAC</v>
          </cell>
          <cell r="M4457" t="str">
            <v>F</v>
          </cell>
          <cell r="AB4457" t="str">
            <v>serum</v>
          </cell>
          <cell r="AF4457">
            <v>0.75</v>
          </cell>
        </row>
        <row r="4458">
          <cell r="A4458" t="str">
            <v>IS_alqt_plus</v>
          </cell>
          <cell r="K4458" t="str">
            <v>EMAC</v>
          </cell>
          <cell r="M4458" t="str">
            <v>M</v>
          </cell>
          <cell r="AB4458" t="str">
            <v>serum</v>
          </cell>
          <cell r="AF4458">
            <v>0.75</v>
          </cell>
        </row>
        <row r="4459">
          <cell r="A4459" t="str">
            <v>gone</v>
          </cell>
          <cell r="K4459" t="str">
            <v>CMED</v>
          </cell>
          <cell r="M4459" t="str">
            <v>F</v>
          </cell>
          <cell r="AB4459" t="str">
            <v>WB</v>
          </cell>
          <cell r="AF4459">
            <v>0</v>
          </cell>
        </row>
        <row r="4460">
          <cell r="A4460" t="str">
            <v>IS_alqt_plus</v>
          </cell>
          <cell r="K4460" t="str">
            <v>EMAC</v>
          </cell>
          <cell r="M4460" t="str">
            <v>M</v>
          </cell>
          <cell r="AB4460" t="str">
            <v>serum</v>
          </cell>
          <cell r="AF4460">
            <v>0.6</v>
          </cell>
        </row>
        <row r="4461">
          <cell r="A4461" t="str">
            <v>IS_alqt_plus</v>
          </cell>
          <cell r="K4461" t="str">
            <v>EMON</v>
          </cell>
          <cell r="M4461" t="str">
            <v>M</v>
          </cell>
          <cell r="AB4461" t="str">
            <v>serum</v>
          </cell>
          <cell r="AF4461">
            <v>0.5</v>
          </cell>
        </row>
        <row r="4462">
          <cell r="A4462" t="str">
            <v>IS_alqt_plus</v>
          </cell>
          <cell r="K4462" t="str">
            <v>EMON</v>
          </cell>
          <cell r="M4462" t="str">
            <v>M</v>
          </cell>
          <cell r="AB4462" t="str">
            <v>serum</v>
          </cell>
          <cell r="AF4462">
            <v>0.5</v>
          </cell>
        </row>
        <row r="4463">
          <cell r="A4463" t="str">
            <v>IS_alqt_plus</v>
          </cell>
          <cell r="K4463" t="str">
            <v>EMON</v>
          </cell>
          <cell r="M4463" t="str">
            <v>M</v>
          </cell>
          <cell r="AB4463" t="str">
            <v>serum</v>
          </cell>
          <cell r="AF4463">
            <v>0.5</v>
          </cell>
        </row>
        <row r="4464">
          <cell r="A4464" t="str">
            <v>IS_alqt_plus</v>
          </cell>
          <cell r="K4464" t="str">
            <v>EMON</v>
          </cell>
          <cell r="M4464" t="str">
            <v>M</v>
          </cell>
          <cell r="AB4464" t="str">
            <v>serum</v>
          </cell>
          <cell r="AF4464">
            <v>0.5</v>
          </cell>
        </row>
        <row r="4465">
          <cell r="A4465" t="str">
            <v>IS_alqt_plus</v>
          </cell>
          <cell r="K4465" t="str">
            <v>LCAT</v>
          </cell>
          <cell r="M4465" t="str">
            <v>M</v>
          </cell>
          <cell r="AB4465" t="str">
            <v>WB</v>
          </cell>
          <cell r="AF4465">
            <v>0.95</v>
          </cell>
        </row>
        <row r="4466">
          <cell r="A4466" t="str">
            <v>IS_alqt_plus</v>
          </cell>
          <cell r="K4466" t="str">
            <v>LCAT</v>
          </cell>
          <cell r="M4466" t="str">
            <v>F</v>
          </cell>
          <cell r="AB4466" t="str">
            <v>serum</v>
          </cell>
          <cell r="AF4466">
            <v>0.7</v>
          </cell>
        </row>
        <row r="4467">
          <cell r="A4467" t="str">
            <v>IS_alqt_plus</v>
          </cell>
          <cell r="K4467" t="str">
            <v>LCAT</v>
          </cell>
          <cell r="M4467" t="str">
            <v>M</v>
          </cell>
          <cell r="AB4467" t="str">
            <v>WB</v>
          </cell>
          <cell r="AF4467">
            <v>1</v>
          </cell>
        </row>
        <row r="4468">
          <cell r="A4468" t="str">
            <v>IS_alqt_plus</v>
          </cell>
          <cell r="K4468" t="str">
            <v>PCOQ</v>
          </cell>
          <cell r="M4468" t="str">
            <v>F</v>
          </cell>
          <cell r="AB4468" t="str">
            <v>serum</v>
          </cell>
          <cell r="AF4468">
            <v>0.7</v>
          </cell>
        </row>
        <row r="4469">
          <cell r="A4469" t="str">
            <v>IS_alqt_plus</v>
          </cell>
          <cell r="K4469" t="str">
            <v>PCOQ</v>
          </cell>
          <cell r="M4469" t="str">
            <v>M</v>
          </cell>
          <cell r="AB4469" t="str">
            <v>serum</v>
          </cell>
          <cell r="AF4469">
            <v>0.6</v>
          </cell>
        </row>
        <row r="4470">
          <cell r="A4470" t="str">
            <v>IS_alqt_plus</v>
          </cell>
          <cell r="K4470" t="str">
            <v>DMAD</v>
          </cell>
          <cell r="M4470" t="str">
            <v>M</v>
          </cell>
          <cell r="AB4470" t="str">
            <v>WB</v>
          </cell>
          <cell r="AF4470">
            <v>0.2</v>
          </cell>
        </row>
        <row r="4471">
          <cell r="A4471" t="str">
            <v>IS_alqt_plus</v>
          </cell>
          <cell r="K4471" t="str">
            <v>DMAD</v>
          </cell>
          <cell r="M4471" t="str">
            <v>M</v>
          </cell>
          <cell r="AB4471" t="str">
            <v>WB</v>
          </cell>
          <cell r="AF4471">
            <v>0.2</v>
          </cell>
        </row>
        <row r="4472">
          <cell r="A4472" t="str">
            <v>gone</v>
          </cell>
          <cell r="K4472" t="str">
            <v>LCAT</v>
          </cell>
          <cell r="M4472" t="str">
            <v>M</v>
          </cell>
          <cell r="AB4472" t="str">
            <v>WB</v>
          </cell>
          <cell r="AF4472">
            <v>0</v>
          </cell>
        </row>
        <row r="4473">
          <cell r="A4473" t="str">
            <v>IS_alqt_plus</v>
          </cell>
          <cell r="K4473" t="str">
            <v>LCAT</v>
          </cell>
          <cell r="M4473" t="str">
            <v>F</v>
          </cell>
          <cell r="AB4473" t="str">
            <v>WB</v>
          </cell>
          <cell r="AF4473">
            <v>0.4</v>
          </cell>
        </row>
        <row r="4474">
          <cell r="A4474" t="str">
            <v>IS_alqt_plus</v>
          </cell>
          <cell r="K4474" t="str">
            <v>PCOQ</v>
          </cell>
          <cell r="M4474" t="str">
            <v>M</v>
          </cell>
          <cell r="AB4474" t="str">
            <v>serum</v>
          </cell>
          <cell r="AF4474">
            <v>0.5</v>
          </cell>
        </row>
        <row r="4475">
          <cell r="A4475" t="str">
            <v>IS_alqt_plus</v>
          </cell>
          <cell r="K4475" t="str">
            <v>PCOQ</v>
          </cell>
          <cell r="M4475" t="str">
            <v>M</v>
          </cell>
          <cell r="AB4475" t="str">
            <v>serum</v>
          </cell>
          <cell r="AF4475">
            <v>0.5</v>
          </cell>
        </row>
        <row r="4476">
          <cell r="A4476" t="str">
            <v>gone</v>
          </cell>
          <cell r="K4476" t="str">
            <v>ERUB</v>
          </cell>
          <cell r="M4476" t="str">
            <v>F</v>
          </cell>
          <cell r="AB4476" t="str">
            <v>WB</v>
          </cell>
          <cell r="AF4476">
            <v>0</v>
          </cell>
        </row>
        <row r="4477">
          <cell r="A4477" t="str">
            <v>IS_alqt_plus</v>
          </cell>
          <cell r="K4477" t="str">
            <v>ERUB</v>
          </cell>
          <cell r="M4477" t="str">
            <v>F</v>
          </cell>
          <cell r="AB4477" t="str">
            <v>serum</v>
          </cell>
          <cell r="AF4477">
            <v>0.8</v>
          </cell>
        </row>
        <row r="4478">
          <cell r="A4478" t="str">
            <v>IS_alqt_plus</v>
          </cell>
          <cell r="K4478" t="str">
            <v>EMON</v>
          </cell>
          <cell r="M4478" t="str">
            <v>M</v>
          </cell>
          <cell r="AB4478" t="str">
            <v>serum</v>
          </cell>
          <cell r="AF4478">
            <v>0.5</v>
          </cell>
        </row>
        <row r="4479">
          <cell r="A4479" t="str">
            <v>IS_alqt_plus</v>
          </cell>
          <cell r="K4479" t="str">
            <v>EMON</v>
          </cell>
          <cell r="M4479" t="str">
            <v>M</v>
          </cell>
          <cell r="AB4479" t="str">
            <v>serum</v>
          </cell>
          <cell r="AF4479">
            <v>0.5</v>
          </cell>
        </row>
        <row r="4480">
          <cell r="A4480" t="str">
            <v>IS_alqt_plus</v>
          </cell>
          <cell r="K4480" t="str">
            <v>VRUB</v>
          </cell>
          <cell r="M4480" t="str">
            <v>M</v>
          </cell>
          <cell r="AB4480" t="str">
            <v>serum</v>
          </cell>
          <cell r="AF4480">
            <v>0.8</v>
          </cell>
        </row>
        <row r="4481">
          <cell r="A4481" t="str">
            <v>IS_alqt_plus</v>
          </cell>
          <cell r="K4481" t="str">
            <v>VRUB</v>
          </cell>
          <cell r="M4481" t="str">
            <v>M</v>
          </cell>
          <cell r="AB4481" t="str">
            <v>serum</v>
          </cell>
          <cell r="AF4481">
            <v>0.4</v>
          </cell>
        </row>
        <row r="4482">
          <cell r="A4482" t="str">
            <v>IS_alqt_plus</v>
          </cell>
          <cell r="K4482" t="str">
            <v>VRUB</v>
          </cell>
          <cell r="M4482" t="str">
            <v>M</v>
          </cell>
          <cell r="AB4482" t="str">
            <v>serum</v>
          </cell>
          <cell r="AF4482">
            <v>0.7</v>
          </cell>
        </row>
        <row r="4483">
          <cell r="A4483" t="str">
            <v>IS_alqt_plus</v>
          </cell>
          <cell r="K4483" t="str">
            <v>VRUB</v>
          </cell>
          <cell r="M4483" t="str">
            <v>M</v>
          </cell>
          <cell r="AB4483" t="str">
            <v>serum</v>
          </cell>
          <cell r="AF4483">
            <v>0.5</v>
          </cell>
        </row>
        <row r="4484">
          <cell r="A4484" t="str">
            <v>IS_alqt_plus</v>
          </cell>
          <cell r="K4484" t="str">
            <v>VRUB</v>
          </cell>
          <cell r="M4484" t="str">
            <v>M</v>
          </cell>
          <cell r="AB4484" t="str">
            <v>serum</v>
          </cell>
          <cell r="AF4484">
            <v>0.4</v>
          </cell>
        </row>
        <row r="4485">
          <cell r="A4485" t="str">
            <v>IS_alqt_plus</v>
          </cell>
          <cell r="K4485" t="str">
            <v>VVV</v>
          </cell>
          <cell r="M4485" t="str">
            <v>M</v>
          </cell>
          <cell r="AB4485" t="str">
            <v>serum</v>
          </cell>
          <cell r="AF4485">
            <v>0.4</v>
          </cell>
        </row>
        <row r="4486">
          <cell r="A4486" t="str">
            <v>IS_alqt_plus</v>
          </cell>
          <cell r="K4486" t="str">
            <v>VVV</v>
          </cell>
          <cell r="M4486" t="str">
            <v>M</v>
          </cell>
          <cell r="AB4486" t="str">
            <v>serum</v>
          </cell>
          <cell r="AF4486">
            <v>0.5</v>
          </cell>
        </row>
        <row r="4487">
          <cell r="A4487" t="str">
            <v>IS_alqt_plus</v>
          </cell>
          <cell r="K4487" t="str">
            <v>DMAD</v>
          </cell>
          <cell r="M4487" t="str">
            <v>F</v>
          </cell>
          <cell r="AB4487" t="str">
            <v>serum</v>
          </cell>
          <cell r="AF4487">
            <v>0.4</v>
          </cell>
        </row>
        <row r="4488">
          <cell r="A4488" t="str">
            <v>IS_alqt_plus</v>
          </cell>
          <cell r="K4488" t="str">
            <v>DMAD</v>
          </cell>
          <cell r="M4488" t="str">
            <v>F</v>
          </cell>
          <cell r="AB4488" t="str">
            <v>WB</v>
          </cell>
          <cell r="AF4488">
            <v>0.45</v>
          </cell>
        </row>
        <row r="4489">
          <cell r="A4489" t="str">
            <v>IS_alqt_plus</v>
          </cell>
          <cell r="K4489" t="str">
            <v>VRUB</v>
          </cell>
          <cell r="M4489" t="str">
            <v>F</v>
          </cell>
          <cell r="AB4489" t="str">
            <v>WB</v>
          </cell>
          <cell r="AF4489">
            <v>0.5</v>
          </cell>
        </row>
        <row r="4490">
          <cell r="A4490" t="str">
            <v>IS_alqt_plus</v>
          </cell>
          <cell r="K4490" t="str">
            <v>VRUB</v>
          </cell>
          <cell r="M4490" t="str">
            <v>F</v>
          </cell>
          <cell r="AB4490" t="str">
            <v>serum</v>
          </cell>
          <cell r="AF4490">
            <v>0.5</v>
          </cell>
        </row>
        <row r="4491">
          <cell r="A4491" t="str">
            <v>IS_alqt_plus</v>
          </cell>
          <cell r="K4491" t="str">
            <v>LCAT</v>
          </cell>
          <cell r="M4491" t="str">
            <v>F</v>
          </cell>
          <cell r="AB4491" t="str">
            <v>WB</v>
          </cell>
          <cell r="AF4491">
            <v>0.75</v>
          </cell>
        </row>
        <row r="4492">
          <cell r="A4492" t="str">
            <v>IS_alqt_plus</v>
          </cell>
          <cell r="K4492" t="str">
            <v>LCAT</v>
          </cell>
          <cell r="M4492" t="str">
            <v>F</v>
          </cell>
          <cell r="AB4492" t="str">
            <v>serum</v>
          </cell>
          <cell r="AF4492">
            <v>0.45</v>
          </cell>
        </row>
        <row r="4493">
          <cell r="A4493" t="str">
            <v>IS_alqt_plus</v>
          </cell>
          <cell r="K4493" t="str">
            <v>DMAD</v>
          </cell>
          <cell r="M4493" t="str">
            <v>M</v>
          </cell>
          <cell r="AB4493" t="str">
            <v>serum</v>
          </cell>
          <cell r="AF4493">
            <v>0.5</v>
          </cell>
        </row>
        <row r="4494">
          <cell r="A4494" t="str">
            <v>IS_alqt_plus</v>
          </cell>
          <cell r="K4494" t="str">
            <v>DMAD</v>
          </cell>
          <cell r="M4494" t="str">
            <v>M</v>
          </cell>
          <cell r="AB4494" t="str">
            <v>Fluid- pericardial</v>
          </cell>
          <cell r="AF4494">
            <v>1.4</v>
          </cell>
        </row>
        <row r="4495">
          <cell r="A4495" t="str">
            <v>IS_alqt_minus</v>
          </cell>
          <cell r="K4495" t="str">
            <v>NPYG</v>
          </cell>
          <cell r="M4495" t="str">
            <v>F</v>
          </cell>
          <cell r="AB4495" t="str">
            <v>WB</v>
          </cell>
          <cell r="AF4495">
            <v>0.1</v>
          </cell>
        </row>
        <row r="4496">
          <cell r="A4496" t="str">
            <v>IS_alqt_plus</v>
          </cell>
          <cell r="K4496" t="str">
            <v>NPYG</v>
          </cell>
          <cell r="M4496" t="str">
            <v>F</v>
          </cell>
          <cell r="AB4496" t="str">
            <v>serum</v>
          </cell>
          <cell r="AF4496">
            <v>0.2</v>
          </cell>
        </row>
        <row r="4497">
          <cell r="A4497" t="str">
            <v>IS_alqt_plus</v>
          </cell>
          <cell r="K4497" t="str">
            <v>LCAT</v>
          </cell>
          <cell r="M4497" t="str">
            <v>M</v>
          </cell>
          <cell r="AB4497" t="str">
            <v>WB</v>
          </cell>
          <cell r="AF4497">
            <v>1</v>
          </cell>
        </row>
        <row r="4498">
          <cell r="A4498" t="str">
            <v>IS_alqt_minus</v>
          </cell>
          <cell r="K4498" t="str">
            <v>NPYG</v>
          </cell>
          <cell r="M4498" t="str">
            <v>F</v>
          </cell>
          <cell r="AB4498" t="str">
            <v>WB</v>
          </cell>
          <cell r="AF4498">
            <v>0.1</v>
          </cell>
        </row>
        <row r="4499">
          <cell r="A4499" t="str">
            <v>IS_alqt_plus</v>
          </cell>
          <cell r="K4499" t="str">
            <v>LCAT</v>
          </cell>
          <cell r="M4499" t="str">
            <v>M</v>
          </cell>
          <cell r="AB4499" t="str">
            <v>WB</v>
          </cell>
          <cell r="AF4499">
            <v>1.6</v>
          </cell>
        </row>
        <row r="4500">
          <cell r="A4500" t="str">
            <v>IS_alqt_plus</v>
          </cell>
          <cell r="K4500" t="str">
            <v>LCAT</v>
          </cell>
          <cell r="M4500" t="str">
            <v>F</v>
          </cell>
          <cell r="AB4500" t="str">
            <v>serum</v>
          </cell>
          <cell r="AF4500">
            <v>1</v>
          </cell>
        </row>
        <row r="4501">
          <cell r="A4501" t="str">
            <v>IS_alqt_plus</v>
          </cell>
          <cell r="K4501" t="str">
            <v>NPYG</v>
          </cell>
          <cell r="M4501" t="str">
            <v>F</v>
          </cell>
          <cell r="AB4501" t="str">
            <v>plasma</v>
          </cell>
          <cell r="AF4501">
            <v>0.3</v>
          </cell>
        </row>
        <row r="4502">
          <cell r="A4502" t="str">
            <v>IS_alqt_plus</v>
          </cell>
          <cell r="K4502" t="str">
            <v>LCAT</v>
          </cell>
          <cell r="M4502" t="str">
            <v>F</v>
          </cell>
          <cell r="AB4502" t="str">
            <v>serum</v>
          </cell>
          <cell r="AF4502">
            <v>0.6</v>
          </cell>
        </row>
        <row r="4503">
          <cell r="A4503" t="str">
            <v>IS_alqt_plus</v>
          </cell>
          <cell r="K4503" t="str">
            <v>LCAT</v>
          </cell>
          <cell r="M4503" t="str">
            <v>F</v>
          </cell>
          <cell r="AB4503" t="str">
            <v>WB</v>
          </cell>
          <cell r="AF4503">
            <v>0.5</v>
          </cell>
        </row>
        <row r="4504">
          <cell r="A4504" t="str">
            <v>IS_alqt_plus</v>
          </cell>
          <cell r="K4504" t="str">
            <v>LCAT</v>
          </cell>
          <cell r="M4504" t="str">
            <v>F</v>
          </cell>
          <cell r="AB4504" t="str">
            <v>serum</v>
          </cell>
          <cell r="AF4504">
            <v>0.4</v>
          </cell>
        </row>
        <row r="4505">
          <cell r="A4505" t="str">
            <v>IS_alqt_plus</v>
          </cell>
          <cell r="K4505" t="str">
            <v>LCAT</v>
          </cell>
          <cell r="M4505" t="str">
            <v>F</v>
          </cell>
          <cell r="AB4505" t="str">
            <v>serum</v>
          </cell>
          <cell r="AF4505">
            <v>0.5</v>
          </cell>
        </row>
        <row r="4506">
          <cell r="A4506" t="str">
            <v>IS_alqt_minus</v>
          </cell>
          <cell r="K4506" t="str">
            <v>MMUR</v>
          </cell>
          <cell r="M4506" t="str">
            <v>M</v>
          </cell>
          <cell r="AB4506" t="str">
            <v>plasma</v>
          </cell>
          <cell r="AF4506">
            <v>0.1</v>
          </cell>
        </row>
        <row r="4507">
          <cell r="A4507" t="str">
            <v>IS_alqt_plus</v>
          </cell>
          <cell r="K4507" t="str">
            <v>ECOR</v>
          </cell>
          <cell r="M4507" t="str">
            <v>F</v>
          </cell>
          <cell r="AB4507" t="str">
            <v>WB</v>
          </cell>
          <cell r="AF4507">
            <v>1</v>
          </cell>
        </row>
        <row r="4508">
          <cell r="A4508" t="str">
            <v>IS_alqt_plus</v>
          </cell>
          <cell r="K4508" t="str">
            <v>ECOR</v>
          </cell>
          <cell r="M4508" t="str">
            <v>F</v>
          </cell>
          <cell r="AB4508" t="str">
            <v>WB</v>
          </cell>
          <cell r="AF4508">
            <v>1</v>
          </cell>
        </row>
        <row r="4509">
          <cell r="A4509" t="str">
            <v>IS_alqt_plus</v>
          </cell>
          <cell r="K4509" t="str">
            <v>ECOR</v>
          </cell>
          <cell r="M4509" t="str">
            <v>F</v>
          </cell>
          <cell r="AB4509" t="str">
            <v>WB</v>
          </cell>
          <cell r="AF4509">
            <v>1</v>
          </cell>
        </row>
        <row r="4510">
          <cell r="A4510" t="str">
            <v>IS_alqt_plus</v>
          </cell>
          <cell r="K4510" t="str">
            <v>ECOR</v>
          </cell>
          <cell r="M4510" t="str">
            <v>F</v>
          </cell>
          <cell r="AB4510" t="str">
            <v>WB</v>
          </cell>
          <cell r="AF4510">
            <v>1</v>
          </cell>
        </row>
        <row r="4511">
          <cell r="A4511" t="str">
            <v>IS_alqt_plus</v>
          </cell>
          <cell r="K4511" t="str">
            <v>ECOR</v>
          </cell>
          <cell r="M4511" t="str">
            <v>F</v>
          </cell>
          <cell r="AB4511" t="str">
            <v>WB</v>
          </cell>
          <cell r="AF4511">
            <v>1</v>
          </cell>
        </row>
        <row r="4512">
          <cell r="A4512" t="str">
            <v>IS_alqt_plus</v>
          </cell>
          <cell r="K4512" t="str">
            <v>ECOR</v>
          </cell>
          <cell r="M4512" t="str">
            <v>F</v>
          </cell>
          <cell r="AB4512" t="str">
            <v>WB</v>
          </cell>
          <cell r="AF4512">
            <v>1</v>
          </cell>
        </row>
        <row r="4513">
          <cell r="A4513" t="str">
            <v>IS_alqt_plus</v>
          </cell>
          <cell r="K4513" t="str">
            <v>ECOR</v>
          </cell>
          <cell r="M4513" t="str">
            <v>F</v>
          </cell>
          <cell r="AB4513" t="str">
            <v>WB</v>
          </cell>
          <cell r="AF4513">
            <v>1</v>
          </cell>
        </row>
        <row r="4514">
          <cell r="A4514" t="str">
            <v>IS_alqt_plus</v>
          </cell>
          <cell r="K4514" t="str">
            <v>ECOR</v>
          </cell>
          <cell r="M4514" t="str">
            <v>F</v>
          </cell>
          <cell r="AB4514" t="str">
            <v>WB</v>
          </cell>
          <cell r="AF4514">
            <v>1</v>
          </cell>
        </row>
        <row r="4515">
          <cell r="A4515" t="str">
            <v>IS_alqt_plus</v>
          </cell>
          <cell r="K4515" t="str">
            <v>ECOR</v>
          </cell>
          <cell r="M4515" t="str">
            <v>F</v>
          </cell>
          <cell r="AB4515" t="str">
            <v>WB</v>
          </cell>
          <cell r="AF4515">
            <v>1</v>
          </cell>
        </row>
        <row r="4516">
          <cell r="A4516" t="str">
            <v>IS_alqt_plus</v>
          </cell>
          <cell r="K4516" t="str">
            <v>ECOR</v>
          </cell>
          <cell r="M4516" t="str">
            <v>F</v>
          </cell>
          <cell r="AB4516" t="str">
            <v>WB</v>
          </cell>
          <cell r="AF4516">
            <v>1</v>
          </cell>
        </row>
        <row r="4517">
          <cell r="A4517" t="str">
            <v>IS_alqt_plus</v>
          </cell>
          <cell r="K4517" t="str">
            <v>ECOR</v>
          </cell>
          <cell r="M4517" t="str">
            <v>F</v>
          </cell>
          <cell r="AB4517" t="str">
            <v>WB</v>
          </cell>
          <cell r="AF4517">
            <v>1</v>
          </cell>
        </row>
        <row r="4518">
          <cell r="A4518" t="str">
            <v>IS_alqt_plus</v>
          </cell>
          <cell r="K4518" t="str">
            <v>ECOR</v>
          </cell>
          <cell r="M4518" t="str">
            <v>F</v>
          </cell>
          <cell r="AB4518" t="str">
            <v>WB</v>
          </cell>
          <cell r="AF4518">
            <v>1</v>
          </cell>
        </row>
        <row r="4519">
          <cell r="A4519" t="str">
            <v>IS_alqt_plus</v>
          </cell>
          <cell r="K4519" t="str">
            <v>ECOR</v>
          </cell>
          <cell r="M4519" t="str">
            <v>F</v>
          </cell>
          <cell r="AB4519" t="str">
            <v>WB</v>
          </cell>
          <cell r="AF4519">
            <v>1</v>
          </cell>
        </row>
        <row r="4520">
          <cell r="A4520" t="str">
            <v>IS_alqt_plus</v>
          </cell>
          <cell r="K4520" t="str">
            <v>ECOR</v>
          </cell>
          <cell r="M4520" t="str">
            <v>F</v>
          </cell>
          <cell r="AB4520" t="str">
            <v>WB</v>
          </cell>
          <cell r="AF4520">
            <v>1</v>
          </cell>
        </row>
        <row r="4521">
          <cell r="A4521" t="str">
            <v>IS_alqt_plus</v>
          </cell>
          <cell r="K4521" t="str">
            <v>ECOR</v>
          </cell>
          <cell r="M4521" t="str">
            <v>F</v>
          </cell>
          <cell r="AB4521" t="str">
            <v>WB</v>
          </cell>
          <cell r="AF4521">
            <v>1</v>
          </cell>
        </row>
        <row r="4522">
          <cell r="A4522" t="str">
            <v>gone</v>
          </cell>
          <cell r="K4522" t="str">
            <v>ECOR</v>
          </cell>
          <cell r="M4522" t="str">
            <v>F</v>
          </cell>
          <cell r="AB4522" t="str">
            <v>WB</v>
          </cell>
          <cell r="AF4522">
            <v>0</v>
          </cell>
        </row>
        <row r="4523">
          <cell r="A4523" t="str">
            <v>gone</v>
          </cell>
          <cell r="K4523" t="str">
            <v>ECOR</v>
          </cell>
          <cell r="M4523" t="str">
            <v>F</v>
          </cell>
          <cell r="AB4523" t="str">
            <v>WB</v>
          </cell>
          <cell r="AF4523">
            <v>0</v>
          </cell>
        </row>
        <row r="4524">
          <cell r="A4524" t="str">
            <v>IS_alqt_plus</v>
          </cell>
          <cell r="K4524" t="str">
            <v>ECOR</v>
          </cell>
          <cell r="M4524" t="str">
            <v>F</v>
          </cell>
          <cell r="AB4524" t="str">
            <v>WB</v>
          </cell>
          <cell r="AF4524">
            <v>1.3</v>
          </cell>
        </row>
        <row r="4525">
          <cell r="A4525" t="str">
            <v>IS_alqt_plus</v>
          </cell>
          <cell r="K4525" t="str">
            <v>ECOR</v>
          </cell>
          <cell r="M4525" t="str">
            <v>F</v>
          </cell>
          <cell r="AB4525" t="str">
            <v>WB</v>
          </cell>
          <cell r="AF4525">
            <v>1.5</v>
          </cell>
        </row>
        <row r="4526">
          <cell r="A4526" t="str">
            <v>IS_alqt_plus</v>
          </cell>
          <cell r="K4526" t="str">
            <v>ECOR</v>
          </cell>
          <cell r="M4526" t="str">
            <v>F</v>
          </cell>
          <cell r="AB4526" t="str">
            <v>WB</v>
          </cell>
          <cell r="AF4526">
            <v>1.5</v>
          </cell>
        </row>
        <row r="4527">
          <cell r="A4527" t="str">
            <v>IS_alqt_plus</v>
          </cell>
          <cell r="K4527" t="str">
            <v>ECOR</v>
          </cell>
          <cell r="M4527" t="str">
            <v>F</v>
          </cell>
          <cell r="AB4527" t="str">
            <v>WB</v>
          </cell>
          <cell r="AF4527">
            <v>1.5</v>
          </cell>
        </row>
        <row r="4528">
          <cell r="A4528" t="str">
            <v>IS_alqt_plus</v>
          </cell>
          <cell r="K4528" t="str">
            <v>ECOR</v>
          </cell>
          <cell r="M4528" t="str">
            <v>F</v>
          </cell>
          <cell r="AB4528" t="str">
            <v>WB</v>
          </cell>
          <cell r="AF4528">
            <v>1.5</v>
          </cell>
        </row>
        <row r="4529">
          <cell r="A4529" t="str">
            <v>IS_alqt_plus</v>
          </cell>
          <cell r="K4529" t="str">
            <v>ECOR</v>
          </cell>
          <cell r="M4529" t="str">
            <v>F</v>
          </cell>
          <cell r="AB4529" t="str">
            <v>WB</v>
          </cell>
          <cell r="AF4529">
            <v>1.5</v>
          </cell>
        </row>
        <row r="4530">
          <cell r="A4530" t="str">
            <v>IS_alqt_plus</v>
          </cell>
          <cell r="K4530" t="str">
            <v>ECOR</v>
          </cell>
          <cell r="M4530" t="str">
            <v>F</v>
          </cell>
          <cell r="AB4530" t="str">
            <v>WB</v>
          </cell>
          <cell r="AF4530">
            <v>1.5</v>
          </cell>
        </row>
        <row r="4531">
          <cell r="A4531" t="str">
            <v>IS_alqt_plus</v>
          </cell>
          <cell r="K4531" t="str">
            <v>ECOR</v>
          </cell>
          <cell r="M4531" t="str">
            <v>F</v>
          </cell>
          <cell r="AB4531" t="str">
            <v>WB</v>
          </cell>
          <cell r="AF4531">
            <v>1.5</v>
          </cell>
        </row>
        <row r="4532">
          <cell r="A4532" t="str">
            <v>IS_alqt_plus</v>
          </cell>
          <cell r="K4532" t="str">
            <v>ECOR</v>
          </cell>
          <cell r="M4532" t="str">
            <v>F</v>
          </cell>
          <cell r="AB4532" t="str">
            <v>WB</v>
          </cell>
          <cell r="AF4532">
            <v>1.5</v>
          </cell>
        </row>
        <row r="4533">
          <cell r="A4533" t="str">
            <v>IS_alqt_plus</v>
          </cell>
          <cell r="K4533" t="str">
            <v>ECOR</v>
          </cell>
          <cell r="M4533" t="str">
            <v>F</v>
          </cell>
          <cell r="AB4533" t="str">
            <v>WB</v>
          </cell>
          <cell r="AF4533">
            <v>1.5</v>
          </cell>
        </row>
        <row r="4534">
          <cell r="A4534" t="str">
            <v>IS_alqt_plus</v>
          </cell>
          <cell r="K4534" t="str">
            <v>ECOR</v>
          </cell>
          <cell r="M4534" t="str">
            <v>F</v>
          </cell>
          <cell r="AB4534" t="str">
            <v>WB</v>
          </cell>
          <cell r="AF4534">
            <v>1.5</v>
          </cell>
        </row>
        <row r="4535">
          <cell r="A4535" t="str">
            <v>IS_alqt_plus</v>
          </cell>
          <cell r="K4535" t="str">
            <v>ECOR</v>
          </cell>
          <cell r="M4535" t="str">
            <v>F</v>
          </cell>
          <cell r="AB4535" t="str">
            <v>WB</v>
          </cell>
          <cell r="AF4535">
            <v>1.5</v>
          </cell>
        </row>
        <row r="4536">
          <cell r="A4536" t="str">
            <v>IS_alqt_minus</v>
          </cell>
          <cell r="K4536" t="str">
            <v>CMED</v>
          </cell>
          <cell r="M4536" t="str">
            <v>F</v>
          </cell>
          <cell r="AB4536" t="str">
            <v>serum</v>
          </cell>
          <cell r="AF4536">
            <v>0.05</v>
          </cell>
        </row>
        <row r="4537">
          <cell r="A4537" t="str">
            <v>IS_alqt_plus</v>
          </cell>
          <cell r="K4537" t="str">
            <v>LCAT</v>
          </cell>
          <cell r="M4537" t="str">
            <v>F</v>
          </cell>
          <cell r="AB4537" t="str">
            <v>WB</v>
          </cell>
          <cell r="AF4537">
            <v>1.5</v>
          </cell>
        </row>
        <row r="4538">
          <cell r="A4538" t="str">
            <v>IS_alqt_plus</v>
          </cell>
          <cell r="K4538" t="str">
            <v>LCAT</v>
          </cell>
          <cell r="M4538" t="str">
            <v>F</v>
          </cell>
          <cell r="AB4538" t="str">
            <v>WB</v>
          </cell>
          <cell r="AF4538">
            <v>1.5</v>
          </cell>
        </row>
        <row r="4539">
          <cell r="A4539" t="str">
            <v>IS_alqt_plus</v>
          </cell>
          <cell r="K4539" t="str">
            <v>LCAT</v>
          </cell>
          <cell r="M4539" t="str">
            <v>F</v>
          </cell>
          <cell r="AB4539" t="str">
            <v>serum</v>
          </cell>
          <cell r="AF4539">
            <v>1.5</v>
          </cell>
        </row>
        <row r="4540">
          <cell r="A4540" t="str">
            <v>IS_alqt_plus</v>
          </cell>
          <cell r="K4540" t="str">
            <v>LCAT</v>
          </cell>
          <cell r="M4540" t="str">
            <v>F</v>
          </cell>
          <cell r="AB4540" t="str">
            <v>serum</v>
          </cell>
          <cell r="AF4540">
            <v>0.9</v>
          </cell>
        </row>
        <row r="4541">
          <cell r="A4541" t="str">
            <v>IS_alqt_plus</v>
          </cell>
          <cell r="K4541" t="str">
            <v>DMAD</v>
          </cell>
          <cell r="M4541" t="str">
            <v>F</v>
          </cell>
          <cell r="AB4541" t="str">
            <v>serum</v>
          </cell>
          <cell r="AF4541">
            <v>1</v>
          </cell>
        </row>
        <row r="4542">
          <cell r="A4542" t="str">
            <v>IS_alqt_plus</v>
          </cell>
          <cell r="K4542" t="str">
            <v>DMAD</v>
          </cell>
          <cell r="M4542" t="str">
            <v>M</v>
          </cell>
          <cell r="AB4542" t="str">
            <v>Fluid- pericardial</v>
          </cell>
          <cell r="AF4542">
            <v>0.5</v>
          </cell>
        </row>
        <row r="4543">
          <cell r="A4543" t="str">
            <v>IS_alqt_plus</v>
          </cell>
          <cell r="K4543" t="str">
            <v>EMAC</v>
          </cell>
          <cell r="M4543" t="str">
            <v>M</v>
          </cell>
          <cell r="AB4543" t="str">
            <v>Fluid- pleural</v>
          </cell>
          <cell r="AF4543">
            <v>1.6</v>
          </cell>
        </row>
        <row r="4544">
          <cell r="A4544" t="str">
            <v>gone</v>
          </cell>
          <cell r="K4544" t="str">
            <v>MMUR</v>
          </cell>
          <cell r="M4544" t="str">
            <v>M</v>
          </cell>
          <cell r="AB4544" t="str">
            <v>WB</v>
          </cell>
          <cell r="AF4544">
            <v>0</v>
          </cell>
        </row>
        <row r="4545">
          <cell r="A4545" t="str">
            <v>IS_alqt_plus</v>
          </cell>
          <cell r="K4545" t="str">
            <v>VRUB</v>
          </cell>
          <cell r="M4545" t="str">
            <v>F</v>
          </cell>
          <cell r="AB4545" t="str">
            <v>WB</v>
          </cell>
          <cell r="AF4545">
            <v>0.2</v>
          </cell>
        </row>
        <row r="4546">
          <cell r="A4546" t="str">
            <v>IS_alqt_plus</v>
          </cell>
          <cell r="K4546" t="str">
            <v>VRUB</v>
          </cell>
          <cell r="M4546" t="str">
            <v>F</v>
          </cell>
          <cell r="AB4546" t="str">
            <v>serum</v>
          </cell>
          <cell r="AF4546">
            <v>1.2</v>
          </cell>
        </row>
        <row r="4547">
          <cell r="A4547" t="str">
            <v>gone</v>
          </cell>
          <cell r="K4547" t="str">
            <v>DMAD</v>
          </cell>
          <cell r="M4547" t="str">
            <v>M</v>
          </cell>
          <cell r="AB4547" t="str">
            <v>serum</v>
          </cell>
          <cell r="AF4547">
            <v>0</v>
          </cell>
        </row>
        <row r="4548">
          <cell r="A4548" t="str">
            <v>IS_alqt_plus</v>
          </cell>
          <cell r="K4548" t="str">
            <v>DMAD</v>
          </cell>
          <cell r="M4548" t="str">
            <v>M</v>
          </cell>
          <cell r="AB4548" t="str">
            <v>WB</v>
          </cell>
          <cell r="AF4548">
            <v>0.5</v>
          </cell>
        </row>
        <row r="4549">
          <cell r="A4549" t="str">
            <v>IS_alqt_plus</v>
          </cell>
          <cell r="K4549" t="str">
            <v>LCAT</v>
          </cell>
          <cell r="M4549" t="str">
            <v>F</v>
          </cell>
          <cell r="AB4549" t="str">
            <v>WB</v>
          </cell>
          <cell r="AF4549">
            <v>1.5</v>
          </cell>
        </row>
        <row r="4550">
          <cell r="A4550" t="str">
            <v>IS_alqt_plus</v>
          </cell>
          <cell r="K4550" t="str">
            <v>LCAT</v>
          </cell>
          <cell r="M4550" t="str">
            <v>F</v>
          </cell>
          <cell r="AB4550" t="str">
            <v>WB</v>
          </cell>
          <cell r="AF4550">
            <v>1.5</v>
          </cell>
        </row>
        <row r="4551">
          <cell r="A4551" t="str">
            <v>IS_alqt_plus</v>
          </cell>
          <cell r="K4551" t="str">
            <v>LCAT</v>
          </cell>
          <cell r="M4551" t="str">
            <v>M</v>
          </cell>
          <cell r="AB4551" t="str">
            <v>serum</v>
          </cell>
          <cell r="AF4551">
            <v>0.8</v>
          </cell>
        </row>
        <row r="4552">
          <cell r="A4552" t="str">
            <v>IS_alqt_plus</v>
          </cell>
          <cell r="K4552" t="str">
            <v>LCAT</v>
          </cell>
          <cell r="M4552" t="str">
            <v>F</v>
          </cell>
          <cell r="AB4552" t="str">
            <v>WB</v>
          </cell>
          <cell r="AF4552">
            <v>1.5</v>
          </cell>
        </row>
        <row r="4553">
          <cell r="A4553" t="str">
            <v>IS_alqt_plus</v>
          </cell>
          <cell r="K4553" t="str">
            <v>LCAT</v>
          </cell>
          <cell r="M4553" t="str">
            <v>F</v>
          </cell>
          <cell r="AB4553" t="str">
            <v>serum</v>
          </cell>
          <cell r="AF4553">
            <v>0.75</v>
          </cell>
        </row>
        <row r="4554">
          <cell r="A4554" t="str">
            <v>IS_alqt_plus</v>
          </cell>
          <cell r="K4554" t="str">
            <v>ERUB</v>
          </cell>
          <cell r="M4554" t="str">
            <v>F</v>
          </cell>
          <cell r="AB4554" t="str">
            <v>serum</v>
          </cell>
          <cell r="AF4554">
            <v>0.4</v>
          </cell>
        </row>
        <row r="4555">
          <cell r="A4555" t="str">
            <v>gone</v>
          </cell>
          <cell r="K4555" t="str">
            <v>MMUR</v>
          </cell>
          <cell r="M4555" t="str">
            <v>F</v>
          </cell>
          <cell r="AB4555" t="str">
            <v>WB</v>
          </cell>
          <cell r="AF4555">
            <v>0</v>
          </cell>
        </row>
        <row r="4556">
          <cell r="A4556" t="str">
            <v>IS_alqt_plus</v>
          </cell>
          <cell r="K4556" t="str">
            <v>MMUR</v>
          </cell>
          <cell r="M4556" t="str">
            <v>F</v>
          </cell>
          <cell r="AB4556" t="str">
            <v>serum</v>
          </cell>
          <cell r="AF4556">
            <v>0.3</v>
          </cell>
        </row>
        <row r="4557">
          <cell r="A4557" t="str">
            <v>IS_alqt_plus</v>
          </cell>
          <cell r="K4557" t="str">
            <v>MMUR</v>
          </cell>
          <cell r="M4557" t="str">
            <v>F</v>
          </cell>
          <cell r="AB4557" t="str">
            <v>serum</v>
          </cell>
          <cell r="AF4557">
            <v>0.3</v>
          </cell>
        </row>
        <row r="4558">
          <cell r="A4558" t="str">
            <v>IS_alqt_plus</v>
          </cell>
          <cell r="K4558" t="str">
            <v>ECOR</v>
          </cell>
          <cell r="M4558" t="str">
            <v>M</v>
          </cell>
          <cell r="AB4558" t="str">
            <v>serum</v>
          </cell>
          <cell r="AF4558">
            <v>0.9</v>
          </cell>
        </row>
        <row r="4559">
          <cell r="A4559" t="str">
            <v>IS_alqt_plus</v>
          </cell>
          <cell r="K4559" t="str">
            <v>EMAC</v>
          </cell>
          <cell r="M4559" t="str">
            <v>M</v>
          </cell>
          <cell r="AB4559" t="str">
            <v>Fluid- pleural</v>
          </cell>
          <cell r="AF4559">
            <v>1.6</v>
          </cell>
        </row>
        <row r="4560">
          <cell r="A4560" t="str">
            <v>IS_alqt_plus</v>
          </cell>
          <cell r="K4560" t="str">
            <v>NPYG</v>
          </cell>
          <cell r="M4560" t="str">
            <v>M</v>
          </cell>
          <cell r="AB4560" t="str">
            <v>WB</v>
          </cell>
          <cell r="AF4560">
            <v>0.25</v>
          </cell>
        </row>
        <row r="4561">
          <cell r="A4561" t="str">
            <v>IS_alqt_plus</v>
          </cell>
          <cell r="K4561" t="str">
            <v>ECOL</v>
          </cell>
          <cell r="M4561" t="str">
            <v>F</v>
          </cell>
          <cell r="AB4561" t="str">
            <v>serum</v>
          </cell>
          <cell r="AF4561">
            <v>2</v>
          </cell>
        </row>
        <row r="4562">
          <cell r="A4562" t="str">
            <v>IS_alqt_plus</v>
          </cell>
          <cell r="K4562" t="str">
            <v>LCAT</v>
          </cell>
          <cell r="M4562" t="str">
            <v>F</v>
          </cell>
          <cell r="AB4562" t="str">
            <v>WB</v>
          </cell>
          <cell r="AF4562">
            <v>1.5</v>
          </cell>
        </row>
        <row r="4563">
          <cell r="A4563" t="str">
            <v>IS_alqt_plus</v>
          </cell>
          <cell r="K4563" t="str">
            <v>LCAT</v>
          </cell>
          <cell r="M4563" t="str">
            <v>F</v>
          </cell>
          <cell r="AB4563" t="str">
            <v>WB</v>
          </cell>
          <cell r="AF4563">
            <v>1.5</v>
          </cell>
        </row>
        <row r="4564">
          <cell r="A4564" t="str">
            <v>IS_alqt_plus</v>
          </cell>
          <cell r="K4564" t="str">
            <v>LCAT</v>
          </cell>
          <cell r="M4564" t="str">
            <v>M</v>
          </cell>
          <cell r="AB4564" t="str">
            <v>serum</v>
          </cell>
          <cell r="AF4564">
            <v>0.7</v>
          </cell>
        </row>
        <row r="4565">
          <cell r="A4565" t="str">
            <v>IS_alqt_plus</v>
          </cell>
          <cell r="K4565" t="str">
            <v>PCOQ</v>
          </cell>
          <cell r="M4565" t="str">
            <v>M</v>
          </cell>
          <cell r="AB4565" t="str">
            <v>serum</v>
          </cell>
          <cell r="AF4565">
            <v>0.6</v>
          </cell>
        </row>
        <row r="4566">
          <cell r="A4566" t="str">
            <v>IS_alqt_plus</v>
          </cell>
          <cell r="K4566" t="str">
            <v>VRUB</v>
          </cell>
          <cell r="M4566" t="str">
            <v>F</v>
          </cell>
          <cell r="AB4566" t="str">
            <v>serum</v>
          </cell>
          <cell r="AF4566">
            <v>0.75</v>
          </cell>
        </row>
        <row r="4567">
          <cell r="A4567" t="str">
            <v>IS_alqt_minus</v>
          </cell>
          <cell r="K4567" t="str">
            <v>ECOR</v>
          </cell>
          <cell r="M4567" t="str">
            <v>F</v>
          </cell>
          <cell r="AB4567" t="str">
            <v>serum</v>
          </cell>
          <cell r="AF4567">
            <v>0.1</v>
          </cell>
        </row>
        <row r="4568">
          <cell r="A4568" t="str">
            <v>IS_alqt_plus</v>
          </cell>
          <cell r="K4568" t="str">
            <v>DMAD</v>
          </cell>
          <cell r="M4568" t="str">
            <v>M</v>
          </cell>
          <cell r="AB4568" t="str">
            <v>serum</v>
          </cell>
          <cell r="AF4568">
            <v>0.7</v>
          </cell>
        </row>
        <row r="4569">
          <cell r="A4569" t="str">
            <v>IS_alqt_plus</v>
          </cell>
          <cell r="K4569" t="str">
            <v>DMAD</v>
          </cell>
          <cell r="M4569" t="str">
            <v>M</v>
          </cell>
          <cell r="AB4569" t="str">
            <v>WB</v>
          </cell>
          <cell r="AF4569">
            <v>0.75</v>
          </cell>
        </row>
        <row r="4570">
          <cell r="A4570" t="str">
            <v>IS_alqt_plus</v>
          </cell>
          <cell r="K4570" t="str">
            <v>VRUB</v>
          </cell>
          <cell r="M4570" t="str">
            <v>M</v>
          </cell>
          <cell r="AB4570" t="str">
            <v>WB</v>
          </cell>
          <cell r="AF4570">
            <v>0.5</v>
          </cell>
        </row>
        <row r="4571">
          <cell r="A4571" t="str">
            <v>IS_alqt_plus</v>
          </cell>
          <cell r="K4571" t="str">
            <v>VRUB</v>
          </cell>
          <cell r="M4571" t="str">
            <v>M</v>
          </cell>
          <cell r="AB4571" t="str">
            <v>serum</v>
          </cell>
          <cell r="AF4571">
            <v>0.7</v>
          </cell>
        </row>
        <row r="4572">
          <cell r="A4572" t="str">
            <v>IS_alqt_plus</v>
          </cell>
          <cell r="K4572" t="str">
            <v>VRUB</v>
          </cell>
          <cell r="M4572" t="str">
            <v>F</v>
          </cell>
          <cell r="AB4572" t="str">
            <v>serum</v>
          </cell>
          <cell r="AF4572">
            <v>0.5</v>
          </cell>
        </row>
        <row r="4573">
          <cell r="A4573" t="str">
            <v>IS_alqt_plus</v>
          </cell>
          <cell r="K4573" t="str">
            <v>VRUB</v>
          </cell>
          <cell r="M4573" t="str">
            <v>F</v>
          </cell>
          <cell r="AB4573" t="str">
            <v>serum</v>
          </cell>
          <cell r="AF4573">
            <v>0.55000000000000004</v>
          </cell>
        </row>
        <row r="4574">
          <cell r="A4574" t="str">
            <v>IS_alqt_plus</v>
          </cell>
          <cell r="K4574" t="str">
            <v>LCAT</v>
          </cell>
          <cell r="M4574" t="str">
            <v>F</v>
          </cell>
          <cell r="AB4574" t="str">
            <v>WB</v>
          </cell>
          <cell r="AF4574">
            <v>1.5</v>
          </cell>
        </row>
        <row r="4575">
          <cell r="A4575" t="str">
            <v>IS_alqt_plus</v>
          </cell>
          <cell r="K4575" t="str">
            <v>LCAT</v>
          </cell>
          <cell r="M4575" t="str">
            <v>F</v>
          </cell>
          <cell r="AB4575" t="str">
            <v>serum</v>
          </cell>
          <cell r="AF4575">
            <v>0.75</v>
          </cell>
        </row>
        <row r="4576">
          <cell r="A4576" t="str">
            <v>IS_alqt_plus</v>
          </cell>
          <cell r="K4576" t="str">
            <v>VRUB</v>
          </cell>
          <cell r="M4576" t="str">
            <v>F</v>
          </cell>
          <cell r="AB4576" t="str">
            <v>WB</v>
          </cell>
          <cell r="AF4576">
            <v>1.2</v>
          </cell>
        </row>
        <row r="4577">
          <cell r="A4577" t="str">
            <v>IS_alqt_plus</v>
          </cell>
          <cell r="K4577" t="str">
            <v>VRUB</v>
          </cell>
          <cell r="M4577" t="str">
            <v>F</v>
          </cell>
          <cell r="AB4577" t="str">
            <v>WB</v>
          </cell>
          <cell r="AF4577">
            <v>1</v>
          </cell>
        </row>
        <row r="4578">
          <cell r="A4578" t="str">
            <v>IS_alqt_plus</v>
          </cell>
          <cell r="K4578" t="str">
            <v>VRUB</v>
          </cell>
          <cell r="M4578" t="str">
            <v>F</v>
          </cell>
          <cell r="AB4578" t="str">
            <v>WB</v>
          </cell>
          <cell r="AF4578">
            <v>1.2</v>
          </cell>
        </row>
        <row r="4579">
          <cell r="A4579" t="str">
            <v>IS_alqt_plus</v>
          </cell>
          <cell r="K4579" t="str">
            <v>VRUB</v>
          </cell>
          <cell r="M4579" t="str">
            <v>F</v>
          </cell>
          <cell r="AB4579" t="str">
            <v>WB</v>
          </cell>
          <cell r="AF4579">
            <v>1.2</v>
          </cell>
        </row>
        <row r="4580">
          <cell r="A4580" t="str">
            <v>IS_alqt_plus</v>
          </cell>
          <cell r="K4580" t="str">
            <v>VRUB</v>
          </cell>
          <cell r="M4580" t="str">
            <v>F</v>
          </cell>
          <cell r="AB4580" t="str">
            <v>WB</v>
          </cell>
          <cell r="AF4580">
            <v>1.3</v>
          </cell>
        </row>
        <row r="4581">
          <cell r="A4581" t="str">
            <v>IS_alqt_plus</v>
          </cell>
          <cell r="K4581" t="str">
            <v>VRUB</v>
          </cell>
          <cell r="M4581" t="str">
            <v>F</v>
          </cell>
          <cell r="AB4581" t="str">
            <v>WB</v>
          </cell>
          <cell r="AF4581">
            <v>1.1000000000000001</v>
          </cell>
        </row>
        <row r="4582">
          <cell r="A4582" t="str">
            <v>IS_alqt_plus</v>
          </cell>
          <cell r="K4582" t="str">
            <v>VRUB</v>
          </cell>
          <cell r="M4582" t="str">
            <v>F</v>
          </cell>
          <cell r="AB4582" t="str">
            <v>WB</v>
          </cell>
          <cell r="AF4582">
            <v>1</v>
          </cell>
        </row>
        <row r="4583">
          <cell r="A4583" t="str">
            <v>IS_alqt_plus</v>
          </cell>
          <cell r="K4583" t="str">
            <v>VRUB</v>
          </cell>
          <cell r="M4583" t="str">
            <v>F</v>
          </cell>
          <cell r="AB4583" t="str">
            <v>WB</v>
          </cell>
          <cell r="AF4583">
            <v>1</v>
          </cell>
        </row>
        <row r="4584">
          <cell r="A4584" t="str">
            <v>IS_alqt_plus</v>
          </cell>
          <cell r="K4584" t="str">
            <v>VRUB</v>
          </cell>
          <cell r="M4584" t="str">
            <v>F</v>
          </cell>
          <cell r="AB4584" t="str">
            <v>WB</v>
          </cell>
          <cell r="AF4584">
            <v>1.3</v>
          </cell>
        </row>
        <row r="4585">
          <cell r="A4585" t="str">
            <v>IS_alqt_plus</v>
          </cell>
          <cell r="K4585" t="str">
            <v>VRUB</v>
          </cell>
          <cell r="M4585" t="str">
            <v>F</v>
          </cell>
          <cell r="AB4585" t="str">
            <v>WB</v>
          </cell>
          <cell r="AF4585">
            <v>1</v>
          </cell>
        </row>
        <row r="4586">
          <cell r="A4586" t="str">
            <v>IS_alqt_plus</v>
          </cell>
          <cell r="K4586" t="str">
            <v>VRUB</v>
          </cell>
          <cell r="M4586" t="str">
            <v>F</v>
          </cell>
          <cell r="AB4586" t="str">
            <v>WB</v>
          </cell>
          <cell r="AF4586">
            <v>1.2</v>
          </cell>
        </row>
        <row r="4587">
          <cell r="A4587" t="str">
            <v>IS_alqt_plus</v>
          </cell>
          <cell r="K4587" t="str">
            <v>VRUB</v>
          </cell>
          <cell r="M4587" t="str">
            <v>F</v>
          </cell>
          <cell r="AB4587" t="str">
            <v>WB</v>
          </cell>
          <cell r="AF4587">
            <v>1.2</v>
          </cell>
        </row>
        <row r="4588">
          <cell r="A4588" t="str">
            <v>IS_alqt_plus</v>
          </cell>
          <cell r="K4588" t="str">
            <v>VRUB</v>
          </cell>
          <cell r="M4588" t="str">
            <v>F</v>
          </cell>
          <cell r="AB4588" t="str">
            <v>WB</v>
          </cell>
          <cell r="AF4588">
            <v>1</v>
          </cell>
        </row>
        <row r="4589">
          <cell r="A4589" t="str">
            <v>IS_alqt_plus</v>
          </cell>
          <cell r="K4589" t="str">
            <v>VRUB</v>
          </cell>
          <cell r="M4589" t="str">
            <v>F</v>
          </cell>
          <cell r="AB4589" t="str">
            <v>WB</v>
          </cell>
          <cell r="AF4589">
            <v>1.3</v>
          </cell>
        </row>
        <row r="4590">
          <cell r="A4590" t="str">
            <v>IS_alqt_plus</v>
          </cell>
          <cell r="K4590" t="str">
            <v>VRUB</v>
          </cell>
          <cell r="M4590" t="str">
            <v>F</v>
          </cell>
          <cell r="AB4590" t="str">
            <v>WB</v>
          </cell>
          <cell r="AF4590">
            <v>1.3</v>
          </cell>
        </row>
        <row r="4591">
          <cell r="A4591" t="str">
            <v>IS_alqt_plus</v>
          </cell>
          <cell r="K4591" t="str">
            <v>VRUB</v>
          </cell>
          <cell r="M4591" t="str">
            <v>F</v>
          </cell>
          <cell r="AB4591" t="str">
            <v>WB</v>
          </cell>
          <cell r="AF4591">
            <v>1</v>
          </cell>
        </row>
        <row r="4592">
          <cell r="A4592" t="str">
            <v>IS_alqt_plus</v>
          </cell>
          <cell r="K4592" t="str">
            <v>VRUB</v>
          </cell>
          <cell r="M4592" t="str">
            <v>F</v>
          </cell>
          <cell r="AB4592" t="str">
            <v>WB</v>
          </cell>
          <cell r="AF4592">
            <v>1.3</v>
          </cell>
        </row>
        <row r="4593">
          <cell r="A4593" t="str">
            <v>IS_alqt_plus</v>
          </cell>
          <cell r="K4593" t="str">
            <v>VRUB</v>
          </cell>
          <cell r="M4593" t="str">
            <v>F</v>
          </cell>
          <cell r="AB4593" t="str">
            <v>WB</v>
          </cell>
          <cell r="AF4593">
            <v>1</v>
          </cell>
        </row>
        <row r="4594">
          <cell r="A4594" t="str">
            <v>IS_alqt_plus</v>
          </cell>
          <cell r="K4594" t="str">
            <v>VRUB</v>
          </cell>
          <cell r="M4594" t="str">
            <v>F</v>
          </cell>
          <cell r="AB4594" t="str">
            <v>WB</v>
          </cell>
          <cell r="AF4594">
            <v>1</v>
          </cell>
        </row>
        <row r="4595">
          <cell r="A4595" t="str">
            <v>IS_alqt_plus</v>
          </cell>
          <cell r="K4595" t="str">
            <v>VRUB</v>
          </cell>
          <cell r="M4595" t="str">
            <v>F</v>
          </cell>
          <cell r="AB4595" t="str">
            <v>WB</v>
          </cell>
          <cell r="AF4595">
            <v>1.2</v>
          </cell>
        </row>
        <row r="4596">
          <cell r="A4596" t="str">
            <v>IS_alqt_plus</v>
          </cell>
          <cell r="K4596" t="str">
            <v>VRUB</v>
          </cell>
          <cell r="M4596" t="str">
            <v>F</v>
          </cell>
          <cell r="AB4596" t="str">
            <v>WB</v>
          </cell>
          <cell r="AF4596">
            <v>1</v>
          </cell>
        </row>
        <row r="4597">
          <cell r="A4597" t="str">
            <v>IS_alqt_plus</v>
          </cell>
          <cell r="K4597" t="str">
            <v>VRUB</v>
          </cell>
          <cell r="M4597" t="str">
            <v>F</v>
          </cell>
          <cell r="AB4597" t="str">
            <v>WB</v>
          </cell>
          <cell r="AF4597">
            <v>1.2</v>
          </cell>
        </row>
        <row r="4598">
          <cell r="A4598" t="str">
            <v>IS_alqt_plus</v>
          </cell>
          <cell r="K4598" t="str">
            <v>VRUB</v>
          </cell>
          <cell r="M4598" t="str">
            <v>F</v>
          </cell>
          <cell r="AB4598" t="str">
            <v>WB</v>
          </cell>
          <cell r="AF4598">
            <v>1.1000000000000001</v>
          </cell>
        </row>
        <row r="4599">
          <cell r="A4599" t="str">
            <v>IS_alqt_plus</v>
          </cell>
          <cell r="K4599" t="str">
            <v>VRUB</v>
          </cell>
          <cell r="M4599" t="str">
            <v>F</v>
          </cell>
          <cell r="AB4599" t="str">
            <v>WB</v>
          </cell>
          <cell r="AF4599">
            <v>1</v>
          </cell>
        </row>
        <row r="4600">
          <cell r="A4600" t="str">
            <v>IS_alqt_plus</v>
          </cell>
          <cell r="K4600" t="str">
            <v>VRUB</v>
          </cell>
          <cell r="M4600" t="str">
            <v>F</v>
          </cell>
          <cell r="AB4600" t="str">
            <v>WB</v>
          </cell>
          <cell r="AF4600">
            <v>1</v>
          </cell>
        </row>
        <row r="4601">
          <cell r="A4601" t="str">
            <v>IS_alqt_plus</v>
          </cell>
          <cell r="K4601" t="str">
            <v>VRUB</v>
          </cell>
          <cell r="M4601" t="str">
            <v>F</v>
          </cell>
          <cell r="AB4601" t="str">
            <v>WB</v>
          </cell>
          <cell r="AF4601">
            <v>1</v>
          </cell>
        </row>
        <row r="4602">
          <cell r="A4602" t="str">
            <v>IS_alqt_plus</v>
          </cell>
          <cell r="K4602" t="str">
            <v>VRUB</v>
          </cell>
          <cell r="M4602" t="str">
            <v>F</v>
          </cell>
          <cell r="AB4602" t="str">
            <v>WB</v>
          </cell>
          <cell r="AF4602">
            <v>1</v>
          </cell>
        </row>
        <row r="4603">
          <cell r="A4603" t="str">
            <v>IS_alqt_plus</v>
          </cell>
          <cell r="K4603" t="str">
            <v>VRUB</v>
          </cell>
          <cell r="M4603" t="str">
            <v>F</v>
          </cell>
          <cell r="AB4603" t="str">
            <v>WB</v>
          </cell>
          <cell r="AF4603">
            <v>1</v>
          </cell>
        </row>
        <row r="4604">
          <cell r="A4604" t="str">
            <v>IS_alqt_plus</v>
          </cell>
          <cell r="K4604" t="str">
            <v>VRUB</v>
          </cell>
          <cell r="M4604" t="str">
            <v>F</v>
          </cell>
          <cell r="AB4604" t="str">
            <v>WB</v>
          </cell>
          <cell r="AF4604">
            <v>1</v>
          </cell>
        </row>
        <row r="4605">
          <cell r="A4605" t="str">
            <v>IS_alqt_plus</v>
          </cell>
          <cell r="K4605" t="str">
            <v>VRUB</v>
          </cell>
          <cell r="M4605" t="str">
            <v>F</v>
          </cell>
          <cell r="AB4605" t="str">
            <v>WB</v>
          </cell>
          <cell r="AF4605">
            <v>1</v>
          </cell>
        </row>
        <row r="4606">
          <cell r="A4606" t="str">
            <v>IS_alqt_plus</v>
          </cell>
          <cell r="K4606" t="str">
            <v>VRUB</v>
          </cell>
          <cell r="M4606" t="str">
            <v>F</v>
          </cell>
          <cell r="AB4606" t="str">
            <v>WB</v>
          </cell>
          <cell r="AF4606">
            <v>1.2</v>
          </cell>
        </row>
        <row r="4607">
          <cell r="A4607" t="str">
            <v>IS_alqt_plus</v>
          </cell>
          <cell r="K4607" t="str">
            <v>VRUB</v>
          </cell>
          <cell r="M4607" t="str">
            <v>F</v>
          </cell>
          <cell r="AB4607" t="str">
            <v>WB</v>
          </cell>
          <cell r="AF4607">
            <v>1</v>
          </cell>
        </row>
        <row r="4608">
          <cell r="A4608" t="str">
            <v>IS_alqt_plus</v>
          </cell>
          <cell r="K4608" t="str">
            <v>VRUB</v>
          </cell>
          <cell r="M4608" t="str">
            <v>F</v>
          </cell>
          <cell r="AB4608" t="str">
            <v>WB</v>
          </cell>
          <cell r="AF4608">
            <v>1</v>
          </cell>
        </row>
        <row r="4609">
          <cell r="A4609" t="str">
            <v>IS_alqt_plus</v>
          </cell>
          <cell r="K4609" t="str">
            <v>VRUB</v>
          </cell>
          <cell r="M4609" t="str">
            <v>F</v>
          </cell>
          <cell r="AB4609" t="str">
            <v>WB</v>
          </cell>
          <cell r="AF4609">
            <v>1</v>
          </cell>
        </row>
        <row r="4610">
          <cell r="A4610" t="str">
            <v>IS_alqt_plus</v>
          </cell>
          <cell r="K4610" t="str">
            <v>VRUB</v>
          </cell>
          <cell r="M4610" t="str">
            <v>F</v>
          </cell>
          <cell r="AB4610" t="str">
            <v>WB</v>
          </cell>
          <cell r="AF4610">
            <v>1</v>
          </cell>
        </row>
        <row r="4611">
          <cell r="A4611" t="str">
            <v>IS_alqt_plus</v>
          </cell>
          <cell r="K4611" t="str">
            <v>VRUB</v>
          </cell>
          <cell r="M4611" t="str">
            <v>F</v>
          </cell>
          <cell r="AB4611" t="str">
            <v>WB</v>
          </cell>
          <cell r="AF4611">
            <v>1</v>
          </cell>
        </row>
        <row r="4612">
          <cell r="A4612" t="str">
            <v>IS_alqt_plus</v>
          </cell>
          <cell r="K4612" t="str">
            <v>VRUB</v>
          </cell>
          <cell r="M4612" t="str">
            <v>F</v>
          </cell>
          <cell r="AB4612" t="str">
            <v>serum</v>
          </cell>
          <cell r="AF4612">
            <v>1.5</v>
          </cell>
        </row>
        <row r="4613">
          <cell r="A4613" t="str">
            <v>IS_alqt_plus</v>
          </cell>
          <cell r="K4613" t="str">
            <v>VRUB</v>
          </cell>
          <cell r="M4613" t="str">
            <v>F</v>
          </cell>
          <cell r="AB4613" t="str">
            <v>serum</v>
          </cell>
          <cell r="AF4613">
            <v>1.1000000000000001</v>
          </cell>
        </row>
        <row r="4614">
          <cell r="A4614" t="str">
            <v>IS_alqt_plus</v>
          </cell>
          <cell r="K4614" t="str">
            <v>VRUB</v>
          </cell>
          <cell r="M4614" t="str">
            <v>F</v>
          </cell>
          <cell r="AB4614" t="str">
            <v>serum</v>
          </cell>
          <cell r="AF4614">
            <v>1.5</v>
          </cell>
        </row>
        <row r="4615">
          <cell r="A4615" t="str">
            <v>IS_alqt_plus</v>
          </cell>
          <cell r="K4615" t="str">
            <v>VRUB</v>
          </cell>
          <cell r="M4615" t="str">
            <v>F</v>
          </cell>
          <cell r="AB4615" t="str">
            <v>serum</v>
          </cell>
          <cell r="AF4615">
            <v>1.5</v>
          </cell>
        </row>
        <row r="4616">
          <cell r="A4616" t="str">
            <v>IS_alqt_plus</v>
          </cell>
          <cell r="K4616" t="str">
            <v>VRUB</v>
          </cell>
          <cell r="M4616" t="str">
            <v>F</v>
          </cell>
          <cell r="AB4616" t="str">
            <v>serum</v>
          </cell>
          <cell r="AF4616">
            <v>1.5</v>
          </cell>
        </row>
        <row r="4617">
          <cell r="A4617" t="str">
            <v>IS_alqt_plus</v>
          </cell>
          <cell r="K4617" t="str">
            <v>VRUB</v>
          </cell>
          <cell r="M4617" t="str">
            <v>F</v>
          </cell>
          <cell r="AB4617" t="str">
            <v>serum</v>
          </cell>
          <cell r="AF4617">
            <v>1.4</v>
          </cell>
        </row>
        <row r="4618">
          <cell r="A4618" t="str">
            <v>IS_alqt_plus</v>
          </cell>
          <cell r="K4618" t="str">
            <v>VRUB</v>
          </cell>
          <cell r="M4618" t="str">
            <v>F</v>
          </cell>
          <cell r="AB4618" t="str">
            <v>serum</v>
          </cell>
          <cell r="AF4618">
            <v>1.5</v>
          </cell>
        </row>
        <row r="4619">
          <cell r="A4619" t="str">
            <v>IS_alqt_plus</v>
          </cell>
          <cell r="K4619" t="str">
            <v>VRUB</v>
          </cell>
          <cell r="M4619" t="str">
            <v>F</v>
          </cell>
          <cell r="AB4619" t="str">
            <v>serum</v>
          </cell>
          <cell r="AF4619">
            <v>1.5</v>
          </cell>
        </row>
        <row r="4620">
          <cell r="A4620" t="str">
            <v>IS_alqt_plus</v>
          </cell>
          <cell r="K4620" t="str">
            <v>VRUB</v>
          </cell>
          <cell r="M4620" t="str">
            <v>F</v>
          </cell>
          <cell r="AB4620" t="str">
            <v>serum</v>
          </cell>
          <cell r="AF4620">
            <v>1.5</v>
          </cell>
        </row>
        <row r="4621">
          <cell r="A4621" t="str">
            <v>IS_alqt_plus</v>
          </cell>
          <cell r="K4621" t="str">
            <v>VRUB</v>
          </cell>
          <cell r="M4621" t="str">
            <v>F</v>
          </cell>
          <cell r="AB4621" t="str">
            <v>serum</v>
          </cell>
          <cell r="AF4621">
            <v>1.5</v>
          </cell>
        </row>
        <row r="4622">
          <cell r="A4622" t="str">
            <v>IS_alqt_plus</v>
          </cell>
          <cell r="K4622" t="str">
            <v>VRUB</v>
          </cell>
          <cell r="M4622" t="str">
            <v>F</v>
          </cell>
          <cell r="AB4622" t="str">
            <v>serum</v>
          </cell>
          <cell r="AF4622">
            <v>1.5</v>
          </cell>
        </row>
        <row r="4623">
          <cell r="A4623" t="str">
            <v>IS_alqt_plus</v>
          </cell>
          <cell r="K4623" t="str">
            <v>VRUB</v>
          </cell>
          <cell r="M4623" t="str">
            <v>F</v>
          </cell>
          <cell r="AB4623" t="str">
            <v>serum</v>
          </cell>
          <cell r="AF4623">
            <v>1.5</v>
          </cell>
        </row>
        <row r="4624">
          <cell r="A4624" t="str">
            <v>IS_alqt_plus</v>
          </cell>
          <cell r="K4624" t="str">
            <v>VRUB</v>
          </cell>
          <cell r="M4624" t="str">
            <v>F</v>
          </cell>
          <cell r="AB4624" t="str">
            <v>serum</v>
          </cell>
          <cell r="AF4624">
            <v>1.5</v>
          </cell>
        </row>
        <row r="4625">
          <cell r="A4625" t="str">
            <v>IS_alqt_plus</v>
          </cell>
          <cell r="K4625" t="str">
            <v>VRUB</v>
          </cell>
          <cell r="M4625" t="str">
            <v>F</v>
          </cell>
          <cell r="AB4625" t="str">
            <v>serum</v>
          </cell>
          <cell r="AF4625">
            <v>1.5</v>
          </cell>
        </row>
        <row r="4626">
          <cell r="A4626" t="str">
            <v>IS_alqt_plus</v>
          </cell>
          <cell r="K4626" t="str">
            <v>VRUB</v>
          </cell>
          <cell r="M4626" t="str">
            <v>F</v>
          </cell>
          <cell r="AB4626" t="str">
            <v>serum</v>
          </cell>
          <cell r="AF4626">
            <v>1.5</v>
          </cell>
        </row>
        <row r="4627">
          <cell r="A4627" t="str">
            <v>IS_alqt_plus</v>
          </cell>
          <cell r="K4627" t="str">
            <v>VRUB</v>
          </cell>
          <cell r="M4627" t="str">
            <v>F</v>
          </cell>
          <cell r="AB4627" t="str">
            <v>serum</v>
          </cell>
          <cell r="AF4627">
            <v>1.5</v>
          </cell>
        </row>
        <row r="4628">
          <cell r="A4628" t="str">
            <v>IS_alqt_plus</v>
          </cell>
          <cell r="K4628" t="str">
            <v>VRUB</v>
          </cell>
          <cell r="M4628" t="str">
            <v>F</v>
          </cell>
          <cell r="AB4628" t="str">
            <v>serum</v>
          </cell>
          <cell r="AF4628">
            <v>1.5</v>
          </cell>
        </row>
        <row r="4629">
          <cell r="A4629" t="str">
            <v>IS_alqt_plus</v>
          </cell>
          <cell r="K4629" t="str">
            <v>VRUB</v>
          </cell>
          <cell r="M4629" t="str">
            <v>F</v>
          </cell>
          <cell r="AB4629" t="str">
            <v>serum</v>
          </cell>
          <cell r="AF4629">
            <v>1.5</v>
          </cell>
        </row>
        <row r="4630">
          <cell r="A4630" t="str">
            <v>IS_alqt_plus</v>
          </cell>
          <cell r="K4630" t="str">
            <v>VRUB</v>
          </cell>
          <cell r="M4630" t="str">
            <v>F</v>
          </cell>
          <cell r="AB4630" t="str">
            <v>serum</v>
          </cell>
          <cell r="AF4630">
            <v>1.5</v>
          </cell>
        </row>
        <row r="4631">
          <cell r="A4631" t="str">
            <v>IS_alqt_plus</v>
          </cell>
          <cell r="K4631" t="str">
            <v>VRUB</v>
          </cell>
          <cell r="M4631" t="str">
            <v>F</v>
          </cell>
          <cell r="AB4631" t="str">
            <v>serum</v>
          </cell>
          <cell r="AF4631">
            <v>1.5</v>
          </cell>
        </row>
        <row r="4632">
          <cell r="A4632" t="str">
            <v>IS_alqt_plus</v>
          </cell>
          <cell r="K4632" t="str">
            <v>VRUB</v>
          </cell>
          <cell r="M4632" t="str">
            <v>F</v>
          </cell>
          <cell r="AB4632" t="str">
            <v>serum</v>
          </cell>
          <cell r="AF4632">
            <v>1.5</v>
          </cell>
        </row>
        <row r="4633">
          <cell r="A4633" t="str">
            <v>IS_alqt_plus</v>
          </cell>
          <cell r="K4633" t="str">
            <v>VRUB</v>
          </cell>
          <cell r="M4633" t="str">
            <v>F</v>
          </cell>
          <cell r="AB4633" t="str">
            <v>serum</v>
          </cell>
          <cell r="AF4633">
            <v>1.5</v>
          </cell>
        </row>
        <row r="4634">
          <cell r="A4634" t="str">
            <v>IS_alqt_plus</v>
          </cell>
          <cell r="K4634" t="str">
            <v>VRUB</v>
          </cell>
          <cell r="M4634" t="str">
            <v>F</v>
          </cell>
          <cell r="AB4634" t="str">
            <v>serum</v>
          </cell>
          <cell r="AF4634">
            <v>1.5</v>
          </cell>
        </row>
        <row r="4635">
          <cell r="A4635" t="str">
            <v>IS_alqt_plus</v>
          </cell>
          <cell r="K4635" t="str">
            <v>VRUB</v>
          </cell>
          <cell r="M4635" t="str">
            <v>F</v>
          </cell>
          <cell r="AB4635" t="str">
            <v>serum</v>
          </cell>
          <cell r="AF4635">
            <v>1.5</v>
          </cell>
        </row>
        <row r="4636">
          <cell r="A4636" t="str">
            <v>IS_alqt_plus</v>
          </cell>
          <cell r="K4636" t="str">
            <v>VRUB</v>
          </cell>
          <cell r="M4636" t="str">
            <v>F</v>
          </cell>
          <cell r="AB4636" t="str">
            <v>serum</v>
          </cell>
          <cell r="AF4636">
            <v>1.5</v>
          </cell>
        </row>
        <row r="4637">
          <cell r="A4637" t="str">
            <v>IS_alqt_plus</v>
          </cell>
          <cell r="K4637" t="str">
            <v>VRUB</v>
          </cell>
          <cell r="M4637" t="str">
            <v>F</v>
          </cell>
          <cell r="AB4637" t="str">
            <v>serum</v>
          </cell>
          <cell r="AF4637">
            <v>1.5</v>
          </cell>
        </row>
        <row r="4638">
          <cell r="A4638" t="str">
            <v>IS_alqt_plus</v>
          </cell>
          <cell r="K4638" t="str">
            <v>VRUB</v>
          </cell>
          <cell r="M4638" t="str">
            <v>F</v>
          </cell>
          <cell r="AB4638" t="str">
            <v>serum</v>
          </cell>
          <cell r="AF4638">
            <v>0.6</v>
          </cell>
        </row>
        <row r="4639">
          <cell r="A4639" t="str">
            <v>IS_alqt_plus</v>
          </cell>
          <cell r="K4639" t="str">
            <v>VRUB</v>
          </cell>
          <cell r="M4639" t="str">
            <v>F</v>
          </cell>
          <cell r="AB4639" t="str">
            <v>serum</v>
          </cell>
          <cell r="AF4639">
            <v>1.5</v>
          </cell>
        </row>
        <row r="4640">
          <cell r="A4640" t="str">
            <v>IS_alqt_plus</v>
          </cell>
          <cell r="K4640" t="str">
            <v>VRUB</v>
          </cell>
          <cell r="M4640" t="str">
            <v>F</v>
          </cell>
          <cell r="AB4640" t="str">
            <v>serum</v>
          </cell>
          <cell r="AF4640">
            <v>1.5</v>
          </cell>
        </row>
        <row r="4641">
          <cell r="A4641" t="str">
            <v>IS_alqt_plus</v>
          </cell>
          <cell r="K4641" t="str">
            <v>VRUB</v>
          </cell>
          <cell r="M4641" t="str">
            <v>F</v>
          </cell>
          <cell r="AB4641" t="str">
            <v>serum</v>
          </cell>
          <cell r="AF4641">
            <v>1.5</v>
          </cell>
        </row>
        <row r="4642">
          <cell r="A4642" t="str">
            <v>IS_alqt_plus</v>
          </cell>
          <cell r="K4642" t="str">
            <v>VRUB</v>
          </cell>
          <cell r="M4642" t="str">
            <v>F</v>
          </cell>
          <cell r="AB4642" t="str">
            <v>serum</v>
          </cell>
          <cell r="AF4642">
            <v>1.5</v>
          </cell>
        </row>
        <row r="4643">
          <cell r="A4643" t="str">
            <v>IS_alqt_plus</v>
          </cell>
          <cell r="K4643" t="str">
            <v>VRUB</v>
          </cell>
          <cell r="M4643" t="str">
            <v>F</v>
          </cell>
          <cell r="AB4643" t="str">
            <v>serum</v>
          </cell>
          <cell r="AF4643">
            <v>1.4</v>
          </cell>
        </row>
        <row r="4644">
          <cell r="A4644" t="str">
            <v>IS_alqt_plus</v>
          </cell>
          <cell r="K4644" t="str">
            <v>VRUB</v>
          </cell>
          <cell r="M4644" t="str">
            <v>F</v>
          </cell>
          <cell r="AB4644" t="str">
            <v>serum</v>
          </cell>
          <cell r="AF4644">
            <v>1.5</v>
          </cell>
        </row>
        <row r="4645">
          <cell r="A4645" t="str">
            <v>IS_alqt_plus</v>
          </cell>
          <cell r="K4645" t="str">
            <v>VRUB</v>
          </cell>
          <cell r="M4645" t="str">
            <v>F</v>
          </cell>
          <cell r="AB4645" t="str">
            <v>serum</v>
          </cell>
          <cell r="AF4645">
            <v>1.4</v>
          </cell>
        </row>
        <row r="4646">
          <cell r="A4646" t="str">
            <v>IS_alqt_plus</v>
          </cell>
          <cell r="K4646" t="str">
            <v>VRUB</v>
          </cell>
          <cell r="M4646" t="str">
            <v>F</v>
          </cell>
          <cell r="AB4646" t="str">
            <v>serum</v>
          </cell>
          <cell r="AF4646">
            <v>1.5</v>
          </cell>
        </row>
        <row r="4647">
          <cell r="A4647" t="str">
            <v>IS_alqt_plus</v>
          </cell>
          <cell r="K4647" t="str">
            <v>VRUB</v>
          </cell>
          <cell r="M4647" t="str">
            <v>F</v>
          </cell>
          <cell r="AB4647" t="str">
            <v>serum</v>
          </cell>
          <cell r="AF4647">
            <v>1.5</v>
          </cell>
        </row>
        <row r="4648">
          <cell r="A4648" t="str">
            <v>IS_alqt_plus</v>
          </cell>
          <cell r="K4648" t="str">
            <v>VRUB</v>
          </cell>
          <cell r="M4648" t="str">
            <v>F</v>
          </cell>
          <cell r="AB4648" t="str">
            <v>serum</v>
          </cell>
          <cell r="AF4648">
            <v>1.5</v>
          </cell>
        </row>
        <row r="4649">
          <cell r="A4649" t="str">
            <v>IS_alqt_plus</v>
          </cell>
          <cell r="K4649" t="str">
            <v>VRUB</v>
          </cell>
          <cell r="M4649" t="str">
            <v>F</v>
          </cell>
          <cell r="AB4649" t="str">
            <v>serum</v>
          </cell>
          <cell r="AF4649">
            <v>1.5</v>
          </cell>
        </row>
        <row r="4650">
          <cell r="A4650" t="str">
            <v>IS_alqt_plus</v>
          </cell>
          <cell r="K4650" t="str">
            <v>VRUB</v>
          </cell>
          <cell r="M4650" t="str">
            <v>F</v>
          </cell>
          <cell r="AB4650" t="str">
            <v>serum</v>
          </cell>
          <cell r="AF4650">
            <v>1.5</v>
          </cell>
        </row>
        <row r="4651">
          <cell r="A4651" t="str">
            <v>IS_alqt_plus</v>
          </cell>
          <cell r="K4651" t="str">
            <v>VRUB</v>
          </cell>
          <cell r="M4651" t="str">
            <v>F</v>
          </cell>
          <cell r="AB4651" t="str">
            <v>serum</v>
          </cell>
          <cell r="AF4651">
            <v>1.5</v>
          </cell>
        </row>
        <row r="4652">
          <cell r="A4652" t="str">
            <v>IS_alqt_plus</v>
          </cell>
          <cell r="K4652" t="str">
            <v>VRUB</v>
          </cell>
          <cell r="M4652" t="str">
            <v>F</v>
          </cell>
          <cell r="AB4652" t="str">
            <v>serum</v>
          </cell>
          <cell r="AF4652">
            <v>1.5</v>
          </cell>
        </row>
        <row r="4653">
          <cell r="A4653" t="str">
            <v>IS_alqt_plus</v>
          </cell>
          <cell r="K4653" t="str">
            <v>VRUB</v>
          </cell>
          <cell r="M4653" t="str">
            <v>F</v>
          </cell>
          <cell r="AB4653" t="str">
            <v>serum</v>
          </cell>
          <cell r="AF4653">
            <v>1.5</v>
          </cell>
        </row>
        <row r="4654">
          <cell r="A4654" t="str">
            <v>IS_alqt_plus</v>
          </cell>
          <cell r="K4654" t="str">
            <v>LCAT</v>
          </cell>
          <cell r="M4654" t="str">
            <v>F</v>
          </cell>
          <cell r="AB4654" t="str">
            <v>WB</v>
          </cell>
          <cell r="AF4654">
            <v>1.5</v>
          </cell>
        </row>
        <row r="4655">
          <cell r="A4655" t="str">
            <v>IS_alqt_plus</v>
          </cell>
          <cell r="K4655" t="str">
            <v>LCAT</v>
          </cell>
          <cell r="M4655" t="str">
            <v>F</v>
          </cell>
          <cell r="AB4655" t="str">
            <v>serum</v>
          </cell>
          <cell r="AF4655">
            <v>0.65</v>
          </cell>
        </row>
        <row r="4656">
          <cell r="A4656" t="str">
            <v>IS_alqt_plus</v>
          </cell>
          <cell r="K4656" t="str">
            <v>LCAT</v>
          </cell>
          <cell r="M4656" t="str">
            <v>F</v>
          </cell>
          <cell r="AB4656" t="str">
            <v>WB</v>
          </cell>
          <cell r="AF4656">
            <v>1.5</v>
          </cell>
        </row>
        <row r="4657">
          <cell r="A4657" t="str">
            <v>IS_alqt_plus</v>
          </cell>
          <cell r="K4657" t="str">
            <v>PCOQ</v>
          </cell>
          <cell r="M4657" t="str">
            <v>F</v>
          </cell>
          <cell r="AB4657" t="str">
            <v>serum</v>
          </cell>
          <cell r="AF4657">
            <v>0.3</v>
          </cell>
        </row>
        <row r="4658">
          <cell r="A4658" t="str">
            <v>IS_alqt_plus</v>
          </cell>
          <cell r="K4658" t="str">
            <v>VRUB</v>
          </cell>
          <cell r="M4658" t="str">
            <v>F</v>
          </cell>
          <cell r="AB4658" t="str">
            <v>serum</v>
          </cell>
          <cell r="AF4658">
            <v>0.8</v>
          </cell>
        </row>
        <row r="4659">
          <cell r="A4659" t="str">
            <v>IS_alqt_plus</v>
          </cell>
          <cell r="K4659" t="str">
            <v>LCAT</v>
          </cell>
          <cell r="M4659" t="str">
            <v>F</v>
          </cell>
          <cell r="AB4659" t="str">
            <v>serum</v>
          </cell>
          <cell r="AF4659">
            <v>0.75</v>
          </cell>
        </row>
        <row r="4660">
          <cell r="A4660" t="str">
            <v>IS_alqt_plus</v>
          </cell>
          <cell r="K4660" t="str">
            <v>EMAC</v>
          </cell>
          <cell r="M4660" t="str">
            <v>M</v>
          </cell>
          <cell r="AB4660" t="str">
            <v>Fluid- pleural</v>
          </cell>
          <cell r="AF4660">
            <v>1.4</v>
          </cell>
        </row>
        <row r="4661">
          <cell r="A4661" t="str">
            <v>IS_alqt_plus</v>
          </cell>
          <cell r="K4661" t="str">
            <v>DMAD</v>
          </cell>
          <cell r="M4661" t="str">
            <v>F</v>
          </cell>
          <cell r="AB4661" t="str">
            <v>serum</v>
          </cell>
          <cell r="AF4661">
            <v>0.5</v>
          </cell>
        </row>
        <row r="4662">
          <cell r="A4662" t="str">
            <v>IS_alqt_plus</v>
          </cell>
          <cell r="K4662" t="str">
            <v>EMAC</v>
          </cell>
          <cell r="M4662" t="str">
            <v>M</v>
          </cell>
          <cell r="AB4662" t="str">
            <v>Fluid- pleural</v>
          </cell>
          <cell r="AF4662">
            <v>1.5</v>
          </cell>
        </row>
        <row r="4663">
          <cell r="A4663" t="str">
            <v>IS_alqt_plus</v>
          </cell>
          <cell r="K4663" t="str">
            <v>ERUB</v>
          </cell>
          <cell r="M4663" t="str">
            <v>M</v>
          </cell>
          <cell r="AB4663" t="str">
            <v>Fluid- pleural</v>
          </cell>
          <cell r="AF4663">
            <v>0.9</v>
          </cell>
        </row>
        <row r="4664">
          <cell r="A4664" t="str">
            <v>IS_alqt_plus</v>
          </cell>
          <cell r="K4664" t="str">
            <v>VVV</v>
          </cell>
          <cell r="M4664" t="str">
            <v>M</v>
          </cell>
          <cell r="AB4664" t="str">
            <v>serum</v>
          </cell>
          <cell r="AF4664">
            <v>0.75</v>
          </cell>
        </row>
        <row r="4665">
          <cell r="A4665" t="str">
            <v>IS_alqt_plus</v>
          </cell>
          <cell r="K4665" t="str">
            <v>VVV</v>
          </cell>
          <cell r="M4665" t="str">
            <v>M</v>
          </cell>
          <cell r="AB4665" t="str">
            <v>serum</v>
          </cell>
          <cell r="AF4665">
            <v>0.75</v>
          </cell>
        </row>
        <row r="4666">
          <cell r="A4666" t="str">
            <v>IS_alqt_plus</v>
          </cell>
          <cell r="K4666" t="str">
            <v>VVV</v>
          </cell>
          <cell r="M4666" t="str">
            <v>M</v>
          </cell>
          <cell r="AB4666" t="str">
            <v>serum</v>
          </cell>
          <cell r="AF4666">
            <v>1</v>
          </cell>
        </row>
        <row r="4667">
          <cell r="A4667" t="str">
            <v>IS_alqt_plus</v>
          </cell>
          <cell r="K4667" t="str">
            <v>LCAT</v>
          </cell>
          <cell r="M4667" t="str">
            <v>F</v>
          </cell>
          <cell r="AB4667" t="str">
            <v>WB</v>
          </cell>
          <cell r="AF4667">
            <v>1.5</v>
          </cell>
        </row>
        <row r="4668">
          <cell r="A4668" t="str">
            <v>IS_alqt_plus</v>
          </cell>
          <cell r="K4668" t="str">
            <v>PCOQ</v>
          </cell>
          <cell r="M4668" t="str">
            <v>M</v>
          </cell>
          <cell r="AB4668" t="str">
            <v>serum</v>
          </cell>
          <cell r="AF4668">
            <v>0.5</v>
          </cell>
        </row>
        <row r="4669">
          <cell r="A4669" t="str">
            <v>IS_alqt_plus</v>
          </cell>
          <cell r="K4669" t="str">
            <v>EMAC</v>
          </cell>
          <cell r="M4669" t="str">
            <v>M</v>
          </cell>
          <cell r="AB4669" t="str">
            <v>WB</v>
          </cell>
          <cell r="AF4669">
            <v>1.2</v>
          </cell>
        </row>
        <row r="4670">
          <cell r="A4670" t="str">
            <v>IS_alqt_plus</v>
          </cell>
          <cell r="K4670" t="str">
            <v>EUL</v>
          </cell>
          <cell r="M4670" t="str">
            <v>M</v>
          </cell>
          <cell r="AB4670" t="str">
            <v>WB</v>
          </cell>
          <cell r="AF4670">
            <v>0.3</v>
          </cell>
        </row>
        <row r="4671">
          <cell r="A4671" t="str">
            <v>IS_alqt_plus</v>
          </cell>
          <cell r="K4671" t="str">
            <v>LCAT</v>
          </cell>
          <cell r="M4671" t="str">
            <v>F</v>
          </cell>
          <cell r="AB4671" t="str">
            <v>WB</v>
          </cell>
          <cell r="AF4671">
            <v>1.5</v>
          </cell>
        </row>
        <row r="4672">
          <cell r="A4672" t="str">
            <v>IS_alqt_plus</v>
          </cell>
          <cell r="K4672" t="str">
            <v>EUL</v>
          </cell>
          <cell r="M4672" t="str">
            <v>M</v>
          </cell>
          <cell r="AB4672" t="str">
            <v>serum</v>
          </cell>
          <cell r="AF4672">
            <v>1.5</v>
          </cell>
        </row>
        <row r="4673">
          <cell r="A4673" t="str">
            <v>gone</v>
          </cell>
          <cell r="K4673" t="str">
            <v>PCOQ</v>
          </cell>
          <cell r="M4673" t="str">
            <v>M</v>
          </cell>
          <cell r="AB4673" t="str">
            <v>serum</v>
          </cell>
          <cell r="AF4673">
            <v>0</v>
          </cell>
        </row>
        <row r="4674">
          <cell r="A4674" t="str">
            <v>IS_alqt_plus</v>
          </cell>
          <cell r="K4674" t="str">
            <v>ERUF</v>
          </cell>
          <cell r="M4674" t="str">
            <v>M</v>
          </cell>
          <cell r="AB4674" t="str">
            <v>WB</v>
          </cell>
          <cell r="AF4674">
            <v>0.5</v>
          </cell>
        </row>
        <row r="4675">
          <cell r="A4675" t="str">
            <v>IS_alqt_plus</v>
          </cell>
          <cell r="K4675" t="str">
            <v>ERUF</v>
          </cell>
          <cell r="M4675" t="str">
            <v>F</v>
          </cell>
          <cell r="AB4675" t="str">
            <v>WB</v>
          </cell>
          <cell r="AF4675">
            <v>1</v>
          </cell>
        </row>
        <row r="4676">
          <cell r="A4676" t="str">
            <v>IS_alqt_plus</v>
          </cell>
          <cell r="K4676" t="str">
            <v>EUL</v>
          </cell>
          <cell r="M4676" t="str">
            <v>F</v>
          </cell>
          <cell r="AB4676" t="str">
            <v>WB</v>
          </cell>
          <cell r="AF4676">
            <v>0.55000000000000004</v>
          </cell>
        </row>
        <row r="4677">
          <cell r="A4677" t="str">
            <v>IS_alqt_plus</v>
          </cell>
          <cell r="K4677" t="str">
            <v>ERUF</v>
          </cell>
          <cell r="M4677" t="str">
            <v>M</v>
          </cell>
          <cell r="AB4677" t="str">
            <v>serum</v>
          </cell>
          <cell r="AF4677">
            <v>1.3</v>
          </cell>
        </row>
        <row r="4678">
          <cell r="A4678" t="str">
            <v>IS_alqt_plus</v>
          </cell>
          <cell r="K4678" t="str">
            <v>ERUF</v>
          </cell>
          <cell r="M4678" t="str">
            <v>F</v>
          </cell>
          <cell r="AB4678" t="str">
            <v>serum</v>
          </cell>
          <cell r="AF4678">
            <v>0.85</v>
          </cell>
        </row>
        <row r="4679">
          <cell r="A4679" t="str">
            <v>IS_alqt_plus</v>
          </cell>
          <cell r="K4679" t="str">
            <v>DMAD</v>
          </cell>
          <cell r="M4679" t="str">
            <v>F</v>
          </cell>
          <cell r="AB4679" t="str">
            <v>serum</v>
          </cell>
          <cell r="AF4679">
            <v>1</v>
          </cell>
        </row>
        <row r="4680">
          <cell r="A4680" t="str">
            <v>gone</v>
          </cell>
          <cell r="K4680" t="str">
            <v>DMAD</v>
          </cell>
          <cell r="M4680" t="str">
            <v>F</v>
          </cell>
          <cell r="AB4680" t="str">
            <v>WB</v>
          </cell>
          <cell r="AF4680">
            <v>0</v>
          </cell>
        </row>
        <row r="4681">
          <cell r="A4681" t="str">
            <v>IS_alqt_plus</v>
          </cell>
          <cell r="K4681" t="str">
            <v>LCAT</v>
          </cell>
          <cell r="M4681" t="str">
            <v>F</v>
          </cell>
          <cell r="AB4681" t="str">
            <v>WB</v>
          </cell>
          <cell r="AF4681">
            <v>1.5</v>
          </cell>
        </row>
        <row r="4682">
          <cell r="A4682" t="str">
            <v>IS_alqt_plus</v>
          </cell>
          <cell r="K4682" t="str">
            <v>LCAT</v>
          </cell>
          <cell r="M4682" t="str">
            <v>F</v>
          </cell>
          <cell r="AB4682" t="str">
            <v>WB</v>
          </cell>
          <cell r="AF4682">
            <v>1.5</v>
          </cell>
        </row>
        <row r="4683">
          <cell r="A4683" t="str">
            <v>IS_alqt_plus</v>
          </cell>
          <cell r="K4683" t="str">
            <v>LCAT</v>
          </cell>
          <cell r="M4683" t="str">
            <v>F</v>
          </cell>
          <cell r="AB4683" t="str">
            <v>WB</v>
          </cell>
          <cell r="AF4683">
            <v>1.5</v>
          </cell>
        </row>
        <row r="4684">
          <cell r="A4684" t="str">
            <v>IS_alqt_plus</v>
          </cell>
          <cell r="K4684" t="str">
            <v>LCAT</v>
          </cell>
          <cell r="M4684" t="str">
            <v>F</v>
          </cell>
          <cell r="AB4684" t="str">
            <v>serum</v>
          </cell>
          <cell r="AF4684">
            <v>0.5</v>
          </cell>
        </row>
        <row r="4685">
          <cell r="A4685" t="str">
            <v>IS_alqt_plus</v>
          </cell>
          <cell r="K4685" t="str">
            <v>LCAT</v>
          </cell>
          <cell r="M4685" t="str">
            <v>M</v>
          </cell>
          <cell r="AB4685" t="str">
            <v>serum</v>
          </cell>
          <cell r="AF4685">
            <v>0.9</v>
          </cell>
        </row>
        <row r="4686">
          <cell r="A4686" t="str">
            <v>IS_alqt_plus</v>
          </cell>
          <cell r="K4686" t="str">
            <v>LCAT</v>
          </cell>
          <cell r="M4686" t="str">
            <v>F</v>
          </cell>
          <cell r="AB4686" t="str">
            <v>serum</v>
          </cell>
          <cell r="AF4686">
            <v>0.45</v>
          </cell>
        </row>
        <row r="4687">
          <cell r="A4687" t="str">
            <v>IS_alqt_plus</v>
          </cell>
          <cell r="K4687" t="str">
            <v>EMAC</v>
          </cell>
          <cell r="M4687" t="str">
            <v>F</v>
          </cell>
          <cell r="AB4687" t="str">
            <v>WB</v>
          </cell>
          <cell r="AF4687">
            <v>1</v>
          </cell>
        </row>
        <row r="4688">
          <cell r="A4688" t="str">
            <v>IS_alqt_plus</v>
          </cell>
          <cell r="K4688" t="str">
            <v>DMAD</v>
          </cell>
          <cell r="M4688" t="str">
            <v>M</v>
          </cell>
          <cell r="AB4688" t="str">
            <v>Fluid- pleural</v>
          </cell>
          <cell r="AF4688">
            <v>1.5</v>
          </cell>
        </row>
        <row r="4689">
          <cell r="A4689" t="str">
            <v>IS_alqt_plus</v>
          </cell>
          <cell r="K4689" t="str">
            <v>DMAD</v>
          </cell>
          <cell r="M4689" t="str">
            <v>M</v>
          </cell>
          <cell r="AB4689" t="str">
            <v>Fluid- pleural</v>
          </cell>
          <cell r="AF4689">
            <v>1</v>
          </cell>
        </row>
        <row r="4690">
          <cell r="A4690" t="str">
            <v>IS_alqt_plus</v>
          </cell>
          <cell r="K4690" t="str">
            <v>PCOQ</v>
          </cell>
          <cell r="M4690" t="str">
            <v>F</v>
          </cell>
          <cell r="AB4690" t="str">
            <v>serum</v>
          </cell>
          <cell r="AF4690">
            <v>0.55000000000000004</v>
          </cell>
        </row>
        <row r="4691">
          <cell r="A4691" t="str">
            <v>IS_alqt_plus</v>
          </cell>
          <cell r="K4691" t="str">
            <v>DMAD</v>
          </cell>
          <cell r="M4691" t="str">
            <v>F</v>
          </cell>
          <cell r="AB4691" t="str">
            <v>serum</v>
          </cell>
          <cell r="AF4691">
            <v>0.7</v>
          </cell>
        </row>
        <row r="4692">
          <cell r="A4692" t="str">
            <v>gone</v>
          </cell>
          <cell r="K4692" t="str">
            <v>DMAD</v>
          </cell>
          <cell r="M4692" t="str">
            <v>F</v>
          </cell>
          <cell r="AB4692" t="str">
            <v>WB</v>
          </cell>
          <cell r="AF4692">
            <v>0</v>
          </cell>
        </row>
        <row r="4693">
          <cell r="A4693" t="str">
            <v>gone</v>
          </cell>
          <cell r="K4693" t="str">
            <v>ECOR</v>
          </cell>
          <cell r="M4693" t="str">
            <v>M</v>
          </cell>
          <cell r="AB4693" t="str">
            <v>serum</v>
          </cell>
          <cell r="AF4693">
            <v>0</v>
          </cell>
        </row>
        <row r="4694">
          <cell r="A4694" t="str">
            <v>IS_alqt_plus</v>
          </cell>
          <cell r="K4694" t="str">
            <v>ECOR</v>
          </cell>
          <cell r="M4694" t="str">
            <v>F</v>
          </cell>
          <cell r="AB4694" t="str">
            <v>serum</v>
          </cell>
          <cell r="AF4694">
            <v>0.4</v>
          </cell>
        </row>
        <row r="4695">
          <cell r="A4695" t="str">
            <v>IS_alqt_plus</v>
          </cell>
          <cell r="K4695" t="str">
            <v>ECOR</v>
          </cell>
          <cell r="M4695" t="str">
            <v>M</v>
          </cell>
          <cell r="AB4695" t="str">
            <v>WB</v>
          </cell>
          <cell r="AF4695">
            <v>0.65</v>
          </cell>
        </row>
        <row r="4696">
          <cell r="A4696" t="str">
            <v>IS_alqt_plus</v>
          </cell>
          <cell r="K4696" t="str">
            <v>ECOR</v>
          </cell>
          <cell r="M4696" t="str">
            <v>F</v>
          </cell>
          <cell r="AB4696" t="str">
            <v>WB</v>
          </cell>
          <cell r="AF4696">
            <v>0.55000000000000004</v>
          </cell>
        </row>
        <row r="4697">
          <cell r="A4697" t="str">
            <v>unk</v>
          </cell>
          <cell r="K4697" t="str">
            <v>ERUB</v>
          </cell>
          <cell r="M4697" t="str">
            <v>M</v>
          </cell>
          <cell r="AB4697" t="str">
            <v>WB</v>
          </cell>
          <cell r="AF4697">
            <v>0.25</v>
          </cell>
        </row>
        <row r="4698">
          <cell r="A4698" t="str">
            <v>IS_alqt_plus</v>
          </cell>
          <cell r="K4698" t="str">
            <v>ERUB</v>
          </cell>
          <cell r="M4698" t="str">
            <v>M</v>
          </cell>
          <cell r="AB4698" t="str">
            <v>serum</v>
          </cell>
          <cell r="AF4698">
            <v>0.4</v>
          </cell>
        </row>
        <row r="4699">
          <cell r="A4699" t="str">
            <v>IS_alqt_plus</v>
          </cell>
          <cell r="K4699" t="str">
            <v>MZAZ</v>
          </cell>
          <cell r="M4699" t="str">
            <v>M</v>
          </cell>
          <cell r="AB4699" t="str">
            <v>serum</v>
          </cell>
          <cell r="AF4699">
            <v>0.3</v>
          </cell>
        </row>
        <row r="4700">
          <cell r="A4700" t="str">
            <v>IS_alqt_plus</v>
          </cell>
          <cell r="K4700" t="str">
            <v>LCAT</v>
          </cell>
          <cell r="M4700" t="str">
            <v>F</v>
          </cell>
          <cell r="AB4700" t="str">
            <v>WB</v>
          </cell>
          <cell r="AF4700">
            <v>1.5</v>
          </cell>
        </row>
        <row r="4701">
          <cell r="A4701" t="str">
            <v>IS_alqt_plus</v>
          </cell>
          <cell r="K4701" t="str">
            <v>OCRA</v>
          </cell>
          <cell r="M4701" t="str">
            <v>F</v>
          </cell>
          <cell r="AB4701" t="str">
            <v>WB</v>
          </cell>
          <cell r="AF4701">
            <v>0.35</v>
          </cell>
        </row>
        <row r="4702">
          <cell r="A4702" t="str">
            <v>IS_alqt_plus</v>
          </cell>
          <cell r="K4702" t="str">
            <v>LCAT</v>
          </cell>
          <cell r="M4702" t="str">
            <v>F</v>
          </cell>
          <cell r="AB4702" t="str">
            <v>serum</v>
          </cell>
          <cell r="AF4702">
            <v>1</v>
          </cell>
        </row>
        <row r="4703">
          <cell r="A4703" t="str">
            <v>IS_alqt_plus</v>
          </cell>
          <cell r="K4703" t="str">
            <v>OCRA</v>
          </cell>
          <cell r="M4703" t="str">
            <v>F</v>
          </cell>
          <cell r="AB4703" t="str">
            <v>serum</v>
          </cell>
          <cell r="AF4703">
            <v>0.5</v>
          </cell>
        </row>
        <row r="4704">
          <cell r="A4704" t="str">
            <v>IS_alqt_plus</v>
          </cell>
          <cell r="K4704" t="str">
            <v>EFUL</v>
          </cell>
          <cell r="M4704" t="str">
            <v>F</v>
          </cell>
          <cell r="AB4704" t="str">
            <v>WB</v>
          </cell>
          <cell r="AF4704">
            <v>0.6</v>
          </cell>
        </row>
        <row r="4705">
          <cell r="A4705" t="str">
            <v>IS_alqt_plus</v>
          </cell>
          <cell r="K4705" t="str">
            <v>ERUF</v>
          </cell>
          <cell r="M4705" t="str">
            <v>M</v>
          </cell>
          <cell r="AB4705" t="str">
            <v>WB</v>
          </cell>
          <cell r="AF4705">
            <v>0.75</v>
          </cell>
        </row>
        <row r="4706">
          <cell r="A4706" t="str">
            <v>IS_alqt_plus</v>
          </cell>
          <cell r="K4706" t="str">
            <v>EFUL</v>
          </cell>
          <cell r="M4706" t="str">
            <v>F</v>
          </cell>
          <cell r="AB4706" t="str">
            <v>serum</v>
          </cell>
          <cell r="AF4706">
            <v>0.5</v>
          </cell>
        </row>
        <row r="4707">
          <cell r="A4707" t="str">
            <v>IS_alqt_plus</v>
          </cell>
          <cell r="K4707" t="str">
            <v>EFUL</v>
          </cell>
          <cell r="M4707" t="str">
            <v>F</v>
          </cell>
          <cell r="AB4707" t="str">
            <v>serum</v>
          </cell>
          <cell r="AF4707">
            <v>1.1000000000000001</v>
          </cell>
        </row>
        <row r="4708">
          <cell r="A4708" t="str">
            <v>IS_alqt_plus</v>
          </cell>
          <cell r="K4708" t="str">
            <v>ERUF</v>
          </cell>
          <cell r="M4708" t="str">
            <v>M</v>
          </cell>
          <cell r="AB4708" t="str">
            <v>serum</v>
          </cell>
          <cell r="AF4708">
            <v>0.8</v>
          </cell>
        </row>
        <row r="4709">
          <cell r="A4709" t="str">
            <v>IS_alqt_plus</v>
          </cell>
          <cell r="K4709" t="str">
            <v>VVV</v>
          </cell>
          <cell r="M4709" t="str">
            <v>M</v>
          </cell>
          <cell r="AB4709" t="str">
            <v>serum</v>
          </cell>
          <cell r="AF4709">
            <v>1</v>
          </cell>
        </row>
        <row r="4710">
          <cell r="A4710" t="str">
            <v>IS_alqt_plus</v>
          </cell>
          <cell r="K4710" t="str">
            <v>VVV</v>
          </cell>
          <cell r="M4710" t="str">
            <v>M</v>
          </cell>
          <cell r="AB4710" t="str">
            <v>serum</v>
          </cell>
          <cell r="AF4710">
            <v>0.9</v>
          </cell>
        </row>
        <row r="4711">
          <cell r="A4711" t="str">
            <v>IS_alqt_plus</v>
          </cell>
          <cell r="K4711" t="str">
            <v>VVV</v>
          </cell>
          <cell r="M4711" t="str">
            <v>M</v>
          </cell>
          <cell r="AB4711" t="str">
            <v>serum</v>
          </cell>
          <cell r="AF4711">
            <v>0.75</v>
          </cell>
        </row>
        <row r="4712">
          <cell r="A4712" t="str">
            <v>IS_alqt_plus</v>
          </cell>
          <cell r="K4712" t="str">
            <v>VVV</v>
          </cell>
          <cell r="M4712" t="str">
            <v>M</v>
          </cell>
          <cell r="AB4712" t="str">
            <v>serum</v>
          </cell>
          <cell r="AF4712">
            <v>1</v>
          </cell>
        </row>
        <row r="4713">
          <cell r="A4713" t="str">
            <v>IS_alqt_plus</v>
          </cell>
          <cell r="K4713" t="str">
            <v>LCAT</v>
          </cell>
          <cell r="M4713" t="str">
            <v>F</v>
          </cell>
          <cell r="AB4713" t="str">
            <v>WB</v>
          </cell>
          <cell r="AF4713">
            <v>1.5</v>
          </cell>
        </row>
        <row r="4714">
          <cell r="A4714" t="str">
            <v>IS_alqt_plus</v>
          </cell>
          <cell r="K4714" t="str">
            <v>LCAT</v>
          </cell>
          <cell r="M4714" t="str">
            <v>F</v>
          </cell>
          <cell r="AB4714" t="str">
            <v>WB</v>
          </cell>
          <cell r="AF4714">
            <v>0.5</v>
          </cell>
        </row>
        <row r="4715">
          <cell r="A4715" t="str">
            <v>IS_alqt_plus</v>
          </cell>
          <cell r="K4715" t="str">
            <v>LCAT</v>
          </cell>
          <cell r="M4715" t="str">
            <v>M</v>
          </cell>
          <cell r="AB4715" t="str">
            <v>serum</v>
          </cell>
          <cell r="AF4715">
            <v>0.4</v>
          </cell>
        </row>
        <row r="4716">
          <cell r="A4716" t="str">
            <v>IS_alqt_plus</v>
          </cell>
          <cell r="K4716" t="str">
            <v>LCAT</v>
          </cell>
          <cell r="M4716" t="str">
            <v>M</v>
          </cell>
          <cell r="AB4716" t="str">
            <v>serum</v>
          </cell>
          <cell r="AF4716">
            <v>0.8</v>
          </cell>
        </row>
        <row r="4717">
          <cell r="A4717" t="str">
            <v>IS_alqt_plus</v>
          </cell>
          <cell r="K4717" t="str">
            <v>VRUB</v>
          </cell>
          <cell r="M4717" t="str">
            <v>F</v>
          </cell>
          <cell r="AB4717" t="str">
            <v>WB</v>
          </cell>
          <cell r="AF4717">
            <v>0.55000000000000004</v>
          </cell>
        </row>
        <row r="4718">
          <cell r="A4718" t="str">
            <v>IS_alqt_plus</v>
          </cell>
          <cell r="K4718" t="str">
            <v>VRUB</v>
          </cell>
          <cell r="M4718" t="str">
            <v>F</v>
          </cell>
          <cell r="AB4718" t="str">
            <v>serum</v>
          </cell>
          <cell r="AF4718">
            <v>0.55000000000000004</v>
          </cell>
        </row>
        <row r="4719">
          <cell r="A4719" t="str">
            <v>IS_alqt_plus</v>
          </cell>
          <cell r="K4719" t="str">
            <v>VRUB</v>
          </cell>
          <cell r="M4719" t="str">
            <v>F</v>
          </cell>
          <cell r="AB4719" t="str">
            <v>serum</v>
          </cell>
          <cell r="AF4719">
            <v>0.55000000000000004</v>
          </cell>
        </row>
        <row r="4720">
          <cell r="A4720" t="str">
            <v>IS_alqt_plus</v>
          </cell>
          <cell r="K4720" t="str">
            <v>LCAT</v>
          </cell>
          <cell r="M4720" t="str">
            <v>F</v>
          </cell>
          <cell r="AB4720" t="str">
            <v>WB</v>
          </cell>
          <cell r="AF4720">
            <v>1.8</v>
          </cell>
        </row>
        <row r="4721">
          <cell r="A4721" t="str">
            <v>IS_alqt_plus</v>
          </cell>
          <cell r="K4721" t="str">
            <v>LCAT</v>
          </cell>
          <cell r="M4721" t="str">
            <v>F</v>
          </cell>
          <cell r="AB4721" t="str">
            <v>WB</v>
          </cell>
          <cell r="AF4721">
            <v>2</v>
          </cell>
        </row>
        <row r="4722">
          <cell r="A4722" t="str">
            <v>IS_alqt_plus</v>
          </cell>
          <cell r="K4722" t="str">
            <v>LCAT</v>
          </cell>
          <cell r="M4722" t="str">
            <v>M</v>
          </cell>
          <cell r="AB4722" t="str">
            <v>serum</v>
          </cell>
          <cell r="AF4722">
            <v>0.9</v>
          </cell>
        </row>
        <row r="4723">
          <cell r="A4723" t="str">
            <v>IS_alqt_plus</v>
          </cell>
          <cell r="K4723" t="str">
            <v>LCAT</v>
          </cell>
          <cell r="M4723" t="str">
            <v>M</v>
          </cell>
          <cell r="AB4723" t="str">
            <v>serum</v>
          </cell>
          <cell r="AF4723">
            <v>1.1000000000000001</v>
          </cell>
        </row>
        <row r="4724">
          <cell r="A4724" t="str">
            <v>IS_alqt_plus</v>
          </cell>
          <cell r="K4724" t="str">
            <v>DMAD</v>
          </cell>
          <cell r="M4724" t="str">
            <v>F</v>
          </cell>
          <cell r="AB4724" t="str">
            <v>serum</v>
          </cell>
          <cell r="AF4724">
            <v>0.35</v>
          </cell>
        </row>
        <row r="4725">
          <cell r="A4725" t="str">
            <v>IS_alqt_plus</v>
          </cell>
          <cell r="K4725" t="str">
            <v>DMAD</v>
          </cell>
          <cell r="M4725" t="str">
            <v>F</v>
          </cell>
          <cell r="AB4725" t="str">
            <v>WB</v>
          </cell>
          <cell r="AF4725">
            <v>0.25</v>
          </cell>
        </row>
        <row r="4726">
          <cell r="A4726" t="str">
            <v>IS_alqt_plus</v>
          </cell>
          <cell r="K4726" t="str">
            <v>PCOQ</v>
          </cell>
          <cell r="M4726" t="str">
            <v>F</v>
          </cell>
          <cell r="AB4726" t="str">
            <v>serum</v>
          </cell>
          <cell r="AF4726">
            <v>0.55000000000000004</v>
          </cell>
        </row>
        <row r="4727">
          <cell r="A4727" t="str">
            <v>IS_alqt_plus</v>
          </cell>
          <cell r="K4727" t="str">
            <v>PCOQ</v>
          </cell>
          <cell r="M4727" t="str">
            <v>M</v>
          </cell>
          <cell r="AB4727" t="str">
            <v>serum</v>
          </cell>
          <cell r="AF4727">
            <v>0.5</v>
          </cell>
        </row>
        <row r="4728">
          <cell r="A4728" t="str">
            <v>IS_alqt_plus</v>
          </cell>
          <cell r="K4728" t="str">
            <v>PCOQ</v>
          </cell>
          <cell r="M4728" t="str">
            <v>M</v>
          </cell>
          <cell r="AB4728" t="str">
            <v>serum</v>
          </cell>
          <cell r="AF4728">
            <v>0.8</v>
          </cell>
        </row>
        <row r="4729">
          <cell r="A4729" t="str">
            <v>IS_alqt_plus</v>
          </cell>
          <cell r="K4729" t="str">
            <v>PCOQ</v>
          </cell>
          <cell r="M4729" t="str">
            <v>M</v>
          </cell>
          <cell r="AB4729" t="str">
            <v>serum</v>
          </cell>
          <cell r="AF4729">
            <v>0.5</v>
          </cell>
        </row>
        <row r="4730">
          <cell r="A4730" t="str">
            <v>IS_alqt_plus</v>
          </cell>
          <cell r="K4730" t="str">
            <v>EMON</v>
          </cell>
          <cell r="M4730" t="str">
            <v>M</v>
          </cell>
          <cell r="AB4730" t="str">
            <v>serum</v>
          </cell>
          <cell r="AF4730">
            <v>0.5</v>
          </cell>
        </row>
        <row r="4731">
          <cell r="A4731" t="str">
            <v>IS_alqt_plus</v>
          </cell>
          <cell r="K4731" t="str">
            <v>EMON</v>
          </cell>
          <cell r="M4731" t="str">
            <v>F</v>
          </cell>
          <cell r="AB4731" t="str">
            <v>serum</v>
          </cell>
          <cell r="AF4731">
            <v>1.4</v>
          </cell>
        </row>
        <row r="4732">
          <cell r="A4732" t="str">
            <v>IS_alqt_plus</v>
          </cell>
          <cell r="K4732" t="str">
            <v>EMON</v>
          </cell>
          <cell r="M4732" t="str">
            <v>M</v>
          </cell>
          <cell r="AB4732" t="str">
            <v>serum</v>
          </cell>
          <cell r="AF4732">
            <v>0.8</v>
          </cell>
        </row>
        <row r="4733">
          <cell r="A4733" t="str">
            <v>gone</v>
          </cell>
          <cell r="K4733" t="str">
            <v>LCAT</v>
          </cell>
          <cell r="M4733" t="str">
            <v>F</v>
          </cell>
          <cell r="AB4733" t="str">
            <v>serum</v>
          </cell>
          <cell r="AF4733">
            <v>0</v>
          </cell>
        </row>
        <row r="4734">
          <cell r="A4734" t="str">
            <v>IS_alqt_plus</v>
          </cell>
          <cell r="K4734" t="str">
            <v>PCOQ</v>
          </cell>
          <cell r="M4734" t="str">
            <v>F</v>
          </cell>
          <cell r="AB4734" t="str">
            <v>serum</v>
          </cell>
          <cell r="AF4734">
            <v>0.6</v>
          </cell>
        </row>
        <row r="4735">
          <cell r="A4735" t="str">
            <v>IS_alqt_plus</v>
          </cell>
          <cell r="K4735" t="str">
            <v>PCOQ</v>
          </cell>
          <cell r="M4735" t="str">
            <v>M</v>
          </cell>
          <cell r="AB4735" t="str">
            <v>serum</v>
          </cell>
          <cell r="AF4735">
            <v>0.2</v>
          </cell>
        </row>
        <row r="4736">
          <cell r="A4736" t="str">
            <v>IS_alqt_plus</v>
          </cell>
          <cell r="K4736" t="str">
            <v>PCOQ</v>
          </cell>
          <cell r="M4736" t="str">
            <v>M</v>
          </cell>
          <cell r="AB4736" t="str">
            <v>serum</v>
          </cell>
          <cell r="AF4736">
            <v>0.5</v>
          </cell>
        </row>
        <row r="4737">
          <cell r="A4737" t="str">
            <v>IS_alqt_plus</v>
          </cell>
          <cell r="K4737" t="str">
            <v>PCOQ</v>
          </cell>
          <cell r="M4737" t="str">
            <v>M</v>
          </cell>
          <cell r="AB4737" t="str">
            <v>serum</v>
          </cell>
          <cell r="AF4737">
            <v>0.25</v>
          </cell>
        </row>
        <row r="4738">
          <cell r="A4738" t="str">
            <v>IS_alqt_plus</v>
          </cell>
          <cell r="K4738" t="str">
            <v>PCOQ</v>
          </cell>
          <cell r="M4738" t="str">
            <v>M</v>
          </cell>
          <cell r="AB4738" t="str">
            <v>serum</v>
          </cell>
          <cell r="AF4738">
            <v>0.5</v>
          </cell>
        </row>
        <row r="4739">
          <cell r="A4739" t="str">
            <v>IS_alqt_plus</v>
          </cell>
          <cell r="K4739" t="str">
            <v>DMAD</v>
          </cell>
          <cell r="M4739" t="str">
            <v>M</v>
          </cell>
          <cell r="AB4739" t="str">
            <v>serum</v>
          </cell>
          <cell r="AF4739">
            <v>0.45</v>
          </cell>
        </row>
        <row r="4740">
          <cell r="A4740" t="str">
            <v>IS_alqt_plus</v>
          </cell>
          <cell r="K4740" t="str">
            <v>LCAT</v>
          </cell>
          <cell r="M4740" t="str">
            <v>F</v>
          </cell>
          <cell r="AB4740" t="str">
            <v>serum</v>
          </cell>
          <cell r="AF4740">
            <v>0.6</v>
          </cell>
        </row>
        <row r="4741">
          <cell r="A4741" t="str">
            <v>IS_alqt_plus</v>
          </cell>
          <cell r="K4741" t="str">
            <v>DMAD</v>
          </cell>
          <cell r="M4741" t="str">
            <v>M</v>
          </cell>
          <cell r="AB4741" t="str">
            <v>WB</v>
          </cell>
          <cell r="AF4741">
            <v>0.75</v>
          </cell>
        </row>
        <row r="4742">
          <cell r="A4742" t="str">
            <v>IS_alqt_plus</v>
          </cell>
          <cell r="K4742" t="str">
            <v>LCAT</v>
          </cell>
          <cell r="M4742" t="str">
            <v>F</v>
          </cell>
          <cell r="AB4742" t="str">
            <v>WB</v>
          </cell>
          <cell r="AF4742">
            <v>1</v>
          </cell>
        </row>
        <row r="4743">
          <cell r="A4743" t="str">
            <v>IS_alqt_plus</v>
          </cell>
          <cell r="K4743" t="str">
            <v>LCAT</v>
          </cell>
          <cell r="M4743" t="str">
            <v>M</v>
          </cell>
          <cell r="AB4743" t="str">
            <v>WB</v>
          </cell>
          <cell r="AF4743">
            <v>0.35</v>
          </cell>
        </row>
        <row r="4744">
          <cell r="A4744" t="str">
            <v>IS_alqt_plus</v>
          </cell>
          <cell r="K4744" t="str">
            <v>VVV</v>
          </cell>
          <cell r="M4744" t="str">
            <v>F</v>
          </cell>
          <cell r="AB4744" t="str">
            <v>WB</v>
          </cell>
          <cell r="AF4744">
            <v>0.8</v>
          </cell>
        </row>
        <row r="4745">
          <cell r="A4745" t="str">
            <v>IS_alqt_plus</v>
          </cell>
          <cell r="K4745" t="str">
            <v>PCOQ</v>
          </cell>
          <cell r="M4745" t="str">
            <v>F</v>
          </cell>
          <cell r="AB4745" t="str">
            <v>serum</v>
          </cell>
          <cell r="AF4745">
            <v>1.2</v>
          </cell>
        </row>
        <row r="4746">
          <cell r="A4746" t="str">
            <v>IS_alqt_plus</v>
          </cell>
          <cell r="K4746" t="str">
            <v>PCOQ</v>
          </cell>
          <cell r="M4746" t="str">
            <v>F</v>
          </cell>
          <cell r="AB4746" t="str">
            <v>serum</v>
          </cell>
          <cell r="AF4746">
            <v>0.8</v>
          </cell>
        </row>
        <row r="4747">
          <cell r="A4747" t="str">
            <v>IS_alqt_plus</v>
          </cell>
          <cell r="K4747" t="str">
            <v>VVV</v>
          </cell>
          <cell r="M4747" t="str">
            <v>F</v>
          </cell>
          <cell r="AB4747" t="str">
            <v>serum</v>
          </cell>
          <cell r="AF4747">
            <v>0.4</v>
          </cell>
        </row>
        <row r="4748">
          <cell r="A4748" t="str">
            <v>IS_alqt_plus</v>
          </cell>
          <cell r="K4748" t="str">
            <v>VVV</v>
          </cell>
          <cell r="M4748" t="str">
            <v>F</v>
          </cell>
          <cell r="AB4748" t="str">
            <v>serum</v>
          </cell>
          <cell r="AF4748">
            <v>0.7</v>
          </cell>
        </row>
        <row r="4749">
          <cell r="A4749" t="str">
            <v>IS_alqt_plus</v>
          </cell>
          <cell r="K4749" t="str">
            <v>LCAT</v>
          </cell>
          <cell r="M4749" t="str">
            <v>M</v>
          </cell>
          <cell r="AB4749" t="str">
            <v>WB</v>
          </cell>
          <cell r="AF4749">
            <v>0.6</v>
          </cell>
        </row>
        <row r="4750">
          <cell r="A4750" t="str">
            <v>IS_alqt_plus</v>
          </cell>
          <cell r="K4750" t="str">
            <v>LCAT</v>
          </cell>
          <cell r="M4750" t="str">
            <v>F</v>
          </cell>
          <cell r="AB4750" t="str">
            <v>WB</v>
          </cell>
          <cell r="AF4750">
            <v>1.4</v>
          </cell>
        </row>
        <row r="4751">
          <cell r="A4751" t="str">
            <v>IS_alqt_plus</v>
          </cell>
          <cell r="K4751" t="str">
            <v>LCAT</v>
          </cell>
          <cell r="M4751" t="str">
            <v>M</v>
          </cell>
          <cell r="AB4751" t="str">
            <v>WB</v>
          </cell>
          <cell r="AF4751">
            <v>0.6</v>
          </cell>
        </row>
        <row r="4752">
          <cell r="A4752" t="str">
            <v>IS_alqt_plus</v>
          </cell>
          <cell r="K4752" t="str">
            <v>LCAT</v>
          </cell>
          <cell r="M4752" t="str">
            <v>M</v>
          </cell>
          <cell r="AB4752" t="str">
            <v>WB</v>
          </cell>
          <cell r="AF4752">
            <v>0.3</v>
          </cell>
        </row>
        <row r="4753">
          <cell r="A4753" t="str">
            <v>IS_alqt_plus</v>
          </cell>
          <cell r="K4753" t="str">
            <v>LCAT</v>
          </cell>
          <cell r="M4753" t="str">
            <v>F</v>
          </cell>
          <cell r="AB4753" t="str">
            <v>serum</v>
          </cell>
          <cell r="AF4753">
            <v>0.4</v>
          </cell>
        </row>
        <row r="4754">
          <cell r="A4754" t="str">
            <v>IS_alqt_plus</v>
          </cell>
          <cell r="K4754" t="str">
            <v>LCAT</v>
          </cell>
          <cell r="M4754" t="str">
            <v>M</v>
          </cell>
          <cell r="AB4754" t="str">
            <v>serum</v>
          </cell>
          <cell r="AF4754">
            <v>0.5</v>
          </cell>
        </row>
        <row r="4755">
          <cell r="A4755" t="str">
            <v>IS_alqt_plus</v>
          </cell>
          <cell r="K4755" t="str">
            <v>EFLA</v>
          </cell>
          <cell r="M4755" t="str">
            <v>F</v>
          </cell>
          <cell r="AB4755" t="str">
            <v>WB</v>
          </cell>
          <cell r="AF4755">
            <v>0.55000000000000004</v>
          </cell>
        </row>
        <row r="4756">
          <cell r="A4756" t="str">
            <v>IS_alqt_plus</v>
          </cell>
          <cell r="K4756" t="str">
            <v>EFLA</v>
          </cell>
          <cell r="M4756" t="str">
            <v>F</v>
          </cell>
          <cell r="AB4756" t="str">
            <v>serum</v>
          </cell>
          <cell r="AF4756">
            <v>0.5</v>
          </cell>
        </row>
        <row r="4757">
          <cell r="A4757" t="str">
            <v>IS_alqt_plus</v>
          </cell>
          <cell r="K4757" t="str">
            <v>EFLA</v>
          </cell>
          <cell r="M4757" t="str">
            <v>F</v>
          </cell>
          <cell r="AB4757" t="str">
            <v>serum</v>
          </cell>
          <cell r="AF4757">
            <v>0.55000000000000004</v>
          </cell>
        </row>
        <row r="4758">
          <cell r="A4758" t="str">
            <v>IS_alqt_plus</v>
          </cell>
          <cell r="K4758" t="str">
            <v>VVV</v>
          </cell>
          <cell r="M4758" t="str">
            <v>F</v>
          </cell>
          <cell r="AB4758" t="str">
            <v>serum</v>
          </cell>
          <cell r="AF4758">
            <v>1.2</v>
          </cell>
        </row>
        <row r="4759">
          <cell r="A4759" t="str">
            <v>IS_alqt_plus</v>
          </cell>
          <cell r="K4759" t="str">
            <v>VRUB</v>
          </cell>
          <cell r="M4759" t="str">
            <v>M</v>
          </cell>
          <cell r="AB4759" t="str">
            <v>WB</v>
          </cell>
          <cell r="AF4759">
            <v>1</v>
          </cell>
        </row>
        <row r="4760">
          <cell r="A4760" t="str">
            <v>IS_alqt_plus</v>
          </cell>
          <cell r="K4760" t="str">
            <v>VRUB</v>
          </cell>
          <cell r="M4760" t="str">
            <v>M</v>
          </cell>
          <cell r="AB4760" t="str">
            <v>WB</v>
          </cell>
          <cell r="AF4760">
            <v>1</v>
          </cell>
        </row>
        <row r="4761">
          <cell r="A4761" t="str">
            <v>IS_alqt_plus</v>
          </cell>
          <cell r="K4761" t="str">
            <v>VVV</v>
          </cell>
          <cell r="M4761" t="str">
            <v>M</v>
          </cell>
          <cell r="AB4761" t="str">
            <v>WB</v>
          </cell>
          <cell r="AF4761">
            <v>0.65</v>
          </cell>
        </row>
        <row r="4762">
          <cell r="A4762" t="str">
            <v>IS_alqt_plus</v>
          </cell>
          <cell r="K4762" t="str">
            <v>VRUB</v>
          </cell>
          <cell r="M4762" t="str">
            <v>M</v>
          </cell>
          <cell r="AB4762" t="str">
            <v>serum</v>
          </cell>
          <cell r="AF4762">
            <v>1</v>
          </cell>
        </row>
        <row r="4763">
          <cell r="A4763" t="str">
            <v>IS_alqt_plus</v>
          </cell>
          <cell r="K4763" t="str">
            <v>VRUB</v>
          </cell>
          <cell r="M4763" t="str">
            <v>M</v>
          </cell>
          <cell r="AB4763" t="str">
            <v>serum</v>
          </cell>
          <cell r="AF4763">
            <v>1.5</v>
          </cell>
        </row>
        <row r="4764">
          <cell r="A4764" t="str">
            <v>IS_alqt_plus</v>
          </cell>
          <cell r="K4764" t="str">
            <v>VRUB</v>
          </cell>
          <cell r="M4764" t="str">
            <v>M</v>
          </cell>
          <cell r="AB4764" t="str">
            <v>serum</v>
          </cell>
          <cell r="AF4764">
            <v>0.8</v>
          </cell>
        </row>
        <row r="4765">
          <cell r="A4765" t="str">
            <v>IS_alqt_plus</v>
          </cell>
          <cell r="K4765" t="str">
            <v>VRUB</v>
          </cell>
          <cell r="M4765" t="str">
            <v>M</v>
          </cell>
          <cell r="AB4765" t="str">
            <v>serum</v>
          </cell>
          <cell r="AF4765">
            <v>1.5</v>
          </cell>
        </row>
        <row r="4766">
          <cell r="A4766" t="str">
            <v>IS_alqt_plus</v>
          </cell>
          <cell r="K4766" t="str">
            <v>VVV</v>
          </cell>
          <cell r="M4766" t="str">
            <v>M</v>
          </cell>
          <cell r="AB4766" t="str">
            <v>serum</v>
          </cell>
          <cell r="AF4766">
            <v>1.2</v>
          </cell>
        </row>
        <row r="4767">
          <cell r="A4767" t="str">
            <v>IS_alqt_plus</v>
          </cell>
          <cell r="K4767" t="str">
            <v>LCAT</v>
          </cell>
          <cell r="M4767" t="str">
            <v>M</v>
          </cell>
          <cell r="AB4767" t="str">
            <v>WB</v>
          </cell>
          <cell r="AF4767">
            <v>0.35</v>
          </cell>
        </row>
        <row r="4768">
          <cell r="A4768" t="str">
            <v>IS_alqt_plus</v>
          </cell>
          <cell r="K4768" t="str">
            <v>PCOQ</v>
          </cell>
          <cell r="M4768" t="str">
            <v>F</v>
          </cell>
          <cell r="AB4768" t="str">
            <v>serum</v>
          </cell>
          <cell r="AF4768">
            <v>1.2</v>
          </cell>
        </row>
        <row r="4769">
          <cell r="A4769" t="str">
            <v>IS_alqt_plus</v>
          </cell>
          <cell r="K4769" t="str">
            <v>LCAT</v>
          </cell>
          <cell r="M4769" t="str">
            <v>F</v>
          </cell>
          <cell r="AB4769" t="str">
            <v>serum</v>
          </cell>
          <cell r="AF4769">
            <v>0.4</v>
          </cell>
        </row>
        <row r="4770">
          <cell r="A4770" t="str">
            <v>IS_alqt_plus</v>
          </cell>
          <cell r="K4770" t="str">
            <v>NPYG</v>
          </cell>
          <cell r="M4770" t="str">
            <v>M</v>
          </cell>
          <cell r="AB4770" t="str">
            <v>PRBC</v>
          </cell>
          <cell r="AF4770">
            <v>1</v>
          </cell>
        </row>
        <row r="4771">
          <cell r="A4771" t="str">
            <v>IS_alqt_plus</v>
          </cell>
          <cell r="K4771" t="str">
            <v>NPYG</v>
          </cell>
          <cell r="M4771" t="str">
            <v>M</v>
          </cell>
          <cell r="AB4771" t="str">
            <v>serum</v>
          </cell>
          <cell r="AF4771">
            <v>0.8</v>
          </cell>
        </row>
        <row r="4772">
          <cell r="A4772" t="str">
            <v>IS_alqt_plus</v>
          </cell>
          <cell r="K4772" t="str">
            <v>NPYG</v>
          </cell>
          <cell r="M4772" t="str">
            <v>M</v>
          </cell>
          <cell r="AB4772" t="str">
            <v>serum</v>
          </cell>
          <cell r="AF4772">
            <v>1</v>
          </cell>
        </row>
        <row r="4773">
          <cell r="A4773" t="str">
            <v>IS_alqt_plus</v>
          </cell>
          <cell r="K4773" t="str">
            <v>LCAT</v>
          </cell>
          <cell r="M4773" t="str">
            <v>F</v>
          </cell>
          <cell r="AB4773" t="str">
            <v>WB</v>
          </cell>
          <cell r="AF4773">
            <v>1</v>
          </cell>
        </row>
        <row r="4774">
          <cell r="A4774" t="str">
            <v>IS_alqt_plus</v>
          </cell>
          <cell r="K4774" t="str">
            <v>PCOQ</v>
          </cell>
          <cell r="M4774" t="str">
            <v>M</v>
          </cell>
          <cell r="AB4774" t="str">
            <v>serum</v>
          </cell>
          <cell r="AF4774">
            <v>0.5</v>
          </cell>
        </row>
        <row r="4775">
          <cell r="A4775" t="str">
            <v>IS_alqt_plus</v>
          </cell>
          <cell r="K4775" t="str">
            <v>VVV</v>
          </cell>
          <cell r="M4775" t="str">
            <v>M</v>
          </cell>
          <cell r="AB4775" t="str">
            <v>WB</v>
          </cell>
          <cell r="AF4775">
            <v>0.2</v>
          </cell>
        </row>
        <row r="4776">
          <cell r="A4776" t="str">
            <v>unk</v>
          </cell>
          <cell r="K4776" t="str">
            <v>VVV</v>
          </cell>
          <cell r="M4776" t="str">
            <v>M</v>
          </cell>
          <cell r="AB4776" t="str">
            <v>WB</v>
          </cell>
          <cell r="AF4776">
            <v>0.2</v>
          </cell>
        </row>
        <row r="4777">
          <cell r="A4777" t="str">
            <v>IS_alqt_plus</v>
          </cell>
          <cell r="K4777" t="str">
            <v>VVV</v>
          </cell>
          <cell r="M4777" t="str">
            <v>M</v>
          </cell>
          <cell r="AB4777" t="str">
            <v>WB</v>
          </cell>
          <cell r="AF4777">
            <v>0.2</v>
          </cell>
        </row>
        <row r="4778">
          <cell r="A4778" t="str">
            <v>IS_alqt_plus</v>
          </cell>
          <cell r="K4778" t="str">
            <v>VVV</v>
          </cell>
          <cell r="M4778" t="str">
            <v>M</v>
          </cell>
          <cell r="AB4778" t="str">
            <v>WB</v>
          </cell>
          <cell r="AF4778">
            <v>0.5</v>
          </cell>
        </row>
        <row r="4779">
          <cell r="A4779" t="str">
            <v>IS_alqt_plus</v>
          </cell>
          <cell r="K4779" t="str">
            <v>VVV</v>
          </cell>
          <cell r="M4779" t="str">
            <v>M</v>
          </cell>
          <cell r="AB4779" t="str">
            <v>serum</v>
          </cell>
          <cell r="AF4779">
            <v>0.45</v>
          </cell>
        </row>
        <row r="4780">
          <cell r="A4780" t="str">
            <v>IS_alqt_plus</v>
          </cell>
          <cell r="K4780" t="str">
            <v>VVV</v>
          </cell>
          <cell r="M4780" t="str">
            <v>M</v>
          </cell>
          <cell r="AB4780" t="str">
            <v>serum</v>
          </cell>
          <cell r="AF4780">
            <v>0.8</v>
          </cell>
        </row>
        <row r="4781">
          <cell r="A4781" t="str">
            <v>IS_alqt_plus</v>
          </cell>
          <cell r="K4781" t="str">
            <v>VVV</v>
          </cell>
          <cell r="M4781" t="str">
            <v>M</v>
          </cell>
          <cell r="AB4781" t="str">
            <v>serum</v>
          </cell>
          <cell r="AF4781">
            <v>0.6</v>
          </cell>
        </row>
        <row r="4782">
          <cell r="A4782" t="str">
            <v>IS_alqt_plus</v>
          </cell>
          <cell r="K4782" t="str">
            <v>VVV</v>
          </cell>
          <cell r="M4782" t="str">
            <v>M</v>
          </cell>
          <cell r="AB4782" t="str">
            <v>serum</v>
          </cell>
          <cell r="AF4782">
            <v>0.7</v>
          </cell>
        </row>
        <row r="4783">
          <cell r="A4783" t="str">
            <v>IS_alqt_plus</v>
          </cell>
          <cell r="K4783" t="str">
            <v>VRUB</v>
          </cell>
          <cell r="M4783" t="str">
            <v>F</v>
          </cell>
          <cell r="AB4783" t="str">
            <v>WB</v>
          </cell>
          <cell r="AF4783">
            <v>0.5</v>
          </cell>
        </row>
        <row r="4784">
          <cell r="A4784" t="str">
            <v>gone</v>
          </cell>
          <cell r="K4784" t="str">
            <v>VRUB</v>
          </cell>
          <cell r="M4784" t="str">
            <v>F</v>
          </cell>
          <cell r="AB4784" t="str">
            <v>WB</v>
          </cell>
          <cell r="AF4784">
            <v>0</v>
          </cell>
        </row>
        <row r="4785">
          <cell r="A4785" t="str">
            <v>IS_alqt_plus</v>
          </cell>
          <cell r="K4785" t="str">
            <v>VRUB</v>
          </cell>
          <cell r="M4785" t="str">
            <v>F</v>
          </cell>
          <cell r="AB4785" t="str">
            <v>serum</v>
          </cell>
          <cell r="AF4785">
            <v>1.3</v>
          </cell>
        </row>
        <row r="4786">
          <cell r="A4786" t="str">
            <v>IS_alqt_plus</v>
          </cell>
          <cell r="K4786" t="str">
            <v>VRUB</v>
          </cell>
          <cell r="M4786" t="str">
            <v>F</v>
          </cell>
          <cell r="AB4786" t="str">
            <v>serum</v>
          </cell>
          <cell r="AF4786">
            <v>1</v>
          </cell>
        </row>
        <row r="4787">
          <cell r="A4787" t="str">
            <v>IS_alqt_plus</v>
          </cell>
          <cell r="K4787" t="str">
            <v>VRUB</v>
          </cell>
          <cell r="M4787" t="str">
            <v>F</v>
          </cell>
          <cell r="AB4787" t="str">
            <v>serum</v>
          </cell>
          <cell r="AF4787">
            <v>0.7</v>
          </cell>
        </row>
        <row r="4788">
          <cell r="A4788" t="str">
            <v>IS_alqt_plus</v>
          </cell>
          <cell r="K4788" t="str">
            <v>VRUB</v>
          </cell>
          <cell r="M4788" t="str">
            <v>F</v>
          </cell>
          <cell r="AB4788" t="str">
            <v>WB</v>
          </cell>
          <cell r="AF4788">
            <v>1</v>
          </cell>
        </row>
        <row r="4789">
          <cell r="A4789" t="str">
            <v>IS_alqt_plus</v>
          </cell>
          <cell r="K4789" t="str">
            <v>VRUB</v>
          </cell>
          <cell r="M4789" t="str">
            <v>M</v>
          </cell>
          <cell r="AB4789" t="str">
            <v>WB</v>
          </cell>
          <cell r="AF4789">
            <v>0.3</v>
          </cell>
        </row>
        <row r="4790">
          <cell r="A4790" t="str">
            <v>IS_alqt_plus</v>
          </cell>
          <cell r="K4790" t="str">
            <v>VRUB</v>
          </cell>
          <cell r="M4790" t="str">
            <v>F</v>
          </cell>
          <cell r="AB4790" t="str">
            <v>serum</v>
          </cell>
          <cell r="AF4790">
            <v>1.5</v>
          </cell>
        </row>
        <row r="4791">
          <cell r="A4791" t="str">
            <v>IS_alqt_plus</v>
          </cell>
          <cell r="K4791" t="str">
            <v>VRUB</v>
          </cell>
          <cell r="M4791" t="str">
            <v>F</v>
          </cell>
          <cell r="AB4791" t="str">
            <v>serum</v>
          </cell>
          <cell r="AF4791">
            <v>0.5</v>
          </cell>
        </row>
        <row r="4792">
          <cell r="A4792" t="str">
            <v>IS_alqt_plus</v>
          </cell>
          <cell r="K4792" t="str">
            <v>VRUB</v>
          </cell>
          <cell r="M4792" t="str">
            <v>M</v>
          </cell>
          <cell r="AB4792" t="str">
            <v>serum</v>
          </cell>
          <cell r="AF4792">
            <v>1.1000000000000001</v>
          </cell>
        </row>
        <row r="4793">
          <cell r="A4793" t="str">
            <v>IS_alqt_plus</v>
          </cell>
          <cell r="K4793" t="str">
            <v>PCOQ</v>
          </cell>
          <cell r="M4793" t="str">
            <v>M</v>
          </cell>
          <cell r="AB4793" t="str">
            <v>serum</v>
          </cell>
          <cell r="AF4793">
            <v>0.3</v>
          </cell>
        </row>
        <row r="4794">
          <cell r="A4794" t="str">
            <v>gone</v>
          </cell>
          <cell r="K4794" t="str">
            <v>LCAT</v>
          </cell>
          <cell r="M4794" t="str">
            <v>M</v>
          </cell>
          <cell r="AB4794" t="str">
            <v>WB</v>
          </cell>
          <cell r="AF4794">
            <v>0</v>
          </cell>
        </row>
        <row r="4795">
          <cell r="A4795" t="str">
            <v>IS_alqt_plus</v>
          </cell>
          <cell r="K4795" t="str">
            <v>PCOQ</v>
          </cell>
          <cell r="M4795" t="str">
            <v>F</v>
          </cell>
          <cell r="AB4795" t="str">
            <v>serum</v>
          </cell>
          <cell r="AF4795">
            <v>1.1000000000000001</v>
          </cell>
        </row>
        <row r="4796">
          <cell r="A4796" t="str">
            <v>IS_alqt_plus</v>
          </cell>
          <cell r="K4796" t="str">
            <v>LCAT</v>
          </cell>
          <cell r="M4796" t="str">
            <v>M</v>
          </cell>
          <cell r="AB4796" t="str">
            <v>WB</v>
          </cell>
          <cell r="AF4796">
            <v>0.2</v>
          </cell>
        </row>
        <row r="4797">
          <cell r="A4797" t="str">
            <v>IS_alqt_plus</v>
          </cell>
          <cell r="K4797" t="str">
            <v>VRUB</v>
          </cell>
          <cell r="M4797" t="str">
            <v>F</v>
          </cell>
          <cell r="AB4797" t="str">
            <v>WB</v>
          </cell>
          <cell r="AF4797">
            <v>0.6</v>
          </cell>
        </row>
        <row r="4798">
          <cell r="A4798" t="str">
            <v>IS_alqt_plus</v>
          </cell>
          <cell r="K4798" t="str">
            <v>LCAT</v>
          </cell>
          <cell r="M4798" t="str">
            <v>M</v>
          </cell>
          <cell r="AB4798" t="str">
            <v>serum</v>
          </cell>
          <cell r="AF4798">
            <v>0.4</v>
          </cell>
        </row>
        <row r="4799">
          <cell r="A4799" t="str">
            <v>IS_alqt_plus</v>
          </cell>
          <cell r="K4799" t="str">
            <v>VRUB</v>
          </cell>
          <cell r="M4799" t="str">
            <v>F</v>
          </cell>
          <cell r="AB4799" t="str">
            <v>serum</v>
          </cell>
          <cell r="AF4799">
            <v>0.6</v>
          </cell>
        </row>
        <row r="4800">
          <cell r="A4800" t="str">
            <v>IS_alqt_plus</v>
          </cell>
          <cell r="K4800" t="str">
            <v>NPYG</v>
          </cell>
          <cell r="M4800" t="str">
            <v>M</v>
          </cell>
          <cell r="AB4800" t="str">
            <v>WB</v>
          </cell>
          <cell r="AF4800">
            <v>0.9</v>
          </cell>
        </row>
        <row r="4801">
          <cell r="A4801" t="str">
            <v>gone</v>
          </cell>
          <cell r="K4801" t="str">
            <v>NPYG</v>
          </cell>
          <cell r="M4801" t="str">
            <v>M</v>
          </cell>
          <cell r="AB4801" t="str">
            <v>WB</v>
          </cell>
          <cell r="AF4801">
            <v>0</v>
          </cell>
        </row>
        <row r="4802">
          <cell r="A4802" t="str">
            <v>gone</v>
          </cell>
          <cell r="K4802" t="str">
            <v>NPYG</v>
          </cell>
          <cell r="M4802" t="str">
            <v>M</v>
          </cell>
          <cell r="AB4802" t="str">
            <v>WB</v>
          </cell>
          <cell r="AF4802">
            <v>0</v>
          </cell>
        </row>
        <row r="4803">
          <cell r="A4803" t="str">
            <v>gone</v>
          </cell>
          <cell r="K4803" t="str">
            <v>NPYG</v>
          </cell>
          <cell r="M4803" t="str">
            <v>M</v>
          </cell>
          <cell r="AB4803" t="str">
            <v>WB</v>
          </cell>
          <cell r="AF4803">
            <v>0</v>
          </cell>
        </row>
        <row r="4804">
          <cell r="A4804" t="str">
            <v>gone</v>
          </cell>
          <cell r="K4804" t="str">
            <v>NPYG</v>
          </cell>
          <cell r="M4804" t="str">
            <v>M</v>
          </cell>
          <cell r="AB4804" t="str">
            <v>WB</v>
          </cell>
          <cell r="AF4804">
            <v>0</v>
          </cell>
        </row>
        <row r="4805">
          <cell r="A4805" t="str">
            <v>IS_alqt_plus</v>
          </cell>
          <cell r="K4805" t="str">
            <v>NPYG</v>
          </cell>
          <cell r="M4805" t="str">
            <v>M</v>
          </cell>
          <cell r="AB4805" t="str">
            <v>WB</v>
          </cell>
          <cell r="AF4805">
            <v>0.7</v>
          </cell>
        </row>
        <row r="4806">
          <cell r="A4806" t="str">
            <v>IS_alqt_plus</v>
          </cell>
          <cell r="K4806" t="str">
            <v>NPYG</v>
          </cell>
          <cell r="M4806" t="str">
            <v>M</v>
          </cell>
          <cell r="AB4806" t="str">
            <v>WB</v>
          </cell>
          <cell r="AF4806">
            <v>0.7</v>
          </cell>
        </row>
        <row r="4807">
          <cell r="A4807" t="str">
            <v>IS_alqt_plus</v>
          </cell>
          <cell r="K4807" t="str">
            <v>NPYG</v>
          </cell>
          <cell r="M4807" t="str">
            <v>M</v>
          </cell>
          <cell r="AB4807" t="str">
            <v>serum</v>
          </cell>
          <cell r="AF4807">
            <v>0.9</v>
          </cell>
        </row>
        <row r="4808">
          <cell r="A4808" t="str">
            <v>IS_alqt_plus</v>
          </cell>
          <cell r="K4808" t="str">
            <v>NPYG</v>
          </cell>
          <cell r="M4808" t="str">
            <v>M</v>
          </cell>
          <cell r="AB4808" t="str">
            <v>serum</v>
          </cell>
          <cell r="AF4808">
            <v>0.75</v>
          </cell>
        </row>
        <row r="4809">
          <cell r="A4809" t="str">
            <v>IS_alqt_plus</v>
          </cell>
          <cell r="K4809" t="str">
            <v>NPYG</v>
          </cell>
          <cell r="M4809" t="str">
            <v>M</v>
          </cell>
          <cell r="AB4809" t="str">
            <v>serum</v>
          </cell>
          <cell r="AF4809">
            <v>1.2</v>
          </cell>
        </row>
        <row r="4810">
          <cell r="A4810" t="str">
            <v>IS_alqt_plus</v>
          </cell>
          <cell r="K4810" t="str">
            <v>NPYG</v>
          </cell>
          <cell r="M4810" t="str">
            <v>M</v>
          </cell>
          <cell r="AB4810" t="str">
            <v>serum</v>
          </cell>
          <cell r="AF4810">
            <v>1</v>
          </cell>
        </row>
        <row r="4811">
          <cell r="A4811" t="str">
            <v>IS_alqt_plus</v>
          </cell>
          <cell r="K4811" t="str">
            <v>NPYG</v>
          </cell>
          <cell r="M4811" t="str">
            <v>M</v>
          </cell>
          <cell r="AB4811" t="str">
            <v>serum</v>
          </cell>
          <cell r="AF4811">
            <v>1</v>
          </cell>
        </row>
        <row r="4812">
          <cell r="A4812" t="str">
            <v>IS_alqt_plus</v>
          </cell>
          <cell r="K4812" t="str">
            <v>NPYG</v>
          </cell>
          <cell r="M4812" t="str">
            <v>M</v>
          </cell>
          <cell r="AB4812" t="str">
            <v>serum</v>
          </cell>
          <cell r="AF4812">
            <v>1</v>
          </cell>
        </row>
        <row r="4813">
          <cell r="A4813" t="str">
            <v>IS_alqt_plus</v>
          </cell>
          <cell r="K4813" t="str">
            <v>NPYG</v>
          </cell>
          <cell r="M4813" t="str">
            <v>M</v>
          </cell>
          <cell r="AB4813" t="str">
            <v>serum</v>
          </cell>
          <cell r="AF4813">
            <v>0.7</v>
          </cell>
        </row>
        <row r="4814">
          <cell r="A4814" t="str">
            <v>IS_alqt_plus</v>
          </cell>
          <cell r="K4814" t="str">
            <v>NPYG</v>
          </cell>
          <cell r="M4814" t="str">
            <v>M</v>
          </cell>
          <cell r="AB4814" t="str">
            <v>serum</v>
          </cell>
          <cell r="AF4814">
            <v>1</v>
          </cell>
        </row>
        <row r="4815">
          <cell r="A4815" t="str">
            <v>IS_alqt_plus</v>
          </cell>
          <cell r="K4815" t="str">
            <v>EFLA</v>
          </cell>
          <cell r="M4815" t="str">
            <v>F</v>
          </cell>
          <cell r="AB4815" t="str">
            <v>serum</v>
          </cell>
          <cell r="AF4815">
            <v>0.2</v>
          </cell>
        </row>
        <row r="4816">
          <cell r="A4816" t="str">
            <v>IS_alqt_plus</v>
          </cell>
          <cell r="K4816" t="str">
            <v>EFLA</v>
          </cell>
          <cell r="M4816" t="str">
            <v>F</v>
          </cell>
          <cell r="AB4816" t="str">
            <v>serum</v>
          </cell>
          <cell r="AF4816">
            <v>0.2</v>
          </cell>
        </row>
        <row r="4817">
          <cell r="A4817" t="str">
            <v>IS_alqt_plus</v>
          </cell>
          <cell r="K4817" t="str">
            <v>EFLA</v>
          </cell>
          <cell r="M4817" t="str">
            <v>F</v>
          </cell>
          <cell r="AB4817" t="str">
            <v>serum</v>
          </cell>
          <cell r="AF4817">
            <v>0.2</v>
          </cell>
        </row>
        <row r="4818">
          <cell r="A4818" t="str">
            <v>IS_alqt_plus</v>
          </cell>
          <cell r="K4818" t="str">
            <v>EFLA</v>
          </cell>
          <cell r="M4818" t="str">
            <v>F</v>
          </cell>
          <cell r="AB4818" t="str">
            <v>serum</v>
          </cell>
          <cell r="AF4818">
            <v>0.2</v>
          </cell>
        </row>
        <row r="4819">
          <cell r="A4819" t="str">
            <v>IS_alqt_plus</v>
          </cell>
          <cell r="K4819" t="str">
            <v>EFLA</v>
          </cell>
          <cell r="M4819" t="str">
            <v>F</v>
          </cell>
          <cell r="AB4819" t="str">
            <v>WB</v>
          </cell>
          <cell r="AF4819">
            <v>0.8</v>
          </cell>
        </row>
        <row r="4820">
          <cell r="A4820" t="str">
            <v>IS_alqt_plus</v>
          </cell>
          <cell r="K4820" t="str">
            <v>LCAT</v>
          </cell>
          <cell r="M4820" t="str">
            <v>M</v>
          </cell>
          <cell r="AB4820" t="str">
            <v>WB</v>
          </cell>
          <cell r="AF4820">
            <v>0.2</v>
          </cell>
        </row>
        <row r="4821">
          <cell r="A4821" t="str">
            <v>IS_alqt_plus</v>
          </cell>
          <cell r="K4821" t="str">
            <v>LCAT</v>
          </cell>
          <cell r="M4821" t="str">
            <v>M</v>
          </cell>
          <cell r="AB4821" t="str">
            <v>WB</v>
          </cell>
          <cell r="AF4821">
            <v>0.2</v>
          </cell>
        </row>
        <row r="4822">
          <cell r="A4822" t="str">
            <v>IS_alqt_plus</v>
          </cell>
          <cell r="K4822" t="str">
            <v>LCAT</v>
          </cell>
          <cell r="M4822" t="str">
            <v>M</v>
          </cell>
          <cell r="AB4822" t="str">
            <v>WB</v>
          </cell>
          <cell r="AF4822">
            <v>0.5</v>
          </cell>
        </row>
        <row r="4823">
          <cell r="A4823" t="str">
            <v>IS_alqt_plus</v>
          </cell>
          <cell r="K4823" t="str">
            <v>ERUB</v>
          </cell>
          <cell r="M4823" t="str">
            <v>F</v>
          </cell>
          <cell r="AB4823" t="str">
            <v>WB</v>
          </cell>
          <cell r="AF4823">
            <v>1</v>
          </cell>
        </row>
        <row r="4824">
          <cell r="A4824" t="str">
            <v>IS_alqt_plus</v>
          </cell>
          <cell r="K4824" t="str">
            <v>LCAT</v>
          </cell>
          <cell r="M4824" t="str">
            <v>F</v>
          </cell>
          <cell r="AB4824" t="str">
            <v>serum</v>
          </cell>
          <cell r="AF4824">
            <v>0.9</v>
          </cell>
        </row>
        <row r="4825">
          <cell r="A4825" t="str">
            <v>IS_alqt_plus</v>
          </cell>
          <cell r="K4825" t="str">
            <v>LCAT</v>
          </cell>
          <cell r="M4825" t="str">
            <v>F</v>
          </cell>
          <cell r="AB4825" t="str">
            <v>serum</v>
          </cell>
          <cell r="AF4825">
            <v>1</v>
          </cell>
        </row>
        <row r="4826">
          <cell r="A4826" t="str">
            <v>IS_alqt_plus</v>
          </cell>
          <cell r="K4826" t="str">
            <v>LCAT</v>
          </cell>
          <cell r="M4826" t="str">
            <v>F</v>
          </cell>
          <cell r="AB4826" t="str">
            <v>serum</v>
          </cell>
          <cell r="AF4826">
            <v>0.9</v>
          </cell>
        </row>
        <row r="4827">
          <cell r="A4827" t="str">
            <v>IS_alqt_plus</v>
          </cell>
          <cell r="K4827" t="str">
            <v>LCAT</v>
          </cell>
          <cell r="M4827" t="str">
            <v>F</v>
          </cell>
          <cell r="AB4827" t="str">
            <v>serum</v>
          </cell>
          <cell r="AF4827">
            <v>1.2</v>
          </cell>
        </row>
        <row r="4828">
          <cell r="A4828" t="str">
            <v>IS_alqt_plus</v>
          </cell>
          <cell r="K4828" t="str">
            <v>LCAT</v>
          </cell>
          <cell r="M4828" t="str">
            <v>F</v>
          </cell>
          <cell r="AB4828" t="str">
            <v>serum</v>
          </cell>
          <cell r="AF4828">
            <v>1</v>
          </cell>
        </row>
        <row r="4829">
          <cell r="A4829" t="str">
            <v>IS_alqt_plus</v>
          </cell>
          <cell r="K4829" t="str">
            <v>LCAT</v>
          </cell>
          <cell r="M4829" t="str">
            <v>F</v>
          </cell>
          <cell r="AB4829" t="str">
            <v>serum</v>
          </cell>
          <cell r="AF4829">
            <v>1.1000000000000001</v>
          </cell>
        </row>
        <row r="4830">
          <cell r="A4830" t="str">
            <v>IS_alqt_plus</v>
          </cell>
          <cell r="K4830" t="str">
            <v>ERUB</v>
          </cell>
          <cell r="M4830" t="str">
            <v>F</v>
          </cell>
          <cell r="AB4830" t="str">
            <v>serum</v>
          </cell>
          <cell r="AF4830">
            <v>1.5</v>
          </cell>
        </row>
        <row r="4831">
          <cell r="A4831" t="str">
            <v>IS_alqt_plus</v>
          </cell>
          <cell r="K4831" t="str">
            <v>EMON</v>
          </cell>
          <cell r="M4831" t="str">
            <v>M</v>
          </cell>
          <cell r="AB4831" t="str">
            <v>serum</v>
          </cell>
          <cell r="AF4831">
            <v>1</v>
          </cell>
        </row>
        <row r="4832">
          <cell r="A4832" t="str">
            <v>IS_alqt_plus</v>
          </cell>
          <cell r="K4832" t="str">
            <v>EMON</v>
          </cell>
          <cell r="M4832" t="str">
            <v>F</v>
          </cell>
          <cell r="AB4832" t="str">
            <v>serum</v>
          </cell>
          <cell r="AF4832">
            <v>1.5</v>
          </cell>
        </row>
        <row r="4833">
          <cell r="A4833" t="str">
            <v>IS_alqt_plus</v>
          </cell>
          <cell r="K4833" t="str">
            <v>EMON</v>
          </cell>
          <cell r="M4833" t="str">
            <v>M</v>
          </cell>
          <cell r="AB4833" t="str">
            <v>serum</v>
          </cell>
          <cell r="AF4833">
            <v>0.4</v>
          </cell>
        </row>
        <row r="4834">
          <cell r="A4834" t="str">
            <v>IS_alqt_plus</v>
          </cell>
          <cell r="K4834" t="str">
            <v>EMON</v>
          </cell>
          <cell r="M4834" t="str">
            <v>F</v>
          </cell>
          <cell r="AB4834" t="str">
            <v>serum</v>
          </cell>
          <cell r="AF4834">
            <v>1</v>
          </cell>
        </row>
        <row r="4835">
          <cell r="A4835" t="str">
            <v>IS_alqt_plus</v>
          </cell>
          <cell r="K4835" t="str">
            <v>DMAD</v>
          </cell>
          <cell r="M4835" t="str">
            <v>F</v>
          </cell>
          <cell r="AB4835" t="str">
            <v>serum</v>
          </cell>
          <cell r="AF4835">
            <v>0.7</v>
          </cell>
        </row>
        <row r="4836">
          <cell r="A4836" t="str">
            <v>IS_alqt_plus</v>
          </cell>
          <cell r="K4836" t="str">
            <v>DMAD</v>
          </cell>
          <cell r="M4836" t="str">
            <v>M</v>
          </cell>
          <cell r="AB4836" t="str">
            <v>serum</v>
          </cell>
          <cell r="AF4836">
            <v>0.9</v>
          </cell>
        </row>
        <row r="4837">
          <cell r="A4837" t="str">
            <v>IS_alqt_plus</v>
          </cell>
          <cell r="K4837" t="str">
            <v>DMAD</v>
          </cell>
          <cell r="M4837" t="str">
            <v>F</v>
          </cell>
          <cell r="AB4837" t="str">
            <v>WB</v>
          </cell>
          <cell r="AF4837">
            <v>1.3</v>
          </cell>
        </row>
        <row r="4838">
          <cell r="A4838" t="str">
            <v>unk</v>
          </cell>
          <cell r="K4838" t="str">
            <v>DMAD</v>
          </cell>
          <cell r="M4838" t="str">
            <v>M</v>
          </cell>
          <cell r="AB4838" t="str">
            <v>WB</v>
          </cell>
          <cell r="AF4838">
            <v>2</v>
          </cell>
        </row>
        <row r="4839">
          <cell r="A4839" t="str">
            <v>IS_alqt_plus</v>
          </cell>
          <cell r="K4839" t="str">
            <v>DMAD</v>
          </cell>
          <cell r="M4839" t="str">
            <v>M</v>
          </cell>
          <cell r="AB4839" t="str">
            <v>plasma</v>
          </cell>
          <cell r="AF4839">
            <v>0.5</v>
          </cell>
        </row>
        <row r="4840">
          <cell r="A4840" t="str">
            <v>IS_alqt_plus</v>
          </cell>
          <cell r="K4840" t="str">
            <v>DMAD</v>
          </cell>
          <cell r="M4840" t="str">
            <v>F</v>
          </cell>
          <cell r="AB4840" t="str">
            <v>serum</v>
          </cell>
          <cell r="AF4840">
            <v>0.6</v>
          </cell>
        </row>
        <row r="4841">
          <cell r="A4841" t="str">
            <v>gone</v>
          </cell>
          <cell r="K4841" t="str">
            <v>DMAD</v>
          </cell>
          <cell r="M4841" t="str">
            <v>F</v>
          </cell>
          <cell r="AB4841" t="str">
            <v>WB</v>
          </cell>
          <cell r="AF4841">
            <v>0</v>
          </cell>
        </row>
        <row r="4842">
          <cell r="A4842" t="str">
            <v>IS_alqt_plus</v>
          </cell>
          <cell r="K4842" t="str">
            <v>EUL</v>
          </cell>
          <cell r="M4842" t="str">
            <v>M</v>
          </cell>
          <cell r="AB4842" t="str">
            <v>WB</v>
          </cell>
          <cell r="AF4842">
            <v>0.7</v>
          </cell>
        </row>
        <row r="4843">
          <cell r="A4843" t="str">
            <v>IS_alqt_plus</v>
          </cell>
          <cell r="K4843" t="str">
            <v>LCAT</v>
          </cell>
          <cell r="M4843" t="str">
            <v>M</v>
          </cell>
          <cell r="AB4843" t="str">
            <v>WB</v>
          </cell>
          <cell r="AF4843">
            <v>0.2</v>
          </cell>
        </row>
        <row r="4844">
          <cell r="A4844" t="str">
            <v>IS_alqt_plus</v>
          </cell>
          <cell r="K4844" t="str">
            <v>EUL</v>
          </cell>
          <cell r="M4844" t="str">
            <v>M</v>
          </cell>
          <cell r="AB4844" t="str">
            <v>serum</v>
          </cell>
          <cell r="AF4844">
            <v>1</v>
          </cell>
        </row>
        <row r="4845">
          <cell r="A4845" t="str">
            <v>IS_alqt_plus</v>
          </cell>
          <cell r="K4845" t="str">
            <v>EUL</v>
          </cell>
          <cell r="M4845" t="str">
            <v>M</v>
          </cell>
          <cell r="AB4845" t="str">
            <v>serum</v>
          </cell>
          <cell r="AF4845">
            <v>0.9</v>
          </cell>
        </row>
        <row r="4846">
          <cell r="A4846" t="str">
            <v>IS_alqt_plus</v>
          </cell>
          <cell r="K4846" t="str">
            <v>PCOQ</v>
          </cell>
          <cell r="M4846" t="str">
            <v>F</v>
          </cell>
          <cell r="AB4846" t="str">
            <v>serum</v>
          </cell>
          <cell r="AF4846">
            <v>0.9</v>
          </cell>
        </row>
        <row r="4847">
          <cell r="A4847" t="str">
            <v>IS_alqt_plus</v>
          </cell>
          <cell r="K4847" t="str">
            <v>DMAD</v>
          </cell>
          <cell r="M4847" t="str">
            <v>M</v>
          </cell>
          <cell r="AB4847" t="str">
            <v>serum</v>
          </cell>
          <cell r="AF4847">
            <v>0.5</v>
          </cell>
        </row>
        <row r="4848">
          <cell r="A4848" t="str">
            <v>IS_alqt_plus</v>
          </cell>
          <cell r="K4848" t="str">
            <v>DMAD</v>
          </cell>
          <cell r="M4848" t="str">
            <v>M</v>
          </cell>
          <cell r="AB4848" t="str">
            <v>plasma</v>
          </cell>
          <cell r="AF4848">
            <v>0.5</v>
          </cell>
        </row>
        <row r="4849">
          <cell r="A4849" t="str">
            <v>IS_alqt_plus</v>
          </cell>
          <cell r="K4849" t="str">
            <v>DMAD</v>
          </cell>
          <cell r="M4849" t="str">
            <v>M</v>
          </cell>
          <cell r="AB4849" t="str">
            <v>plasma</v>
          </cell>
          <cell r="AF4849">
            <v>0.4</v>
          </cell>
        </row>
        <row r="4850">
          <cell r="A4850" t="str">
            <v>IS_alqt_plus</v>
          </cell>
          <cell r="K4850" t="str">
            <v>VRUB</v>
          </cell>
          <cell r="M4850" t="str">
            <v>F</v>
          </cell>
          <cell r="AB4850" t="str">
            <v>serum</v>
          </cell>
          <cell r="AF4850">
            <v>0.25</v>
          </cell>
        </row>
        <row r="4851">
          <cell r="A4851" t="str">
            <v>IS_alqt_plus</v>
          </cell>
          <cell r="K4851" t="str">
            <v>LCAT</v>
          </cell>
          <cell r="M4851" t="str">
            <v>M</v>
          </cell>
          <cell r="AB4851" t="str">
            <v>WB</v>
          </cell>
          <cell r="AF4851">
            <v>0.2</v>
          </cell>
        </row>
        <row r="4852">
          <cell r="A4852" t="str">
            <v>IS_alqt_plus</v>
          </cell>
          <cell r="K4852" t="str">
            <v>LCAT</v>
          </cell>
          <cell r="M4852" t="str">
            <v>M</v>
          </cell>
          <cell r="AB4852" t="str">
            <v>WB</v>
          </cell>
          <cell r="AF4852">
            <v>0.2</v>
          </cell>
        </row>
        <row r="4853">
          <cell r="A4853" t="str">
            <v>gone</v>
          </cell>
          <cell r="K4853" t="str">
            <v>PCOQ</v>
          </cell>
          <cell r="M4853" t="str">
            <v>F</v>
          </cell>
          <cell r="AB4853" t="str">
            <v>serum</v>
          </cell>
          <cell r="AF4853">
            <v>0</v>
          </cell>
        </row>
        <row r="4854">
          <cell r="A4854" t="str">
            <v>IS_alqt_plus</v>
          </cell>
          <cell r="K4854" t="str">
            <v>PCOQ</v>
          </cell>
          <cell r="M4854" t="str">
            <v>F</v>
          </cell>
          <cell r="AB4854" t="str">
            <v>serum</v>
          </cell>
          <cell r="AF4854">
            <v>1</v>
          </cell>
        </row>
        <row r="4855">
          <cell r="A4855" t="str">
            <v>IS_alqt_plus</v>
          </cell>
          <cell r="K4855" t="str">
            <v>HGG</v>
          </cell>
          <cell r="M4855" t="str">
            <v>M</v>
          </cell>
          <cell r="AB4855" t="str">
            <v>WB</v>
          </cell>
          <cell r="AF4855">
            <v>0.4</v>
          </cell>
        </row>
        <row r="4856">
          <cell r="A4856" t="str">
            <v>IS_alqt_plus</v>
          </cell>
          <cell r="K4856" t="str">
            <v>HGG</v>
          </cell>
          <cell r="M4856" t="str">
            <v>F</v>
          </cell>
          <cell r="AB4856" t="str">
            <v>WB</v>
          </cell>
          <cell r="AF4856">
            <v>0.3</v>
          </cell>
        </row>
        <row r="4857">
          <cell r="A4857" t="str">
            <v>IS_alqt_plus</v>
          </cell>
          <cell r="K4857" t="str">
            <v>HGG</v>
          </cell>
          <cell r="M4857" t="str">
            <v>F</v>
          </cell>
          <cell r="AB4857" t="str">
            <v>WB</v>
          </cell>
          <cell r="AF4857">
            <v>0.7</v>
          </cell>
        </row>
        <row r="4858">
          <cell r="A4858" t="str">
            <v>IS_alqt_plus</v>
          </cell>
          <cell r="K4858" t="str">
            <v>EFLA</v>
          </cell>
          <cell r="M4858" t="str">
            <v>M</v>
          </cell>
          <cell r="AB4858" t="str">
            <v>serum</v>
          </cell>
          <cell r="AF4858">
            <v>0.25</v>
          </cell>
        </row>
        <row r="4859">
          <cell r="A4859" t="str">
            <v>IS_alqt_plus</v>
          </cell>
          <cell r="K4859" t="str">
            <v>EFLA</v>
          </cell>
          <cell r="M4859" t="str">
            <v>M</v>
          </cell>
          <cell r="AB4859" t="str">
            <v>serum</v>
          </cell>
          <cell r="AF4859">
            <v>0.2</v>
          </cell>
        </row>
        <row r="4860">
          <cell r="A4860" t="str">
            <v>IS_alqt_plus</v>
          </cell>
          <cell r="K4860" t="str">
            <v>EFLA</v>
          </cell>
          <cell r="M4860" t="str">
            <v>F</v>
          </cell>
          <cell r="AB4860" t="str">
            <v>serum</v>
          </cell>
          <cell r="AF4860">
            <v>0.6</v>
          </cell>
        </row>
        <row r="4861">
          <cell r="A4861" t="str">
            <v>IS_alqt_plus</v>
          </cell>
          <cell r="K4861" t="str">
            <v>EFLA</v>
          </cell>
          <cell r="M4861" t="str">
            <v>M</v>
          </cell>
          <cell r="AB4861" t="str">
            <v>serum</v>
          </cell>
          <cell r="AF4861">
            <v>0.6</v>
          </cell>
        </row>
        <row r="4862">
          <cell r="A4862" t="str">
            <v>IS_alqt_plus</v>
          </cell>
          <cell r="K4862" t="str">
            <v>EFLA</v>
          </cell>
          <cell r="M4862" t="str">
            <v>M</v>
          </cell>
          <cell r="AB4862" t="str">
            <v>serum</v>
          </cell>
          <cell r="AF4862">
            <v>0.5</v>
          </cell>
        </row>
        <row r="4863">
          <cell r="A4863" t="str">
            <v>IS_alqt_plus</v>
          </cell>
          <cell r="K4863" t="str">
            <v>EFLA</v>
          </cell>
          <cell r="M4863" t="str">
            <v>M</v>
          </cell>
          <cell r="AB4863" t="str">
            <v>serum</v>
          </cell>
          <cell r="AF4863">
            <v>0.5</v>
          </cell>
        </row>
        <row r="4864">
          <cell r="A4864" t="str">
            <v>IS_alqt_plus</v>
          </cell>
          <cell r="K4864" t="str">
            <v>MZAZ</v>
          </cell>
          <cell r="M4864" t="str">
            <v>M</v>
          </cell>
          <cell r="AB4864" t="str">
            <v>plasma</v>
          </cell>
          <cell r="AF4864">
            <v>0.25</v>
          </cell>
        </row>
        <row r="4865">
          <cell r="A4865" t="str">
            <v>IS_alqt_plus</v>
          </cell>
          <cell r="K4865" t="str">
            <v>EFLA</v>
          </cell>
          <cell r="M4865" t="str">
            <v>M</v>
          </cell>
          <cell r="AB4865" t="str">
            <v>serum</v>
          </cell>
          <cell r="AF4865">
            <v>0.5</v>
          </cell>
        </row>
        <row r="4866">
          <cell r="A4866" t="str">
            <v>IS_alqt_plus</v>
          </cell>
          <cell r="K4866" t="str">
            <v>EMAC</v>
          </cell>
          <cell r="M4866" t="str">
            <v>F</v>
          </cell>
          <cell r="AB4866" t="str">
            <v>serum</v>
          </cell>
          <cell r="AF4866">
            <v>0.5</v>
          </cell>
        </row>
        <row r="4867">
          <cell r="A4867" t="str">
            <v>IS_alqt_plus</v>
          </cell>
          <cell r="K4867" t="str">
            <v>EMAC</v>
          </cell>
          <cell r="M4867" t="str">
            <v>M</v>
          </cell>
          <cell r="AB4867" t="str">
            <v>serum</v>
          </cell>
          <cell r="AF4867">
            <v>0.5</v>
          </cell>
        </row>
        <row r="4868">
          <cell r="A4868" t="str">
            <v>IS_alqt_plus</v>
          </cell>
          <cell r="K4868" t="str">
            <v>EMAC</v>
          </cell>
          <cell r="M4868" t="str">
            <v>F</v>
          </cell>
          <cell r="AB4868" t="str">
            <v>serum</v>
          </cell>
          <cell r="AF4868">
            <v>0.5</v>
          </cell>
        </row>
        <row r="4869">
          <cell r="A4869" t="str">
            <v>IS_alqt_plus</v>
          </cell>
          <cell r="K4869" t="str">
            <v>ECOL</v>
          </cell>
          <cell r="M4869" t="str">
            <v>F</v>
          </cell>
          <cell r="AB4869" t="str">
            <v>serum</v>
          </cell>
          <cell r="AF4869">
            <v>0.8</v>
          </cell>
        </row>
        <row r="4870">
          <cell r="A4870" t="str">
            <v>IS_alqt_plus</v>
          </cell>
          <cell r="K4870" t="str">
            <v>ECOL</v>
          </cell>
          <cell r="M4870" t="str">
            <v>F</v>
          </cell>
          <cell r="AB4870" t="str">
            <v>serum</v>
          </cell>
          <cell r="AF4870">
            <v>0.8</v>
          </cell>
        </row>
        <row r="4871">
          <cell r="A4871" t="str">
            <v>IS_alqt_plus</v>
          </cell>
          <cell r="K4871" t="str">
            <v>ECOL</v>
          </cell>
          <cell r="M4871" t="str">
            <v>F</v>
          </cell>
          <cell r="AB4871" t="str">
            <v>WB</v>
          </cell>
          <cell r="AF4871">
            <v>0.7</v>
          </cell>
        </row>
        <row r="4872">
          <cell r="A4872" t="str">
            <v>IS_alqt_plus</v>
          </cell>
          <cell r="K4872" t="str">
            <v>DMAD</v>
          </cell>
          <cell r="M4872" t="str">
            <v>M</v>
          </cell>
          <cell r="AB4872" t="str">
            <v>serum</v>
          </cell>
          <cell r="AF4872">
            <v>1.4</v>
          </cell>
        </row>
        <row r="4873">
          <cell r="A4873" t="str">
            <v>IS_alqt_plus</v>
          </cell>
          <cell r="K4873" t="str">
            <v>LCAT</v>
          </cell>
          <cell r="M4873" t="str">
            <v>M</v>
          </cell>
          <cell r="AB4873" t="str">
            <v>WB</v>
          </cell>
          <cell r="AF4873">
            <v>0.2</v>
          </cell>
        </row>
        <row r="4874">
          <cell r="A4874" t="str">
            <v>IS_alqt_plus</v>
          </cell>
          <cell r="K4874" t="str">
            <v>LCAT</v>
          </cell>
          <cell r="M4874" t="str">
            <v>F</v>
          </cell>
          <cell r="AB4874" t="str">
            <v>serum</v>
          </cell>
          <cell r="AF4874">
            <v>0.7</v>
          </cell>
        </row>
        <row r="4875">
          <cell r="A4875" t="str">
            <v>IS_alqt_plus</v>
          </cell>
          <cell r="K4875" t="str">
            <v>LCAT</v>
          </cell>
          <cell r="M4875" t="str">
            <v>F</v>
          </cell>
          <cell r="AB4875" t="str">
            <v>serum</v>
          </cell>
          <cell r="AF4875">
            <v>0.8</v>
          </cell>
        </row>
        <row r="4876">
          <cell r="A4876" t="str">
            <v>IS_alqt_plus</v>
          </cell>
          <cell r="K4876" t="str">
            <v>LCAT</v>
          </cell>
          <cell r="M4876" t="str">
            <v>F</v>
          </cell>
          <cell r="AB4876" t="str">
            <v>serum</v>
          </cell>
          <cell r="AF4876">
            <v>0.5</v>
          </cell>
        </row>
        <row r="4877">
          <cell r="A4877" t="str">
            <v>IS_alqt_plus</v>
          </cell>
          <cell r="K4877" t="str">
            <v>MZAZ</v>
          </cell>
          <cell r="M4877" t="str">
            <v>M</v>
          </cell>
          <cell r="AB4877" t="str">
            <v>WB</v>
          </cell>
          <cell r="AF4877">
            <v>0.5</v>
          </cell>
        </row>
        <row r="4878">
          <cell r="A4878" t="str">
            <v>IS_alqt_plus</v>
          </cell>
          <cell r="K4878" t="str">
            <v>MZAZ</v>
          </cell>
          <cell r="M4878" t="str">
            <v>M</v>
          </cell>
          <cell r="AB4878" t="str">
            <v>WB</v>
          </cell>
          <cell r="AF4878">
            <v>0.7</v>
          </cell>
        </row>
        <row r="4879">
          <cell r="A4879" t="str">
            <v>IS_alqt_plus</v>
          </cell>
          <cell r="K4879" t="str">
            <v>MZAZ</v>
          </cell>
          <cell r="M4879" t="str">
            <v>M</v>
          </cell>
          <cell r="AB4879" t="str">
            <v>WB</v>
          </cell>
          <cell r="AF4879">
            <v>0.5</v>
          </cell>
        </row>
        <row r="4880">
          <cell r="A4880" t="str">
            <v>IS_alqt_plus</v>
          </cell>
          <cell r="K4880" t="str">
            <v>MZAZ</v>
          </cell>
          <cell r="M4880" t="str">
            <v>M</v>
          </cell>
          <cell r="AB4880" t="str">
            <v>WB</v>
          </cell>
          <cell r="AF4880">
            <v>0.2</v>
          </cell>
        </row>
        <row r="4881">
          <cell r="A4881" t="str">
            <v>IS_alqt_plus</v>
          </cell>
          <cell r="K4881" t="str">
            <v>MZAZ</v>
          </cell>
          <cell r="M4881" t="str">
            <v>M</v>
          </cell>
          <cell r="AB4881" t="str">
            <v>serum</v>
          </cell>
          <cell r="AF4881">
            <v>0.55000000000000004</v>
          </cell>
        </row>
        <row r="4882">
          <cell r="A4882" t="str">
            <v>IS_alqt_plus</v>
          </cell>
          <cell r="K4882" t="str">
            <v>MZAZ</v>
          </cell>
          <cell r="M4882" t="str">
            <v>M</v>
          </cell>
          <cell r="AB4882" t="str">
            <v>serum</v>
          </cell>
          <cell r="AF4882">
            <v>0.6</v>
          </cell>
        </row>
        <row r="4883">
          <cell r="A4883" t="str">
            <v>IS_alqt_plus</v>
          </cell>
          <cell r="K4883" t="str">
            <v>MZAZ</v>
          </cell>
          <cell r="M4883" t="str">
            <v>M</v>
          </cell>
          <cell r="AB4883" t="str">
            <v>serum</v>
          </cell>
          <cell r="AF4883">
            <v>0.7</v>
          </cell>
        </row>
        <row r="4884">
          <cell r="A4884" t="str">
            <v>IS_alqt_plus</v>
          </cell>
          <cell r="K4884" t="str">
            <v>MZAZ</v>
          </cell>
          <cell r="M4884" t="str">
            <v>M</v>
          </cell>
          <cell r="AB4884" t="str">
            <v>serum</v>
          </cell>
          <cell r="AF4884">
            <v>0.6</v>
          </cell>
        </row>
        <row r="4885">
          <cell r="A4885" t="str">
            <v>IS_alqt_plus</v>
          </cell>
          <cell r="K4885" t="str">
            <v>MZAZ</v>
          </cell>
          <cell r="M4885" t="str">
            <v>M</v>
          </cell>
          <cell r="AB4885" t="str">
            <v>serum</v>
          </cell>
          <cell r="AF4885">
            <v>0.7</v>
          </cell>
        </row>
        <row r="4886">
          <cell r="A4886" t="str">
            <v>IS_alqt_plus</v>
          </cell>
          <cell r="K4886" t="str">
            <v>MZAZ</v>
          </cell>
          <cell r="M4886" t="str">
            <v>M</v>
          </cell>
          <cell r="AB4886" t="str">
            <v>serum</v>
          </cell>
          <cell r="AF4886">
            <v>0.6</v>
          </cell>
        </row>
        <row r="4887">
          <cell r="A4887" t="str">
            <v>IS_alqt_plus</v>
          </cell>
          <cell r="K4887" t="str">
            <v>VVV</v>
          </cell>
          <cell r="M4887" t="str">
            <v>M</v>
          </cell>
          <cell r="AB4887" t="str">
            <v>serum</v>
          </cell>
          <cell r="AF4887">
            <v>0.5</v>
          </cell>
        </row>
        <row r="4888">
          <cell r="A4888" t="str">
            <v>IS_alqt_plus</v>
          </cell>
          <cell r="K4888" t="str">
            <v>PCOQ</v>
          </cell>
          <cell r="M4888" t="str">
            <v>F</v>
          </cell>
          <cell r="AB4888" t="str">
            <v>plasma</v>
          </cell>
          <cell r="AF4888">
            <v>0.75</v>
          </cell>
        </row>
        <row r="4889">
          <cell r="A4889" t="str">
            <v>IS_alqt_plus</v>
          </cell>
          <cell r="K4889" t="str">
            <v>HGG</v>
          </cell>
          <cell r="M4889" t="str">
            <v>F</v>
          </cell>
          <cell r="AB4889" t="str">
            <v>WB</v>
          </cell>
          <cell r="AF4889">
            <v>0.5</v>
          </cell>
        </row>
        <row r="4890">
          <cell r="A4890" t="str">
            <v>IS_alqt_plus</v>
          </cell>
          <cell r="K4890" t="str">
            <v>HGG</v>
          </cell>
          <cell r="M4890" t="str">
            <v>F</v>
          </cell>
          <cell r="AB4890" t="str">
            <v>WB</v>
          </cell>
          <cell r="AF4890">
            <v>1.3</v>
          </cell>
        </row>
        <row r="4891">
          <cell r="A4891" t="str">
            <v>IS_alqt_plus</v>
          </cell>
          <cell r="K4891" t="str">
            <v>HGG</v>
          </cell>
          <cell r="M4891" t="str">
            <v>F</v>
          </cell>
          <cell r="AB4891" t="str">
            <v>plasma</v>
          </cell>
          <cell r="AF4891">
            <v>0.5</v>
          </cell>
        </row>
        <row r="4892">
          <cell r="A4892" t="str">
            <v>IS_alqt_plus</v>
          </cell>
          <cell r="K4892" t="str">
            <v>VRUB</v>
          </cell>
          <cell r="M4892" t="str">
            <v>M</v>
          </cell>
          <cell r="AB4892" t="str">
            <v>serum</v>
          </cell>
          <cell r="AF4892">
            <v>1.5</v>
          </cell>
        </row>
        <row r="4893">
          <cell r="A4893" t="str">
            <v>unk</v>
          </cell>
          <cell r="K4893" t="str">
            <v>DMAD</v>
          </cell>
          <cell r="M4893" t="str">
            <v>M</v>
          </cell>
          <cell r="AB4893" t="str">
            <v>plasma</v>
          </cell>
          <cell r="AF4893">
            <v>1</v>
          </cell>
        </row>
        <row r="4894">
          <cell r="A4894" t="str">
            <v>IS_alqt_plus</v>
          </cell>
          <cell r="K4894" t="str">
            <v>HGG</v>
          </cell>
          <cell r="M4894" t="str">
            <v>F</v>
          </cell>
          <cell r="AB4894" t="str">
            <v>WB</v>
          </cell>
          <cell r="AF4894">
            <v>0.5</v>
          </cell>
        </row>
        <row r="4895">
          <cell r="A4895" t="str">
            <v>IS_alqt_plus</v>
          </cell>
          <cell r="K4895" t="str">
            <v>HGG</v>
          </cell>
          <cell r="M4895" t="str">
            <v>F</v>
          </cell>
          <cell r="AB4895" t="str">
            <v>serum</v>
          </cell>
          <cell r="AF4895">
            <v>1.3</v>
          </cell>
        </row>
        <row r="4896">
          <cell r="A4896" t="str">
            <v>IS_alqt_plus</v>
          </cell>
          <cell r="K4896" t="str">
            <v>HGG</v>
          </cell>
          <cell r="M4896" t="str">
            <v>F</v>
          </cell>
          <cell r="AB4896" t="str">
            <v>plasma</v>
          </cell>
          <cell r="AF4896">
            <v>0.25</v>
          </cell>
        </row>
        <row r="4897">
          <cell r="A4897" t="str">
            <v>IS_alqt_plus</v>
          </cell>
          <cell r="K4897" t="str">
            <v>ECOR</v>
          </cell>
          <cell r="M4897" t="str">
            <v>F</v>
          </cell>
          <cell r="AB4897" t="str">
            <v>WB</v>
          </cell>
          <cell r="AF4897">
            <v>0.75</v>
          </cell>
        </row>
        <row r="4898">
          <cell r="A4898" t="str">
            <v>IS_alqt_plus</v>
          </cell>
          <cell r="K4898" t="str">
            <v>LCAT</v>
          </cell>
          <cell r="M4898" t="str">
            <v>M</v>
          </cell>
          <cell r="AB4898" t="str">
            <v>WB</v>
          </cell>
          <cell r="AF4898">
            <v>0.2</v>
          </cell>
        </row>
        <row r="4899">
          <cell r="A4899" t="str">
            <v>IS_alqt_plus</v>
          </cell>
          <cell r="K4899" t="str">
            <v>EMAC</v>
          </cell>
          <cell r="M4899" t="str">
            <v>M</v>
          </cell>
          <cell r="AB4899" t="str">
            <v>WB</v>
          </cell>
          <cell r="AF4899">
            <v>0.75</v>
          </cell>
        </row>
        <row r="4900">
          <cell r="A4900" t="str">
            <v>IS_alqt_plus</v>
          </cell>
          <cell r="K4900" t="str">
            <v>LCAT</v>
          </cell>
          <cell r="M4900" t="str">
            <v>M</v>
          </cell>
          <cell r="AB4900" t="str">
            <v>serum</v>
          </cell>
          <cell r="AF4900">
            <v>0.7</v>
          </cell>
        </row>
        <row r="4901">
          <cell r="A4901" t="str">
            <v>IS_alqt_plus</v>
          </cell>
          <cell r="K4901" t="str">
            <v>EMAC</v>
          </cell>
          <cell r="M4901" t="str">
            <v>M</v>
          </cell>
          <cell r="AB4901" t="str">
            <v>serum</v>
          </cell>
          <cell r="AF4901">
            <v>0.75</v>
          </cell>
        </row>
        <row r="4902">
          <cell r="A4902" t="str">
            <v>IS_alqt_plus</v>
          </cell>
          <cell r="K4902" t="str">
            <v>HGG</v>
          </cell>
          <cell r="M4902" t="str">
            <v>F</v>
          </cell>
          <cell r="AB4902" t="str">
            <v>plasma</v>
          </cell>
          <cell r="AF4902">
            <v>0.25</v>
          </cell>
        </row>
        <row r="4903">
          <cell r="A4903" t="str">
            <v>IS_alqt_plus</v>
          </cell>
          <cell r="K4903" t="str">
            <v>DMAD</v>
          </cell>
          <cell r="M4903" t="str">
            <v>M</v>
          </cell>
          <cell r="AB4903" t="str">
            <v>Fluid- pleural</v>
          </cell>
          <cell r="AF4903">
            <v>1.5</v>
          </cell>
        </row>
        <row r="4904">
          <cell r="A4904" t="str">
            <v>IS_alqt_plus</v>
          </cell>
          <cell r="K4904" t="str">
            <v>HGG</v>
          </cell>
          <cell r="M4904" t="str">
            <v>F</v>
          </cell>
          <cell r="AB4904" t="str">
            <v>WB</v>
          </cell>
          <cell r="AF4904">
            <v>0.5</v>
          </cell>
        </row>
        <row r="4905">
          <cell r="A4905" t="str">
            <v>IS_alqt_minus</v>
          </cell>
          <cell r="K4905" t="str">
            <v>HGG</v>
          </cell>
          <cell r="M4905" t="str">
            <v>F</v>
          </cell>
          <cell r="AB4905" t="str">
            <v>WB</v>
          </cell>
          <cell r="AF4905">
            <v>0.15</v>
          </cell>
        </row>
        <row r="4906">
          <cell r="A4906" t="str">
            <v>IS_alqt_plus</v>
          </cell>
          <cell r="K4906" t="str">
            <v>HGG</v>
          </cell>
          <cell r="M4906" t="str">
            <v>F</v>
          </cell>
          <cell r="AB4906" t="str">
            <v>WB</v>
          </cell>
          <cell r="AF4906">
            <v>0.3</v>
          </cell>
        </row>
        <row r="4907">
          <cell r="A4907" t="str">
            <v>IS_alqt_plus</v>
          </cell>
          <cell r="K4907" t="str">
            <v>ECOL</v>
          </cell>
          <cell r="M4907" t="str">
            <v>M</v>
          </cell>
          <cell r="AB4907" t="str">
            <v>serum</v>
          </cell>
          <cell r="AF4907">
            <v>0.5</v>
          </cell>
        </row>
        <row r="4908">
          <cell r="A4908" t="str">
            <v>IS_alqt_plus</v>
          </cell>
          <cell r="K4908" t="str">
            <v>ECOL</v>
          </cell>
          <cell r="M4908" t="str">
            <v>F</v>
          </cell>
          <cell r="AB4908" t="str">
            <v>serum</v>
          </cell>
          <cell r="AF4908">
            <v>0.6</v>
          </cell>
        </row>
        <row r="4909">
          <cell r="A4909" t="str">
            <v>IS_alqt_plus</v>
          </cell>
          <cell r="K4909" t="str">
            <v>ECOL</v>
          </cell>
          <cell r="M4909" t="str">
            <v>F</v>
          </cell>
          <cell r="AB4909" t="str">
            <v>serum</v>
          </cell>
          <cell r="AF4909">
            <v>0.5</v>
          </cell>
        </row>
        <row r="4910">
          <cell r="A4910" t="str">
            <v>IS_alqt_plus</v>
          </cell>
          <cell r="K4910" t="str">
            <v>ECOL</v>
          </cell>
          <cell r="M4910" t="str">
            <v>M</v>
          </cell>
          <cell r="AB4910" t="str">
            <v>WB</v>
          </cell>
          <cell r="AF4910">
            <v>1.1000000000000001</v>
          </cell>
        </row>
        <row r="4911">
          <cell r="A4911" t="str">
            <v>IS_alqt_plus</v>
          </cell>
          <cell r="K4911" t="str">
            <v>ECOL</v>
          </cell>
          <cell r="M4911" t="str">
            <v>F</v>
          </cell>
          <cell r="AB4911" t="str">
            <v>WB</v>
          </cell>
          <cell r="AF4911">
            <v>0.6</v>
          </cell>
        </row>
        <row r="4912">
          <cell r="A4912" t="str">
            <v>IS_alqt_plus</v>
          </cell>
          <cell r="K4912" t="str">
            <v>HGG</v>
          </cell>
          <cell r="M4912" t="str">
            <v>F</v>
          </cell>
          <cell r="AB4912" t="str">
            <v>plasma</v>
          </cell>
          <cell r="AF4912">
            <v>0.2</v>
          </cell>
        </row>
        <row r="4913">
          <cell r="A4913" t="str">
            <v>gone</v>
          </cell>
          <cell r="K4913" t="str">
            <v>HGG</v>
          </cell>
          <cell r="M4913" t="str">
            <v>F</v>
          </cell>
          <cell r="AB4913" t="str">
            <v>WB</v>
          </cell>
          <cell r="AF4913">
            <v>0</v>
          </cell>
        </row>
        <row r="4914">
          <cell r="A4914" t="str">
            <v>IS_alqt_plus</v>
          </cell>
          <cell r="K4914" t="str">
            <v>HGG</v>
          </cell>
          <cell r="M4914" t="str">
            <v>F</v>
          </cell>
          <cell r="AB4914" t="str">
            <v>WB</v>
          </cell>
          <cell r="AF4914">
            <v>0.75</v>
          </cell>
        </row>
        <row r="4915">
          <cell r="A4915" t="str">
            <v>IS_alqt_plus</v>
          </cell>
          <cell r="K4915" t="str">
            <v>HGG</v>
          </cell>
          <cell r="M4915" t="str">
            <v>F</v>
          </cell>
          <cell r="AB4915" t="str">
            <v>WB</v>
          </cell>
          <cell r="AF4915">
            <v>0.75</v>
          </cell>
        </row>
        <row r="4916">
          <cell r="A4916" t="str">
            <v>IS_alqt_plus</v>
          </cell>
          <cell r="K4916" t="str">
            <v>HGG</v>
          </cell>
          <cell r="M4916" t="str">
            <v>F</v>
          </cell>
          <cell r="AB4916" t="str">
            <v>WB</v>
          </cell>
          <cell r="AF4916">
            <v>0.75</v>
          </cell>
        </row>
        <row r="4917">
          <cell r="A4917" t="str">
            <v>IS_alqt_plus</v>
          </cell>
          <cell r="K4917" t="str">
            <v>HGG</v>
          </cell>
          <cell r="M4917" t="str">
            <v>F</v>
          </cell>
          <cell r="AB4917" t="str">
            <v>WB</v>
          </cell>
          <cell r="AF4917">
            <v>0.75</v>
          </cell>
        </row>
        <row r="4918">
          <cell r="A4918" t="str">
            <v>IS_alqt_plus</v>
          </cell>
          <cell r="K4918" t="str">
            <v>HGG</v>
          </cell>
          <cell r="M4918" t="str">
            <v>F</v>
          </cell>
          <cell r="AB4918" t="str">
            <v>WB</v>
          </cell>
          <cell r="AF4918">
            <v>0.75</v>
          </cell>
        </row>
        <row r="4919">
          <cell r="A4919" t="str">
            <v>IS_alqt_plus</v>
          </cell>
          <cell r="K4919" t="str">
            <v>HGG</v>
          </cell>
          <cell r="M4919" t="str">
            <v>F</v>
          </cell>
          <cell r="AB4919" t="str">
            <v>WB</v>
          </cell>
          <cell r="AF4919">
            <v>0.75</v>
          </cell>
        </row>
        <row r="4920">
          <cell r="A4920" t="str">
            <v>IS_alqt_plus</v>
          </cell>
          <cell r="K4920" t="str">
            <v>HGG</v>
          </cell>
          <cell r="M4920" t="str">
            <v>F</v>
          </cell>
          <cell r="AB4920" t="str">
            <v>WB</v>
          </cell>
          <cell r="AF4920">
            <v>0.75</v>
          </cell>
        </row>
        <row r="4921">
          <cell r="A4921" t="str">
            <v>IS_alqt_plus</v>
          </cell>
          <cell r="K4921" t="str">
            <v>HGG</v>
          </cell>
          <cell r="M4921" t="str">
            <v>F</v>
          </cell>
          <cell r="AB4921" t="str">
            <v>WB</v>
          </cell>
          <cell r="AF4921">
            <v>0.75</v>
          </cell>
        </row>
        <row r="4922">
          <cell r="A4922" t="str">
            <v>IS_alqt_plus</v>
          </cell>
          <cell r="K4922" t="str">
            <v>HGG</v>
          </cell>
          <cell r="M4922" t="str">
            <v>F</v>
          </cell>
          <cell r="AB4922" t="str">
            <v>WB</v>
          </cell>
          <cell r="AF4922">
            <v>0.8</v>
          </cell>
        </row>
        <row r="4923">
          <cell r="A4923" t="str">
            <v>IS_alqt_plus</v>
          </cell>
          <cell r="K4923" t="str">
            <v>HGG</v>
          </cell>
          <cell r="M4923" t="str">
            <v>F</v>
          </cell>
          <cell r="AB4923" t="str">
            <v>WB</v>
          </cell>
          <cell r="AF4923">
            <v>0.75</v>
          </cell>
        </row>
        <row r="4924">
          <cell r="A4924" t="str">
            <v>IS_alqt_plus</v>
          </cell>
          <cell r="K4924" t="str">
            <v>HGG</v>
          </cell>
          <cell r="M4924" t="str">
            <v>F</v>
          </cell>
          <cell r="AB4924" t="str">
            <v>WB</v>
          </cell>
          <cell r="AF4924">
            <v>0.8</v>
          </cell>
        </row>
        <row r="4925">
          <cell r="A4925" t="str">
            <v>IS_alqt_plus</v>
          </cell>
          <cell r="K4925" t="str">
            <v>HGG</v>
          </cell>
          <cell r="M4925" t="str">
            <v>F</v>
          </cell>
          <cell r="AB4925" t="str">
            <v>WB</v>
          </cell>
          <cell r="AF4925">
            <v>0.6</v>
          </cell>
        </row>
        <row r="4926">
          <cell r="A4926" t="str">
            <v>IS_alqt_plus</v>
          </cell>
          <cell r="K4926" t="str">
            <v>HGG</v>
          </cell>
          <cell r="M4926" t="str">
            <v>F</v>
          </cell>
          <cell r="AB4926" t="str">
            <v>serum</v>
          </cell>
          <cell r="AF4926">
            <v>1</v>
          </cell>
        </row>
        <row r="4927">
          <cell r="A4927" t="str">
            <v>IS_alqt_plus</v>
          </cell>
          <cell r="K4927" t="str">
            <v>HGG</v>
          </cell>
          <cell r="M4927" t="str">
            <v>F</v>
          </cell>
          <cell r="AB4927" t="str">
            <v>serum</v>
          </cell>
          <cell r="AF4927">
            <v>1.1000000000000001</v>
          </cell>
        </row>
        <row r="4928">
          <cell r="A4928" t="str">
            <v>IS_alqt_plus</v>
          </cell>
          <cell r="K4928" t="str">
            <v>HGG</v>
          </cell>
          <cell r="M4928" t="str">
            <v>F</v>
          </cell>
          <cell r="AB4928" t="str">
            <v>serum</v>
          </cell>
          <cell r="AF4928">
            <v>1</v>
          </cell>
        </row>
        <row r="4929">
          <cell r="A4929" t="str">
            <v>IS_alqt_plus</v>
          </cell>
          <cell r="K4929" t="str">
            <v>HGG</v>
          </cell>
          <cell r="M4929" t="str">
            <v>F</v>
          </cell>
          <cell r="AB4929" t="str">
            <v>serum</v>
          </cell>
          <cell r="AF4929">
            <v>1</v>
          </cell>
        </row>
        <row r="4930">
          <cell r="A4930" t="str">
            <v>IS_alqt_plus</v>
          </cell>
          <cell r="K4930" t="str">
            <v>HGG</v>
          </cell>
          <cell r="M4930" t="str">
            <v>F</v>
          </cell>
          <cell r="AB4930" t="str">
            <v>serum</v>
          </cell>
          <cell r="AF4930">
            <v>1</v>
          </cell>
        </row>
        <row r="4931">
          <cell r="A4931" t="str">
            <v>IS_alqt_plus</v>
          </cell>
          <cell r="K4931" t="str">
            <v>HGG</v>
          </cell>
          <cell r="M4931" t="str">
            <v>F</v>
          </cell>
          <cell r="AB4931" t="str">
            <v>serum</v>
          </cell>
          <cell r="AF4931">
            <v>1</v>
          </cell>
        </row>
        <row r="4932">
          <cell r="A4932" t="str">
            <v>IS_alqt_plus</v>
          </cell>
          <cell r="K4932" t="str">
            <v>HGG</v>
          </cell>
          <cell r="M4932" t="str">
            <v>F</v>
          </cell>
          <cell r="AB4932" t="str">
            <v>serum</v>
          </cell>
          <cell r="AF4932">
            <v>1</v>
          </cell>
        </row>
        <row r="4933">
          <cell r="A4933" t="str">
            <v>IS_alqt_plus</v>
          </cell>
          <cell r="K4933" t="str">
            <v>HGG</v>
          </cell>
          <cell r="M4933" t="str">
            <v>F</v>
          </cell>
          <cell r="AB4933" t="str">
            <v>serum</v>
          </cell>
          <cell r="AF4933">
            <v>1</v>
          </cell>
        </row>
        <row r="4934">
          <cell r="A4934" t="str">
            <v>IS_alqt_plus</v>
          </cell>
          <cell r="K4934" t="str">
            <v>HGG</v>
          </cell>
          <cell r="M4934" t="str">
            <v>F</v>
          </cell>
          <cell r="AB4934" t="str">
            <v>serum</v>
          </cell>
          <cell r="AF4934">
            <v>1</v>
          </cell>
        </row>
        <row r="4935">
          <cell r="A4935" t="str">
            <v>IS_alqt_plus</v>
          </cell>
          <cell r="K4935" t="str">
            <v>HGG</v>
          </cell>
          <cell r="M4935" t="str">
            <v>F</v>
          </cell>
          <cell r="AB4935" t="str">
            <v>serum</v>
          </cell>
          <cell r="AF4935">
            <v>1</v>
          </cell>
        </row>
        <row r="4936">
          <cell r="A4936" t="str">
            <v>IS_alqt_plus</v>
          </cell>
          <cell r="K4936" t="str">
            <v>HGG</v>
          </cell>
          <cell r="M4936" t="str">
            <v>F</v>
          </cell>
          <cell r="AB4936" t="str">
            <v>serum</v>
          </cell>
          <cell r="AF4936">
            <v>1</v>
          </cell>
        </row>
        <row r="4937">
          <cell r="A4937" t="str">
            <v>IS_alqt_plus</v>
          </cell>
          <cell r="K4937" t="str">
            <v>HGG</v>
          </cell>
          <cell r="M4937" t="str">
            <v>F</v>
          </cell>
          <cell r="AB4937" t="str">
            <v>serum</v>
          </cell>
          <cell r="AF4937">
            <v>1</v>
          </cell>
        </row>
        <row r="4938">
          <cell r="A4938" t="str">
            <v>IS_alqt_plus</v>
          </cell>
          <cell r="K4938" t="str">
            <v>HGG</v>
          </cell>
          <cell r="M4938" t="str">
            <v>F</v>
          </cell>
          <cell r="AB4938" t="str">
            <v>serum</v>
          </cell>
          <cell r="AF4938">
            <v>1.1000000000000001</v>
          </cell>
        </row>
        <row r="4939">
          <cell r="A4939" t="str">
            <v>IS_alqt_plus</v>
          </cell>
          <cell r="K4939" t="str">
            <v>HGG</v>
          </cell>
          <cell r="M4939" t="str">
            <v>F</v>
          </cell>
          <cell r="AB4939" t="str">
            <v>serum</v>
          </cell>
          <cell r="AF4939">
            <v>1</v>
          </cell>
        </row>
        <row r="4940">
          <cell r="A4940" t="str">
            <v>IS_alqt_plus</v>
          </cell>
          <cell r="K4940" t="str">
            <v>HGG</v>
          </cell>
          <cell r="M4940" t="str">
            <v>F</v>
          </cell>
          <cell r="AB4940" t="str">
            <v>serum</v>
          </cell>
          <cell r="AF4940">
            <v>1</v>
          </cell>
        </row>
        <row r="4941">
          <cell r="A4941" t="str">
            <v>IS_alqt_plus</v>
          </cell>
          <cell r="K4941" t="str">
            <v>HGG</v>
          </cell>
          <cell r="M4941" t="str">
            <v>F</v>
          </cell>
          <cell r="AB4941" t="str">
            <v>serum</v>
          </cell>
          <cell r="AF4941">
            <v>1</v>
          </cell>
        </row>
        <row r="4942">
          <cell r="A4942" t="str">
            <v>IS_alqt_plus</v>
          </cell>
          <cell r="K4942" t="str">
            <v>EMON</v>
          </cell>
          <cell r="M4942" t="str">
            <v>M</v>
          </cell>
          <cell r="AB4942" t="str">
            <v>serum</v>
          </cell>
          <cell r="AF4942">
            <v>1.25</v>
          </cell>
        </row>
        <row r="4943">
          <cell r="A4943" t="str">
            <v>IS_alqt_plus</v>
          </cell>
          <cell r="K4943" t="str">
            <v>EMON</v>
          </cell>
          <cell r="M4943" t="str">
            <v>M</v>
          </cell>
          <cell r="AB4943" t="str">
            <v>serum</v>
          </cell>
          <cell r="AF4943">
            <v>1.5</v>
          </cell>
        </row>
        <row r="4944">
          <cell r="A4944" t="str">
            <v>IS_alqt_plus</v>
          </cell>
          <cell r="K4944" t="str">
            <v>EMON</v>
          </cell>
          <cell r="M4944" t="str">
            <v>M</v>
          </cell>
          <cell r="AB4944" t="str">
            <v>serum</v>
          </cell>
          <cell r="AF4944">
            <v>1.4</v>
          </cell>
        </row>
        <row r="4945">
          <cell r="A4945" t="str">
            <v>IS_alqt_plus</v>
          </cell>
          <cell r="K4945" t="str">
            <v>EMON</v>
          </cell>
          <cell r="M4945" t="str">
            <v>M</v>
          </cell>
          <cell r="AB4945" t="str">
            <v>serum</v>
          </cell>
          <cell r="AF4945">
            <v>1.1000000000000001</v>
          </cell>
        </row>
        <row r="4946">
          <cell r="A4946" t="str">
            <v>IS_alqt_minus</v>
          </cell>
          <cell r="K4946" t="str">
            <v>EFLA</v>
          </cell>
          <cell r="M4946" t="str">
            <v>M</v>
          </cell>
          <cell r="AB4946" t="str">
            <v>WB</v>
          </cell>
          <cell r="AF4946">
            <v>0.1</v>
          </cell>
        </row>
        <row r="4947">
          <cell r="A4947" t="str">
            <v>IS_alqt_plus</v>
          </cell>
          <cell r="K4947" t="str">
            <v>EFLA</v>
          </cell>
          <cell r="M4947" t="str">
            <v>M</v>
          </cell>
          <cell r="AB4947" t="str">
            <v>WB</v>
          </cell>
          <cell r="AF4947">
            <v>0.25</v>
          </cell>
        </row>
        <row r="4948">
          <cell r="A4948" t="str">
            <v>IS_alqt_plus</v>
          </cell>
          <cell r="K4948" t="str">
            <v>EFLA</v>
          </cell>
          <cell r="M4948" t="str">
            <v>M</v>
          </cell>
          <cell r="AB4948" t="str">
            <v>serum</v>
          </cell>
          <cell r="AF4948">
            <v>0.5</v>
          </cell>
        </row>
        <row r="4949">
          <cell r="A4949" t="str">
            <v>IS_alqt_plus</v>
          </cell>
          <cell r="K4949" t="str">
            <v>EFLA</v>
          </cell>
          <cell r="M4949" t="str">
            <v>M</v>
          </cell>
          <cell r="AB4949" t="str">
            <v>serum</v>
          </cell>
          <cell r="AF4949">
            <v>1</v>
          </cell>
        </row>
        <row r="4950">
          <cell r="A4950" t="str">
            <v>IS_alqt_plus</v>
          </cell>
          <cell r="K4950" t="str">
            <v>EMAC</v>
          </cell>
          <cell r="M4950" t="str">
            <v>M</v>
          </cell>
          <cell r="AB4950" t="str">
            <v>serum</v>
          </cell>
          <cell r="AF4950">
            <v>1</v>
          </cell>
        </row>
        <row r="4951">
          <cell r="A4951" t="str">
            <v>IS_alqt_plus</v>
          </cell>
          <cell r="K4951" t="str">
            <v>EFLA</v>
          </cell>
          <cell r="M4951" t="str">
            <v>M</v>
          </cell>
          <cell r="AB4951" t="str">
            <v>serum</v>
          </cell>
          <cell r="AF4951">
            <v>0.9</v>
          </cell>
        </row>
        <row r="4952">
          <cell r="A4952" t="str">
            <v>IS_alqt_plus</v>
          </cell>
          <cell r="K4952" t="str">
            <v>EFLA</v>
          </cell>
          <cell r="M4952" t="str">
            <v>M</v>
          </cell>
          <cell r="AB4952" t="str">
            <v>serum</v>
          </cell>
          <cell r="AF4952">
            <v>1</v>
          </cell>
        </row>
        <row r="4953">
          <cell r="A4953" t="str">
            <v>IS_alqt_plus</v>
          </cell>
          <cell r="K4953" t="str">
            <v>EFLA</v>
          </cell>
          <cell r="M4953" t="str">
            <v>M</v>
          </cell>
          <cell r="AB4953" t="str">
            <v>WB</v>
          </cell>
          <cell r="AF4953">
            <v>0.65</v>
          </cell>
        </row>
        <row r="4954">
          <cell r="A4954" t="str">
            <v>gone</v>
          </cell>
          <cell r="K4954" t="str">
            <v>EFLA</v>
          </cell>
          <cell r="M4954" t="str">
            <v>M</v>
          </cell>
          <cell r="AB4954" t="str">
            <v>WB</v>
          </cell>
          <cell r="AF4954">
            <v>0</v>
          </cell>
        </row>
        <row r="4955">
          <cell r="A4955" t="str">
            <v>IS_alqt_plus</v>
          </cell>
          <cell r="K4955" t="str">
            <v>ECOR</v>
          </cell>
          <cell r="M4955" t="str">
            <v>M</v>
          </cell>
          <cell r="AB4955" t="str">
            <v>serum</v>
          </cell>
          <cell r="AF4955">
            <v>1.3</v>
          </cell>
        </row>
        <row r="4956">
          <cell r="A4956" t="str">
            <v>IS_alqt_plus</v>
          </cell>
          <cell r="K4956" t="str">
            <v>EMON</v>
          </cell>
          <cell r="M4956" t="str">
            <v>M</v>
          </cell>
          <cell r="AB4956" t="str">
            <v>serum</v>
          </cell>
          <cell r="AF4956">
            <v>1.1000000000000001</v>
          </cell>
        </row>
        <row r="4957">
          <cell r="A4957" t="str">
            <v>IS_alqt_plus</v>
          </cell>
          <cell r="K4957" t="str">
            <v>EMON</v>
          </cell>
          <cell r="M4957" t="str">
            <v>M</v>
          </cell>
          <cell r="AB4957" t="str">
            <v>serum</v>
          </cell>
          <cell r="AF4957">
            <v>0.65</v>
          </cell>
        </row>
        <row r="4958">
          <cell r="A4958" t="str">
            <v>gone</v>
          </cell>
          <cell r="K4958" t="str">
            <v>ECOR</v>
          </cell>
          <cell r="M4958" t="str">
            <v>M</v>
          </cell>
          <cell r="AB4958" t="str">
            <v>WB</v>
          </cell>
          <cell r="AF4958">
            <v>0</v>
          </cell>
        </row>
        <row r="4959">
          <cell r="A4959" t="str">
            <v>IS_alqt_plus</v>
          </cell>
          <cell r="K4959" t="str">
            <v>EMON</v>
          </cell>
          <cell r="M4959" t="str">
            <v>M</v>
          </cell>
          <cell r="AB4959" t="str">
            <v>serum</v>
          </cell>
          <cell r="AF4959">
            <v>1.4</v>
          </cell>
        </row>
        <row r="4960">
          <cell r="A4960" t="str">
            <v>IS_alqt_plus</v>
          </cell>
          <cell r="K4960" t="str">
            <v>EMON</v>
          </cell>
          <cell r="M4960" t="str">
            <v>M</v>
          </cell>
          <cell r="AB4960" t="str">
            <v>serum</v>
          </cell>
          <cell r="AF4960">
            <v>1.4</v>
          </cell>
        </row>
        <row r="4961">
          <cell r="A4961" t="str">
            <v>IS_alqt_plus</v>
          </cell>
          <cell r="K4961" t="str">
            <v>EMON</v>
          </cell>
          <cell r="M4961" t="str">
            <v>F</v>
          </cell>
          <cell r="AB4961" t="str">
            <v>serum</v>
          </cell>
          <cell r="AF4961">
            <v>1</v>
          </cell>
        </row>
        <row r="4962">
          <cell r="A4962" t="str">
            <v>IS_alqt_plus</v>
          </cell>
          <cell r="K4962" t="str">
            <v>VRUB</v>
          </cell>
          <cell r="M4962" t="str">
            <v>M</v>
          </cell>
          <cell r="AB4962" t="str">
            <v>WB</v>
          </cell>
          <cell r="AF4962">
            <v>0.4</v>
          </cell>
        </row>
        <row r="4963">
          <cell r="A4963" t="str">
            <v>IS_alqt_plus</v>
          </cell>
          <cell r="K4963" t="str">
            <v>VRUB</v>
          </cell>
          <cell r="M4963" t="str">
            <v>M</v>
          </cell>
          <cell r="AB4963" t="str">
            <v>serum</v>
          </cell>
          <cell r="AF4963">
            <v>1.4</v>
          </cell>
        </row>
        <row r="4964">
          <cell r="A4964" t="str">
            <v>gone</v>
          </cell>
          <cell r="K4964" t="str">
            <v>DMAD</v>
          </cell>
          <cell r="M4964" t="str">
            <v>M</v>
          </cell>
          <cell r="AB4964" t="str">
            <v>WB</v>
          </cell>
          <cell r="AF4964">
            <v>0</v>
          </cell>
        </row>
        <row r="4965">
          <cell r="A4965" t="str">
            <v>IS_alqt_plus</v>
          </cell>
          <cell r="K4965" t="str">
            <v>DMAD</v>
          </cell>
          <cell r="M4965" t="str">
            <v>M</v>
          </cell>
          <cell r="AB4965" t="str">
            <v>serum</v>
          </cell>
          <cell r="AF4965">
            <v>0.5</v>
          </cell>
        </row>
        <row r="4966">
          <cell r="A4966" t="str">
            <v>IS_alqt_plus</v>
          </cell>
          <cell r="K4966" t="str">
            <v>HGG</v>
          </cell>
          <cell r="M4966" t="str">
            <v>F</v>
          </cell>
          <cell r="AB4966" t="str">
            <v>WB</v>
          </cell>
          <cell r="AF4966">
            <v>0.2</v>
          </cell>
        </row>
        <row r="4967">
          <cell r="A4967" t="str">
            <v>IS_alqt_plus</v>
          </cell>
          <cell r="K4967" t="str">
            <v>HGG</v>
          </cell>
          <cell r="M4967" t="str">
            <v>F</v>
          </cell>
          <cell r="AB4967" t="str">
            <v>WB</v>
          </cell>
          <cell r="AF4967">
            <v>0.65</v>
          </cell>
        </row>
        <row r="4968">
          <cell r="A4968" t="str">
            <v>IS_alqt_plus</v>
          </cell>
          <cell r="K4968" t="str">
            <v>HGG</v>
          </cell>
          <cell r="M4968" t="str">
            <v>F</v>
          </cell>
          <cell r="AB4968" t="str">
            <v>WB</v>
          </cell>
          <cell r="AF4968">
            <v>0.55000000000000004</v>
          </cell>
        </row>
        <row r="4969">
          <cell r="A4969" t="str">
            <v>IS_alqt_plus</v>
          </cell>
          <cell r="K4969" t="str">
            <v>HGG</v>
          </cell>
          <cell r="M4969" t="str">
            <v>F</v>
          </cell>
          <cell r="AB4969" t="str">
            <v>WB</v>
          </cell>
          <cell r="AF4969">
            <v>0.75</v>
          </cell>
        </row>
        <row r="4970">
          <cell r="A4970" t="str">
            <v>IS_alqt_plus</v>
          </cell>
          <cell r="K4970" t="str">
            <v>HGG</v>
          </cell>
          <cell r="M4970" t="str">
            <v>F</v>
          </cell>
          <cell r="AB4970" t="str">
            <v>WB</v>
          </cell>
          <cell r="AF4970">
            <v>0.8</v>
          </cell>
        </row>
        <row r="4971">
          <cell r="A4971" t="str">
            <v>IS_alqt_plus</v>
          </cell>
          <cell r="K4971" t="str">
            <v>HGG</v>
          </cell>
          <cell r="M4971" t="str">
            <v>F</v>
          </cell>
          <cell r="AB4971" t="str">
            <v>WB</v>
          </cell>
          <cell r="AF4971">
            <v>0.6</v>
          </cell>
        </row>
        <row r="4972">
          <cell r="A4972" t="str">
            <v>gone</v>
          </cell>
          <cell r="K4972" t="str">
            <v>HGG</v>
          </cell>
          <cell r="M4972" t="str">
            <v>F</v>
          </cell>
          <cell r="AB4972" t="str">
            <v>WB</v>
          </cell>
          <cell r="AF4972">
            <v>0</v>
          </cell>
        </row>
        <row r="4973">
          <cell r="A4973" t="str">
            <v>IS_alqt_plus</v>
          </cell>
          <cell r="K4973" t="str">
            <v>HGG</v>
          </cell>
          <cell r="M4973" t="str">
            <v>F</v>
          </cell>
          <cell r="AB4973" t="str">
            <v>WB</v>
          </cell>
          <cell r="AF4973">
            <v>0.65</v>
          </cell>
        </row>
        <row r="4974">
          <cell r="A4974" t="str">
            <v>IS_alqt_plus</v>
          </cell>
          <cell r="K4974" t="str">
            <v>HGG</v>
          </cell>
          <cell r="M4974" t="str">
            <v>F</v>
          </cell>
          <cell r="AB4974" t="str">
            <v>WB</v>
          </cell>
          <cell r="AF4974">
            <v>0.6</v>
          </cell>
        </row>
        <row r="4975">
          <cell r="A4975" t="str">
            <v>IS_alqt_plus</v>
          </cell>
          <cell r="K4975" t="str">
            <v>HGG</v>
          </cell>
          <cell r="M4975" t="str">
            <v>F</v>
          </cell>
          <cell r="AB4975" t="str">
            <v>WB</v>
          </cell>
          <cell r="AF4975">
            <v>0.7</v>
          </cell>
        </row>
        <row r="4976">
          <cell r="A4976" t="str">
            <v>IS_alqt_plus</v>
          </cell>
          <cell r="K4976" t="str">
            <v>HGG</v>
          </cell>
          <cell r="M4976" t="str">
            <v>F</v>
          </cell>
          <cell r="AB4976" t="str">
            <v>WB</v>
          </cell>
          <cell r="AF4976">
            <v>0.75</v>
          </cell>
        </row>
        <row r="4977">
          <cell r="A4977" t="str">
            <v>IS_alqt_plus</v>
          </cell>
          <cell r="K4977" t="str">
            <v>HGG</v>
          </cell>
          <cell r="M4977" t="str">
            <v>F</v>
          </cell>
          <cell r="AB4977" t="str">
            <v>WB</v>
          </cell>
          <cell r="AF4977">
            <v>0.65</v>
          </cell>
        </row>
        <row r="4978">
          <cell r="A4978" t="str">
            <v>IS_alqt_plus</v>
          </cell>
          <cell r="K4978" t="str">
            <v>HGG</v>
          </cell>
          <cell r="M4978" t="str">
            <v>F</v>
          </cell>
          <cell r="AB4978" t="str">
            <v>WB</v>
          </cell>
          <cell r="AF4978">
            <v>0.6</v>
          </cell>
        </row>
        <row r="4979">
          <cell r="A4979" t="str">
            <v>IS_alqt_plus</v>
          </cell>
          <cell r="K4979" t="str">
            <v>HGG</v>
          </cell>
          <cell r="M4979" t="str">
            <v>F</v>
          </cell>
          <cell r="AB4979" t="str">
            <v>WB</v>
          </cell>
          <cell r="AF4979">
            <v>0.85</v>
          </cell>
        </row>
        <row r="4980">
          <cell r="A4980" t="str">
            <v>IS_alqt_plus</v>
          </cell>
          <cell r="K4980" t="str">
            <v>HGG</v>
          </cell>
          <cell r="M4980" t="str">
            <v>F</v>
          </cell>
          <cell r="AB4980" t="str">
            <v>WB</v>
          </cell>
          <cell r="AF4980">
            <v>0.7</v>
          </cell>
        </row>
        <row r="4981">
          <cell r="A4981" t="str">
            <v>IS_alqt_plus</v>
          </cell>
          <cell r="K4981" t="str">
            <v>HGG</v>
          </cell>
          <cell r="M4981" t="str">
            <v>F</v>
          </cell>
          <cell r="AB4981" t="str">
            <v>WB</v>
          </cell>
          <cell r="AF4981">
            <v>0.9</v>
          </cell>
        </row>
        <row r="4982">
          <cell r="A4982" t="str">
            <v>IS_alqt_plus</v>
          </cell>
          <cell r="K4982" t="str">
            <v>HGG</v>
          </cell>
          <cell r="M4982" t="str">
            <v>F</v>
          </cell>
          <cell r="AB4982" t="str">
            <v>WB</v>
          </cell>
          <cell r="AF4982">
            <v>0.6</v>
          </cell>
        </row>
        <row r="4983">
          <cell r="A4983" t="str">
            <v>IS_alqt_plus</v>
          </cell>
          <cell r="K4983" t="str">
            <v>HGG</v>
          </cell>
          <cell r="M4983" t="str">
            <v>F</v>
          </cell>
          <cell r="AB4983" t="str">
            <v>WB</v>
          </cell>
          <cell r="AF4983">
            <v>0.75</v>
          </cell>
        </row>
        <row r="4984">
          <cell r="A4984" t="str">
            <v>IS_alqt_plus</v>
          </cell>
          <cell r="K4984" t="str">
            <v>HGG</v>
          </cell>
          <cell r="M4984" t="str">
            <v>F</v>
          </cell>
          <cell r="AB4984" t="str">
            <v>WB</v>
          </cell>
          <cell r="AF4984">
            <v>0.9</v>
          </cell>
        </row>
        <row r="4985">
          <cell r="A4985" t="str">
            <v>IS_alqt_plus</v>
          </cell>
          <cell r="K4985" t="str">
            <v>HGG</v>
          </cell>
          <cell r="M4985" t="str">
            <v>F</v>
          </cell>
          <cell r="AB4985" t="str">
            <v>WB</v>
          </cell>
          <cell r="AF4985">
            <v>0.7</v>
          </cell>
        </row>
        <row r="4986">
          <cell r="A4986" t="str">
            <v>IS_alqt_plus</v>
          </cell>
          <cell r="K4986" t="str">
            <v>HGG</v>
          </cell>
          <cell r="M4986" t="str">
            <v>F</v>
          </cell>
          <cell r="AB4986" t="str">
            <v>WB</v>
          </cell>
          <cell r="AF4986">
            <v>0.5</v>
          </cell>
        </row>
        <row r="4987">
          <cell r="A4987" t="str">
            <v>IS_alqt_plus</v>
          </cell>
          <cell r="K4987" t="str">
            <v>HGG</v>
          </cell>
          <cell r="M4987" t="str">
            <v>F</v>
          </cell>
          <cell r="AB4987" t="str">
            <v>serum</v>
          </cell>
          <cell r="AF4987">
            <v>0.5</v>
          </cell>
        </row>
        <row r="4988">
          <cell r="A4988" t="str">
            <v>IS_alqt_plus</v>
          </cell>
          <cell r="K4988" t="str">
            <v>HGG</v>
          </cell>
          <cell r="M4988" t="str">
            <v>F</v>
          </cell>
          <cell r="AB4988" t="str">
            <v>serum</v>
          </cell>
          <cell r="AF4988">
            <v>0.5</v>
          </cell>
        </row>
        <row r="4989">
          <cell r="A4989" t="str">
            <v>IS_alqt_plus</v>
          </cell>
          <cell r="K4989" t="str">
            <v>HGG</v>
          </cell>
          <cell r="M4989" t="str">
            <v>F</v>
          </cell>
          <cell r="AB4989" t="str">
            <v>serum</v>
          </cell>
          <cell r="AF4989">
            <v>0.6</v>
          </cell>
        </row>
        <row r="4990">
          <cell r="A4990" t="str">
            <v>IS_alqt_plus</v>
          </cell>
          <cell r="K4990" t="str">
            <v>HGG</v>
          </cell>
          <cell r="M4990" t="str">
            <v>F</v>
          </cell>
          <cell r="AB4990" t="str">
            <v>serum</v>
          </cell>
          <cell r="AF4990">
            <v>0.6</v>
          </cell>
        </row>
        <row r="4991">
          <cell r="A4991" t="str">
            <v>IS_alqt_plus</v>
          </cell>
          <cell r="K4991" t="str">
            <v>HGG</v>
          </cell>
          <cell r="M4991" t="str">
            <v>F</v>
          </cell>
          <cell r="AB4991" t="str">
            <v>serum</v>
          </cell>
          <cell r="AF4991">
            <v>0.6</v>
          </cell>
        </row>
        <row r="4992">
          <cell r="A4992" t="str">
            <v>IS_alqt_plus</v>
          </cell>
          <cell r="K4992" t="str">
            <v>HGG</v>
          </cell>
          <cell r="M4992" t="str">
            <v>F</v>
          </cell>
          <cell r="AB4992" t="str">
            <v>serum</v>
          </cell>
          <cell r="AF4992">
            <v>0.55000000000000004</v>
          </cell>
        </row>
        <row r="4993">
          <cell r="A4993" t="str">
            <v>IS_alqt_plus</v>
          </cell>
          <cell r="K4993" t="str">
            <v>HGG</v>
          </cell>
          <cell r="M4993" t="str">
            <v>F</v>
          </cell>
          <cell r="AB4993" t="str">
            <v>serum</v>
          </cell>
          <cell r="AF4993">
            <v>0.45</v>
          </cell>
        </row>
        <row r="4994">
          <cell r="A4994" t="str">
            <v>IS_alqt_plus</v>
          </cell>
          <cell r="K4994" t="str">
            <v>HGG</v>
          </cell>
          <cell r="M4994" t="str">
            <v>F</v>
          </cell>
          <cell r="AB4994" t="str">
            <v>serum</v>
          </cell>
          <cell r="AF4994">
            <v>0.5</v>
          </cell>
        </row>
        <row r="4995">
          <cell r="A4995" t="str">
            <v>IS_alqt_plus</v>
          </cell>
          <cell r="K4995" t="str">
            <v>HGG</v>
          </cell>
          <cell r="M4995" t="str">
            <v>F</v>
          </cell>
          <cell r="AB4995" t="str">
            <v>serum</v>
          </cell>
          <cell r="AF4995">
            <v>0.7</v>
          </cell>
        </row>
        <row r="4996">
          <cell r="A4996" t="str">
            <v>IS_alqt_plus</v>
          </cell>
          <cell r="K4996" t="str">
            <v>HGG</v>
          </cell>
          <cell r="M4996" t="str">
            <v>F</v>
          </cell>
          <cell r="AB4996" t="str">
            <v>serum</v>
          </cell>
          <cell r="AF4996">
            <v>0.65</v>
          </cell>
        </row>
        <row r="4997">
          <cell r="A4997" t="str">
            <v>IS_alqt_plus</v>
          </cell>
          <cell r="K4997" t="str">
            <v>HGG</v>
          </cell>
          <cell r="M4997" t="str">
            <v>F</v>
          </cell>
          <cell r="AB4997" t="str">
            <v>serum</v>
          </cell>
          <cell r="AF4997">
            <v>0.5</v>
          </cell>
        </row>
        <row r="4998">
          <cell r="A4998" t="str">
            <v>IS_alqt_plus</v>
          </cell>
          <cell r="K4998" t="str">
            <v>HGG</v>
          </cell>
          <cell r="M4998" t="str">
            <v>F</v>
          </cell>
          <cell r="AB4998" t="str">
            <v>serum</v>
          </cell>
          <cell r="AF4998">
            <v>0.5</v>
          </cell>
        </row>
        <row r="4999">
          <cell r="A4999" t="str">
            <v>IS_alqt_plus</v>
          </cell>
          <cell r="K4999" t="str">
            <v>HGG</v>
          </cell>
          <cell r="M4999" t="str">
            <v>F</v>
          </cell>
          <cell r="AB4999" t="str">
            <v>serum</v>
          </cell>
          <cell r="AF4999">
            <v>0.5</v>
          </cell>
        </row>
        <row r="5000">
          <cell r="A5000" t="str">
            <v>IS_alqt_plus</v>
          </cell>
          <cell r="K5000" t="str">
            <v>HGG</v>
          </cell>
          <cell r="M5000" t="str">
            <v>F</v>
          </cell>
          <cell r="AB5000" t="str">
            <v>serum</v>
          </cell>
          <cell r="AF5000">
            <v>0.7</v>
          </cell>
        </row>
        <row r="5001">
          <cell r="A5001" t="str">
            <v>IS_alqt_plus</v>
          </cell>
          <cell r="K5001" t="str">
            <v>HGG</v>
          </cell>
          <cell r="M5001" t="str">
            <v>F</v>
          </cell>
          <cell r="AB5001" t="str">
            <v>serum</v>
          </cell>
          <cell r="AF5001">
            <v>0.5</v>
          </cell>
        </row>
        <row r="5002">
          <cell r="A5002" t="str">
            <v>IS_alqt_plus</v>
          </cell>
          <cell r="K5002" t="str">
            <v>HGG</v>
          </cell>
          <cell r="M5002" t="str">
            <v>F</v>
          </cell>
          <cell r="AB5002" t="str">
            <v>serum</v>
          </cell>
          <cell r="AF5002">
            <v>0.6</v>
          </cell>
        </row>
        <row r="5003">
          <cell r="A5003" t="str">
            <v>IS_alqt_plus</v>
          </cell>
          <cell r="K5003" t="str">
            <v>HGG</v>
          </cell>
          <cell r="M5003" t="str">
            <v>F</v>
          </cell>
          <cell r="AB5003" t="str">
            <v>serum</v>
          </cell>
          <cell r="AF5003">
            <v>0.6</v>
          </cell>
        </row>
        <row r="5004">
          <cell r="A5004" t="str">
            <v>IS_alqt_plus</v>
          </cell>
          <cell r="K5004" t="str">
            <v>HGG</v>
          </cell>
          <cell r="M5004" t="str">
            <v>F</v>
          </cell>
          <cell r="AB5004" t="str">
            <v>serum</v>
          </cell>
          <cell r="AF5004">
            <v>0.6</v>
          </cell>
        </row>
        <row r="5005">
          <cell r="A5005" t="str">
            <v>IS_alqt_plus</v>
          </cell>
          <cell r="K5005" t="str">
            <v>HGG</v>
          </cell>
          <cell r="M5005" t="str">
            <v>F</v>
          </cell>
          <cell r="AB5005" t="str">
            <v>serum</v>
          </cell>
          <cell r="AF5005">
            <v>0.55000000000000004</v>
          </cell>
        </row>
        <row r="5006">
          <cell r="A5006" t="str">
            <v>IS_alqt_plus</v>
          </cell>
          <cell r="K5006" t="str">
            <v>HGG</v>
          </cell>
          <cell r="M5006" t="str">
            <v>F</v>
          </cell>
          <cell r="AB5006" t="str">
            <v>serum</v>
          </cell>
          <cell r="AF5006">
            <v>0.5</v>
          </cell>
        </row>
        <row r="5007">
          <cell r="A5007" t="str">
            <v>IS_alqt_plus</v>
          </cell>
          <cell r="K5007" t="str">
            <v>HGG</v>
          </cell>
          <cell r="M5007" t="str">
            <v>F</v>
          </cell>
          <cell r="AB5007" t="str">
            <v>serum</v>
          </cell>
          <cell r="AF5007">
            <v>0.6</v>
          </cell>
        </row>
        <row r="5008">
          <cell r="A5008" t="str">
            <v>IS_alqt_plus</v>
          </cell>
          <cell r="K5008" t="str">
            <v>HGG</v>
          </cell>
          <cell r="M5008" t="str">
            <v>F</v>
          </cell>
          <cell r="AB5008" t="str">
            <v>serum</v>
          </cell>
          <cell r="AF5008">
            <v>0.5</v>
          </cell>
        </row>
        <row r="5009">
          <cell r="A5009" t="str">
            <v>IS_alqt_plus</v>
          </cell>
          <cell r="K5009" t="str">
            <v>HGG</v>
          </cell>
          <cell r="M5009" t="str">
            <v>F</v>
          </cell>
          <cell r="AB5009" t="str">
            <v>serum</v>
          </cell>
          <cell r="AF5009">
            <v>0.5</v>
          </cell>
        </row>
        <row r="5010">
          <cell r="A5010" t="str">
            <v>IS_alqt_plus</v>
          </cell>
          <cell r="K5010" t="str">
            <v>HGG</v>
          </cell>
          <cell r="M5010" t="str">
            <v>F</v>
          </cell>
          <cell r="AB5010" t="str">
            <v>serum</v>
          </cell>
          <cell r="AF5010">
            <v>0.7</v>
          </cell>
        </row>
        <row r="5011">
          <cell r="A5011" t="str">
            <v>IS_alqt_plus</v>
          </cell>
          <cell r="K5011" t="str">
            <v>PCOQ</v>
          </cell>
          <cell r="M5011" t="str">
            <v>M</v>
          </cell>
          <cell r="AB5011" t="str">
            <v>serum</v>
          </cell>
          <cell r="AF5011">
            <v>0.5</v>
          </cell>
        </row>
        <row r="5012">
          <cell r="A5012" t="str">
            <v>IS_alqt_plus</v>
          </cell>
          <cell r="K5012" t="str">
            <v>EMON</v>
          </cell>
          <cell r="M5012" t="str">
            <v>F</v>
          </cell>
          <cell r="AB5012" t="str">
            <v>serum</v>
          </cell>
          <cell r="AF5012">
            <v>1</v>
          </cell>
        </row>
        <row r="5013">
          <cell r="A5013" t="str">
            <v>IS_alqt_plus</v>
          </cell>
          <cell r="K5013" t="str">
            <v>EMON</v>
          </cell>
          <cell r="M5013" t="str">
            <v>M</v>
          </cell>
          <cell r="AB5013" t="str">
            <v>serum</v>
          </cell>
          <cell r="AF5013">
            <v>1.2</v>
          </cell>
        </row>
        <row r="5014">
          <cell r="A5014" t="str">
            <v>IS_alqt_plus</v>
          </cell>
          <cell r="K5014" t="str">
            <v>EFLA</v>
          </cell>
          <cell r="M5014" t="str">
            <v>F</v>
          </cell>
          <cell r="AB5014" t="str">
            <v>serum</v>
          </cell>
          <cell r="AF5014">
            <v>0.25</v>
          </cell>
        </row>
        <row r="5015">
          <cell r="A5015" t="str">
            <v>IS_alqt_plus</v>
          </cell>
          <cell r="K5015" t="str">
            <v>EFLA</v>
          </cell>
          <cell r="M5015" t="str">
            <v>F</v>
          </cell>
          <cell r="AB5015" t="str">
            <v>serum</v>
          </cell>
          <cell r="AF5015">
            <v>0.25</v>
          </cell>
        </row>
        <row r="5016">
          <cell r="A5016" t="str">
            <v>IS_alqt_plus</v>
          </cell>
          <cell r="K5016" t="str">
            <v>EMON</v>
          </cell>
          <cell r="M5016" t="str">
            <v>F</v>
          </cell>
          <cell r="AB5016" t="str">
            <v>serum</v>
          </cell>
          <cell r="AF5016">
            <v>1</v>
          </cell>
        </row>
        <row r="5017">
          <cell r="A5017" t="str">
            <v>IS_alqt_plus</v>
          </cell>
          <cell r="K5017" t="str">
            <v>VRUB</v>
          </cell>
          <cell r="M5017" t="str">
            <v>M</v>
          </cell>
          <cell r="AB5017" t="str">
            <v>WB</v>
          </cell>
          <cell r="AF5017">
            <v>1</v>
          </cell>
        </row>
        <row r="5018">
          <cell r="A5018" t="str">
            <v>IS_alqt_plus</v>
          </cell>
          <cell r="K5018" t="str">
            <v>EFLA</v>
          </cell>
          <cell r="M5018" t="str">
            <v>F</v>
          </cell>
          <cell r="AB5018" t="str">
            <v>WB</v>
          </cell>
          <cell r="AF5018">
            <v>0.6</v>
          </cell>
        </row>
        <row r="5019">
          <cell r="A5019" t="str">
            <v>IS_alqt_plus</v>
          </cell>
          <cell r="K5019" t="str">
            <v>EFLA</v>
          </cell>
          <cell r="M5019" t="str">
            <v>F</v>
          </cell>
          <cell r="AB5019" t="str">
            <v>WB</v>
          </cell>
          <cell r="AF5019">
            <v>0.8</v>
          </cell>
        </row>
        <row r="5020">
          <cell r="A5020" t="str">
            <v>unk</v>
          </cell>
          <cell r="K5020" t="str">
            <v>LCAT</v>
          </cell>
          <cell r="M5020" t="str">
            <v>M</v>
          </cell>
          <cell r="AB5020" t="str">
            <v>WB</v>
          </cell>
          <cell r="AF5020">
            <v>0.3</v>
          </cell>
        </row>
        <row r="5021">
          <cell r="A5021" t="str">
            <v>IS_alqt_plus</v>
          </cell>
          <cell r="K5021" t="str">
            <v>LCAT</v>
          </cell>
          <cell r="M5021" t="str">
            <v>F</v>
          </cell>
          <cell r="AB5021" t="str">
            <v>serum</v>
          </cell>
          <cell r="AF5021">
            <v>0.2</v>
          </cell>
        </row>
        <row r="5022">
          <cell r="A5022" t="str">
            <v>gone</v>
          </cell>
          <cell r="K5022" t="str">
            <v>EMON</v>
          </cell>
          <cell r="M5022" t="str">
            <v>M</v>
          </cell>
          <cell r="AB5022" t="str">
            <v>WB</v>
          </cell>
          <cell r="AF5022">
            <v>0</v>
          </cell>
        </row>
        <row r="5023">
          <cell r="A5023" t="str">
            <v>IS_alqt_plus</v>
          </cell>
          <cell r="K5023" t="str">
            <v>EMON</v>
          </cell>
          <cell r="M5023" t="str">
            <v>M</v>
          </cell>
          <cell r="AB5023" t="str">
            <v>WB</v>
          </cell>
          <cell r="AF5023">
            <v>1.5</v>
          </cell>
        </row>
        <row r="5024">
          <cell r="A5024" t="str">
            <v>IS_alqt_plus</v>
          </cell>
          <cell r="K5024" t="str">
            <v>DMAD</v>
          </cell>
          <cell r="M5024" t="str">
            <v>F</v>
          </cell>
          <cell r="AB5024" t="str">
            <v>serum</v>
          </cell>
          <cell r="AF5024">
            <v>0.45</v>
          </cell>
        </row>
        <row r="5025">
          <cell r="A5025" t="str">
            <v>IS_alqt_plus</v>
          </cell>
          <cell r="K5025" t="str">
            <v>DMAD</v>
          </cell>
          <cell r="M5025" t="str">
            <v>F</v>
          </cell>
          <cell r="AB5025" t="str">
            <v>WB</v>
          </cell>
          <cell r="AF5025">
            <v>0.5</v>
          </cell>
        </row>
        <row r="5026">
          <cell r="A5026" t="str">
            <v>IS_alqt_plus</v>
          </cell>
          <cell r="K5026" t="str">
            <v>ECOR</v>
          </cell>
          <cell r="M5026" t="str">
            <v>F</v>
          </cell>
          <cell r="AB5026" t="str">
            <v>serum</v>
          </cell>
          <cell r="AF5026">
            <v>1.2</v>
          </cell>
        </row>
        <row r="5027">
          <cell r="A5027" t="str">
            <v>IS_alqt_plus</v>
          </cell>
          <cell r="K5027" t="str">
            <v>ECOR</v>
          </cell>
          <cell r="M5027" t="str">
            <v>F</v>
          </cell>
          <cell r="AB5027" t="str">
            <v>WB</v>
          </cell>
          <cell r="AF5027">
            <v>0.25</v>
          </cell>
        </row>
        <row r="5028">
          <cell r="A5028" t="str">
            <v>IS_alqt_plus</v>
          </cell>
          <cell r="K5028" t="str">
            <v>ERUB</v>
          </cell>
          <cell r="M5028" t="str">
            <v>F</v>
          </cell>
          <cell r="AB5028" t="str">
            <v>WB</v>
          </cell>
          <cell r="AF5028">
            <v>1</v>
          </cell>
        </row>
        <row r="5029">
          <cell r="A5029" t="str">
            <v>IS_alqt_plus</v>
          </cell>
          <cell r="K5029" t="str">
            <v>ERUB</v>
          </cell>
          <cell r="M5029" t="str">
            <v>F</v>
          </cell>
          <cell r="AB5029" t="str">
            <v>serum</v>
          </cell>
          <cell r="AF5029">
            <v>0.6</v>
          </cell>
        </row>
        <row r="5030">
          <cell r="A5030" t="str">
            <v>IS_alqt_plus</v>
          </cell>
          <cell r="K5030" t="str">
            <v>LCAT</v>
          </cell>
          <cell r="M5030" t="str">
            <v>F</v>
          </cell>
          <cell r="AB5030" t="str">
            <v>WB</v>
          </cell>
          <cell r="AF5030">
            <v>0.9</v>
          </cell>
        </row>
        <row r="5031">
          <cell r="A5031" t="str">
            <v>IS_alqt_plus</v>
          </cell>
          <cell r="K5031" t="str">
            <v>LCAT</v>
          </cell>
          <cell r="M5031" t="str">
            <v>F</v>
          </cell>
          <cell r="AB5031" t="str">
            <v>WB</v>
          </cell>
          <cell r="AF5031">
            <v>0.4</v>
          </cell>
        </row>
        <row r="5032">
          <cell r="A5032" t="str">
            <v>IS_alqt_plus</v>
          </cell>
          <cell r="K5032" t="str">
            <v>LCAT</v>
          </cell>
          <cell r="M5032" t="str">
            <v>M</v>
          </cell>
          <cell r="AB5032" t="str">
            <v>WB</v>
          </cell>
          <cell r="AF5032">
            <v>0.2</v>
          </cell>
        </row>
        <row r="5033">
          <cell r="A5033" t="str">
            <v>IS_alqt_minus</v>
          </cell>
          <cell r="K5033" t="str">
            <v>EFLA</v>
          </cell>
          <cell r="M5033" t="str">
            <v>M</v>
          </cell>
          <cell r="AB5033" t="str">
            <v>WB</v>
          </cell>
          <cell r="AF5033">
            <v>0.15</v>
          </cell>
        </row>
        <row r="5034">
          <cell r="A5034" t="str">
            <v>IS_alqt_plus</v>
          </cell>
          <cell r="K5034" t="str">
            <v>EFLA</v>
          </cell>
          <cell r="M5034" t="str">
            <v>M</v>
          </cell>
          <cell r="AB5034" t="str">
            <v>WB</v>
          </cell>
          <cell r="AF5034">
            <v>0.2</v>
          </cell>
        </row>
        <row r="5035">
          <cell r="A5035" t="str">
            <v>IS_alqt_plus</v>
          </cell>
          <cell r="K5035" t="str">
            <v>EFLA</v>
          </cell>
          <cell r="M5035" t="str">
            <v>M</v>
          </cell>
          <cell r="AB5035" t="str">
            <v>serum</v>
          </cell>
          <cell r="AF5035">
            <v>0.25</v>
          </cell>
        </row>
        <row r="5036">
          <cell r="A5036" t="str">
            <v>IS_alqt_plus</v>
          </cell>
          <cell r="K5036" t="str">
            <v>EFLA</v>
          </cell>
          <cell r="M5036" t="str">
            <v>M</v>
          </cell>
          <cell r="AB5036" t="str">
            <v>serum</v>
          </cell>
          <cell r="AF5036">
            <v>1.25</v>
          </cell>
        </row>
        <row r="5037">
          <cell r="A5037" t="str">
            <v>IS_alqt_plus</v>
          </cell>
          <cell r="K5037" t="str">
            <v>OCRA</v>
          </cell>
          <cell r="M5037" t="str">
            <v>F</v>
          </cell>
          <cell r="AB5037" t="str">
            <v>WB</v>
          </cell>
          <cell r="AF5037">
            <v>0.3</v>
          </cell>
        </row>
        <row r="5038">
          <cell r="A5038" t="str">
            <v>IS_alqt_plus</v>
          </cell>
          <cell r="K5038" t="str">
            <v>VRUB</v>
          </cell>
          <cell r="M5038" t="str">
            <v>F</v>
          </cell>
          <cell r="AB5038" t="str">
            <v>WB</v>
          </cell>
          <cell r="AF5038">
            <v>0.7</v>
          </cell>
        </row>
        <row r="5039">
          <cell r="A5039" t="str">
            <v>IS_alqt_plus</v>
          </cell>
          <cell r="K5039" t="str">
            <v>VRUB</v>
          </cell>
          <cell r="M5039" t="str">
            <v>F</v>
          </cell>
          <cell r="AB5039" t="str">
            <v>serum</v>
          </cell>
          <cell r="AF5039">
            <v>1</v>
          </cell>
        </row>
        <row r="5040">
          <cell r="A5040" t="str">
            <v>IS_alqt_plus</v>
          </cell>
          <cell r="K5040" t="str">
            <v>VVV</v>
          </cell>
          <cell r="M5040" t="str">
            <v>F</v>
          </cell>
          <cell r="AB5040" t="str">
            <v>WB</v>
          </cell>
          <cell r="AF5040">
            <v>0.9</v>
          </cell>
        </row>
        <row r="5041">
          <cell r="A5041" t="str">
            <v>gone</v>
          </cell>
          <cell r="K5041" t="str">
            <v>VVV</v>
          </cell>
          <cell r="M5041" t="str">
            <v>M</v>
          </cell>
          <cell r="AB5041" t="str">
            <v>WB</v>
          </cell>
          <cell r="AF5041">
            <v>0</v>
          </cell>
        </row>
        <row r="5042">
          <cell r="A5042" t="str">
            <v>IS_alqt_plus</v>
          </cell>
          <cell r="K5042" t="str">
            <v>VVV</v>
          </cell>
          <cell r="M5042" t="str">
            <v>F</v>
          </cell>
          <cell r="AB5042" t="str">
            <v>serum</v>
          </cell>
          <cell r="AF5042">
            <v>0.7</v>
          </cell>
        </row>
        <row r="5043">
          <cell r="A5043" t="str">
            <v>IS_alqt_plus</v>
          </cell>
          <cell r="K5043" t="str">
            <v>VVV</v>
          </cell>
          <cell r="M5043" t="str">
            <v>F</v>
          </cell>
          <cell r="AB5043" t="str">
            <v>serum</v>
          </cell>
          <cell r="AF5043">
            <v>0.6</v>
          </cell>
        </row>
        <row r="5044">
          <cell r="A5044" t="str">
            <v>IS_alqt_plus</v>
          </cell>
          <cell r="K5044" t="str">
            <v>VVV</v>
          </cell>
          <cell r="M5044" t="str">
            <v>M</v>
          </cell>
          <cell r="AB5044" t="str">
            <v>serum</v>
          </cell>
          <cell r="AF5044">
            <v>0.9</v>
          </cell>
        </row>
        <row r="5045">
          <cell r="A5045" t="str">
            <v>IS_alqt_plus</v>
          </cell>
          <cell r="K5045" t="str">
            <v>EMON</v>
          </cell>
          <cell r="M5045" t="str">
            <v>F</v>
          </cell>
          <cell r="AB5045" t="str">
            <v>WB</v>
          </cell>
          <cell r="AF5045">
            <v>1</v>
          </cell>
        </row>
        <row r="5046">
          <cell r="A5046" t="str">
            <v>gone</v>
          </cell>
          <cell r="K5046" t="str">
            <v>EMON</v>
          </cell>
          <cell r="M5046" t="str">
            <v>F</v>
          </cell>
          <cell r="AB5046" t="str">
            <v>WB</v>
          </cell>
          <cell r="AF5046">
            <v>0</v>
          </cell>
        </row>
        <row r="5047">
          <cell r="A5047" t="str">
            <v>IS_alqt_plus</v>
          </cell>
          <cell r="K5047" t="str">
            <v>EMON</v>
          </cell>
          <cell r="M5047" t="str">
            <v>F</v>
          </cell>
          <cell r="AB5047" t="str">
            <v>WB</v>
          </cell>
          <cell r="AF5047">
            <v>1</v>
          </cell>
        </row>
        <row r="5048">
          <cell r="A5048" t="str">
            <v>IS_alqt_plus</v>
          </cell>
          <cell r="K5048" t="str">
            <v>EMON</v>
          </cell>
          <cell r="M5048" t="str">
            <v>M</v>
          </cell>
          <cell r="AB5048" t="str">
            <v>WB</v>
          </cell>
          <cell r="AF5048">
            <v>1.3</v>
          </cell>
        </row>
        <row r="5049">
          <cell r="A5049" t="str">
            <v>IS_alqt_plus</v>
          </cell>
          <cell r="K5049" t="str">
            <v>LCAT</v>
          </cell>
          <cell r="M5049" t="str">
            <v>M</v>
          </cell>
          <cell r="AB5049" t="str">
            <v>WB</v>
          </cell>
          <cell r="AF5049">
            <v>0.2</v>
          </cell>
        </row>
        <row r="5050">
          <cell r="A5050" t="str">
            <v>IS_alqt_plus</v>
          </cell>
          <cell r="K5050" t="str">
            <v>LCAT</v>
          </cell>
          <cell r="M5050" t="str">
            <v>F</v>
          </cell>
          <cell r="AB5050" t="str">
            <v>serum</v>
          </cell>
          <cell r="AF5050">
            <v>0.6</v>
          </cell>
        </row>
        <row r="5051">
          <cell r="A5051" t="str">
            <v>gone</v>
          </cell>
          <cell r="K5051" t="str">
            <v>DMAD</v>
          </cell>
          <cell r="M5051" t="str">
            <v>F</v>
          </cell>
          <cell r="AB5051" t="str">
            <v>serum</v>
          </cell>
          <cell r="AF5051">
            <v>0</v>
          </cell>
        </row>
        <row r="5052">
          <cell r="A5052" t="str">
            <v>IS_alqt_plus</v>
          </cell>
          <cell r="K5052" t="str">
            <v>DMAD</v>
          </cell>
          <cell r="M5052" t="str">
            <v>F</v>
          </cell>
          <cell r="AB5052" t="str">
            <v>WB</v>
          </cell>
          <cell r="AF5052">
            <v>0.75</v>
          </cell>
        </row>
        <row r="5053">
          <cell r="A5053" t="str">
            <v>IS_alqt_plus</v>
          </cell>
          <cell r="K5053" t="str">
            <v>VRUB</v>
          </cell>
          <cell r="M5053" t="str">
            <v>F</v>
          </cell>
          <cell r="AB5053" t="str">
            <v>WB</v>
          </cell>
          <cell r="AF5053">
            <v>0.75</v>
          </cell>
        </row>
        <row r="5054">
          <cell r="A5054" t="str">
            <v>IS_alqt_plus</v>
          </cell>
          <cell r="K5054" t="str">
            <v>VRUB</v>
          </cell>
          <cell r="M5054" t="str">
            <v>M</v>
          </cell>
          <cell r="AB5054" t="str">
            <v>WB</v>
          </cell>
          <cell r="AF5054">
            <v>0.7</v>
          </cell>
        </row>
        <row r="5055">
          <cell r="A5055" t="str">
            <v>IS_alqt_plus</v>
          </cell>
          <cell r="K5055" t="str">
            <v>VRUB</v>
          </cell>
          <cell r="M5055" t="str">
            <v>F</v>
          </cell>
          <cell r="AB5055" t="str">
            <v>serum</v>
          </cell>
          <cell r="AF5055">
            <v>1.2</v>
          </cell>
        </row>
        <row r="5056">
          <cell r="A5056" t="str">
            <v>IS_alqt_plus</v>
          </cell>
          <cell r="K5056" t="str">
            <v>VRUB</v>
          </cell>
          <cell r="M5056" t="str">
            <v>M</v>
          </cell>
          <cell r="AB5056" t="str">
            <v>serum</v>
          </cell>
          <cell r="AF5056">
            <v>1.1000000000000001</v>
          </cell>
        </row>
        <row r="5057">
          <cell r="A5057" t="str">
            <v>IS_alqt_plus</v>
          </cell>
          <cell r="K5057" t="str">
            <v>EFLA</v>
          </cell>
          <cell r="M5057" t="str">
            <v>M</v>
          </cell>
          <cell r="AB5057" t="str">
            <v>WB</v>
          </cell>
          <cell r="AF5057">
            <v>0.8</v>
          </cell>
        </row>
        <row r="5058">
          <cell r="A5058" t="str">
            <v>IS_alqt_plus</v>
          </cell>
          <cell r="K5058" t="str">
            <v>LCAT</v>
          </cell>
          <cell r="M5058" t="str">
            <v>M</v>
          </cell>
          <cell r="AB5058" t="str">
            <v>WB</v>
          </cell>
          <cell r="AF5058">
            <v>0.3</v>
          </cell>
        </row>
        <row r="5059">
          <cell r="A5059" t="str">
            <v>IS_alqt_plus</v>
          </cell>
          <cell r="K5059" t="str">
            <v>LCAT</v>
          </cell>
          <cell r="M5059" t="str">
            <v>M</v>
          </cell>
          <cell r="AB5059" t="str">
            <v>WB</v>
          </cell>
          <cell r="AF5059">
            <v>0.3</v>
          </cell>
        </row>
        <row r="5060">
          <cell r="A5060" t="str">
            <v>IS_alqt_plus</v>
          </cell>
          <cell r="K5060" t="str">
            <v>LCAT</v>
          </cell>
          <cell r="M5060" t="str">
            <v>F</v>
          </cell>
          <cell r="AB5060" t="str">
            <v>WB</v>
          </cell>
          <cell r="AF5060">
            <v>0.75</v>
          </cell>
        </row>
        <row r="5061">
          <cell r="A5061" t="str">
            <v>IS_alqt_plus</v>
          </cell>
          <cell r="K5061" t="str">
            <v>LCAT</v>
          </cell>
          <cell r="M5061" t="str">
            <v>F</v>
          </cell>
          <cell r="AB5061" t="str">
            <v>WB</v>
          </cell>
          <cell r="AF5061">
            <v>0.75</v>
          </cell>
        </row>
        <row r="5062">
          <cell r="A5062" t="str">
            <v>gone</v>
          </cell>
          <cell r="K5062" t="str">
            <v>PCOQ</v>
          </cell>
          <cell r="M5062" t="str">
            <v>M</v>
          </cell>
          <cell r="AB5062" t="str">
            <v>plasma</v>
          </cell>
          <cell r="AF5062">
            <v>0</v>
          </cell>
        </row>
        <row r="5063">
          <cell r="A5063" t="str">
            <v>IS_alqt_plus</v>
          </cell>
          <cell r="K5063" t="str">
            <v>PCOQ</v>
          </cell>
          <cell r="M5063" t="str">
            <v>M</v>
          </cell>
          <cell r="AB5063" t="str">
            <v>serum</v>
          </cell>
          <cell r="AF5063">
            <v>0.4</v>
          </cell>
        </row>
        <row r="5064">
          <cell r="A5064" t="str">
            <v>IS_alqt_plus</v>
          </cell>
          <cell r="K5064" t="str">
            <v>PCOQ</v>
          </cell>
          <cell r="M5064" t="str">
            <v>M</v>
          </cell>
          <cell r="AB5064" t="str">
            <v>serum</v>
          </cell>
          <cell r="AF5064">
            <v>1</v>
          </cell>
        </row>
        <row r="5065">
          <cell r="A5065" t="str">
            <v>IS_alqt_plus</v>
          </cell>
          <cell r="K5065" t="str">
            <v>PCOQ</v>
          </cell>
          <cell r="M5065" t="str">
            <v>M</v>
          </cell>
          <cell r="AB5065" t="str">
            <v>serum</v>
          </cell>
          <cell r="AF5065">
            <v>0.9</v>
          </cell>
        </row>
        <row r="5066">
          <cell r="A5066" t="str">
            <v>IS_alqt_plus</v>
          </cell>
          <cell r="K5066" t="str">
            <v>PCOQ</v>
          </cell>
          <cell r="M5066" t="str">
            <v>M</v>
          </cell>
          <cell r="AB5066" t="str">
            <v>serum</v>
          </cell>
          <cell r="AF5066">
            <v>1.1000000000000001</v>
          </cell>
        </row>
        <row r="5067">
          <cell r="A5067" t="str">
            <v>IS_alqt_plus</v>
          </cell>
          <cell r="K5067" t="str">
            <v>PCOQ</v>
          </cell>
          <cell r="M5067" t="str">
            <v>M</v>
          </cell>
          <cell r="AB5067" t="str">
            <v>serum</v>
          </cell>
          <cell r="AF5067">
            <v>1.1000000000000001</v>
          </cell>
        </row>
        <row r="5068">
          <cell r="A5068" t="str">
            <v>IS_alqt_plus</v>
          </cell>
          <cell r="K5068" t="str">
            <v>PCOQ</v>
          </cell>
          <cell r="M5068" t="str">
            <v>M</v>
          </cell>
          <cell r="AB5068" t="str">
            <v>serum</v>
          </cell>
          <cell r="AF5068">
            <v>1.1000000000000001</v>
          </cell>
        </row>
        <row r="5069">
          <cell r="A5069" t="str">
            <v>IS_alqt_plus</v>
          </cell>
          <cell r="K5069" t="str">
            <v>PCOQ</v>
          </cell>
          <cell r="M5069" t="str">
            <v>M</v>
          </cell>
          <cell r="AB5069" t="str">
            <v>serum</v>
          </cell>
          <cell r="AF5069">
            <v>1</v>
          </cell>
        </row>
        <row r="5070">
          <cell r="A5070" t="str">
            <v>IS_alqt_plus</v>
          </cell>
          <cell r="K5070" t="str">
            <v>PCOQ</v>
          </cell>
          <cell r="M5070" t="str">
            <v>M</v>
          </cell>
          <cell r="AB5070" t="str">
            <v>serum</v>
          </cell>
          <cell r="AF5070">
            <v>1</v>
          </cell>
        </row>
        <row r="5071">
          <cell r="A5071" t="str">
            <v>IS_alqt_plus</v>
          </cell>
          <cell r="K5071" t="str">
            <v>PCOQ</v>
          </cell>
          <cell r="M5071" t="str">
            <v>M</v>
          </cell>
          <cell r="AB5071" t="str">
            <v>serum</v>
          </cell>
          <cell r="AF5071">
            <v>1</v>
          </cell>
        </row>
        <row r="5072">
          <cell r="A5072" t="str">
            <v>IS_alqt_plus</v>
          </cell>
          <cell r="K5072" t="str">
            <v>PCOQ</v>
          </cell>
          <cell r="M5072" t="str">
            <v>M</v>
          </cell>
          <cell r="AB5072" t="str">
            <v>serum</v>
          </cell>
          <cell r="AF5072">
            <v>0.9</v>
          </cell>
        </row>
        <row r="5073">
          <cell r="A5073" t="str">
            <v>gone</v>
          </cell>
          <cell r="K5073" t="str">
            <v>PCOQ</v>
          </cell>
          <cell r="M5073" t="str">
            <v>M</v>
          </cell>
          <cell r="AB5073" t="str">
            <v>serum</v>
          </cell>
          <cell r="AF5073">
            <v>0</v>
          </cell>
        </row>
        <row r="5074">
          <cell r="A5074" t="str">
            <v>IS_alqt_plus</v>
          </cell>
          <cell r="K5074" t="str">
            <v>PCOQ</v>
          </cell>
          <cell r="M5074" t="str">
            <v>M</v>
          </cell>
          <cell r="AB5074" t="str">
            <v>serum</v>
          </cell>
          <cell r="AF5074">
            <v>1</v>
          </cell>
        </row>
        <row r="5075">
          <cell r="A5075" t="str">
            <v>IS_alqt_plus</v>
          </cell>
          <cell r="K5075" t="str">
            <v>PCOQ</v>
          </cell>
          <cell r="M5075" t="str">
            <v>M</v>
          </cell>
          <cell r="AB5075" t="str">
            <v>serum</v>
          </cell>
          <cell r="AF5075">
            <v>0.9</v>
          </cell>
        </row>
        <row r="5076">
          <cell r="A5076" t="str">
            <v>IS_alqt_plus</v>
          </cell>
          <cell r="K5076" t="str">
            <v>ECOR</v>
          </cell>
          <cell r="M5076" t="str">
            <v>M</v>
          </cell>
          <cell r="AB5076" t="str">
            <v>serum</v>
          </cell>
          <cell r="AF5076">
            <v>1.1000000000000001</v>
          </cell>
        </row>
        <row r="5077">
          <cell r="A5077" t="str">
            <v>IS_alqt_plus</v>
          </cell>
          <cell r="K5077" t="str">
            <v>ECOR</v>
          </cell>
          <cell r="M5077" t="str">
            <v>M</v>
          </cell>
          <cell r="AB5077" t="str">
            <v>WB</v>
          </cell>
          <cell r="AF5077">
            <v>0.2</v>
          </cell>
        </row>
        <row r="5078">
          <cell r="A5078" t="str">
            <v>IS_alqt_minus</v>
          </cell>
          <cell r="K5078" t="str">
            <v>MMUR</v>
          </cell>
          <cell r="M5078" t="str">
            <v>M</v>
          </cell>
          <cell r="AB5078" t="str">
            <v>WB</v>
          </cell>
          <cell r="AF5078">
            <v>0.05</v>
          </cell>
        </row>
        <row r="5079">
          <cell r="A5079" t="str">
            <v>IS_alqt_minus</v>
          </cell>
          <cell r="K5079" t="str">
            <v>MMUR</v>
          </cell>
          <cell r="M5079" t="str">
            <v>M</v>
          </cell>
          <cell r="AB5079" t="str">
            <v>WB</v>
          </cell>
          <cell r="AF5079">
            <v>0.05</v>
          </cell>
        </row>
        <row r="5080">
          <cell r="A5080" t="str">
            <v>IS_alqt_plus</v>
          </cell>
          <cell r="K5080" t="str">
            <v>VVV</v>
          </cell>
          <cell r="M5080" t="str">
            <v>M</v>
          </cell>
          <cell r="AB5080" t="str">
            <v>WB</v>
          </cell>
          <cell r="AF5080">
            <v>0.75</v>
          </cell>
        </row>
        <row r="5081">
          <cell r="A5081" t="str">
            <v>IS_alqt_plus</v>
          </cell>
          <cell r="K5081" t="str">
            <v>VVV</v>
          </cell>
          <cell r="M5081" t="str">
            <v>M</v>
          </cell>
          <cell r="AB5081" t="str">
            <v>WB</v>
          </cell>
          <cell r="AF5081">
            <v>0.75</v>
          </cell>
        </row>
        <row r="5082">
          <cell r="A5082" t="str">
            <v>IS_alqt_plus</v>
          </cell>
          <cell r="K5082" t="str">
            <v>VVV</v>
          </cell>
          <cell r="M5082" t="str">
            <v>M</v>
          </cell>
          <cell r="AB5082" t="str">
            <v>serum</v>
          </cell>
          <cell r="AF5082">
            <v>1.25</v>
          </cell>
        </row>
        <row r="5083">
          <cell r="A5083" t="str">
            <v>IS_alqt_plus</v>
          </cell>
          <cell r="K5083" t="str">
            <v>VVV</v>
          </cell>
          <cell r="M5083" t="str">
            <v>M</v>
          </cell>
          <cell r="AB5083" t="str">
            <v>serum</v>
          </cell>
          <cell r="AF5083">
            <v>0.9</v>
          </cell>
        </row>
        <row r="5084">
          <cell r="A5084" t="str">
            <v>IS_alqt_minus</v>
          </cell>
          <cell r="K5084" t="str">
            <v>MMUR</v>
          </cell>
          <cell r="M5084" t="str">
            <v>F</v>
          </cell>
          <cell r="AB5084" t="str">
            <v>WB</v>
          </cell>
          <cell r="AF5084">
            <v>0.05</v>
          </cell>
        </row>
        <row r="5085">
          <cell r="A5085" t="str">
            <v>IS_alqt_minus</v>
          </cell>
          <cell r="K5085" t="str">
            <v>MMUR</v>
          </cell>
          <cell r="M5085" t="str">
            <v>F</v>
          </cell>
          <cell r="AB5085" t="str">
            <v>WB</v>
          </cell>
          <cell r="AF5085">
            <v>0.05</v>
          </cell>
        </row>
        <row r="5086">
          <cell r="A5086" t="str">
            <v>IS_alqt_minus</v>
          </cell>
          <cell r="K5086" t="str">
            <v>MMUR</v>
          </cell>
          <cell r="M5086" t="str">
            <v>M</v>
          </cell>
          <cell r="AB5086" t="str">
            <v>WB</v>
          </cell>
          <cell r="AF5086">
            <v>0.15</v>
          </cell>
        </row>
        <row r="5087">
          <cell r="A5087" t="str">
            <v>IS_alqt_minus</v>
          </cell>
          <cell r="K5087" t="str">
            <v>MMUR</v>
          </cell>
          <cell r="M5087" t="str">
            <v>M</v>
          </cell>
          <cell r="AB5087" t="str">
            <v>WB</v>
          </cell>
          <cell r="AF5087">
            <v>0.05</v>
          </cell>
        </row>
        <row r="5088">
          <cell r="A5088" t="str">
            <v>IS_alqt_plus</v>
          </cell>
          <cell r="K5088" t="str">
            <v>EUL</v>
          </cell>
          <cell r="M5088" t="str">
            <v>M</v>
          </cell>
          <cell r="AB5088" t="str">
            <v>serum</v>
          </cell>
          <cell r="AF5088">
            <v>0.95</v>
          </cell>
        </row>
        <row r="5089">
          <cell r="A5089" t="str">
            <v>IS_alqt_plus</v>
          </cell>
          <cell r="K5089" t="str">
            <v>EFLA</v>
          </cell>
          <cell r="M5089" t="str">
            <v>M</v>
          </cell>
          <cell r="AB5089" t="str">
            <v>serum</v>
          </cell>
          <cell r="AF5089">
            <v>0.2</v>
          </cell>
        </row>
        <row r="5090">
          <cell r="A5090" t="str">
            <v>IS_alqt_plus</v>
          </cell>
          <cell r="K5090" t="str">
            <v>EFLA</v>
          </cell>
          <cell r="M5090" t="str">
            <v>M</v>
          </cell>
          <cell r="AB5090" t="str">
            <v>serum</v>
          </cell>
          <cell r="AF5090">
            <v>0.2</v>
          </cell>
        </row>
        <row r="5091">
          <cell r="A5091" t="str">
            <v>IS_alqt_plus</v>
          </cell>
          <cell r="K5091" t="str">
            <v>EFLA</v>
          </cell>
          <cell r="M5091" t="str">
            <v>M</v>
          </cell>
          <cell r="AB5091" t="str">
            <v>serum</v>
          </cell>
          <cell r="AF5091">
            <v>0.2</v>
          </cell>
        </row>
        <row r="5092">
          <cell r="A5092" t="str">
            <v>IS_alqt_plus</v>
          </cell>
          <cell r="K5092" t="str">
            <v>EFLA</v>
          </cell>
          <cell r="M5092" t="str">
            <v>M</v>
          </cell>
          <cell r="AB5092" t="str">
            <v>serum</v>
          </cell>
          <cell r="AF5092">
            <v>0.2</v>
          </cell>
        </row>
        <row r="5093">
          <cell r="A5093" t="str">
            <v>IS_alqt_plus</v>
          </cell>
          <cell r="K5093" t="str">
            <v>EFLA</v>
          </cell>
          <cell r="M5093" t="str">
            <v>M</v>
          </cell>
          <cell r="AB5093" t="str">
            <v>serum</v>
          </cell>
          <cell r="AF5093">
            <v>0.2</v>
          </cell>
        </row>
        <row r="5094">
          <cell r="A5094" t="str">
            <v>IS_alqt_plus</v>
          </cell>
          <cell r="K5094" t="str">
            <v>EUL</v>
          </cell>
          <cell r="M5094" t="str">
            <v>M</v>
          </cell>
          <cell r="AB5094" t="str">
            <v>WB</v>
          </cell>
          <cell r="AF5094">
            <v>0.5</v>
          </cell>
        </row>
        <row r="5095">
          <cell r="A5095" t="str">
            <v>IS_alqt_plus</v>
          </cell>
          <cell r="K5095" t="str">
            <v>EFLA</v>
          </cell>
          <cell r="M5095" t="str">
            <v>M</v>
          </cell>
          <cell r="AB5095" t="str">
            <v>WB</v>
          </cell>
          <cell r="AF5095">
            <v>0.9</v>
          </cell>
        </row>
        <row r="5096">
          <cell r="A5096" t="str">
            <v>IS_alqt_plus</v>
          </cell>
          <cell r="K5096" t="str">
            <v>EALB</v>
          </cell>
          <cell r="M5096" t="str">
            <v>F</v>
          </cell>
          <cell r="AB5096" t="str">
            <v>WB</v>
          </cell>
          <cell r="AF5096">
            <v>0.8</v>
          </cell>
        </row>
        <row r="5097">
          <cell r="A5097" t="str">
            <v>IS_alqt_plus</v>
          </cell>
          <cell r="K5097" t="str">
            <v>EALB</v>
          </cell>
          <cell r="M5097" t="str">
            <v>F</v>
          </cell>
          <cell r="AB5097" t="str">
            <v>serum</v>
          </cell>
          <cell r="AF5097">
            <v>1.25</v>
          </cell>
        </row>
        <row r="5098">
          <cell r="A5098" t="str">
            <v>IS_alqt_minus</v>
          </cell>
          <cell r="K5098" t="str">
            <v>MMUR</v>
          </cell>
          <cell r="M5098" t="str">
            <v>F</v>
          </cell>
          <cell r="AB5098" t="str">
            <v>WB</v>
          </cell>
          <cell r="AF5098">
            <v>0.05</v>
          </cell>
        </row>
        <row r="5099">
          <cell r="A5099" t="str">
            <v>gone</v>
          </cell>
          <cell r="K5099" t="str">
            <v>MMUR</v>
          </cell>
          <cell r="M5099" t="str">
            <v>M</v>
          </cell>
          <cell r="AB5099" t="str">
            <v>WB</v>
          </cell>
          <cell r="AF5099">
            <v>0</v>
          </cell>
        </row>
        <row r="5100">
          <cell r="A5100" t="str">
            <v>gone</v>
          </cell>
          <cell r="K5100" t="str">
            <v>EMON</v>
          </cell>
          <cell r="M5100" t="str">
            <v>F</v>
          </cell>
          <cell r="AB5100" t="str">
            <v>WB</v>
          </cell>
          <cell r="AF5100">
            <v>0</v>
          </cell>
        </row>
        <row r="5101">
          <cell r="A5101" t="str">
            <v>IS_alqt_plus</v>
          </cell>
          <cell r="K5101" t="str">
            <v>DMAD</v>
          </cell>
          <cell r="M5101" t="str">
            <v>M</v>
          </cell>
          <cell r="AB5101" t="str">
            <v>Fluid- pleural</v>
          </cell>
          <cell r="AF5101">
            <v>1.5</v>
          </cell>
        </row>
        <row r="5102">
          <cell r="A5102" t="str">
            <v>IS_alqt_plus</v>
          </cell>
          <cell r="K5102" t="str">
            <v>DMAD</v>
          </cell>
          <cell r="M5102" t="str">
            <v>F</v>
          </cell>
          <cell r="AB5102" t="str">
            <v>Fluid- thoracic</v>
          </cell>
          <cell r="AF5102">
            <v>1.5</v>
          </cell>
        </row>
        <row r="5103">
          <cell r="A5103" t="str">
            <v>IS_alqt_plus</v>
          </cell>
          <cell r="K5103" t="str">
            <v>DMAD</v>
          </cell>
          <cell r="M5103" t="str">
            <v>F</v>
          </cell>
          <cell r="AB5103" t="str">
            <v>Fluid- thoracic</v>
          </cell>
          <cell r="AF5103">
            <v>1.5</v>
          </cell>
        </row>
        <row r="5104">
          <cell r="A5104" t="str">
            <v>IS_alqt_plus</v>
          </cell>
          <cell r="K5104" t="str">
            <v>DMAD</v>
          </cell>
          <cell r="M5104" t="str">
            <v>F</v>
          </cell>
          <cell r="AB5104" t="str">
            <v>Fluid- thoracic</v>
          </cell>
          <cell r="AF5104">
            <v>1.5</v>
          </cell>
        </row>
        <row r="5105">
          <cell r="A5105" t="str">
            <v>IS_alqt_plus</v>
          </cell>
          <cell r="K5105" t="str">
            <v>EMON</v>
          </cell>
          <cell r="M5105" t="str">
            <v>M</v>
          </cell>
          <cell r="AB5105" t="str">
            <v>WB</v>
          </cell>
          <cell r="AF5105">
            <v>1</v>
          </cell>
        </row>
        <row r="5106">
          <cell r="A5106" t="str">
            <v>IS_alqt_plus</v>
          </cell>
          <cell r="K5106" t="str">
            <v>VRUB</v>
          </cell>
          <cell r="M5106" t="str">
            <v>M</v>
          </cell>
          <cell r="AB5106" t="str">
            <v>WB</v>
          </cell>
          <cell r="AF5106">
            <v>0.4</v>
          </cell>
        </row>
        <row r="5107">
          <cell r="A5107" t="str">
            <v>IS_alqt_plus</v>
          </cell>
          <cell r="K5107" t="str">
            <v>VRUB</v>
          </cell>
          <cell r="M5107" t="str">
            <v>M</v>
          </cell>
          <cell r="AB5107" t="str">
            <v>serum</v>
          </cell>
          <cell r="AF5107">
            <v>1.2</v>
          </cell>
        </row>
        <row r="5108">
          <cell r="A5108" t="str">
            <v>IS_alqt_plus</v>
          </cell>
          <cell r="K5108" t="str">
            <v>EFLA</v>
          </cell>
          <cell r="M5108" t="str">
            <v>M</v>
          </cell>
          <cell r="AB5108" t="str">
            <v>serum</v>
          </cell>
          <cell r="AF5108">
            <v>0.2</v>
          </cell>
        </row>
        <row r="5109">
          <cell r="A5109" t="str">
            <v>IS_alqt_plus</v>
          </cell>
          <cell r="K5109" t="str">
            <v>EFLA</v>
          </cell>
          <cell r="M5109" t="str">
            <v>M</v>
          </cell>
          <cell r="AB5109" t="str">
            <v>serum</v>
          </cell>
          <cell r="AF5109">
            <v>0.2</v>
          </cell>
        </row>
        <row r="5110">
          <cell r="A5110" t="str">
            <v>IS_alqt_plus</v>
          </cell>
          <cell r="K5110" t="str">
            <v>EFLA</v>
          </cell>
          <cell r="M5110" t="str">
            <v>M</v>
          </cell>
          <cell r="AB5110" t="str">
            <v>serum</v>
          </cell>
          <cell r="AF5110">
            <v>0.2</v>
          </cell>
        </row>
        <row r="5111">
          <cell r="A5111" t="str">
            <v>IS_alqt_plus</v>
          </cell>
          <cell r="K5111" t="str">
            <v>EFLA</v>
          </cell>
          <cell r="M5111" t="str">
            <v>M</v>
          </cell>
          <cell r="AB5111" t="str">
            <v>serum</v>
          </cell>
          <cell r="AF5111">
            <v>0.3</v>
          </cell>
        </row>
        <row r="5112">
          <cell r="A5112" t="str">
            <v>IS_alqt_plus</v>
          </cell>
          <cell r="K5112" t="str">
            <v>EFLA</v>
          </cell>
          <cell r="M5112" t="str">
            <v>M</v>
          </cell>
          <cell r="AB5112" t="str">
            <v>WB</v>
          </cell>
          <cell r="AF5112">
            <v>0.9</v>
          </cell>
        </row>
        <row r="5113">
          <cell r="A5113" t="str">
            <v>IS_alqt_plus</v>
          </cell>
          <cell r="K5113" t="str">
            <v>EFLA</v>
          </cell>
          <cell r="M5113" t="str">
            <v>M</v>
          </cell>
          <cell r="AB5113" t="str">
            <v>WB</v>
          </cell>
          <cell r="AF5113">
            <v>0.5</v>
          </cell>
        </row>
        <row r="5114">
          <cell r="A5114" t="str">
            <v>IS_alqt_plus</v>
          </cell>
          <cell r="K5114" t="str">
            <v>LCAT</v>
          </cell>
          <cell r="M5114" t="str">
            <v>F</v>
          </cell>
          <cell r="AB5114" t="str">
            <v>WB</v>
          </cell>
          <cell r="AF5114">
            <v>1</v>
          </cell>
        </row>
        <row r="5115">
          <cell r="A5115" t="str">
            <v>IS_alqt_plus</v>
          </cell>
          <cell r="K5115" t="str">
            <v>EFLA</v>
          </cell>
          <cell r="M5115" t="str">
            <v>M</v>
          </cell>
          <cell r="AB5115" t="str">
            <v>serum</v>
          </cell>
          <cell r="AF5115">
            <v>0.2</v>
          </cell>
        </row>
        <row r="5116">
          <cell r="A5116" t="str">
            <v>IS_alqt_plus</v>
          </cell>
          <cell r="K5116" t="str">
            <v>EFLA</v>
          </cell>
          <cell r="M5116" t="str">
            <v>M</v>
          </cell>
          <cell r="AB5116" t="str">
            <v>serum</v>
          </cell>
          <cell r="AF5116">
            <v>0.2</v>
          </cell>
        </row>
        <row r="5117">
          <cell r="A5117" t="str">
            <v>IS_alqt_plus</v>
          </cell>
          <cell r="K5117" t="str">
            <v>EFLA</v>
          </cell>
          <cell r="M5117" t="str">
            <v>M</v>
          </cell>
          <cell r="AB5117" t="str">
            <v>serum</v>
          </cell>
          <cell r="AF5117">
            <v>0.2</v>
          </cell>
        </row>
        <row r="5118">
          <cell r="A5118" t="str">
            <v>IS_alqt_plus</v>
          </cell>
          <cell r="K5118" t="str">
            <v>EFLA</v>
          </cell>
          <cell r="M5118" t="str">
            <v>M</v>
          </cell>
          <cell r="AB5118" t="str">
            <v>serum</v>
          </cell>
          <cell r="AF5118">
            <v>0.2</v>
          </cell>
        </row>
        <row r="5119">
          <cell r="A5119" t="str">
            <v>IS_alqt_plus</v>
          </cell>
          <cell r="K5119" t="str">
            <v>PCOQ</v>
          </cell>
          <cell r="M5119" t="str">
            <v>M</v>
          </cell>
          <cell r="AB5119" t="str">
            <v>serum</v>
          </cell>
          <cell r="AF5119">
            <v>1.5</v>
          </cell>
        </row>
        <row r="5120">
          <cell r="A5120" t="str">
            <v>IS_alqt_plus</v>
          </cell>
          <cell r="K5120" t="str">
            <v>MMUR</v>
          </cell>
          <cell r="M5120" t="str">
            <v>F</v>
          </cell>
          <cell r="AB5120" t="str">
            <v>WB</v>
          </cell>
          <cell r="AF5120">
            <v>0.2</v>
          </cell>
        </row>
        <row r="5121">
          <cell r="A5121" t="str">
            <v>IS_alqt_minus</v>
          </cell>
          <cell r="K5121" t="str">
            <v>MMUR</v>
          </cell>
          <cell r="M5121" t="str">
            <v>F</v>
          </cell>
          <cell r="AB5121" t="str">
            <v>WB</v>
          </cell>
          <cell r="AF5121">
            <v>0.1</v>
          </cell>
        </row>
        <row r="5122">
          <cell r="A5122" t="str">
            <v>IS_alqt_minus</v>
          </cell>
          <cell r="K5122" t="str">
            <v>MMUR</v>
          </cell>
          <cell r="M5122" t="str">
            <v>F</v>
          </cell>
          <cell r="AB5122" t="str">
            <v>WB</v>
          </cell>
          <cell r="AF5122">
            <v>0.1</v>
          </cell>
        </row>
        <row r="5123">
          <cell r="A5123" t="str">
            <v>unk</v>
          </cell>
          <cell r="K5123" t="str">
            <v>MMUR</v>
          </cell>
          <cell r="M5123" t="str">
            <v>M</v>
          </cell>
          <cell r="AB5123" t="str">
            <v>WB</v>
          </cell>
          <cell r="AF5123">
            <v>0.1</v>
          </cell>
        </row>
        <row r="5124">
          <cell r="A5124" t="str">
            <v>IS_alqt_plus</v>
          </cell>
          <cell r="K5124" t="str">
            <v>LCAT</v>
          </cell>
          <cell r="M5124" t="str">
            <v>F</v>
          </cell>
          <cell r="AB5124" t="str">
            <v>WB</v>
          </cell>
          <cell r="AF5124">
            <v>0.75</v>
          </cell>
        </row>
        <row r="5125">
          <cell r="A5125" t="str">
            <v>IS_alqt_plus</v>
          </cell>
          <cell r="K5125" t="str">
            <v>LCAT</v>
          </cell>
          <cell r="M5125" t="str">
            <v>F</v>
          </cell>
          <cell r="AB5125" t="str">
            <v>WB</v>
          </cell>
          <cell r="AF5125">
            <v>0.75</v>
          </cell>
        </row>
        <row r="5126">
          <cell r="A5126" t="str">
            <v>unk</v>
          </cell>
          <cell r="K5126" t="str">
            <v>PCOQ</v>
          </cell>
          <cell r="M5126" t="str">
            <v>M</v>
          </cell>
          <cell r="AB5126" t="str">
            <v>serum</v>
          </cell>
          <cell r="AF5126">
            <v>0.25</v>
          </cell>
        </row>
        <row r="5127">
          <cell r="A5127" t="str">
            <v>IS_alqt_plus</v>
          </cell>
          <cell r="K5127" t="str">
            <v>PCOQ</v>
          </cell>
          <cell r="M5127" t="str">
            <v>M</v>
          </cell>
          <cell r="AB5127" t="str">
            <v>serum</v>
          </cell>
          <cell r="AF5127">
            <v>0.4</v>
          </cell>
        </row>
        <row r="5128">
          <cell r="A5128" t="str">
            <v>IS_alqt_plus</v>
          </cell>
          <cell r="K5128" t="str">
            <v>EMON</v>
          </cell>
          <cell r="M5128" t="str">
            <v>M</v>
          </cell>
          <cell r="AB5128" t="str">
            <v>WB</v>
          </cell>
          <cell r="AF5128">
            <v>1.5</v>
          </cell>
        </row>
        <row r="5129">
          <cell r="A5129" t="str">
            <v>IS_alqt_plus</v>
          </cell>
          <cell r="K5129" t="str">
            <v>EMON</v>
          </cell>
          <cell r="M5129" t="str">
            <v>M</v>
          </cell>
          <cell r="AB5129" t="str">
            <v>WB</v>
          </cell>
          <cell r="AF5129">
            <v>1.4</v>
          </cell>
        </row>
        <row r="5130">
          <cell r="A5130" t="str">
            <v>IS_alqt_plus</v>
          </cell>
          <cell r="K5130" t="str">
            <v>DMAD</v>
          </cell>
          <cell r="M5130" t="str">
            <v>F</v>
          </cell>
          <cell r="AB5130" t="str">
            <v>serum</v>
          </cell>
          <cell r="AF5130">
            <v>0.5</v>
          </cell>
        </row>
        <row r="5131">
          <cell r="A5131" t="str">
            <v>IS_alqt_plus</v>
          </cell>
          <cell r="K5131" t="str">
            <v>DMAD</v>
          </cell>
          <cell r="M5131" t="str">
            <v>F</v>
          </cell>
          <cell r="AB5131" t="str">
            <v>WB</v>
          </cell>
          <cell r="AF5131">
            <v>0.3</v>
          </cell>
        </row>
        <row r="5132">
          <cell r="A5132" t="str">
            <v>IS_alqt_plus</v>
          </cell>
          <cell r="K5132" t="str">
            <v>DMAD</v>
          </cell>
          <cell r="M5132" t="str">
            <v>M</v>
          </cell>
          <cell r="AB5132" t="str">
            <v>serum</v>
          </cell>
          <cell r="AF5132">
            <v>1.3</v>
          </cell>
        </row>
        <row r="5133">
          <cell r="A5133" t="str">
            <v>IS_alqt_plus</v>
          </cell>
          <cell r="K5133" t="str">
            <v>DMAD</v>
          </cell>
          <cell r="M5133" t="str">
            <v>M</v>
          </cell>
          <cell r="AB5133" t="str">
            <v>WB</v>
          </cell>
          <cell r="AF5133">
            <v>0.85</v>
          </cell>
        </row>
        <row r="5134">
          <cell r="A5134" t="str">
            <v>IS_alqt_minus</v>
          </cell>
          <cell r="K5134" t="str">
            <v>MMUR</v>
          </cell>
          <cell r="M5134" t="str">
            <v>F</v>
          </cell>
          <cell r="AB5134" t="str">
            <v>WB</v>
          </cell>
          <cell r="AF5134">
            <v>0.1</v>
          </cell>
        </row>
        <row r="5135">
          <cell r="A5135" t="str">
            <v>IS_alqt_plus</v>
          </cell>
          <cell r="K5135" t="str">
            <v>DMAD</v>
          </cell>
          <cell r="M5135" t="str">
            <v>F</v>
          </cell>
          <cell r="AB5135" t="str">
            <v>serum</v>
          </cell>
          <cell r="AF5135">
            <v>1.3</v>
          </cell>
        </row>
        <row r="5136">
          <cell r="A5136" t="str">
            <v>IS_alqt_plus</v>
          </cell>
          <cell r="K5136" t="str">
            <v>DMAD</v>
          </cell>
          <cell r="M5136" t="str">
            <v>F</v>
          </cell>
          <cell r="AB5136" t="str">
            <v>WB</v>
          </cell>
          <cell r="AF5136">
            <v>0.75</v>
          </cell>
        </row>
        <row r="5137">
          <cell r="A5137" t="str">
            <v>gone</v>
          </cell>
          <cell r="K5137" t="str">
            <v>ECOL</v>
          </cell>
          <cell r="M5137" t="str">
            <v>F</v>
          </cell>
          <cell r="AB5137" t="str">
            <v>serum</v>
          </cell>
          <cell r="AF5137">
            <v>0</v>
          </cell>
        </row>
        <row r="5138">
          <cell r="A5138" t="str">
            <v>gone</v>
          </cell>
          <cell r="K5138" t="str">
            <v>ECOL</v>
          </cell>
          <cell r="M5138" t="str">
            <v>M</v>
          </cell>
          <cell r="AB5138" t="str">
            <v>serum</v>
          </cell>
          <cell r="AF5138">
            <v>0</v>
          </cell>
        </row>
        <row r="5139">
          <cell r="A5139" t="str">
            <v>gone</v>
          </cell>
          <cell r="K5139" t="str">
            <v>ECOL</v>
          </cell>
          <cell r="M5139" t="str">
            <v>F</v>
          </cell>
          <cell r="AB5139" t="str">
            <v>WB</v>
          </cell>
          <cell r="AF5139">
            <v>0</v>
          </cell>
        </row>
        <row r="5140">
          <cell r="A5140" t="str">
            <v>gone</v>
          </cell>
          <cell r="K5140" t="str">
            <v>ECOL</v>
          </cell>
          <cell r="M5140" t="str">
            <v>M</v>
          </cell>
          <cell r="AB5140" t="str">
            <v>WB</v>
          </cell>
          <cell r="AF5140">
            <v>0</v>
          </cell>
        </row>
        <row r="5141">
          <cell r="A5141" t="str">
            <v>IS_alqt_plus</v>
          </cell>
          <cell r="K5141" t="str">
            <v>VVV</v>
          </cell>
          <cell r="M5141" t="str">
            <v>F</v>
          </cell>
          <cell r="AB5141" t="str">
            <v>WB</v>
          </cell>
          <cell r="AF5141">
            <v>0.5</v>
          </cell>
        </row>
        <row r="5142">
          <cell r="A5142" t="str">
            <v>IS_alqt_plus</v>
          </cell>
          <cell r="K5142" t="str">
            <v>VVV</v>
          </cell>
          <cell r="M5142" t="str">
            <v>F</v>
          </cell>
          <cell r="AB5142" t="str">
            <v>serum</v>
          </cell>
          <cell r="AF5142">
            <v>0.25</v>
          </cell>
        </row>
        <row r="5143">
          <cell r="A5143" t="str">
            <v>IS_alqt_plus</v>
          </cell>
          <cell r="K5143" t="str">
            <v>DMAD</v>
          </cell>
          <cell r="M5143" t="str">
            <v>M</v>
          </cell>
          <cell r="AB5143" t="str">
            <v>serum</v>
          </cell>
          <cell r="AF5143">
            <v>0.5</v>
          </cell>
        </row>
        <row r="5144">
          <cell r="A5144" t="str">
            <v>IS_alqt_plus</v>
          </cell>
          <cell r="K5144" t="str">
            <v>DMAD</v>
          </cell>
          <cell r="M5144" t="str">
            <v>M</v>
          </cell>
          <cell r="AB5144" t="str">
            <v>WB</v>
          </cell>
          <cell r="AF5144">
            <v>0.5</v>
          </cell>
        </row>
        <row r="5145">
          <cell r="A5145" t="str">
            <v>IS_alqt_minus</v>
          </cell>
          <cell r="K5145" t="str">
            <v>NCOU</v>
          </cell>
          <cell r="M5145" t="str">
            <v>F</v>
          </cell>
          <cell r="AB5145" t="str">
            <v>WB</v>
          </cell>
          <cell r="AF5145">
            <v>0.1</v>
          </cell>
        </row>
        <row r="5146">
          <cell r="A5146" t="str">
            <v>gone</v>
          </cell>
          <cell r="K5146" t="str">
            <v>NCOU</v>
          </cell>
          <cell r="M5146" t="str">
            <v>F</v>
          </cell>
          <cell r="AB5146" t="str">
            <v>WB</v>
          </cell>
          <cell r="AF5146">
            <v>0</v>
          </cell>
        </row>
        <row r="5147">
          <cell r="A5147" t="str">
            <v>IS_alqt_plus</v>
          </cell>
          <cell r="K5147" t="str">
            <v>ECOL</v>
          </cell>
          <cell r="M5147" t="str">
            <v>M</v>
          </cell>
          <cell r="AB5147" t="str">
            <v>serum</v>
          </cell>
          <cell r="AF5147">
            <v>1.5</v>
          </cell>
        </row>
        <row r="5148">
          <cell r="A5148" t="str">
            <v>IS_alqt_plus</v>
          </cell>
          <cell r="K5148" t="str">
            <v>ECOL</v>
          </cell>
          <cell r="M5148" t="str">
            <v>M</v>
          </cell>
          <cell r="AB5148" t="str">
            <v>WB</v>
          </cell>
          <cell r="AF5148">
            <v>1</v>
          </cell>
        </row>
        <row r="5149">
          <cell r="A5149" t="str">
            <v>IS_alqt_plus</v>
          </cell>
          <cell r="K5149" t="str">
            <v>LCAT</v>
          </cell>
          <cell r="M5149" t="str">
            <v>F</v>
          </cell>
          <cell r="AB5149" t="str">
            <v>WB</v>
          </cell>
          <cell r="AF5149">
            <v>0.2</v>
          </cell>
        </row>
        <row r="5150">
          <cell r="A5150" t="str">
            <v>IS_alqt_plus</v>
          </cell>
          <cell r="K5150" t="str">
            <v>PCOQ</v>
          </cell>
          <cell r="M5150" t="str">
            <v>F</v>
          </cell>
          <cell r="AB5150" t="str">
            <v>serum</v>
          </cell>
          <cell r="AF5150">
            <v>0.9</v>
          </cell>
        </row>
        <row r="5151">
          <cell r="A5151" t="str">
            <v>IS_alqt_plus</v>
          </cell>
          <cell r="K5151" t="str">
            <v>LCAT</v>
          </cell>
          <cell r="M5151" t="str">
            <v>F</v>
          </cell>
          <cell r="AB5151" t="str">
            <v>WB</v>
          </cell>
          <cell r="AF5151">
            <v>0.2</v>
          </cell>
        </row>
        <row r="5152">
          <cell r="A5152" t="str">
            <v>IS_alqt_plus</v>
          </cell>
          <cell r="K5152" t="str">
            <v>LCAT</v>
          </cell>
          <cell r="M5152" t="str">
            <v>F</v>
          </cell>
          <cell r="AB5152" t="str">
            <v>serum</v>
          </cell>
          <cell r="AF5152">
            <v>0.4</v>
          </cell>
        </row>
        <row r="5153">
          <cell r="A5153" t="str">
            <v>IS_alqt_plus</v>
          </cell>
          <cell r="K5153" t="str">
            <v>DMAD</v>
          </cell>
          <cell r="M5153" t="str">
            <v>F</v>
          </cell>
          <cell r="AB5153" t="str">
            <v>plasma</v>
          </cell>
          <cell r="AF5153">
            <v>1</v>
          </cell>
        </row>
        <row r="5154">
          <cell r="A5154" t="str">
            <v>IS_alqt_plus</v>
          </cell>
          <cell r="K5154" t="str">
            <v>LCAT</v>
          </cell>
          <cell r="M5154" t="str">
            <v>F</v>
          </cell>
          <cell r="AB5154" t="str">
            <v>WB</v>
          </cell>
          <cell r="AF5154">
            <v>0.2</v>
          </cell>
        </row>
        <row r="5155">
          <cell r="A5155" t="str">
            <v>gone</v>
          </cell>
          <cell r="K5155" t="str">
            <v>LCAT</v>
          </cell>
          <cell r="M5155" t="str">
            <v>F</v>
          </cell>
          <cell r="AB5155" t="str">
            <v>serum</v>
          </cell>
          <cell r="AF5155">
            <v>0</v>
          </cell>
        </row>
        <row r="5156">
          <cell r="A5156" t="str">
            <v>IS_alqt_plus</v>
          </cell>
          <cell r="K5156" t="str">
            <v>VRUB</v>
          </cell>
          <cell r="M5156" t="str">
            <v>M</v>
          </cell>
          <cell r="AB5156" t="str">
            <v>WB</v>
          </cell>
          <cell r="AF5156">
            <v>0.75</v>
          </cell>
        </row>
        <row r="5157">
          <cell r="A5157" t="str">
            <v>IS_alqt_plus</v>
          </cell>
          <cell r="K5157" t="str">
            <v>VRUB</v>
          </cell>
          <cell r="M5157" t="str">
            <v>M</v>
          </cell>
          <cell r="AB5157" t="str">
            <v>WB</v>
          </cell>
          <cell r="AF5157">
            <v>1</v>
          </cell>
        </row>
        <row r="5158">
          <cell r="A5158" t="str">
            <v>IS_alqt_plus</v>
          </cell>
          <cell r="K5158" t="str">
            <v>VRUB</v>
          </cell>
          <cell r="M5158" t="str">
            <v>M</v>
          </cell>
          <cell r="AB5158" t="str">
            <v>WB</v>
          </cell>
          <cell r="AF5158">
            <v>1</v>
          </cell>
        </row>
        <row r="5159">
          <cell r="A5159" t="str">
            <v>IS_alqt_plus</v>
          </cell>
          <cell r="K5159" t="str">
            <v>VRUB</v>
          </cell>
          <cell r="M5159" t="str">
            <v>M</v>
          </cell>
          <cell r="AB5159" t="str">
            <v>WB</v>
          </cell>
          <cell r="AF5159">
            <v>1</v>
          </cell>
        </row>
        <row r="5160">
          <cell r="A5160" t="str">
            <v>IS_alqt_plus</v>
          </cell>
          <cell r="K5160" t="str">
            <v>VRUB</v>
          </cell>
          <cell r="M5160" t="str">
            <v>M</v>
          </cell>
          <cell r="AB5160" t="str">
            <v>WB</v>
          </cell>
          <cell r="AF5160">
            <v>1.1000000000000001</v>
          </cell>
        </row>
        <row r="5161">
          <cell r="A5161" t="str">
            <v>IS_alqt_plus</v>
          </cell>
          <cell r="K5161" t="str">
            <v>VRUB</v>
          </cell>
          <cell r="M5161" t="str">
            <v>M</v>
          </cell>
          <cell r="AB5161" t="str">
            <v>WB</v>
          </cell>
          <cell r="AF5161">
            <v>1.1000000000000001</v>
          </cell>
        </row>
        <row r="5162">
          <cell r="A5162" t="str">
            <v>IS_alqt_plus</v>
          </cell>
          <cell r="K5162" t="str">
            <v>VRUB</v>
          </cell>
          <cell r="M5162" t="str">
            <v>M</v>
          </cell>
          <cell r="AB5162" t="str">
            <v>WB</v>
          </cell>
          <cell r="AF5162">
            <v>1.3</v>
          </cell>
        </row>
        <row r="5163">
          <cell r="A5163" t="str">
            <v>IS_alqt_plus</v>
          </cell>
          <cell r="K5163" t="str">
            <v>VRUB</v>
          </cell>
          <cell r="M5163" t="str">
            <v>M</v>
          </cell>
          <cell r="AB5163" t="str">
            <v>WB</v>
          </cell>
          <cell r="AF5163">
            <v>1</v>
          </cell>
        </row>
        <row r="5164">
          <cell r="A5164" t="str">
            <v>IS_alqt_plus</v>
          </cell>
          <cell r="K5164" t="str">
            <v>VRUB</v>
          </cell>
          <cell r="M5164" t="str">
            <v>M</v>
          </cell>
          <cell r="AB5164" t="str">
            <v>WB</v>
          </cell>
          <cell r="AF5164">
            <v>1</v>
          </cell>
        </row>
        <row r="5165">
          <cell r="A5165" t="str">
            <v>IS_alqt_plus</v>
          </cell>
          <cell r="K5165" t="str">
            <v>VRUB</v>
          </cell>
          <cell r="M5165" t="str">
            <v>M</v>
          </cell>
          <cell r="AB5165" t="str">
            <v>WB</v>
          </cell>
          <cell r="AF5165">
            <v>1.25</v>
          </cell>
        </row>
        <row r="5166">
          <cell r="A5166" t="str">
            <v>IS_alqt_plus</v>
          </cell>
          <cell r="K5166" t="str">
            <v>VRUB</v>
          </cell>
          <cell r="M5166" t="str">
            <v>M</v>
          </cell>
          <cell r="AB5166" t="str">
            <v>WB</v>
          </cell>
          <cell r="AF5166">
            <v>0.8</v>
          </cell>
        </row>
        <row r="5167">
          <cell r="A5167" t="str">
            <v>IS_alqt_plus</v>
          </cell>
          <cell r="K5167" t="str">
            <v>VRUB</v>
          </cell>
          <cell r="M5167" t="str">
            <v>M</v>
          </cell>
          <cell r="AB5167" t="str">
            <v>WB</v>
          </cell>
          <cell r="AF5167">
            <v>1.3</v>
          </cell>
        </row>
        <row r="5168">
          <cell r="A5168" t="str">
            <v>IS_alqt_plus</v>
          </cell>
          <cell r="K5168" t="str">
            <v>VRUB</v>
          </cell>
          <cell r="M5168" t="str">
            <v>M</v>
          </cell>
          <cell r="AB5168" t="str">
            <v>WB</v>
          </cell>
          <cell r="AF5168">
            <v>1</v>
          </cell>
        </row>
        <row r="5169">
          <cell r="A5169" t="str">
            <v>IS_alqt_plus</v>
          </cell>
          <cell r="K5169" t="str">
            <v>VRUB</v>
          </cell>
          <cell r="M5169" t="str">
            <v>M</v>
          </cell>
          <cell r="AB5169" t="str">
            <v>WB</v>
          </cell>
          <cell r="AF5169">
            <v>1.25</v>
          </cell>
        </row>
        <row r="5170">
          <cell r="A5170" t="str">
            <v>IS_alqt_plus</v>
          </cell>
          <cell r="K5170" t="str">
            <v>VRUB</v>
          </cell>
          <cell r="M5170" t="str">
            <v>M</v>
          </cell>
          <cell r="AB5170" t="str">
            <v>WB</v>
          </cell>
          <cell r="AF5170">
            <v>1.25</v>
          </cell>
        </row>
        <row r="5171">
          <cell r="A5171" t="str">
            <v>IS_alqt_plus</v>
          </cell>
          <cell r="K5171" t="str">
            <v>VRUB</v>
          </cell>
          <cell r="M5171" t="str">
            <v>M</v>
          </cell>
          <cell r="AB5171" t="str">
            <v>serum</v>
          </cell>
          <cell r="AF5171">
            <v>1.1000000000000001</v>
          </cell>
        </row>
        <row r="5172">
          <cell r="A5172" t="str">
            <v>IS_alqt_plus</v>
          </cell>
          <cell r="K5172" t="str">
            <v>VRUB</v>
          </cell>
          <cell r="M5172" t="str">
            <v>M</v>
          </cell>
          <cell r="AB5172" t="str">
            <v>serum</v>
          </cell>
          <cell r="AF5172">
            <v>1.1000000000000001</v>
          </cell>
        </row>
        <row r="5173">
          <cell r="A5173" t="str">
            <v>IS_alqt_plus</v>
          </cell>
          <cell r="K5173" t="str">
            <v>VRUB</v>
          </cell>
          <cell r="M5173" t="str">
            <v>M</v>
          </cell>
          <cell r="AB5173" t="str">
            <v>serum</v>
          </cell>
          <cell r="AF5173">
            <v>1</v>
          </cell>
        </row>
        <row r="5174">
          <cell r="A5174" t="str">
            <v>IS_alqt_plus</v>
          </cell>
          <cell r="K5174" t="str">
            <v>VRUB</v>
          </cell>
          <cell r="M5174" t="str">
            <v>M</v>
          </cell>
          <cell r="AB5174" t="str">
            <v>serum</v>
          </cell>
          <cell r="AF5174">
            <v>0.75</v>
          </cell>
        </row>
        <row r="5175">
          <cell r="A5175" t="str">
            <v>IS_alqt_plus</v>
          </cell>
          <cell r="K5175" t="str">
            <v>VRUB</v>
          </cell>
          <cell r="M5175" t="str">
            <v>M</v>
          </cell>
          <cell r="AB5175" t="str">
            <v>serum</v>
          </cell>
          <cell r="AF5175">
            <v>1</v>
          </cell>
        </row>
        <row r="5176">
          <cell r="A5176" t="str">
            <v>IS_alqt_plus</v>
          </cell>
          <cell r="K5176" t="str">
            <v>VRUB</v>
          </cell>
          <cell r="M5176" t="str">
            <v>M</v>
          </cell>
          <cell r="AB5176" t="str">
            <v>serum</v>
          </cell>
          <cell r="AF5176">
            <v>1</v>
          </cell>
        </row>
        <row r="5177">
          <cell r="A5177" t="str">
            <v>IS_alqt_plus</v>
          </cell>
          <cell r="K5177" t="str">
            <v>VRUB</v>
          </cell>
          <cell r="M5177" t="str">
            <v>M</v>
          </cell>
          <cell r="AB5177" t="str">
            <v>serum</v>
          </cell>
          <cell r="AF5177">
            <v>1</v>
          </cell>
        </row>
        <row r="5178">
          <cell r="A5178" t="str">
            <v>IS_alqt_plus</v>
          </cell>
          <cell r="K5178" t="str">
            <v>VRUB</v>
          </cell>
          <cell r="M5178" t="str">
            <v>M</v>
          </cell>
          <cell r="AB5178" t="str">
            <v>serum</v>
          </cell>
          <cell r="AF5178">
            <v>1</v>
          </cell>
        </row>
        <row r="5179">
          <cell r="A5179" t="str">
            <v>IS_alqt_plus</v>
          </cell>
          <cell r="K5179" t="str">
            <v>VRUB</v>
          </cell>
          <cell r="M5179" t="str">
            <v>M</v>
          </cell>
          <cell r="AB5179" t="str">
            <v>serum</v>
          </cell>
          <cell r="AF5179">
            <v>1</v>
          </cell>
        </row>
        <row r="5180">
          <cell r="A5180" t="str">
            <v>IS_alqt_minus</v>
          </cell>
          <cell r="K5180" t="str">
            <v>VRUB</v>
          </cell>
          <cell r="M5180" t="str">
            <v>M</v>
          </cell>
          <cell r="AB5180" t="str">
            <v>serum</v>
          </cell>
          <cell r="AF5180">
            <v>0.05</v>
          </cell>
        </row>
        <row r="5181">
          <cell r="A5181" t="str">
            <v>IS_alqt_plus</v>
          </cell>
          <cell r="K5181" t="str">
            <v>VRUB</v>
          </cell>
          <cell r="M5181" t="str">
            <v>M</v>
          </cell>
          <cell r="AB5181" t="str">
            <v>serum</v>
          </cell>
          <cell r="AF5181">
            <v>1</v>
          </cell>
        </row>
        <row r="5182">
          <cell r="A5182" t="str">
            <v>IS_alqt_plus</v>
          </cell>
          <cell r="K5182" t="str">
            <v>VRUB</v>
          </cell>
          <cell r="M5182" t="str">
            <v>M</v>
          </cell>
          <cell r="AB5182" t="str">
            <v>serum</v>
          </cell>
          <cell r="AF5182">
            <v>1.1000000000000001</v>
          </cell>
        </row>
        <row r="5183">
          <cell r="A5183" t="str">
            <v>IS_alqt_plus</v>
          </cell>
          <cell r="K5183" t="str">
            <v>VRUB</v>
          </cell>
          <cell r="M5183" t="str">
            <v>M</v>
          </cell>
          <cell r="AB5183" t="str">
            <v>serum</v>
          </cell>
          <cell r="AF5183">
            <v>1</v>
          </cell>
        </row>
        <row r="5184">
          <cell r="A5184" t="str">
            <v>IS_alqt_plus</v>
          </cell>
          <cell r="K5184" t="str">
            <v>VRUB</v>
          </cell>
          <cell r="M5184" t="str">
            <v>M</v>
          </cell>
          <cell r="AB5184" t="str">
            <v>serum</v>
          </cell>
          <cell r="AF5184">
            <v>1.2</v>
          </cell>
        </row>
        <row r="5185">
          <cell r="A5185" t="str">
            <v>IS_alqt_plus</v>
          </cell>
          <cell r="K5185" t="str">
            <v>VRUB</v>
          </cell>
          <cell r="M5185" t="str">
            <v>M</v>
          </cell>
          <cell r="AB5185" t="str">
            <v>serum</v>
          </cell>
          <cell r="AF5185">
            <v>1.2</v>
          </cell>
        </row>
        <row r="5186">
          <cell r="A5186" t="str">
            <v>IS_alqt_plus</v>
          </cell>
          <cell r="K5186" t="str">
            <v>VRUB</v>
          </cell>
          <cell r="M5186" t="str">
            <v>M</v>
          </cell>
          <cell r="AB5186" t="str">
            <v>serum</v>
          </cell>
          <cell r="AF5186">
            <v>1.1000000000000001</v>
          </cell>
        </row>
        <row r="5187">
          <cell r="A5187" t="str">
            <v>IS_alqt_plus</v>
          </cell>
          <cell r="K5187" t="str">
            <v>VRUB</v>
          </cell>
          <cell r="M5187" t="str">
            <v>M</v>
          </cell>
          <cell r="AB5187" t="str">
            <v>serum</v>
          </cell>
          <cell r="AF5187">
            <v>1</v>
          </cell>
        </row>
        <row r="5188">
          <cell r="A5188" t="str">
            <v>IS_alqt_plus</v>
          </cell>
          <cell r="K5188" t="str">
            <v>VRUB</v>
          </cell>
          <cell r="M5188" t="str">
            <v>M</v>
          </cell>
          <cell r="AB5188" t="str">
            <v>serum</v>
          </cell>
          <cell r="AF5188">
            <v>1.2</v>
          </cell>
        </row>
        <row r="5189">
          <cell r="A5189" t="str">
            <v>IS_alqt_plus</v>
          </cell>
          <cell r="K5189" t="str">
            <v>VRUB</v>
          </cell>
          <cell r="M5189" t="str">
            <v>M</v>
          </cell>
          <cell r="AB5189" t="str">
            <v>serum</v>
          </cell>
          <cell r="AF5189">
            <v>1.1000000000000001</v>
          </cell>
        </row>
        <row r="5190">
          <cell r="A5190" t="str">
            <v>IS_alqt_plus</v>
          </cell>
          <cell r="K5190" t="str">
            <v>VRUB</v>
          </cell>
          <cell r="M5190" t="str">
            <v>M</v>
          </cell>
          <cell r="AB5190" t="str">
            <v>serum</v>
          </cell>
          <cell r="AF5190">
            <v>1.2</v>
          </cell>
        </row>
        <row r="5191">
          <cell r="A5191" t="str">
            <v>IS_alqt_plus</v>
          </cell>
          <cell r="K5191" t="str">
            <v>VRUB</v>
          </cell>
          <cell r="M5191" t="str">
            <v>M</v>
          </cell>
          <cell r="AB5191" t="str">
            <v>serum</v>
          </cell>
          <cell r="AF5191">
            <v>1.1000000000000001</v>
          </cell>
        </row>
        <row r="5192">
          <cell r="A5192" t="str">
            <v>IS_alqt_plus</v>
          </cell>
          <cell r="K5192" t="str">
            <v>CMED</v>
          </cell>
          <cell r="M5192" t="str">
            <v>F</v>
          </cell>
          <cell r="AB5192" t="str">
            <v>WB</v>
          </cell>
          <cell r="AF5192">
            <v>0.4</v>
          </cell>
        </row>
        <row r="5193">
          <cell r="A5193" t="str">
            <v>unk</v>
          </cell>
          <cell r="K5193" t="str">
            <v>LCAT</v>
          </cell>
          <cell r="M5193" t="str">
            <v>F</v>
          </cell>
          <cell r="AB5193" t="str">
            <v>WB</v>
          </cell>
          <cell r="AF5193">
            <v>0.5</v>
          </cell>
        </row>
        <row r="5194">
          <cell r="A5194" t="str">
            <v>IS_alqt_plus</v>
          </cell>
          <cell r="K5194" t="str">
            <v>LCAT</v>
          </cell>
          <cell r="M5194" t="str">
            <v>F</v>
          </cell>
          <cell r="AB5194" t="str">
            <v>WB</v>
          </cell>
          <cell r="AF5194">
            <v>0.2</v>
          </cell>
        </row>
        <row r="5195">
          <cell r="A5195" t="str">
            <v>IS_alqt_plus</v>
          </cell>
          <cell r="K5195" t="str">
            <v>LCAT</v>
          </cell>
          <cell r="M5195" t="str">
            <v>F</v>
          </cell>
          <cell r="AB5195" t="str">
            <v>WB</v>
          </cell>
          <cell r="AF5195">
            <v>0.2</v>
          </cell>
        </row>
        <row r="5196">
          <cell r="A5196" t="str">
            <v>IS_alqt_plus</v>
          </cell>
          <cell r="K5196" t="str">
            <v>LCAT</v>
          </cell>
          <cell r="M5196" t="str">
            <v>F</v>
          </cell>
          <cell r="AB5196" t="str">
            <v>WB</v>
          </cell>
          <cell r="AF5196">
            <v>1</v>
          </cell>
        </row>
        <row r="5197">
          <cell r="A5197" t="str">
            <v>gone</v>
          </cell>
          <cell r="K5197" t="str">
            <v>EMON</v>
          </cell>
          <cell r="M5197" t="str">
            <v>F</v>
          </cell>
          <cell r="AB5197" t="str">
            <v>WB</v>
          </cell>
          <cell r="AF5197">
            <v>0</v>
          </cell>
        </row>
        <row r="5198">
          <cell r="A5198" t="str">
            <v>IS_alqt_plus</v>
          </cell>
          <cell r="K5198" t="str">
            <v>LCAT</v>
          </cell>
          <cell r="M5198" t="str">
            <v>M</v>
          </cell>
          <cell r="AB5198" t="str">
            <v>WB</v>
          </cell>
          <cell r="AF5198">
            <v>0.75</v>
          </cell>
        </row>
        <row r="5199">
          <cell r="A5199" t="str">
            <v>IS_alqt_plus</v>
          </cell>
          <cell r="K5199" t="str">
            <v>VRUB</v>
          </cell>
          <cell r="M5199" t="str">
            <v>F</v>
          </cell>
          <cell r="AB5199" t="str">
            <v>serum</v>
          </cell>
          <cell r="AF5199">
            <v>1</v>
          </cell>
        </row>
        <row r="5200">
          <cell r="A5200" t="str">
            <v>IS_alqt_plus</v>
          </cell>
          <cell r="K5200" t="str">
            <v>DMAD</v>
          </cell>
          <cell r="M5200" t="str">
            <v>M</v>
          </cell>
          <cell r="AB5200" t="str">
            <v>serum</v>
          </cell>
          <cell r="AF5200">
            <v>0.5</v>
          </cell>
        </row>
        <row r="5201">
          <cell r="A5201" t="str">
            <v>IS_alqt_plus</v>
          </cell>
          <cell r="K5201" t="str">
            <v>DMAD</v>
          </cell>
          <cell r="M5201" t="str">
            <v>M</v>
          </cell>
          <cell r="AB5201" t="str">
            <v>WB</v>
          </cell>
          <cell r="AF5201">
            <v>0.4</v>
          </cell>
        </row>
        <row r="5202">
          <cell r="A5202" t="str">
            <v>gone</v>
          </cell>
          <cell r="K5202" t="str">
            <v>HGG</v>
          </cell>
          <cell r="M5202" t="str">
            <v>M</v>
          </cell>
          <cell r="AB5202" t="str">
            <v>WB</v>
          </cell>
          <cell r="AF5202">
            <v>0</v>
          </cell>
        </row>
        <row r="5203">
          <cell r="A5203" t="str">
            <v>IS_alqt_plus</v>
          </cell>
          <cell r="K5203" t="str">
            <v>LCAT</v>
          </cell>
          <cell r="M5203" t="str">
            <v>M</v>
          </cell>
          <cell r="AB5203" t="str">
            <v>WB</v>
          </cell>
          <cell r="AF5203">
            <v>1</v>
          </cell>
        </row>
        <row r="5204">
          <cell r="A5204" t="str">
            <v>IS_alqt_plus</v>
          </cell>
          <cell r="K5204" t="str">
            <v>LCAT</v>
          </cell>
          <cell r="M5204" t="str">
            <v>F</v>
          </cell>
          <cell r="AB5204" t="str">
            <v>WB</v>
          </cell>
          <cell r="AF5204">
            <v>0.2</v>
          </cell>
        </row>
        <row r="5205">
          <cell r="A5205" t="str">
            <v>unk</v>
          </cell>
          <cell r="K5205" t="str">
            <v>LCAT</v>
          </cell>
          <cell r="M5205" t="str">
            <v>F</v>
          </cell>
          <cell r="AB5205" t="str">
            <v>WB</v>
          </cell>
          <cell r="AF5205">
            <v>0.2</v>
          </cell>
        </row>
        <row r="5206">
          <cell r="A5206" t="str">
            <v>IS_alqt_plus</v>
          </cell>
          <cell r="K5206" t="str">
            <v>VRUB</v>
          </cell>
          <cell r="M5206" t="str">
            <v>F</v>
          </cell>
          <cell r="AB5206" t="str">
            <v>WB</v>
          </cell>
          <cell r="AF5206">
            <v>1</v>
          </cell>
        </row>
        <row r="5207">
          <cell r="A5207" t="str">
            <v>unk</v>
          </cell>
          <cell r="K5207" t="str">
            <v>LCAT</v>
          </cell>
          <cell r="M5207" t="str">
            <v>F</v>
          </cell>
          <cell r="AB5207" t="str">
            <v>WB</v>
          </cell>
          <cell r="AF5207">
            <v>0.2</v>
          </cell>
        </row>
        <row r="5208">
          <cell r="A5208" t="str">
            <v>IS_alqt_plus</v>
          </cell>
          <cell r="K5208" t="str">
            <v>LCAT</v>
          </cell>
          <cell r="M5208" t="str">
            <v>F</v>
          </cell>
          <cell r="AB5208" t="str">
            <v>serum</v>
          </cell>
          <cell r="AF5208">
            <v>1</v>
          </cell>
        </row>
        <row r="5209">
          <cell r="A5209" t="str">
            <v>unk</v>
          </cell>
          <cell r="K5209" t="str">
            <v>LCAT</v>
          </cell>
          <cell r="M5209" t="str">
            <v>F</v>
          </cell>
          <cell r="AB5209" t="str">
            <v>WB</v>
          </cell>
          <cell r="AF5209">
            <v>0.2</v>
          </cell>
        </row>
        <row r="5210">
          <cell r="A5210" t="str">
            <v>unk</v>
          </cell>
          <cell r="K5210" t="str">
            <v>LCAT</v>
          </cell>
          <cell r="M5210" t="str">
            <v>F</v>
          </cell>
          <cell r="AB5210" t="str">
            <v>WB</v>
          </cell>
          <cell r="AF5210">
            <v>0.2</v>
          </cell>
        </row>
        <row r="5211">
          <cell r="A5211" t="str">
            <v>IS_alqt_plus</v>
          </cell>
          <cell r="K5211" t="str">
            <v>LCAT</v>
          </cell>
          <cell r="M5211" t="str">
            <v>F</v>
          </cell>
          <cell r="AB5211" t="str">
            <v>WB</v>
          </cell>
          <cell r="AF5211">
            <v>1</v>
          </cell>
        </row>
        <row r="5212">
          <cell r="A5212" t="str">
            <v>IS_alqt_plus</v>
          </cell>
          <cell r="K5212" t="str">
            <v>LCAT</v>
          </cell>
          <cell r="M5212" t="str">
            <v>F</v>
          </cell>
          <cell r="AB5212" t="str">
            <v>serum</v>
          </cell>
          <cell r="AF5212">
            <v>0.2</v>
          </cell>
        </row>
        <row r="5213">
          <cell r="A5213" t="str">
            <v>IS_alqt_plus</v>
          </cell>
          <cell r="K5213" t="str">
            <v>ERUB</v>
          </cell>
          <cell r="M5213" t="str">
            <v>M</v>
          </cell>
          <cell r="AB5213" t="str">
            <v>WB</v>
          </cell>
          <cell r="AF5213">
            <v>0.25</v>
          </cell>
        </row>
        <row r="5214">
          <cell r="A5214" t="str">
            <v>IS_alqt_plus</v>
          </cell>
          <cell r="K5214" t="str">
            <v>ERUB</v>
          </cell>
          <cell r="M5214" t="str">
            <v>M</v>
          </cell>
          <cell r="AB5214" t="str">
            <v>serum</v>
          </cell>
          <cell r="AF5214">
            <v>0.6</v>
          </cell>
        </row>
        <row r="5215">
          <cell r="A5215" t="str">
            <v>gone</v>
          </cell>
          <cell r="K5215" t="str">
            <v>LCAT</v>
          </cell>
          <cell r="M5215" t="str">
            <v>M</v>
          </cell>
          <cell r="AB5215" t="str">
            <v>WB</v>
          </cell>
          <cell r="AF5215">
            <v>0</v>
          </cell>
        </row>
        <row r="5216">
          <cell r="A5216" t="str">
            <v>IS_alqt_plus</v>
          </cell>
          <cell r="K5216" t="str">
            <v>LCAT</v>
          </cell>
          <cell r="M5216" t="str">
            <v>M</v>
          </cell>
          <cell r="AB5216" t="str">
            <v>WB</v>
          </cell>
          <cell r="AF5216">
            <v>1</v>
          </cell>
        </row>
        <row r="5217">
          <cell r="A5217" t="str">
            <v>IS_alqt_plus</v>
          </cell>
          <cell r="K5217" t="str">
            <v>LCAT</v>
          </cell>
          <cell r="M5217" t="str">
            <v>F</v>
          </cell>
          <cell r="AB5217" t="str">
            <v>WB</v>
          </cell>
          <cell r="AF5217">
            <v>1</v>
          </cell>
        </row>
        <row r="5218">
          <cell r="A5218" t="str">
            <v>IS_alqt_plus</v>
          </cell>
          <cell r="K5218" t="str">
            <v>PCOQ</v>
          </cell>
          <cell r="M5218" t="str">
            <v>F</v>
          </cell>
          <cell r="AB5218" t="str">
            <v>serum</v>
          </cell>
          <cell r="AF5218">
            <v>1.3</v>
          </cell>
        </row>
        <row r="5219">
          <cell r="A5219" t="str">
            <v>IS_alqt_plus</v>
          </cell>
          <cell r="K5219" t="str">
            <v>PCOQ</v>
          </cell>
          <cell r="M5219" t="str">
            <v>M</v>
          </cell>
          <cell r="AB5219" t="str">
            <v>serum</v>
          </cell>
          <cell r="AF5219">
            <v>1</v>
          </cell>
        </row>
        <row r="5220">
          <cell r="A5220" t="str">
            <v>IS_alqt_plus</v>
          </cell>
          <cell r="K5220" t="str">
            <v>PCOQ</v>
          </cell>
          <cell r="M5220" t="str">
            <v>M</v>
          </cell>
          <cell r="AB5220" t="str">
            <v>serum</v>
          </cell>
          <cell r="AF5220">
            <v>1.4</v>
          </cell>
        </row>
        <row r="5221">
          <cell r="A5221" t="str">
            <v>IS_alqt_plus</v>
          </cell>
          <cell r="K5221" t="str">
            <v>LCAT</v>
          </cell>
          <cell r="M5221" t="str">
            <v>M</v>
          </cell>
          <cell r="AB5221" t="str">
            <v>WB</v>
          </cell>
          <cell r="AF5221">
            <v>0.7</v>
          </cell>
        </row>
        <row r="5222">
          <cell r="A5222" t="str">
            <v>IS_alqt_plus</v>
          </cell>
          <cell r="K5222" t="str">
            <v>LCAT</v>
          </cell>
          <cell r="M5222" t="str">
            <v>M</v>
          </cell>
          <cell r="AB5222" t="str">
            <v>serum</v>
          </cell>
          <cell r="AF5222">
            <v>0.4</v>
          </cell>
        </row>
        <row r="5223">
          <cell r="A5223" t="str">
            <v>unk</v>
          </cell>
          <cell r="K5223" t="str">
            <v>MMUR</v>
          </cell>
          <cell r="M5223" t="str">
            <v>M</v>
          </cell>
          <cell r="AB5223" t="str">
            <v>WB</v>
          </cell>
          <cell r="AF5223">
            <v>0.2</v>
          </cell>
        </row>
        <row r="5224">
          <cell r="A5224" t="str">
            <v>IS_alqt_plus</v>
          </cell>
          <cell r="K5224" t="str">
            <v>MMUR</v>
          </cell>
          <cell r="M5224" t="str">
            <v>M</v>
          </cell>
          <cell r="AB5224" t="str">
            <v>WB</v>
          </cell>
          <cell r="AF5224">
            <v>0.3</v>
          </cell>
        </row>
        <row r="5225">
          <cell r="A5225" t="str">
            <v>IS_alqt_plus</v>
          </cell>
          <cell r="K5225" t="str">
            <v>VVV</v>
          </cell>
          <cell r="M5225" t="str">
            <v>M</v>
          </cell>
          <cell r="AB5225" t="str">
            <v>WB</v>
          </cell>
          <cell r="AF5225">
            <v>0.5</v>
          </cell>
        </row>
        <row r="5226">
          <cell r="A5226" t="str">
            <v>IS_alqt_plus</v>
          </cell>
          <cell r="K5226" t="str">
            <v>VVV</v>
          </cell>
          <cell r="M5226" t="str">
            <v>M</v>
          </cell>
          <cell r="AB5226" t="str">
            <v>WB</v>
          </cell>
          <cell r="AF5226">
            <v>0.5</v>
          </cell>
        </row>
        <row r="5227">
          <cell r="A5227" t="str">
            <v>gone</v>
          </cell>
          <cell r="K5227" t="str">
            <v>VVV</v>
          </cell>
          <cell r="M5227" t="str">
            <v>M</v>
          </cell>
          <cell r="AB5227" t="str">
            <v>WB</v>
          </cell>
          <cell r="AF5227">
            <v>0</v>
          </cell>
        </row>
        <row r="5228">
          <cell r="A5228" t="str">
            <v>IS_alqt_plus</v>
          </cell>
          <cell r="K5228" t="str">
            <v>VVV</v>
          </cell>
          <cell r="M5228" t="str">
            <v>M</v>
          </cell>
          <cell r="AB5228" t="str">
            <v>WB</v>
          </cell>
          <cell r="AF5228">
            <v>0.75</v>
          </cell>
        </row>
        <row r="5229">
          <cell r="A5229" t="str">
            <v>IS_alqt_plus</v>
          </cell>
          <cell r="K5229" t="str">
            <v>VVV</v>
          </cell>
          <cell r="M5229" t="str">
            <v>M</v>
          </cell>
          <cell r="AB5229" t="str">
            <v>WB</v>
          </cell>
          <cell r="AF5229">
            <v>0.5</v>
          </cell>
        </row>
        <row r="5230">
          <cell r="A5230" t="str">
            <v>IS_alqt_plus</v>
          </cell>
          <cell r="K5230" t="str">
            <v>VVV</v>
          </cell>
          <cell r="M5230" t="str">
            <v>M</v>
          </cell>
          <cell r="AB5230" t="str">
            <v>WB</v>
          </cell>
          <cell r="AF5230">
            <v>0.8</v>
          </cell>
        </row>
        <row r="5231">
          <cell r="A5231" t="str">
            <v>IS_alqt_plus</v>
          </cell>
          <cell r="K5231" t="str">
            <v>VVV</v>
          </cell>
          <cell r="M5231" t="str">
            <v>M</v>
          </cell>
          <cell r="AB5231" t="str">
            <v>WB</v>
          </cell>
          <cell r="AF5231">
            <v>0.5</v>
          </cell>
        </row>
        <row r="5232">
          <cell r="A5232" t="str">
            <v>IS_alqt_plus</v>
          </cell>
          <cell r="K5232" t="str">
            <v>VVV</v>
          </cell>
          <cell r="M5232" t="str">
            <v>M</v>
          </cell>
          <cell r="AB5232" t="str">
            <v>serum</v>
          </cell>
          <cell r="AF5232">
            <v>0.5</v>
          </cell>
        </row>
        <row r="5233">
          <cell r="A5233" t="str">
            <v>IS_alqt_plus</v>
          </cell>
          <cell r="K5233" t="str">
            <v>VVV</v>
          </cell>
          <cell r="M5233" t="str">
            <v>M</v>
          </cell>
          <cell r="AB5233" t="str">
            <v>serum</v>
          </cell>
          <cell r="AF5233">
            <v>0.5</v>
          </cell>
        </row>
        <row r="5234">
          <cell r="A5234" t="str">
            <v>IS_alqt_plus</v>
          </cell>
          <cell r="K5234" t="str">
            <v>VVV</v>
          </cell>
          <cell r="M5234" t="str">
            <v>M</v>
          </cell>
          <cell r="AB5234" t="str">
            <v>serum</v>
          </cell>
          <cell r="AF5234">
            <v>0.5</v>
          </cell>
        </row>
        <row r="5235">
          <cell r="A5235" t="str">
            <v>IS_alqt_plus</v>
          </cell>
          <cell r="K5235" t="str">
            <v>LCAT</v>
          </cell>
          <cell r="M5235" t="str">
            <v>M</v>
          </cell>
          <cell r="AB5235" t="str">
            <v>WB</v>
          </cell>
          <cell r="AF5235">
            <v>0.75</v>
          </cell>
        </row>
        <row r="5236">
          <cell r="A5236" t="str">
            <v>IS_alqt_plus</v>
          </cell>
          <cell r="K5236" t="str">
            <v>LCAT</v>
          </cell>
          <cell r="M5236" t="str">
            <v>M</v>
          </cell>
          <cell r="AB5236" t="str">
            <v>serum</v>
          </cell>
          <cell r="AF5236">
            <v>0.2</v>
          </cell>
        </row>
        <row r="5237">
          <cell r="A5237" t="str">
            <v>unk</v>
          </cell>
          <cell r="K5237" t="str">
            <v>VVV</v>
          </cell>
          <cell r="M5237" t="str">
            <v>F</v>
          </cell>
          <cell r="AB5237" t="str">
            <v>WB</v>
          </cell>
          <cell r="AF5237">
            <v>5</v>
          </cell>
        </row>
        <row r="5238">
          <cell r="A5238" t="str">
            <v>IS_alqt_plus</v>
          </cell>
          <cell r="K5238" t="str">
            <v>VVV</v>
          </cell>
          <cell r="M5238" t="str">
            <v>F</v>
          </cell>
          <cell r="AB5238" t="str">
            <v>serum</v>
          </cell>
          <cell r="AF5238">
            <v>1</v>
          </cell>
        </row>
        <row r="5239">
          <cell r="A5239" t="str">
            <v>IS_alqt_plus</v>
          </cell>
          <cell r="K5239" t="str">
            <v>LCAT</v>
          </cell>
          <cell r="M5239" t="str">
            <v>M</v>
          </cell>
          <cell r="AB5239" t="str">
            <v>WB</v>
          </cell>
          <cell r="AF5239">
            <v>0.6</v>
          </cell>
        </row>
        <row r="5240">
          <cell r="A5240" t="str">
            <v>IS_alqt_plus</v>
          </cell>
          <cell r="K5240" t="str">
            <v>LCAT</v>
          </cell>
          <cell r="M5240" t="str">
            <v>F</v>
          </cell>
          <cell r="AB5240" t="str">
            <v>WB</v>
          </cell>
          <cell r="AF5240">
            <v>0.8</v>
          </cell>
        </row>
        <row r="5241">
          <cell r="A5241" t="str">
            <v>IS_alqt_plus</v>
          </cell>
          <cell r="K5241" t="str">
            <v>LCAT</v>
          </cell>
          <cell r="M5241" t="str">
            <v>F</v>
          </cell>
          <cell r="AB5241" t="str">
            <v>serum</v>
          </cell>
          <cell r="AF5241">
            <v>0.7</v>
          </cell>
        </row>
        <row r="5242">
          <cell r="A5242" t="str">
            <v>IS_alqt_plus</v>
          </cell>
          <cell r="K5242" t="str">
            <v>LCAT</v>
          </cell>
          <cell r="M5242" t="str">
            <v>M</v>
          </cell>
          <cell r="AB5242" t="str">
            <v>serum</v>
          </cell>
          <cell r="AF5242">
            <v>0.4</v>
          </cell>
        </row>
        <row r="5243">
          <cell r="A5243" t="str">
            <v>IS_alqt_plus</v>
          </cell>
          <cell r="K5243" t="str">
            <v>LCAT</v>
          </cell>
          <cell r="M5243" t="str">
            <v>M</v>
          </cell>
          <cell r="AB5243" t="str">
            <v>serum</v>
          </cell>
          <cell r="AF5243">
            <v>1</v>
          </cell>
        </row>
        <row r="5244">
          <cell r="A5244" t="str">
            <v>IS_alqt_plus</v>
          </cell>
          <cell r="K5244" t="str">
            <v>LCAT</v>
          </cell>
          <cell r="M5244" t="str">
            <v>M</v>
          </cell>
          <cell r="AB5244" t="str">
            <v>serum</v>
          </cell>
          <cell r="AF5244">
            <v>0.6</v>
          </cell>
        </row>
        <row r="5245">
          <cell r="A5245" t="str">
            <v>IS_alqt_plus</v>
          </cell>
          <cell r="K5245" t="str">
            <v>LCAT</v>
          </cell>
          <cell r="M5245" t="str">
            <v>M</v>
          </cell>
          <cell r="AB5245" t="str">
            <v>serum</v>
          </cell>
          <cell r="AF5245">
            <v>1</v>
          </cell>
        </row>
        <row r="5246">
          <cell r="A5246" t="str">
            <v>IS_alqt_plus</v>
          </cell>
          <cell r="K5246" t="str">
            <v>LCAT</v>
          </cell>
          <cell r="M5246" t="str">
            <v>F</v>
          </cell>
          <cell r="AB5246" t="str">
            <v>WB</v>
          </cell>
          <cell r="AF5246">
            <v>1</v>
          </cell>
        </row>
        <row r="5247">
          <cell r="A5247" t="str">
            <v>IS_alqt_plus</v>
          </cell>
          <cell r="K5247" t="str">
            <v>LCAT</v>
          </cell>
          <cell r="M5247" t="str">
            <v>M</v>
          </cell>
          <cell r="AB5247" t="str">
            <v>WB</v>
          </cell>
          <cell r="AF5247">
            <v>0.7</v>
          </cell>
        </row>
        <row r="5248">
          <cell r="A5248" t="str">
            <v>IS_alqt_plus</v>
          </cell>
          <cell r="K5248" t="str">
            <v>LCAT</v>
          </cell>
          <cell r="M5248" t="str">
            <v>M</v>
          </cell>
          <cell r="AB5248" t="str">
            <v>serum</v>
          </cell>
          <cell r="AF5248">
            <v>1.4</v>
          </cell>
        </row>
        <row r="5249">
          <cell r="A5249" t="str">
            <v>IS_alqt_plus</v>
          </cell>
          <cell r="K5249" t="str">
            <v>LCAT</v>
          </cell>
          <cell r="M5249" t="str">
            <v>F</v>
          </cell>
          <cell r="AB5249" t="str">
            <v>serum</v>
          </cell>
          <cell r="AF5249">
            <v>1.2</v>
          </cell>
        </row>
        <row r="5250">
          <cell r="A5250" t="str">
            <v>IS_alqt_plus</v>
          </cell>
          <cell r="K5250" t="str">
            <v>DMAD</v>
          </cell>
          <cell r="M5250" t="str">
            <v>M</v>
          </cell>
          <cell r="AB5250" t="str">
            <v>plasma</v>
          </cell>
          <cell r="AF5250">
            <v>1.4</v>
          </cell>
        </row>
        <row r="5251">
          <cell r="A5251" t="str">
            <v>IS_alqt_plus</v>
          </cell>
          <cell r="K5251" t="str">
            <v>DMAD</v>
          </cell>
          <cell r="M5251" t="str">
            <v>M</v>
          </cell>
          <cell r="AB5251" t="str">
            <v>serum</v>
          </cell>
          <cell r="AF5251">
            <v>1.4</v>
          </cell>
        </row>
        <row r="5252">
          <cell r="A5252" t="str">
            <v>gone</v>
          </cell>
          <cell r="K5252" t="str">
            <v>EMAC</v>
          </cell>
          <cell r="M5252" t="str">
            <v>F</v>
          </cell>
          <cell r="AB5252" t="str">
            <v>WB</v>
          </cell>
          <cell r="AF5252">
            <v>0</v>
          </cell>
        </row>
        <row r="5253">
          <cell r="A5253" t="str">
            <v>IS_alqt_plus</v>
          </cell>
          <cell r="K5253" t="str">
            <v>EMAC</v>
          </cell>
          <cell r="M5253" t="str">
            <v>M</v>
          </cell>
          <cell r="AB5253" t="str">
            <v>WB</v>
          </cell>
          <cell r="AF5253">
            <v>0.5</v>
          </cell>
        </row>
        <row r="5254">
          <cell r="A5254" t="str">
            <v>IS_alqt_plus</v>
          </cell>
          <cell r="K5254" t="str">
            <v>EMAC</v>
          </cell>
          <cell r="M5254" t="str">
            <v>F</v>
          </cell>
          <cell r="AB5254" t="str">
            <v>serum</v>
          </cell>
          <cell r="AF5254">
            <v>0.3</v>
          </cell>
        </row>
        <row r="5255">
          <cell r="A5255" t="str">
            <v>IS_alqt_plus</v>
          </cell>
          <cell r="K5255" t="str">
            <v>EMAC</v>
          </cell>
          <cell r="M5255" t="str">
            <v>M</v>
          </cell>
          <cell r="AB5255" t="str">
            <v>serum</v>
          </cell>
          <cell r="AF5255">
            <v>0.25</v>
          </cell>
        </row>
        <row r="5256">
          <cell r="A5256" t="str">
            <v>IS_alqt_plus</v>
          </cell>
          <cell r="K5256" t="str">
            <v>VRUB</v>
          </cell>
          <cell r="M5256" t="str">
            <v>F</v>
          </cell>
          <cell r="AB5256" t="str">
            <v>WB</v>
          </cell>
          <cell r="AF5256">
            <v>0.25</v>
          </cell>
        </row>
        <row r="5257">
          <cell r="A5257" t="str">
            <v>IS_alqt_plus</v>
          </cell>
          <cell r="K5257" t="str">
            <v>VRUB</v>
          </cell>
          <cell r="M5257" t="str">
            <v>M</v>
          </cell>
          <cell r="AB5257" t="str">
            <v>WB</v>
          </cell>
          <cell r="AF5257">
            <v>0.4</v>
          </cell>
        </row>
        <row r="5258">
          <cell r="A5258" t="str">
            <v>IS_alqt_plus</v>
          </cell>
          <cell r="K5258" t="str">
            <v>VRUB</v>
          </cell>
          <cell r="M5258" t="str">
            <v>M</v>
          </cell>
          <cell r="AB5258" t="str">
            <v>WB</v>
          </cell>
          <cell r="AF5258">
            <v>0.25</v>
          </cell>
        </row>
        <row r="5259">
          <cell r="A5259" t="str">
            <v>IS_alqt_plus</v>
          </cell>
          <cell r="K5259" t="str">
            <v>VRUB</v>
          </cell>
          <cell r="M5259" t="str">
            <v>M</v>
          </cell>
          <cell r="AB5259" t="str">
            <v>serum</v>
          </cell>
          <cell r="AF5259">
            <v>0.9</v>
          </cell>
        </row>
        <row r="5260">
          <cell r="A5260" t="str">
            <v>IS_alqt_plus</v>
          </cell>
          <cell r="K5260" t="str">
            <v>VRUB</v>
          </cell>
          <cell r="M5260" t="str">
            <v>M</v>
          </cell>
          <cell r="AB5260" t="str">
            <v>serum</v>
          </cell>
          <cell r="AF5260">
            <v>0.4</v>
          </cell>
        </row>
        <row r="5261">
          <cell r="A5261" t="str">
            <v>IS_alqt_plus</v>
          </cell>
          <cell r="K5261" t="str">
            <v>EMON</v>
          </cell>
          <cell r="M5261" t="str">
            <v>M</v>
          </cell>
          <cell r="AB5261" t="str">
            <v>WB</v>
          </cell>
          <cell r="AF5261">
            <v>1.5</v>
          </cell>
        </row>
        <row r="5262">
          <cell r="A5262" t="str">
            <v>IS_alqt_plus</v>
          </cell>
          <cell r="K5262" t="str">
            <v>ECOL</v>
          </cell>
          <cell r="M5262" t="str">
            <v>F</v>
          </cell>
          <cell r="AB5262" t="str">
            <v>serum</v>
          </cell>
          <cell r="AF5262">
            <v>0.75</v>
          </cell>
        </row>
        <row r="5263">
          <cell r="A5263" t="str">
            <v>IS_alqt_plus</v>
          </cell>
          <cell r="K5263" t="str">
            <v>ECOL</v>
          </cell>
          <cell r="M5263" t="str">
            <v>F</v>
          </cell>
          <cell r="AB5263" t="str">
            <v>WB</v>
          </cell>
          <cell r="AF5263">
            <v>0.5</v>
          </cell>
        </row>
        <row r="5264">
          <cell r="A5264" t="str">
            <v>IS_alqt_plus</v>
          </cell>
          <cell r="K5264" t="str">
            <v>EMAC</v>
          </cell>
          <cell r="M5264" t="str">
            <v>F</v>
          </cell>
          <cell r="AB5264" t="str">
            <v>WB</v>
          </cell>
          <cell r="AF5264">
            <v>0.75</v>
          </cell>
        </row>
        <row r="5265">
          <cell r="A5265" t="str">
            <v>IS_alqt_plus</v>
          </cell>
          <cell r="K5265" t="str">
            <v>EMAC</v>
          </cell>
          <cell r="M5265" t="str">
            <v>F</v>
          </cell>
          <cell r="AB5265" t="str">
            <v>serum</v>
          </cell>
          <cell r="AF5265">
            <v>1</v>
          </cell>
        </row>
        <row r="5266">
          <cell r="A5266" t="str">
            <v>IS_alqt_plus</v>
          </cell>
          <cell r="K5266" t="str">
            <v>LCAT</v>
          </cell>
          <cell r="M5266" t="str">
            <v>M</v>
          </cell>
          <cell r="AB5266" t="str">
            <v>WB</v>
          </cell>
          <cell r="AF5266">
            <v>0.7</v>
          </cell>
        </row>
        <row r="5267">
          <cell r="A5267" t="str">
            <v>IS_alqt_plus</v>
          </cell>
          <cell r="K5267" t="str">
            <v>LCAT</v>
          </cell>
          <cell r="M5267" t="str">
            <v>M</v>
          </cell>
          <cell r="AB5267" t="str">
            <v>WB</v>
          </cell>
          <cell r="AF5267">
            <v>1.3</v>
          </cell>
        </row>
        <row r="5268">
          <cell r="A5268" t="str">
            <v>IS_alqt_plus</v>
          </cell>
          <cell r="K5268" t="str">
            <v>LCAT</v>
          </cell>
          <cell r="M5268" t="str">
            <v>F</v>
          </cell>
          <cell r="AB5268" t="str">
            <v>WB</v>
          </cell>
          <cell r="AF5268">
            <v>1.5</v>
          </cell>
        </row>
        <row r="5269">
          <cell r="A5269" t="str">
            <v>IS_alqt_plus</v>
          </cell>
          <cell r="K5269" t="str">
            <v>LCAT</v>
          </cell>
          <cell r="M5269" t="str">
            <v>F</v>
          </cell>
          <cell r="AB5269" t="str">
            <v>serum</v>
          </cell>
          <cell r="AF5269">
            <v>1</v>
          </cell>
        </row>
        <row r="5270">
          <cell r="A5270" t="str">
            <v>IS_alqt_plus</v>
          </cell>
          <cell r="K5270" t="str">
            <v>LCAT</v>
          </cell>
          <cell r="M5270" t="str">
            <v>M</v>
          </cell>
          <cell r="AB5270" t="str">
            <v>WB</v>
          </cell>
          <cell r="AF5270">
            <v>1</v>
          </cell>
        </row>
        <row r="5271">
          <cell r="A5271" t="str">
            <v>IS_alqt_plus</v>
          </cell>
          <cell r="K5271" t="str">
            <v>LCAT</v>
          </cell>
          <cell r="M5271" t="str">
            <v>M</v>
          </cell>
          <cell r="AB5271" t="str">
            <v>serum</v>
          </cell>
          <cell r="AF5271">
            <v>0.4</v>
          </cell>
        </row>
        <row r="5272">
          <cell r="A5272" t="str">
            <v>IS_alqt_plus</v>
          </cell>
          <cell r="K5272" t="str">
            <v>ERUB</v>
          </cell>
          <cell r="M5272" t="str">
            <v>F</v>
          </cell>
          <cell r="AB5272" t="str">
            <v>WB</v>
          </cell>
          <cell r="AF5272">
            <v>0.5</v>
          </cell>
        </row>
        <row r="5273">
          <cell r="A5273" t="str">
            <v>IS_alqt_plus</v>
          </cell>
          <cell r="K5273" t="str">
            <v>ERUB</v>
          </cell>
          <cell r="M5273" t="str">
            <v>F</v>
          </cell>
          <cell r="AB5273" t="str">
            <v>serum</v>
          </cell>
          <cell r="AF5273">
            <v>0.5</v>
          </cell>
        </row>
        <row r="5274">
          <cell r="A5274" t="str">
            <v>IS_alqt_plus</v>
          </cell>
          <cell r="K5274" t="str">
            <v>NPYG</v>
          </cell>
          <cell r="M5274" t="str">
            <v>F</v>
          </cell>
          <cell r="AB5274" t="str">
            <v>WB</v>
          </cell>
          <cell r="AF5274">
            <v>0.5</v>
          </cell>
        </row>
        <row r="5275">
          <cell r="A5275" t="str">
            <v>IS_alqt_plus</v>
          </cell>
          <cell r="K5275" t="str">
            <v>NPYG</v>
          </cell>
          <cell r="M5275" t="str">
            <v>F</v>
          </cell>
          <cell r="AB5275" t="str">
            <v>WB</v>
          </cell>
          <cell r="AF5275">
            <v>1</v>
          </cell>
        </row>
        <row r="5276">
          <cell r="A5276" t="str">
            <v>IS_alqt_plus</v>
          </cell>
          <cell r="K5276" t="str">
            <v>NPYG</v>
          </cell>
          <cell r="M5276" t="str">
            <v>F</v>
          </cell>
          <cell r="AB5276" t="str">
            <v>WB</v>
          </cell>
          <cell r="AF5276">
            <v>1.2</v>
          </cell>
        </row>
        <row r="5277">
          <cell r="A5277" t="str">
            <v>IS_alqt_plus</v>
          </cell>
          <cell r="K5277" t="str">
            <v>NPYG</v>
          </cell>
          <cell r="M5277" t="str">
            <v>F</v>
          </cell>
          <cell r="AB5277" t="str">
            <v>WB</v>
          </cell>
          <cell r="AF5277">
            <v>1</v>
          </cell>
        </row>
        <row r="5278">
          <cell r="A5278" t="str">
            <v>IS_alqt_plus</v>
          </cell>
          <cell r="K5278" t="str">
            <v>NPYG</v>
          </cell>
          <cell r="M5278" t="str">
            <v>F</v>
          </cell>
          <cell r="AB5278" t="str">
            <v>WB</v>
          </cell>
          <cell r="AF5278">
            <v>0.2</v>
          </cell>
        </row>
        <row r="5279">
          <cell r="A5279" t="str">
            <v>IS_alqt_plus</v>
          </cell>
          <cell r="K5279" t="str">
            <v>NPYG</v>
          </cell>
          <cell r="M5279" t="str">
            <v>F</v>
          </cell>
          <cell r="AB5279" t="str">
            <v>serum</v>
          </cell>
          <cell r="AF5279">
            <v>1</v>
          </cell>
        </row>
        <row r="5280">
          <cell r="A5280" t="str">
            <v>IS_alqt_plus</v>
          </cell>
          <cell r="K5280" t="str">
            <v>NPYG</v>
          </cell>
          <cell r="M5280" t="str">
            <v>F</v>
          </cell>
          <cell r="AB5280" t="str">
            <v>serum</v>
          </cell>
          <cell r="AF5280">
            <v>1</v>
          </cell>
        </row>
        <row r="5281">
          <cell r="A5281" t="str">
            <v>IS_alqt_plus</v>
          </cell>
          <cell r="K5281" t="str">
            <v>DMAD</v>
          </cell>
          <cell r="M5281" t="str">
            <v>M</v>
          </cell>
          <cell r="AB5281" t="str">
            <v>WB</v>
          </cell>
          <cell r="AF5281">
            <v>0.3</v>
          </cell>
        </row>
        <row r="5282">
          <cell r="A5282" t="str">
            <v>gone</v>
          </cell>
          <cell r="K5282" t="str">
            <v>DMAD</v>
          </cell>
          <cell r="M5282" t="str">
            <v>M</v>
          </cell>
          <cell r="AB5282" t="str">
            <v>WB</v>
          </cell>
          <cell r="AF5282">
            <v>0</v>
          </cell>
        </row>
        <row r="5283">
          <cell r="A5283" t="str">
            <v>IS_alqt_plus</v>
          </cell>
          <cell r="K5283" t="str">
            <v>DMAD</v>
          </cell>
          <cell r="M5283" t="str">
            <v>M</v>
          </cell>
          <cell r="AB5283" t="str">
            <v>WB</v>
          </cell>
          <cell r="AF5283">
            <v>0.2</v>
          </cell>
        </row>
        <row r="5284">
          <cell r="A5284" t="str">
            <v>IS_alqt_plus</v>
          </cell>
          <cell r="K5284" t="str">
            <v>ECOL</v>
          </cell>
          <cell r="M5284" t="str">
            <v>F</v>
          </cell>
          <cell r="AB5284" t="str">
            <v>WB</v>
          </cell>
          <cell r="AF5284">
            <v>0.25</v>
          </cell>
        </row>
        <row r="5285">
          <cell r="A5285" t="str">
            <v>IS_alqt_plus</v>
          </cell>
          <cell r="K5285" t="str">
            <v>LCAT</v>
          </cell>
          <cell r="M5285" t="str">
            <v>F</v>
          </cell>
          <cell r="AB5285" t="str">
            <v>WB</v>
          </cell>
          <cell r="AF5285">
            <v>1</v>
          </cell>
        </row>
        <row r="5286">
          <cell r="A5286" t="str">
            <v>IS_alqt_plus</v>
          </cell>
          <cell r="K5286" t="str">
            <v>LCAT</v>
          </cell>
          <cell r="M5286" t="str">
            <v>M</v>
          </cell>
          <cell r="AB5286" t="str">
            <v>WB</v>
          </cell>
          <cell r="AF5286">
            <v>1</v>
          </cell>
        </row>
        <row r="5287">
          <cell r="A5287" t="str">
            <v>IS_alqt_plus</v>
          </cell>
          <cell r="K5287" t="str">
            <v>LCAT</v>
          </cell>
          <cell r="M5287" t="str">
            <v>F</v>
          </cell>
          <cell r="AB5287" t="str">
            <v>WB</v>
          </cell>
          <cell r="AF5287">
            <v>1</v>
          </cell>
        </row>
        <row r="5288">
          <cell r="A5288" t="str">
            <v>IS_alqt_plus</v>
          </cell>
          <cell r="K5288" t="str">
            <v>PCOQ</v>
          </cell>
          <cell r="M5288" t="str">
            <v>M</v>
          </cell>
          <cell r="AB5288" t="str">
            <v>serum</v>
          </cell>
          <cell r="AF5288">
            <v>1.25</v>
          </cell>
        </row>
        <row r="5289">
          <cell r="A5289" t="str">
            <v>gone</v>
          </cell>
          <cell r="K5289" t="str">
            <v>PCOQ</v>
          </cell>
          <cell r="M5289" t="str">
            <v>F</v>
          </cell>
          <cell r="AB5289" t="str">
            <v>serum</v>
          </cell>
          <cell r="AF5289">
            <v>0</v>
          </cell>
        </row>
        <row r="5290">
          <cell r="A5290" t="str">
            <v>IS_alqt_plus</v>
          </cell>
          <cell r="K5290" t="str">
            <v>ERUF</v>
          </cell>
          <cell r="M5290" t="str">
            <v>M</v>
          </cell>
          <cell r="AB5290" t="str">
            <v>WB</v>
          </cell>
          <cell r="AF5290">
            <v>1</v>
          </cell>
        </row>
        <row r="5291">
          <cell r="A5291" t="str">
            <v>IS_alqt_plus</v>
          </cell>
          <cell r="K5291" t="str">
            <v>ERUF</v>
          </cell>
          <cell r="M5291" t="str">
            <v>M</v>
          </cell>
          <cell r="AB5291" t="str">
            <v>WB</v>
          </cell>
          <cell r="AF5291">
            <v>1.2</v>
          </cell>
        </row>
        <row r="5292">
          <cell r="A5292" t="str">
            <v>IS_alqt_plus</v>
          </cell>
          <cell r="K5292" t="str">
            <v>ERUF</v>
          </cell>
          <cell r="M5292" t="str">
            <v>M</v>
          </cell>
          <cell r="AB5292" t="str">
            <v>WB</v>
          </cell>
          <cell r="AF5292">
            <v>1</v>
          </cell>
        </row>
        <row r="5293">
          <cell r="A5293" t="str">
            <v>IS_alqt_plus</v>
          </cell>
          <cell r="K5293" t="str">
            <v>ERUF</v>
          </cell>
          <cell r="M5293" t="str">
            <v>M</v>
          </cell>
          <cell r="AB5293" t="str">
            <v>WB</v>
          </cell>
          <cell r="AF5293">
            <v>1.2</v>
          </cell>
        </row>
        <row r="5294">
          <cell r="A5294" t="str">
            <v>IS_alqt_plus</v>
          </cell>
          <cell r="K5294" t="str">
            <v>ERUF</v>
          </cell>
          <cell r="M5294" t="str">
            <v>M</v>
          </cell>
          <cell r="AB5294" t="str">
            <v>WB</v>
          </cell>
          <cell r="AF5294">
            <v>1</v>
          </cell>
        </row>
        <row r="5295">
          <cell r="A5295" t="str">
            <v>IS_alqt_plus</v>
          </cell>
          <cell r="K5295" t="str">
            <v>ERUF</v>
          </cell>
          <cell r="M5295" t="str">
            <v>M</v>
          </cell>
          <cell r="AB5295" t="str">
            <v>WB</v>
          </cell>
          <cell r="AF5295">
            <v>1</v>
          </cell>
        </row>
        <row r="5296">
          <cell r="A5296" t="str">
            <v>IS_alqt_plus</v>
          </cell>
          <cell r="K5296" t="str">
            <v>ERUF</v>
          </cell>
          <cell r="M5296" t="str">
            <v>M</v>
          </cell>
          <cell r="AB5296" t="str">
            <v>WB</v>
          </cell>
          <cell r="AF5296">
            <v>1</v>
          </cell>
        </row>
        <row r="5297">
          <cell r="A5297" t="str">
            <v>IS_alqt_plus</v>
          </cell>
          <cell r="K5297" t="str">
            <v>ERUF</v>
          </cell>
          <cell r="M5297" t="str">
            <v>M</v>
          </cell>
          <cell r="AB5297" t="str">
            <v>WB</v>
          </cell>
          <cell r="AF5297">
            <v>1</v>
          </cell>
        </row>
        <row r="5298">
          <cell r="A5298" t="str">
            <v>IS_alqt_plus</v>
          </cell>
          <cell r="K5298" t="str">
            <v>ERUF</v>
          </cell>
          <cell r="M5298" t="str">
            <v>M</v>
          </cell>
          <cell r="AB5298" t="str">
            <v>WB</v>
          </cell>
          <cell r="AF5298">
            <v>0.8</v>
          </cell>
        </row>
        <row r="5299">
          <cell r="A5299" t="str">
            <v>IS_alqt_plus</v>
          </cell>
          <cell r="K5299" t="str">
            <v>ERUF</v>
          </cell>
          <cell r="M5299" t="str">
            <v>M</v>
          </cell>
          <cell r="AB5299" t="str">
            <v>WB</v>
          </cell>
          <cell r="AF5299">
            <v>1.2</v>
          </cell>
        </row>
        <row r="5300">
          <cell r="A5300" t="str">
            <v>IS_alqt_plus</v>
          </cell>
          <cell r="K5300" t="str">
            <v>ERUF</v>
          </cell>
          <cell r="M5300" t="str">
            <v>M</v>
          </cell>
          <cell r="AB5300" t="str">
            <v>WB</v>
          </cell>
          <cell r="AF5300">
            <v>1</v>
          </cell>
        </row>
        <row r="5301">
          <cell r="A5301" t="str">
            <v>IS_alqt_plus</v>
          </cell>
          <cell r="K5301" t="str">
            <v>ERUF</v>
          </cell>
          <cell r="M5301" t="str">
            <v>M</v>
          </cell>
          <cell r="AB5301" t="str">
            <v>WB</v>
          </cell>
          <cell r="AF5301">
            <v>1</v>
          </cell>
        </row>
        <row r="5302">
          <cell r="A5302" t="str">
            <v>IS_alqt_plus</v>
          </cell>
          <cell r="K5302" t="str">
            <v>ERUF</v>
          </cell>
          <cell r="M5302" t="str">
            <v>M</v>
          </cell>
          <cell r="AB5302" t="str">
            <v>WB</v>
          </cell>
          <cell r="AF5302">
            <v>0.2</v>
          </cell>
        </row>
        <row r="5303">
          <cell r="A5303" t="str">
            <v>IS_alqt_plus</v>
          </cell>
          <cell r="K5303" t="str">
            <v>ERUF</v>
          </cell>
          <cell r="M5303" t="str">
            <v>M</v>
          </cell>
          <cell r="AB5303" t="str">
            <v>WB</v>
          </cell>
          <cell r="AF5303">
            <v>1.1000000000000001</v>
          </cell>
        </row>
        <row r="5304">
          <cell r="A5304" t="str">
            <v>IS_alqt_plus</v>
          </cell>
          <cell r="K5304" t="str">
            <v>ERUF</v>
          </cell>
          <cell r="M5304" t="str">
            <v>M</v>
          </cell>
          <cell r="AB5304" t="str">
            <v>WB</v>
          </cell>
          <cell r="AF5304">
            <v>1</v>
          </cell>
        </row>
        <row r="5305">
          <cell r="A5305" t="str">
            <v>IS_alqt_plus</v>
          </cell>
          <cell r="K5305" t="str">
            <v>ERUF</v>
          </cell>
          <cell r="M5305" t="str">
            <v>M</v>
          </cell>
          <cell r="AB5305" t="str">
            <v>WB</v>
          </cell>
          <cell r="AF5305">
            <v>1</v>
          </cell>
        </row>
        <row r="5306">
          <cell r="A5306" t="str">
            <v>IS_alqt_plus</v>
          </cell>
          <cell r="K5306" t="str">
            <v>ERUF</v>
          </cell>
          <cell r="M5306" t="str">
            <v>M</v>
          </cell>
          <cell r="AB5306" t="str">
            <v>WB</v>
          </cell>
          <cell r="AF5306">
            <v>1</v>
          </cell>
        </row>
        <row r="5307">
          <cell r="A5307" t="str">
            <v>IS_alqt_plus</v>
          </cell>
          <cell r="K5307" t="str">
            <v>ERUF</v>
          </cell>
          <cell r="M5307" t="str">
            <v>M</v>
          </cell>
          <cell r="AB5307" t="str">
            <v>WB</v>
          </cell>
          <cell r="AF5307">
            <v>0.8</v>
          </cell>
        </row>
        <row r="5308">
          <cell r="A5308" t="str">
            <v>IS_alqt_plus</v>
          </cell>
          <cell r="K5308" t="str">
            <v>ERUF</v>
          </cell>
          <cell r="M5308" t="str">
            <v>M</v>
          </cell>
          <cell r="AB5308" t="str">
            <v>WB</v>
          </cell>
          <cell r="AF5308">
            <v>1</v>
          </cell>
        </row>
        <row r="5309">
          <cell r="A5309" t="str">
            <v>IS_alqt_plus</v>
          </cell>
          <cell r="K5309" t="str">
            <v>ERUF</v>
          </cell>
          <cell r="M5309" t="str">
            <v>M</v>
          </cell>
          <cell r="AB5309" t="str">
            <v>WB</v>
          </cell>
          <cell r="AF5309">
            <v>1</v>
          </cell>
        </row>
        <row r="5310">
          <cell r="A5310" t="str">
            <v>IS_alqt_plus</v>
          </cell>
          <cell r="K5310" t="str">
            <v>ERUF</v>
          </cell>
          <cell r="M5310" t="str">
            <v>M</v>
          </cell>
          <cell r="AB5310" t="str">
            <v>WB</v>
          </cell>
          <cell r="AF5310">
            <v>1</v>
          </cell>
        </row>
        <row r="5311">
          <cell r="A5311" t="str">
            <v>IS_alqt_plus</v>
          </cell>
          <cell r="K5311" t="str">
            <v>ERUF</v>
          </cell>
          <cell r="M5311" t="str">
            <v>M</v>
          </cell>
          <cell r="AB5311" t="str">
            <v>WB</v>
          </cell>
          <cell r="AF5311">
            <v>1</v>
          </cell>
        </row>
        <row r="5312">
          <cell r="A5312" t="str">
            <v>IS_alqt_plus</v>
          </cell>
          <cell r="K5312" t="str">
            <v>ERUF</v>
          </cell>
          <cell r="M5312" t="str">
            <v>M</v>
          </cell>
          <cell r="AB5312" t="str">
            <v>WB</v>
          </cell>
          <cell r="AF5312">
            <v>1</v>
          </cell>
        </row>
        <row r="5313">
          <cell r="A5313" t="str">
            <v>IS_alqt_plus</v>
          </cell>
          <cell r="K5313" t="str">
            <v>ERUF</v>
          </cell>
          <cell r="M5313" t="str">
            <v>M</v>
          </cell>
          <cell r="AB5313" t="str">
            <v>WB</v>
          </cell>
          <cell r="AF5313">
            <v>1</v>
          </cell>
        </row>
        <row r="5314">
          <cell r="A5314" t="str">
            <v>IS_alqt_plus</v>
          </cell>
          <cell r="K5314" t="str">
            <v>ERUF</v>
          </cell>
          <cell r="M5314" t="str">
            <v>M</v>
          </cell>
          <cell r="AB5314" t="str">
            <v>WB</v>
          </cell>
          <cell r="AF5314">
            <v>1</v>
          </cell>
        </row>
        <row r="5315">
          <cell r="A5315" t="str">
            <v>gone</v>
          </cell>
          <cell r="K5315" t="str">
            <v>ERUF</v>
          </cell>
          <cell r="M5315" t="str">
            <v>M</v>
          </cell>
          <cell r="AB5315" t="str">
            <v>WB</v>
          </cell>
          <cell r="AF5315">
            <v>0</v>
          </cell>
        </row>
        <row r="5316">
          <cell r="A5316" t="str">
            <v>IS_alqt_plus</v>
          </cell>
          <cell r="K5316" t="str">
            <v>ERUF</v>
          </cell>
          <cell r="M5316" t="str">
            <v>M</v>
          </cell>
          <cell r="AB5316" t="str">
            <v>serum</v>
          </cell>
          <cell r="AF5316">
            <v>1.1000000000000001</v>
          </cell>
        </row>
        <row r="5317">
          <cell r="A5317" t="str">
            <v>IS_alqt_plus</v>
          </cell>
          <cell r="K5317" t="str">
            <v>ERUF</v>
          </cell>
          <cell r="M5317" t="str">
            <v>M</v>
          </cell>
          <cell r="AB5317" t="str">
            <v>serum</v>
          </cell>
          <cell r="AF5317">
            <v>1</v>
          </cell>
        </row>
        <row r="5318">
          <cell r="A5318" t="str">
            <v>IS_alqt_plus</v>
          </cell>
          <cell r="K5318" t="str">
            <v>ERUF</v>
          </cell>
          <cell r="M5318" t="str">
            <v>M</v>
          </cell>
          <cell r="AB5318" t="str">
            <v>serum</v>
          </cell>
          <cell r="AF5318">
            <v>1</v>
          </cell>
        </row>
        <row r="5319">
          <cell r="A5319" t="str">
            <v>IS_alqt_plus</v>
          </cell>
          <cell r="K5319" t="str">
            <v>ERUF</v>
          </cell>
          <cell r="M5319" t="str">
            <v>M</v>
          </cell>
          <cell r="AB5319" t="str">
            <v>serum</v>
          </cell>
          <cell r="AF5319">
            <v>1.25</v>
          </cell>
        </row>
        <row r="5320">
          <cell r="A5320" t="str">
            <v>IS_alqt_plus</v>
          </cell>
          <cell r="K5320" t="str">
            <v>ERUF</v>
          </cell>
          <cell r="M5320" t="str">
            <v>M</v>
          </cell>
          <cell r="AB5320" t="str">
            <v>serum</v>
          </cell>
          <cell r="AF5320">
            <v>1</v>
          </cell>
        </row>
        <row r="5321">
          <cell r="A5321" t="str">
            <v>IS_alqt_plus</v>
          </cell>
          <cell r="K5321" t="str">
            <v>ERUF</v>
          </cell>
          <cell r="M5321" t="str">
            <v>M</v>
          </cell>
          <cell r="AB5321" t="str">
            <v>serum</v>
          </cell>
          <cell r="AF5321">
            <v>1</v>
          </cell>
        </row>
        <row r="5322">
          <cell r="A5322" t="str">
            <v>IS_alqt_plus</v>
          </cell>
          <cell r="K5322" t="str">
            <v>ERUF</v>
          </cell>
          <cell r="M5322" t="str">
            <v>M</v>
          </cell>
          <cell r="AB5322" t="str">
            <v>serum</v>
          </cell>
          <cell r="AF5322">
            <v>1</v>
          </cell>
        </row>
        <row r="5323">
          <cell r="A5323" t="str">
            <v>IS_alqt_plus</v>
          </cell>
          <cell r="K5323" t="str">
            <v>ERUF</v>
          </cell>
          <cell r="M5323" t="str">
            <v>M</v>
          </cell>
          <cell r="AB5323" t="str">
            <v>serum</v>
          </cell>
          <cell r="AF5323">
            <v>1</v>
          </cell>
        </row>
        <row r="5324">
          <cell r="A5324" t="str">
            <v>IS_alqt_plus</v>
          </cell>
          <cell r="K5324" t="str">
            <v>ERUF</v>
          </cell>
          <cell r="M5324" t="str">
            <v>M</v>
          </cell>
          <cell r="AB5324" t="str">
            <v>serum</v>
          </cell>
          <cell r="AF5324">
            <v>1.1000000000000001</v>
          </cell>
        </row>
        <row r="5325">
          <cell r="A5325" t="str">
            <v>IS_alqt_plus</v>
          </cell>
          <cell r="K5325" t="str">
            <v>ERUF</v>
          </cell>
          <cell r="M5325" t="str">
            <v>M</v>
          </cell>
          <cell r="AB5325" t="str">
            <v>serum</v>
          </cell>
          <cell r="AF5325">
            <v>1</v>
          </cell>
        </row>
        <row r="5326">
          <cell r="A5326" t="str">
            <v>IS_alqt_plus</v>
          </cell>
          <cell r="K5326" t="str">
            <v>ERUF</v>
          </cell>
          <cell r="M5326" t="str">
            <v>M</v>
          </cell>
          <cell r="AB5326" t="str">
            <v>serum</v>
          </cell>
          <cell r="AF5326">
            <v>1</v>
          </cell>
        </row>
        <row r="5327">
          <cell r="A5327" t="str">
            <v>IS_alqt_plus</v>
          </cell>
          <cell r="K5327" t="str">
            <v>ERUF</v>
          </cell>
          <cell r="M5327" t="str">
            <v>M</v>
          </cell>
          <cell r="AB5327" t="str">
            <v>serum</v>
          </cell>
          <cell r="AF5327">
            <v>1</v>
          </cell>
        </row>
        <row r="5328">
          <cell r="A5328" t="str">
            <v>IS_alqt_plus</v>
          </cell>
          <cell r="K5328" t="str">
            <v>ERUF</v>
          </cell>
          <cell r="M5328" t="str">
            <v>M</v>
          </cell>
          <cell r="AB5328" t="str">
            <v>serum</v>
          </cell>
          <cell r="AF5328">
            <v>1.2</v>
          </cell>
        </row>
        <row r="5329">
          <cell r="A5329" t="str">
            <v>IS_alqt_plus</v>
          </cell>
          <cell r="K5329" t="str">
            <v>ERUF</v>
          </cell>
          <cell r="M5329" t="str">
            <v>M</v>
          </cell>
          <cell r="AB5329" t="str">
            <v>serum</v>
          </cell>
          <cell r="AF5329">
            <v>1</v>
          </cell>
        </row>
        <row r="5330">
          <cell r="A5330" t="str">
            <v>IS_alqt_plus</v>
          </cell>
          <cell r="K5330" t="str">
            <v>ERUF</v>
          </cell>
          <cell r="M5330" t="str">
            <v>M</v>
          </cell>
          <cell r="AB5330" t="str">
            <v>serum</v>
          </cell>
          <cell r="AF5330">
            <v>1</v>
          </cell>
        </row>
        <row r="5331">
          <cell r="A5331" t="str">
            <v>IS_alqt_plus</v>
          </cell>
          <cell r="K5331" t="str">
            <v>ERUF</v>
          </cell>
          <cell r="M5331" t="str">
            <v>M</v>
          </cell>
          <cell r="AB5331" t="str">
            <v>serum</v>
          </cell>
          <cell r="AF5331">
            <v>1</v>
          </cell>
        </row>
        <row r="5332">
          <cell r="A5332" t="str">
            <v>IS_alqt_plus</v>
          </cell>
          <cell r="K5332" t="str">
            <v>ERUF</v>
          </cell>
          <cell r="M5332" t="str">
            <v>M</v>
          </cell>
          <cell r="AB5332" t="str">
            <v>serum</v>
          </cell>
          <cell r="AF5332">
            <v>1</v>
          </cell>
        </row>
        <row r="5333">
          <cell r="A5333" t="str">
            <v>IS_alqt_plus</v>
          </cell>
          <cell r="K5333" t="str">
            <v>ERUF</v>
          </cell>
          <cell r="M5333" t="str">
            <v>M</v>
          </cell>
          <cell r="AB5333" t="str">
            <v>serum</v>
          </cell>
          <cell r="AF5333">
            <v>1</v>
          </cell>
        </row>
        <row r="5334">
          <cell r="A5334" t="str">
            <v>IS_alqt_plus</v>
          </cell>
          <cell r="K5334" t="str">
            <v>ERUF</v>
          </cell>
          <cell r="M5334" t="str">
            <v>M</v>
          </cell>
          <cell r="AB5334" t="str">
            <v>serum</v>
          </cell>
          <cell r="AF5334">
            <v>1</v>
          </cell>
        </row>
        <row r="5335">
          <cell r="A5335" t="str">
            <v>IS_alqt_plus</v>
          </cell>
          <cell r="K5335" t="str">
            <v>ERUF</v>
          </cell>
          <cell r="M5335" t="str">
            <v>M</v>
          </cell>
          <cell r="AB5335" t="str">
            <v>serum</v>
          </cell>
          <cell r="AF5335">
            <v>1.1000000000000001</v>
          </cell>
        </row>
        <row r="5336">
          <cell r="A5336" t="str">
            <v>IS_alqt_minus</v>
          </cell>
          <cell r="K5336" t="str">
            <v>NPYG</v>
          </cell>
          <cell r="M5336" t="str">
            <v>F</v>
          </cell>
          <cell r="AB5336" t="str">
            <v>WB</v>
          </cell>
          <cell r="AF5336">
            <v>0.1</v>
          </cell>
        </row>
        <row r="5337">
          <cell r="A5337" t="str">
            <v>IS_alqt_minus</v>
          </cell>
          <cell r="K5337" t="str">
            <v>NPYG</v>
          </cell>
          <cell r="M5337" t="str">
            <v>M</v>
          </cell>
          <cell r="AB5337" t="str">
            <v>PRBC</v>
          </cell>
          <cell r="AF5337">
            <v>0.1</v>
          </cell>
        </row>
        <row r="5338">
          <cell r="A5338" t="str">
            <v>IS_alqt_plus</v>
          </cell>
          <cell r="K5338" t="str">
            <v>NPYG</v>
          </cell>
          <cell r="M5338" t="str">
            <v>M</v>
          </cell>
          <cell r="AB5338" t="str">
            <v>plasma</v>
          </cell>
          <cell r="AF5338">
            <v>0.2</v>
          </cell>
        </row>
        <row r="5339">
          <cell r="A5339" t="str">
            <v>gone</v>
          </cell>
          <cell r="K5339" t="str">
            <v>VRUB</v>
          </cell>
          <cell r="M5339" t="str">
            <v>M</v>
          </cell>
          <cell r="AB5339" t="str">
            <v>WB</v>
          </cell>
          <cell r="AF5339">
            <v>0</v>
          </cell>
        </row>
        <row r="5340">
          <cell r="A5340" t="str">
            <v>IS_alqt_plus</v>
          </cell>
          <cell r="K5340" t="str">
            <v>VRUB</v>
          </cell>
          <cell r="M5340" t="str">
            <v>F</v>
          </cell>
          <cell r="AB5340" t="str">
            <v>serum</v>
          </cell>
          <cell r="AF5340">
            <v>1</v>
          </cell>
        </row>
        <row r="5341">
          <cell r="A5341" t="str">
            <v>IS_alqt_plus</v>
          </cell>
          <cell r="K5341" t="str">
            <v>PCOQ</v>
          </cell>
          <cell r="M5341" t="str">
            <v>M</v>
          </cell>
          <cell r="AB5341" t="str">
            <v>PRBC</v>
          </cell>
          <cell r="AF5341">
            <v>0.25</v>
          </cell>
        </row>
        <row r="5342">
          <cell r="A5342" t="str">
            <v>IS_alqt_plus</v>
          </cell>
          <cell r="K5342" t="str">
            <v>PCOQ</v>
          </cell>
          <cell r="M5342" t="str">
            <v>F</v>
          </cell>
          <cell r="AB5342" t="str">
            <v>serum</v>
          </cell>
          <cell r="AF5342">
            <v>1</v>
          </cell>
        </row>
        <row r="5343">
          <cell r="A5343" t="str">
            <v>IS_alqt_plus</v>
          </cell>
          <cell r="K5343" t="str">
            <v>PCOQ</v>
          </cell>
          <cell r="M5343" t="str">
            <v>M</v>
          </cell>
          <cell r="AB5343" t="str">
            <v>serum</v>
          </cell>
          <cell r="AF5343">
            <v>0.5</v>
          </cell>
        </row>
        <row r="5344">
          <cell r="A5344" t="str">
            <v>IS_alqt_minus</v>
          </cell>
          <cell r="K5344" t="str">
            <v>ERUB</v>
          </cell>
          <cell r="M5344" t="str">
            <v>F</v>
          </cell>
          <cell r="AB5344" t="str">
            <v>serum</v>
          </cell>
          <cell r="AF5344">
            <v>0.1</v>
          </cell>
        </row>
        <row r="5345">
          <cell r="A5345" t="str">
            <v>IS_alqt_plus</v>
          </cell>
          <cell r="K5345" t="str">
            <v>HGG</v>
          </cell>
          <cell r="M5345" t="str">
            <v>M</v>
          </cell>
          <cell r="AB5345" t="str">
            <v>serum</v>
          </cell>
          <cell r="AF5345">
            <v>0.35</v>
          </cell>
        </row>
        <row r="5346">
          <cell r="A5346" t="str">
            <v>IS_alqt_plus</v>
          </cell>
          <cell r="K5346" t="str">
            <v>HGG</v>
          </cell>
          <cell r="M5346" t="str">
            <v>M</v>
          </cell>
          <cell r="AB5346" t="str">
            <v>serum</v>
          </cell>
          <cell r="AF5346">
            <v>0.35</v>
          </cell>
        </row>
        <row r="5347">
          <cell r="A5347" t="str">
            <v>IS_alqt_plus</v>
          </cell>
          <cell r="K5347" t="str">
            <v>HGG</v>
          </cell>
          <cell r="M5347" t="str">
            <v>M</v>
          </cell>
          <cell r="AB5347" t="str">
            <v>WB</v>
          </cell>
          <cell r="AF5347">
            <v>0.6</v>
          </cell>
        </row>
        <row r="5348">
          <cell r="A5348" t="str">
            <v>IS_alqt_plus</v>
          </cell>
          <cell r="K5348" t="str">
            <v>HGG</v>
          </cell>
          <cell r="M5348" t="str">
            <v>M</v>
          </cell>
          <cell r="AB5348" t="str">
            <v>PRBC</v>
          </cell>
          <cell r="AF5348">
            <v>0.25</v>
          </cell>
        </row>
        <row r="5349">
          <cell r="A5349" t="str">
            <v>IS_alqt_plus</v>
          </cell>
          <cell r="K5349" t="str">
            <v>EFUL</v>
          </cell>
          <cell r="M5349" t="str">
            <v>F</v>
          </cell>
          <cell r="AB5349" t="str">
            <v>serum</v>
          </cell>
          <cell r="AF5349">
            <v>0.5</v>
          </cell>
        </row>
        <row r="5350">
          <cell r="A5350" t="str">
            <v>IS_alqt_plus</v>
          </cell>
          <cell r="K5350" t="str">
            <v>NCOU</v>
          </cell>
          <cell r="M5350" t="str">
            <v>F</v>
          </cell>
          <cell r="AB5350" t="str">
            <v>WB</v>
          </cell>
          <cell r="AF5350">
            <v>0.7</v>
          </cell>
        </row>
        <row r="5351">
          <cell r="A5351" t="str">
            <v>IS_alqt_plus</v>
          </cell>
          <cell r="K5351" t="str">
            <v>NCOU</v>
          </cell>
          <cell r="M5351" t="str">
            <v>F</v>
          </cell>
          <cell r="AB5351" t="str">
            <v>WB</v>
          </cell>
          <cell r="AF5351">
            <v>1.2</v>
          </cell>
        </row>
        <row r="5352">
          <cell r="A5352" t="str">
            <v>IS_alqt_plus</v>
          </cell>
          <cell r="K5352" t="str">
            <v>NCOU</v>
          </cell>
          <cell r="M5352" t="str">
            <v>F</v>
          </cell>
          <cell r="AB5352" t="str">
            <v>WB</v>
          </cell>
          <cell r="AF5352">
            <v>1.2</v>
          </cell>
        </row>
        <row r="5353">
          <cell r="A5353" t="str">
            <v>IS_alqt_plus</v>
          </cell>
          <cell r="K5353" t="str">
            <v>NCOU</v>
          </cell>
          <cell r="M5353" t="str">
            <v>F</v>
          </cell>
          <cell r="AB5353" t="str">
            <v>WB</v>
          </cell>
          <cell r="AF5353">
            <v>1</v>
          </cell>
        </row>
        <row r="5354">
          <cell r="A5354" t="str">
            <v>IS_alqt_plus</v>
          </cell>
          <cell r="K5354" t="str">
            <v>NCOU</v>
          </cell>
          <cell r="M5354" t="str">
            <v>F</v>
          </cell>
          <cell r="AB5354" t="str">
            <v>WB</v>
          </cell>
          <cell r="AF5354">
            <v>1.2</v>
          </cell>
        </row>
        <row r="5355">
          <cell r="A5355" t="str">
            <v>IS_alqt_plus</v>
          </cell>
          <cell r="K5355" t="str">
            <v>NCOU</v>
          </cell>
          <cell r="M5355" t="str">
            <v>F</v>
          </cell>
          <cell r="AB5355" t="str">
            <v>WB</v>
          </cell>
          <cell r="AF5355">
            <v>1.3</v>
          </cell>
        </row>
        <row r="5356">
          <cell r="A5356" t="str">
            <v>IS_alqt_plus</v>
          </cell>
          <cell r="K5356" t="str">
            <v>NCOU</v>
          </cell>
          <cell r="M5356" t="str">
            <v>F</v>
          </cell>
          <cell r="AB5356" t="str">
            <v>WB</v>
          </cell>
          <cell r="AF5356">
            <v>1</v>
          </cell>
        </row>
        <row r="5357">
          <cell r="A5357" t="str">
            <v>IS_alqt_plus</v>
          </cell>
          <cell r="K5357" t="str">
            <v>NCOU</v>
          </cell>
          <cell r="M5357" t="str">
            <v>F</v>
          </cell>
          <cell r="AB5357" t="str">
            <v>WB</v>
          </cell>
          <cell r="AF5357">
            <v>1.2</v>
          </cell>
        </row>
        <row r="5358">
          <cell r="A5358" t="str">
            <v>IS_alqt_plus</v>
          </cell>
          <cell r="K5358" t="str">
            <v>NCOU</v>
          </cell>
          <cell r="M5358" t="str">
            <v>F</v>
          </cell>
          <cell r="AB5358" t="str">
            <v>WB</v>
          </cell>
          <cell r="AF5358">
            <v>1.3</v>
          </cell>
        </row>
        <row r="5359">
          <cell r="A5359" t="str">
            <v>IS_alqt_plus</v>
          </cell>
          <cell r="K5359" t="str">
            <v>NCOU</v>
          </cell>
          <cell r="M5359" t="str">
            <v>F</v>
          </cell>
          <cell r="AB5359" t="str">
            <v>WB</v>
          </cell>
          <cell r="AF5359">
            <v>1.2</v>
          </cell>
        </row>
        <row r="5360">
          <cell r="A5360" t="str">
            <v>IS_alqt_plus</v>
          </cell>
          <cell r="K5360" t="str">
            <v>NCOU</v>
          </cell>
          <cell r="M5360" t="str">
            <v>F</v>
          </cell>
          <cell r="AB5360" t="str">
            <v>WB</v>
          </cell>
          <cell r="AF5360">
            <v>1.3</v>
          </cell>
        </row>
        <row r="5361">
          <cell r="A5361" t="str">
            <v>IS_alqt_plus</v>
          </cell>
          <cell r="K5361" t="str">
            <v>NCOU</v>
          </cell>
          <cell r="M5361" t="str">
            <v>F</v>
          </cell>
          <cell r="AB5361" t="str">
            <v>WB</v>
          </cell>
          <cell r="AF5361">
            <v>1.3</v>
          </cell>
        </row>
        <row r="5362">
          <cell r="A5362" t="str">
            <v>IS_alqt_plus</v>
          </cell>
          <cell r="K5362" t="str">
            <v>NCOU</v>
          </cell>
          <cell r="M5362" t="str">
            <v>F</v>
          </cell>
          <cell r="AB5362" t="str">
            <v>WB</v>
          </cell>
          <cell r="AF5362">
            <v>1.3</v>
          </cell>
        </row>
        <row r="5363">
          <cell r="A5363" t="str">
            <v>IS_alqt_plus</v>
          </cell>
          <cell r="K5363" t="str">
            <v>NCOU</v>
          </cell>
          <cell r="M5363" t="str">
            <v>F</v>
          </cell>
          <cell r="AB5363" t="str">
            <v>WB</v>
          </cell>
          <cell r="AF5363">
            <v>1.2</v>
          </cell>
        </row>
        <row r="5364">
          <cell r="A5364" t="str">
            <v>IS_alqt_plus</v>
          </cell>
          <cell r="K5364" t="str">
            <v>NCOU</v>
          </cell>
          <cell r="M5364" t="str">
            <v>F</v>
          </cell>
          <cell r="AB5364" t="str">
            <v>WB</v>
          </cell>
          <cell r="AF5364">
            <v>1.2</v>
          </cell>
        </row>
        <row r="5365">
          <cell r="A5365" t="str">
            <v>IS_alqt_minus</v>
          </cell>
          <cell r="K5365" t="str">
            <v>NCOU</v>
          </cell>
          <cell r="M5365" t="str">
            <v>F</v>
          </cell>
          <cell r="AB5365" t="str">
            <v>serum</v>
          </cell>
          <cell r="AF5365">
            <v>0.1</v>
          </cell>
        </row>
        <row r="5366">
          <cell r="A5366" t="str">
            <v>IS_alqt_plus</v>
          </cell>
          <cell r="K5366" t="str">
            <v>NCOU</v>
          </cell>
          <cell r="M5366" t="str">
            <v>F</v>
          </cell>
          <cell r="AB5366" t="str">
            <v>serum</v>
          </cell>
          <cell r="AF5366">
            <v>1.4</v>
          </cell>
        </row>
        <row r="5367">
          <cell r="A5367" t="str">
            <v>IS_alqt_plus</v>
          </cell>
          <cell r="K5367" t="str">
            <v>NCOU</v>
          </cell>
          <cell r="M5367" t="str">
            <v>F</v>
          </cell>
          <cell r="AB5367" t="str">
            <v>serum</v>
          </cell>
          <cell r="AF5367">
            <v>1</v>
          </cell>
        </row>
        <row r="5368">
          <cell r="A5368" t="str">
            <v>IS_alqt_plus</v>
          </cell>
          <cell r="K5368" t="str">
            <v>NCOU</v>
          </cell>
          <cell r="M5368" t="str">
            <v>F</v>
          </cell>
          <cell r="AB5368" t="str">
            <v>serum</v>
          </cell>
          <cell r="AF5368">
            <v>1.5</v>
          </cell>
        </row>
        <row r="5369">
          <cell r="A5369" t="str">
            <v>IS_alqt_plus</v>
          </cell>
          <cell r="K5369" t="str">
            <v>NCOU</v>
          </cell>
          <cell r="M5369" t="str">
            <v>F</v>
          </cell>
          <cell r="AB5369" t="str">
            <v>serum</v>
          </cell>
          <cell r="AF5369">
            <v>1.5</v>
          </cell>
        </row>
        <row r="5370">
          <cell r="A5370" t="str">
            <v>IS_alqt_plus</v>
          </cell>
          <cell r="K5370" t="str">
            <v>NCOU</v>
          </cell>
          <cell r="M5370" t="str">
            <v>F</v>
          </cell>
          <cell r="AB5370" t="str">
            <v>serum</v>
          </cell>
          <cell r="AF5370">
            <v>1.3</v>
          </cell>
        </row>
        <row r="5371">
          <cell r="A5371" t="str">
            <v>IS_alqt_plus</v>
          </cell>
          <cell r="K5371" t="str">
            <v>NCOU</v>
          </cell>
          <cell r="M5371" t="str">
            <v>F</v>
          </cell>
          <cell r="AB5371" t="str">
            <v>serum</v>
          </cell>
          <cell r="AF5371">
            <v>1.5</v>
          </cell>
        </row>
        <row r="5372">
          <cell r="A5372" t="str">
            <v>IS_alqt_plus</v>
          </cell>
          <cell r="K5372" t="str">
            <v>NCOU</v>
          </cell>
          <cell r="M5372" t="str">
            <v>F</v>
          </cell>
          <cell r="AB5372" t="str">
            <v>serum</v>
          </cell>
          <cell r="AF5372">
            <v>1.5</v>
          </cell>
        </row>
        <row r="5373">
          <cell r="A5373" t="str">
            <v>IS_alqt_plus</v>
          </cell>
          <cell r="K5373" t="str">
            <v>NCOU</v>
          </cell>
          <cell r="M5373" t="str">
            <v>F</v>
          </cell>
          <cell r="AB5373" t="str">
            <v>serum</v>
          </cell>
          <cell r="AF5373">
            <v>1.4</v>
          </cell>
        </row>
        <row r="5374">
          <cell r="A5374" t="str">
            <v>IS_alqt_plus</v>
          </cell>
          <cell r="K5374" t="str">
            <v>NCOU</v>
          </cell>
          <cell r="M5374" t="str">
            <v>F</v>
          </cell>
          <cell r="AB5374" t="str">
            <v>serum</v>
          </cell>
          <cell r="AF5374">
            <v>1</v>
          </cell>
        </row>
        <row r="5375">
          <cell r="A5375" t="str">
            <v>IS_alqt_plus</v>
          </cell>
          <cell r="K5375" t="str">
            <v>NCOU</v>
          </cell>
          <cell r="M5375" t="str">
            <v>F</v>
          </cell>
          <cell r="AB5375" t="str">
            <v>serum</v>
          </cell>
          <cell r="AF5375">
            <v>1.5</v>
          </cell>
        </row>
        <row r="5376">
          <cell r="A5376" t="str">
            <v>IS_alqt_plus</v>
          </cell>
          <cell r="K5376" t="str">
            <v>NCOU</v>
          </cell>
          <cell r="M5376" t="str">
            <v>F</v>
          </cell>
          <cell r="AB5376" t="str">
            <v>serum</v>
          </cell>
          <cell r="AF5376">
            <v>1.3</v>
          </cell>
        </row>
        <row r="5377">
          <cell r="A5377" t="str">
            <v>IS_alqt_plus</v>
          </cell>
          <cell r="K5377" t="str">
            <v>NCOU</v>
          </cell>
          <cell r="M5377" t="str">
            <v>F</v>
          </cell>
          <cell r="AB5377" t="str">
            <v>serum</v>
          </cell>
          <cell r="AF5377">
            <v>1.2</v>
          </cell>
        </row>
        <row r="5378">
          <cell r="A5378" t="str">
            <v>IS_alqt_minus</v>
          </cell>
          <cell r="K5378" t="str">
            <v>LCAT</v>
          </cell>
          <cell r="M5378" t="str">
            <v>M</v>
          </cell>
          <cell r="AB5378" t="str">
            <v>WB</v>
          </cell>
          <cell r="AF5378">
            <v>0.1</v>
          </cell>
        </row>
        <row r="5379">
          <cell r="A5379" t="str">
            <v>unk</v>
          </cell>
          <cell r="K5379" t="str">
            <v>VVV</v>
          </cell>
          <cell r="M5379" t="str">
            <v>F</v>
          </cell>
          <cell r="AB5379" t="str">
            <v>WB</v>
          </cell>
          <cell r="AF5379">
            <v>3</v>
          </cell>
        </row>
        <row r="5380">
          <cell r="A5380" t="str">
            <v>IS_alqt_plus</v>
          </cell>
          <cell r="K5380" t="str">
            <v>VVV</v>
          </cell>
          <cell r="M5380" t="str">
            <v>F</v>
          </cell>
          <cell r="AB5380" t="str">
            <v>serum</v>
          </cell>
          <cell r="AF5380">
            <v>0.5</v>
          </cell>
        </row>
        <row r="5381">
          <cell r="A5381" t="str">
            <v>IS_alqt_plus</v>
          </cell>
          <cell r="K5381" t="str">
            <v>VVV</v>
          </cell>
          <cell r="M5381" t="str">
            <v>F</v>
          </cell>
          <cell r="AB5381" t="str">
            <v>serum</v>
          </cell>
          <cell r="AF5381">
            <v>0.75</v>
          </cell>
        </row>
        <row r="5382">
          <cell r="A5382" t="str">
            <v>IS_alqt_plus</v>
          </cell>
          <cell r="K5382" t="str">
            <v>DMAD</v>
          </cell>
          <cell r="M5382" t="str">
            <v>M</v>
          </cell>
          <cell r="AB5382" t="str">
            <v>serum</v>
          </cell>
          <cell r="AF5382">
            <v>0.8</v>
          </cell>
        </row>
        <row r="5383">
          <cell r="A5383" t="str">
            <v>IS_alqt_plus</v>
          </cell>
          <cell r="K5383" t="str">
            <v>DMAD</v>
          </cell>
          <cell r="M5383" t="str">
            <v>M</v>
          </cell>
          <cell r="AB5383" t="str">
            <v>WB</v>
          </cell>
          <cell r="AF5383">
            <v>0.55000000000000004</v>
          </cell>
        </row>
        <row r="5384">
          <cell r="A5384" t="str">
            <v>IS_alqt_plus</v>
          </cell>
          <cell r="K5384" t="str">
            <v>MMUR</v>
          </cell>
          <cell r="M5384" t="str">
            <v>M</v>
          </cell>
          <cell r="AB5384" t="str">
            <v>PRBC</v>
          </cell>
          <cell r="AF5384">
            <v>0.3</v>
          </cell>
        </row>
        <row r="5385">
          <cell r="A5385" t="str">
            <v>IS_alqt_plus</v>
          </cell>
          <cell r="K5385" t="str">
            <v>LCAT</v>
          </cell>
          <cell r="M5385" t="str">
            <v>M</v>
          </cell>
          <cell r="AB5385" t="str">
            <v>WB</v>
          </cell>
          <cell r="AF5385">
            <v>0.2</v>
          </cell>
        </row>
        <row r="5386">
          <cell r="A5386" t="str">
            <v>IS_alqt_plus</v>
          </cell>
          <cell r="K5386" t="str">
            <v>LCAT</v>
          </cell>
          <cell r="M5386" t="str">
            <v>F</v>
          </cell>
          <cell r="AB5386" t="str">
            <v>serum</v>
          </cell>
          <cell r="AF5386">
            <v>1.3</v>
          </cell>
        </row>
        <row r="5387">
          <cell r="A5387" t="str">
            <v>IS_alqt_plus</v>
          </cell>
          <cell r="K5387" t="str">
            <v>ECOL</v>
          </cell>
          <cell r="M5387" t="str">
            <v>F</v>
          </cell>
          <cell r="AB5387" t="str">
            <v>serum</v>
          </cell>
          <cell r="AF5387">
            <v>0.25</v>
          </cell>
        </row>
        <row r="5388">
          <cell r="A5388" t="str">
            <v>IS_alqt_plus</v>
          </cell>
          <cell r="K5388" t="str">
            <v>LCAT</v>
          </cell>
          <cell r="M5388" t="str">
            <v>M</v>
          </cell>
          <cell r="AB5388" t="str">
            <v>WB</v>
          </cell>
          <cell r="AF5388">
            <v>0.2</v>
          </cell>
        </row>
        <row r="5389">
          <cell r="A5389" t="str">
            <v>IS_alqt_plus</v>
          </cell>
          <cell r="K5389" t="str">
            <v>LCAT</v>
          </cell>
          <cell r="M5389" t="str">
            <v>F</v>
          </cell>
          <cell r="AB5389" t="str">
            <v>serum</v>
          </cell>
          <cell r="AF5389">
            <v>0.75</v>
          </cell>
        </row>
        <row r="5390">
          <cell r="A5390" t="str">
            <v>IS_alqt_plus</v>
          </cell>
          <cell r="K5390" t="str">
            <v>LCAT</v>
          </cell>
          <cell r="M5390" t="str">
            <v>F</v>
          </cell>
          <cell r="AB5390" t="str">
            <v>serum</v>
          </cell>
          <cell r="AF5390">
            <v>0.4</v>
          </cell>
        </row>
        <row r="5391">
          <cell r="A5391" t="str">
            <v>gone</v>
          </cell>
          <cell r="K5391" t="str">
            <v>MMUR</v>
          </cell>
          <cell r="M5391" t="str">
            <v>M</v>
          </cell>
          <cell r="AB5391" t="str">
            <v>WB</v>
          </cell>
          <cell r="AF5391">
            <v>0</v>
          </cell>
        </row>
        <row r="5392">
          <cell r="A5392" t="str">
            <v>IS_alqt_plus</v>
          </cell>
          <cell r="K5392" t="str">
            <v>MMUR</v>
          </cell>
          <cell r="M5392" t="str">
            <v>M</v>
          </cell>
          <cell r="AB5392" t="str">
            <v>plasma</v>
          </cell>
          <cell r="AF5392">
            <v>0.35</v>
          </cell>
        </row>
        <row r="5393">
          <cell r="A5393" t="str">
            <v>IS_alqt_plus</v>
          </cell>
          <cell r="K5393" t="str">
            <v>DMAD</v>
          </cell>
          <cell r="M5393" t="str">
            <v>F</v>
          </cell>
          <cell r="AB5393" t="str">
            <v>WB</v>
          </cell>
          <cell r="AF5393">
            <v>0.3</v>
          </cell>
        </row>
        <row r="5394">
          <cell r="A5394" t="str">
            <v>IS_alqt_plus</v>
          </cell>
          <cell r="K5394" t="str">
            <v>CMED</v>
          </cell>
          <cell r="M5394" t="str">
            <v>M</v>
          </cell>
          <cell r="AB5394" t="str">
            <v>WB</v>
          </cell>
          <cell r="AF5394">
            <v>0.25</v>
          </cell>
        </row>
        <row r="5395">
          <cell r="A5395" t="str">
            <v>IS_alqt_plus</v>
          </cell>
          <cell r="K5395" t="str">
            <v>LCAT</v>
          </cell>
          <cell r="M5395" t="str">
            <v>M</v>
          </cell>
          <cell r="AB5395" t="str">
            <v>WB</v>
          </cell>
          <cell r="AF5395">
            <v>0.2</v>
          </cell>
        </row>
        <row r="5396">
          <cell r="A5396" t="str">
            <v>IS_alqt_plus</v>
          </cell>
          <cell r="K5396" t="str">
            <v>LCAT</v>
          </cell>
          <cell r="M5396" t="str">
            <v>F</v>
          </cell>
          <cell r="AB5396" t="str">
            <v>serum</v>
          </cell>
          <cell r="AF5396">
            <v>0.3</v>
          </cell>
        </row>
        <row r="5397">
          <cell r="A5397" t="str">
            <v>IS_alqt_plus</v>
          </cell>
          <cell r="K5397" t="str">
            <v>EFLA</v>
          </cell>
          <cell r="M5397" t="str">
            <v>F</v>
          </cell>
          <cell r="AB5397" t="str">
            <v>PRBC</v>
          </cell>
          <cell r="AF5397">
            <v>1</v>
          </cell>
        </row>
        <row r="5398">
          <cell r="A5398" t="str">
            <v>IS_alqt_plus</v>
          </cell>
          <cell r="K5398" t="str">
            <v>EFLA</v>
          </cell>
          <cell r="M5398" t="str">
            <v>F</v>
          </cell>
          <cell r="AB5398" t="str">
            <v>serum</v>
          </cell>
          <cell r="AF5398">
            <v>0.2</v>
          </cell>
        </row>
        <row r="5399">
          <cell r="A5399" t="str">
            <v>gone</v>
          </cell>
          <cell r="K5399" t="str">
            <v>EFLA</v>
          </cell>
          <cell r="M5399" t="str">
            <v>F</v>
          </cell>
          <cell r="AB5399" t="str">
            <v>WB</v>
          </cell>
          <cell r="AF5399">
            <v>0</v>
          </cell>
        </row>
        <row r="5400">
          <cell r="A5400" t="str">
            <v>IS_alqt_plus</v>
          </cell>
          <cell r="K5400" t="str">
            <v>EFLA</v>
          </cell>
          <cell r="M5400" t="str">
            <v>F</v>
          </cell>
          <cell r="AB5400" t="str">
            <v>WB</v>
          </cell>
          <cell r="AF5400">
            <v>1.2</v>
          </cell>
        </row>
        <row r="5401">
          <cell r="A5401" t="str">
            <v>IS_alqt_plus</v>
          </cell>
          <cell r="K5401" t="str">
            <v>VRUB</v>
          </cell>
          <cell r="M5401" t="str">
            <v>F</v>
          </cell>
          <cell r="AB5401" t="str">
            <v>WB</v>
          </cell>
          <cell r="AF5401">
            <v>0.8</v>
          </cell>
        </row>
        <row r="5402">
          <cell r="A5402" t="str">
            <v>IS_alqt_plus</v>
          </cell>
          <cell r="K5402" t="str">
            <v>VRUB</v>
          </cell>
          <cell r="M5402" t="str">
            <v>F</v>
          </cell>
          <cell r="AB5402" t="str">
            <v>serum</v>
          </cell>
          <cell r="AF5402">
            <v>1.3</v>
          </cell>
        </row>
        <row r="5403">
          <cell r="A5403" t="str">
            <v>gone</v>
          </cell>
          <cell r="K5403" t="str">
            <v>LCAT</v>
          </cell>
          <cell r="M5403" t="str">
            <v>M</v>
          </cell>
          <cell r="AB5403" t="str">
            <v>WB</v>
          </cell>
          <cell r="AF5403">
            <v>0</v>
          </cell>
        </row>
        <row r="5404">
          <cell r="A5404" t="str">
            <v>gone</v>
          </cell>
          <cell r="K5404" t="str">
            <v>LCAT</v>
          </cell>
          <cell r="M5404" t="str">
            <v>M</v>
          </cell>
          <cell r="AB5404" t="str">
            <v>WB</v>
          </cell>
          <cell r="AF5404">
            <v>0</v>
          </cell>
        </row>
        <row r="5405">
          <cell r="A5405" t="str">
            <v>gone</v>
          </cell>
          <cell r="K5405" t="str">
            <v>LCAT</v>
          </cell>
          <cell r="M5405" t="str">
            <v>M</v>
          </cell>
          <cell r="AB5405" t="str">
            <v>WB</v>
          </cell>
          <cell r="AF5405">
            <v>0</v>
          </cell>
        </row>
        <row r="5406">
          <cell r="A5406" t="str">
            <v>IS_alqt_plus</v>
          </cell>
          <cell r="K5406" t="str">
            <v>LCAT</v>
          </cell>
          <cell r="M5406" t="str">
            <v>F</v>
          </cell>
          <cell r="AB5406" t="str">
            <v>WB</v>
          </cell>
          <cell r="AF5406">
            <v>0.75</v>
          </cell>
        </row>
        <row r="5407">
          <cell r="A5407" t="str">
            <v>IS_alqt_plus</v>
          </cell>
          <cell r="K5407" t="str">
            <v>LCAT</v>
          </cell>
          <cell r="M5407" t="str">
            <v>F</v>
          </cell>
          <cell r="AB5407" t="str">
            <v>WB</v>
          </cell>
          <cell r="AF5407">
            <v>0.3</v>
          </cell>
        </row>
        <row r="5408">
          <cell r="A5408" t="str">
            <v>IS_alqt_plus</v>
          </cell>
          <cell r="K5408" t="str">
            <v>DMAD</v>
          </cell>
          <cell r="M5408" t="str">
            <v>F</v>
          </cell>
          <cell r="AB5408" t="str">
            <v>WB</v>
          </cell>
          <cell r="AF5408">
            <v>0.75</v>
          </cell>
        </row>
        <row r="5409">
          <cell r="A5409" t="str">
            <v>IS_alqt_plus</v>
          </cell>
          <cell r="K5409" t="str">
            <v>DMAD</v>
          </cell>
          <cell r="M5409" t="str">
            <v>M</v>
          </cell>
          <cell r="AB5409" t="str">
            <v>WB</v>
          </cell>
          <cell r="AF5409">
            <v>0.3</v>
          </cell>
        </row>
        <row r="5410">
          <cell r="A5410" t="str">
            <v>IS_alqt_plus</v>
          </cell>
          <cell r="K5410" t="str">
            <v>DMAD</v>
          </cell>
          <cell r="M5410" t="str">
            <v>M</v>
          </cell>
          <cell r="AB5410" t="str">
            <v>WB</v>
          </cell>
          <cell r="AF5410">
            <v>0.2</v>
          </cell>
        </row>
        <row r="5411">
          <cell r="A5411" t="str">
            <v>IS_alqt_plus</v>
          </cell>
          <cell r="K5411" t="str">
            <v>DMAD</v>
          </cell>
          <cell r="M5411" t="str">
            <v>M</v>
          </cell>
          <cell r="AB5411" t="str">
            <v>WB</v>
          </cell>
          <cell r="AF5411">
            <v>0.45</v>
          </cell>
        </row>
        <row r="5412">
          <cell r="A5412" t="str">
            <v>IS_alqt_plus</v>
          </cell>
          <cell r="K5412" t="str">
            <v>DMAD</v>
          </cell>
          <cell r="M5412" t="str">
            <v>F</v>
          </cell>
          <cell r="AB5412" t="str">
            <v>WB</v>
          </cell>
          <cell r="AF5412">
            <v>0.5</v>
          </cell>
        </row>
        <row r="5413">
          <cell r="A5413" t="str">
            <v>gone</v>
          </cell>
          <cell r="K5413" t="str">
            <v>LCAT</v>
          </cell>
          <cell r="M5413" t="str">
            <v>M</v>
          </cell>
          <cell r="AB5413" t="str">
            <v>WB</v>
          </cell>
          <cell r="AF5413">
            <v>0</v>
          </cell>
        </row>
        <row r="5414">
          <cell r="A5414" t="str">
            <v>IS_alqt_plus</v>
          </cell>
          <cell r="K5414" t="str">
            <v>LCAT</v>
          </cell>
          <cell r="M5414" t="str">
            <v>F</v>
          </cell>
          <cell r="AB5414" t="str">
            <v>WB</v>
          </cell>
          <cell r="AF5414">
            <v>0.5</v>
          </cell>
        </row>
        <row r="5415">
          <cell r="A5415" t="str">
            <v>IS_alqt_plus</v>
          </cell>
          <cell r="K5415" t="str">
            <v>LCAT</v>
          </cell>
          <cell r="M5415" t="str">
            <v>F</v>
          </cell>
          <cell r="AB5415" t="str">
            <v>WB</v>
          </cell>
          <cell r="AF5415">
            <v>0.5</v>
          </cell>
        </row>
        <row r="5416">
          <cell r="A5416" t="str">
            <v>IS_alqt_plus</v>
          </cell>
          <cell r="K5416" t="str">
            <v>LCAT</v>
          </cell>
          <cell r="M5416" t="str">
            <v>F</v>
          </cell>
          <cell r="AB5416" t="str">
            <v>WB</v>
          </cell>
          <cell r="AF5416">
            <v>0.25</v>
          </cell>
        </row>
        <row r="5417">
          <cell r="A5417" t="str">
            <v>IS_alqt_plus</v>
          </cell>
          <cell r="K5417" t="str">
            <v>LCAT</v>
          </cell>
          <cell r="M5417" t="str">
            <v>F</v>
          </cell>
          <cell r="AB5417" t="str">
            <v>WB</v>
          </cell>
          <cell r="AF5417">
            <v>0.25</v>
          </cell>
        </row>
        <row r="5418">
          <cell r="A5418" t="str">
            <v>IS_alqt_plus</v>
          </cell>
          <cell r="K5418" t="str">
            <v>LCAT</v>
          </cell>
          <cell r="M5418" t="str">
            <v>F</v>
          </cell>
          <cell r="AB5418" t="str">
            <v>WB</v>
          </cell>
          <cell r="AF5418">
            <v>0.25</v>
          </cell>
        </row>
        <row r="5419">
          <cell r="A5419" t="str">
            <v>IS_alqt_plus</v>
          </cell>
          <cell r="K5419" t="str">
            <v>LCAT</v>
          </cell>
          <cell r="M5419" t="str">
            <v>F</v>
          </cell>
          <cell r="AB5419" t="str">
            <v>WB</v>
          </cell>
          <cell r="AF5419">
            <v>1.2</v>
          </cell>
        </row>
        <row r="5420">
          <cell r="A5420" t="str">
            <v>IS_alqt_plus</v>
          </cell>
          <cell r="K5420" t="str">
            <v>LCAT</v>
          </cell>
          <cell r="M5420" t="str">
            <v>F</v>
          </cell>
          <cell r="AB5420" t="str">
            <v>WB</v>
          </cell>
          <cell r="AF5420">
            <v>0.5</v>
          </cell>
        </row>
        <row r="5421">
          <cell r="A5421" t="str">
            <v>IS_alqt_plus</v>
          </cell>
          <cell r="K5421" t="str">
            <v>LCAT</v>
          </cell>
          <cell r="M5421" t="str">
            <v>F</v>
          </cell>
          <cell r="AB5421" t="str">
            <v>WB</v>
          </cell>
          <cell r="AF5421">
            <v>1</v>
          </cell>
        </row>
        <row r="5422">
          <cell r="A5422" t="str">
            <v>IS_alqt_plus</v>
          </cell>
          <cell r="K5422" t="str">
            <v>DMAD</v>
          </cell>
          <cell r="M5422" t="str">
            <v>F</v>
          </cell>
          <cell r="AB5422" t="str">
            <v>serum</v>
          </cell>
          <cell r="AF5422">
            <v>0.3</v>
          </cell>
        </row>
        <row r="5423">
          <cell r="A5423" t="str">
            <v>IS_alqt_plus</v>
          </cell>
          <cell r="K5423" t="str">
            <v>ECOR</v>
          </cell>
          <cell r="M5423" t="str">
            <v>F</v>
          </cell>
          <cell r="AB5423" t="str">
            <v>serum</v>
          </cell>
          <cell r="AF5423">
            <v>1.5</v>
          </cell>
        </row>
        <row r="5424">
          <cell r="A5424" t="str">
            <v>IS_alqt_plus</v>
          </cell>
          <cell r="K5424" t="str">
            <v>DMAD</v>
          </cell>
          <cell r="M5424" t="str">
            <v>F</v>
          </cell>
          <cell r="AB5424" t="str">
            <v>WB</v>
          </cell>
          <cell r="AF5424">
            <v>1.3</v>
          </cell>
        </row>
        <row r="5425">
          <cell r="A5425" t="str">
            <v>IS_alqt_plus</v>
          </cell>
          <cell r="K5425" t="str">
            <v>ECOR</v>
          </cell>
          <cell r="M5425" t="str">
            <v>F</v>
          </cell>
          <cell r="AB5425" t="str">
            <v>WB</v>
          </cell>
          <cell r="AF5425">
            <v>1</v>
          </cell>
        </row>
        <row r="5426">
          <cell r="A5426" t="str">
            <v>IS_alqt_plus</v>
          </cell>
          <cell r="K5426" t="str">
            <v>ECOR</v>
          </cell>
          <cell r="M5426" t="str">
            <v>F</v>
          </cell>
          <cell r="AB5426" t="str">
            <v>WB</v>
          </cell>
          <cell r="AF5426">
            <v>1</v>
          </cell>
        </row>
        <row r="5427">
          <cell r="A5427" t="str">
            <v>IS_alqt_plus</v>
          </cell>
          <cell r="K5427" t="str">
            <v>EFLA</v>
          </cell>
          <cell r="M5427" t="str">
            <v>M</v>
          </cell>
          <cell r="AB5427" t="str">
            <v>WB</v>
          </cell>
          <cell r="AF5427">
            <v>0.55000000000000004</v>
          </cell>
        </row>
        <row r="5428">
          <cell r="A5428" t="str">
            <v>IS_alqt_plus</v>
          </cell>
          <cell r="K5428" t="str">
            <v>VRUB</v>
          </cell>
          <cell r="M5428" t="str">
            <v>M</v>
          </cell>
          <cell r="AB5428" t="str">
            <v>WB</v>
          </cell>
          <cell r="AF5428">
            <v>0.65</v>
          </cell>
        </row>
        <row r="5429">
          <cell r="A5429" t="str">
            <v>gone</v>
          </cell>
          <cell r="K5429" t="str">
            <v>VRUB</v>
          </cell>
          <cell r="M5429" t="str">
            <v>M</v>
          </cell>
          <cell r="AB5429" t="str">
            <v>WB</v>
          </cell>
          <cell r="AF5429">
            <v>0</v>
          </cell>
        </row>
        <row r="5430">
          <cell r="A5430" t="str">
            <v>IS_alqt_plus</v>
          </cell>
          <cell r="K5430" t="str">
            <v>VRUB</v>
          </cell>
          <cell r="M5430" t="str">
            <v>M</v>
          </cell>
          <cell r="AB5430" t="str">
            <v>serum</v>
          </cell>
          <cell r="AF5430">
            <v>0.8</v>
          </cell>
        </row>
        <row r="5431">
          <cell r="A5431" t="str">
            <v>IS_alqt_plus</v>
          </cell>
          <cell r="K5431" t="str">
            <v>VRUB</v>
          </cell>
          <cell r="M5431" t="str">
            <v>M</v>
          </cell>
          <cell r="AB5431" t="str">
            <v>serum</v>
          </cell>
          <cell r="AF5431">
            <v>1.1000000000000001</v>
          </cell>
        </row>
        <row r="5432">
          <cell r="A5432" t="str">
            <v>IS_alqt_plus</v>
          </cell>
          <cell r="K5432" t="str">
            <v>VRUB</v>
          </cell>
          <cell r="M5432" t="str">
            <v>M</v>
          </cell>
          <cell r="AB5432" t="str">
            <v>WB</v>
          </cell>
          <cell r="AF5432">
            <v>0.75</v>
          </cell>
        </row>
        <row r="5433">
          <cell r="A5433" t="str">
            <v>IS_alqt_plus</v>
          </cell>
          <cell r="K5433" t="str">
            <v>VRUB</v>
          </cell>
          <cell r="M5433" t="str">
            <v>F</v>
          </cell>
          <cell r="AB5433" t="str">
            <v>WB</v>
          </cell>
          <cell r="AF5433">
            <v>0.4</v>
          </cell>
        </row>
        <row r="5434">
          <cell r="A5434" t="str">
            <v>IS_alqt_plus</v>
          </cell>
          <cell r="K5434" t="str">
            <v>VRUB</v>
          </cell>
          <cell r="M5434" t="str">
            <v>M</v>
          </cell>
          <cell r="AB5434" t="str">
            <v>serum</v>
          </cell>
          <cell r="AF5434">
            <v>1.2</v>
          </cell>
        </row>
        <row r="5435">
          <cell r="A5435" t="str">
            <v>IS_alqt_plus</v>
          </cell>
          <cell r="K5435" t="str">
            <v>VRUB</v>
          </cell>
          <cell r="M5435" t="str">
            <v>F</v>
          </cell>
          <cell r="AB5435" t="str">
            <v>serum</v>
          </cell>
          <cell r="AF5435">
            <v>1.2</v>
          </cell>
        </row>
        <row r="5436">
          <cell r="A5436" t="str">
            <v>IS_alqt_plus</v>
          </cell>
          <cell r="K5436" t="str">
            <v>EMON</v>
          </cell>
          <cell r="M5436" t="str">
            <v>M</v>
          </cell>
          <cell r="AB5436" t="str">
            <v>WB</v>
          </cell>
          <cell r="AF5436">
            <v>0.8</v>
          </cell>
        </row>
        <row r="5437">
          <cell r="A5437" t="str">
            <v>gone</v>
          </cell>
          <cell r="K5437" t="str">
            <v>EMON</v>
          </cell>
          <cell r="M5437" t="str">
            <v>M</v>
          </cell>
          <cell r="AB5437" t="str">
            <v>WB</v>
          </cell>
          <cell r="AF5437">
            <v>0</v>
          </cell>
        </row>
        <row r="5438">
          <cell r="A5438" t="str">
            <v>IS_alqt_plus</v>
          </cell>
          <cell r="K5438" t="str">
            <v>EFUL</v>
          </cell>
          <cell r="M5438" t="str">
            <v>F</v>
          </cell>
          <cell r="AB5438" t="str">
            <v>serum</v>
          </cell>
          <cell r="AF5438">
            <v>1</v>
          </cell>
        </row>
        <row r="5439">
          <cell r="A5439" t="str">
            <v>IS_alqt_plus</v>
          </cell>
          <cell r="K5439" t="str">
            <v>LCAT</v>
          </cell>
          <cell r="M5439" t="str">
            <v>F</v>
          </cell>
          <cell r="AB5439" t="str">
            <v>WB</v>
          </cell>
          <cell r="AF5439">
            <v>1</v>
          </cell>
        </row>
        <row r="5440">
          <cell r="A5440" t="str">
            <v>IS_alqt_plus</v>
          </cell>
          <cell r="K5440" t="str">
            <v>PCOQ</v>
          </cell>
          <cell r="M5440" t="str">
            <v>M</v>
          </cell>
          <cell r="AB5440" t="str">
            <v>serum</v>
          </cell>
          <cell r="AF5440">
            <v>1.5</v>
          </cell>
        </row>
        <row r="5441">
          <cell r="A5441" t="str">
            <v>IS_alqt_plus</v>
          </cell>
          <cell r="K5441" t="str">
            <v>DMAD</v>
          </cell>
          <cell r="M5441" t="str">
            <v>F</v>
          </cell>
          <cell r="AB5441" t="str">
            <v>WB</v>
          </cell>
          <cell r="AF5441">
            <v>0.55000000000000004</v>
          </cell>
        </row>
        <row r="5442">
          <cell r="A5442" t="str">
            <v>IS_alqt_plus</v>
          </cell>
          <cell r="K5442" t="str">
            <v>LCAT</v>
          </cell>
          <cell r="M5442" t="str">
            <v>F</v>
          </cell>
          <cell r="AB5442" t="str">
            <v>WB</v>
          </cell>
          <cell r="AF5442">
            <v>1</v>
          </cell>
        </row>
        <row r="5443">
          <cell r="A5443" t="str">
            <v>IS_alqt_plus</v>
          </cell>
          <cell r="K5443" t="str">
            <v>LCAT</v>
          </cell>
          <cell r="M5443" t="str">
            <v>F</v>
          </cell>
          <cell r="AB5443" t="str">
            <v>serum</v>
          </cell>
          <cell r="AF5443">
            <v>0.2</v>
          </cell>
        </row>
        <row r="5444">
          <cell r="A5444" t="str">
            <v>IS_alqt_plus</v>
          </cell>
          <cell r="K5444" t="str">
            <v>LCAT</v>
          </cell>
          <cell r="M5444" t="str">
            <v>F</v>
          </cell>
          <cell r="AB5444" t="str">
            <v>serum</v>
          </cell>
          <cell r="AF5444">
            <v>0.2</v>
          </cell>
        </row>
        <row r="5445">
          <cell r="A5445" t="str">
            <v>IS_alqt_plus</v>
          </cell>
          <cell r="K5445" t="str">
            <v>LCAT</v>
          </cell>
          <cell r="M5445" t="str">
            <v>M</v>
          </cell>
          <cell r="AB5445" t="str">
            <v>serum</v>
          </cell>
          <cell r="AF5445">
            <v>0.3</v>
          </cell>
        </row>
        <row r="5446">
          <cell r="A5446" t="str">
            <v>IS_alqt_plus</v>
          </cell>
          <cell r="K5446" t="str">
            <v>LCAT</v>
          </cell>
          <cell r="M5446" t="str">
            <v>F</v>
          </cell>
          <cell r="AB5446" t="str">
            <v>serum</v>
          </cell>
          <cell r="AF5446">
            <v>0.2</v>
          </cell>
        </row>
        <row r="5447">
          <cell r="A5447" t="str">
            <v>IS_alqt_plus</v>
          </cell>
          <cell r="K5447" t="str">
            <v>LCAT</v>
          </cell>
          <cell r="M5447" t="str">
            <v>F</v>
          </cell>
          <cell r="AB5447" t="str">
            <v>serum</v>
          </cell>
          <cell r="AF5447">
            <v>0.2</v>
          </cell>
        </row>
        <row r="5448">
          <cell r="A5448" t="str">
            <v>gone</v>
          </cell>
          <cell r="K5448" t="str">
            <v>ECOL</v>
          </cell>
          <cell r="M5448" t="str">
            <v>F</v>
          </cell>
          <cell r="AB5448" t="str">
            <v>WB</v>
          </cell>
          <cell r="AF5448">
            <v>0</v>
          </cell>
        </row>
        <row r="5449">
          <cell r="A5449" t="str">
            <v>gone</v>
          </cell>
          <cell r="K5449" t="str">
            <v>EMON</v>
          </cell>
          <cell r="M5449" t="str">
            <v>F</v>
          </cell>
          <cell r="AB5449" t="str">
            <v>WB</v>
          </cell>
          <cell r="AF5449">
            <v>0</v>
          </cell>
        </row>
        <row r="5450">
          <cell r="A5450" t="str">
            <v>IS_alqt_plus</v>
          </cell>
          <cell r="K5450" t="str">
            <v>EMON</v>
          </cell>
          <cell r="M5450" t="str">
            <v>M</v>
          </cell>
          <cell r="AB5450" t="str">
            <v>WB</v>
          </cell>
          <cell r="AF5450">
            <v>1</v>
          </cell>
        </row>
        <row r="5451">
          <cell r="A5451" t="str">
            <v>IS_alqt_plus</v>
          </cell>
          <cell r="K5451" t="str">
            <v>ECOR</v>
          </cell>
          <cell r="M5451" t="str">
            <v>F</v>
          </cell>
          <cell r="AB5451" t="str">
            <v>serum</v>
          </cell>
          <cell r="AF5451">
            <v>0.4</v>
          </cell>
        </row>
        <row r="5452">
          <cell r="A5452" t="str">
            <v>IS_alqt_plus</v>
          </cell>
          <cell r="K5452" t="str">
            <v>ECOR</v>
          </cell>
          <cell r="M5452" t="str">
            <v>F</v>
          </cell>
          <cell r="AB5452" t="str">
            <v>serum</v>
          </cell>
          <cell r="AF5452">
            <v>1</v>
          </cell>
        </row>
        <row r="5453">
          <cell r="A5453" t="str">
            <v>IS_alqt_plus</v>
          </cell>
          <cell r="K5453" t="str">
            <v>ECOR</v>
          </cell>
          <cell r="M5453" t="str">
            <v>F</v>
          </cell>
          <cell r="AB5453" t="str">
            <v>serum</v>
          </cell>
          <cell r="AF5453">
            <v>0.8</v>
          </cell>
        </row>
        <row r="5454">
          <cell r="A5454" t="str">
            <v>IS_alqt_plus</v>
          </cell>
          <cell r="K5454" t="str">
            <v>ECOR</v>
          </cell>
          <cell r="M5454" t="str">
            <v>F</v>
          </cell>
          <cell r="AB5454" t="str">
            <v>serum</v>
          </cell>
          <cell r="AF5454">
            <v>0.8</v>
          </cell>
        </row>
        <row r="5455">
          <cell r="A5455" t="str">
            <v>IS_alqt_plus</v>
          </cell>
          <cell r="K5455" t="str">
            <v>ECOR</v>
          </cell>
          <cell r="M5455" t="str">
            <v>F</v>
          </cell>
          <cell r="AB5455" t="str">
            <v>serum</v>
          </cell>
          <cell r="AF5455">
            <v>1</v>
          </cell>
        </row>
        <row r="5456">
          <cell r="A5456" t="str">
            <v>IS_alqt_plus</v>
          </cell>
          <cell r="K5456" t="str">
            <v>ECOR</v>
          </cell>
          <cell r="M5456" t="str">
            <v>F</v>
          </cell>
          <cell r="AB5456" t="str">
            <v>serum</v>
          </cell>
          <cell r="AF5456">
            <v>0.7</v>
          </cell>
        </row>
        <row r="5457">
          <cell r="A5457" t="str">
            <v>IS_alqt_plus</v>
          </cell>
          <cell r="K5457" t="str">
            <v>ECOR</v>
          </cell>
          <cell r="M5457" t="str">
            <v>F</v>
          </cell>
          <cell r="AB5457" t="str">
            <v>WB</v>
          </cell>
          <cell r="AF5457">
            <v>1.3</v>
          </cell>
        </row>
        <row r="5458">
          <cell r="A5458" t="str">
            <v>IS_alqt_plus</v>
          </cell>
          <cell r="K5458" t="str">
            <v>ECOR</v>
          </cell>
          <cell r="M5458" t="str">
            <v>F</v>
          </cell>
          <cell r="AB5458" t="str">
            <v>WB</v>
          </cell>
          <cell r="AF5458">
            <v>1.2</v>
          </cell>
        </row>
        <row r="5459">
          <cell r="A5459" t="str">
            <v>IS_alqt_plus</v>
          </cell>
          <cell r="K5459" t="str">
            <v>ECOR</v>
          </cell>
          <cell r="M5459" t="str">
            <v>F</v>
          </cell>
          <cell r="AB5459" t="str">
            <v>WB</v>
          </cell>
          <cell r="AF5459">
            <v>1</v>
          </cell>
        </row>
        <row r="5460">
          <cell r="A5460" t="str">
            <v>IS_alqt_plus</v>
          </cell>
          <cell r="K5460" t="str">
            <v>ECOR</v>
          </cell>
          <cell r="M5460" t="str">
            <v>F</v>
          </cell>
          <cell r="AB5460" t="str">
            <v>WB</v>
          </cell>
          <cell r="AF5460">
            <v>1.2</v>
          </cell>
        </row>
        <row r="5461">
          <cell r="A5461" t="str">
            <v>gone</v>
          </cell>
          <cell r="K5461" t="str">
            <v>ECOR</v>
          </cell>
          <cell r="M5461" t="str">
            <v>F</v>
          </cell>
          <cell r="AB5461" t="str">
            <v>WB</v>
          </cell>
          <cell r="AF5461">
            <v>0</v>
          </cell>
        </row>
        <row r="5462">
          <cell r="A5462" t="str">
            <v>IS_alqt_plus</v>
          </cell>
          <cell r="K5462" t="str">
            <v>ECOR</v>
          </cell>
          <cell r="M5462" t="str">
            <v>F</v>
          </cell>
          <cell r="AB5462" t="str">
            <v>WB</v>
          </cell>
          <cell r="AF5462">
            <v>1</v>
          </cell>
        </row>
        <row r="5463">
          <cell r="A5463" t="str">
            <v>IS_alqt_plus</v>
          </cell>
          <cell r="K5463" t="str">
            <v>ECOR</v>
          </cell>
          <cell r="M5463" t="str">
            <v>F</v>
          </cell>
          <cell r="AB5463" t="str">
            <v>WB</v>
          </cell>
          <cell r="AF5463">
            <v>1</v>
          </cell>
        </row>
        <row r="5464">
          <cell r="A5464" t="str">
            <v>IS_alqt_plus</v>
          </cell>
          <cell r="K5464" t="str">
            <v>ECOR</v>
          </cell>
          <cell r="M5464" t="str">
            <v>F</v>
          </cell>
          <cell r="AB5464" t="str">
            <v>WB</v>
          </cell>
          <cell r="AF5464">
            <v>1.1000000000000001</v>
          </cell>
        </row>
        <row r="5465">
          <cell r="A5465" t="str">
            <v>IS_alqt_plus</v>
          </cell>
          <cell r="K5465" t="str">
            <v>ECOR</v>
          </cell>
          <cell r="M5465" t="str">
            <v>F</v>
          </cell>
          <cell r="AB5465" t="str">
            <v>WB</v>
          </cell>
          <cell r="AF5465">
            <v>0.75</v>
          </cell>
        </row>
        <row r="5466">
          <cell r="A5466" t="str">
            <v>IS_alqt_plus</v>
          </cell>
          <cell r="K5466" t="str">
            <v>ECOR</v>
          </cell>
          <cell r="M5466" t="str">
            <v>F</v>
          </cell>
          <cell r="AB5466" t="str">
            <v>WB</v>
          </cell>
          <cell r="AF5466">
            <v>1.1000000000000001</v>
          </cell>
        </row>
        <row r="5467">
          <cell r="A5467" t="str">
            <v>IS_alqt_plus</v>
          </cell>
          <cell r="K5467" t="str">
            <v>ECOR</v>
          </cell>
          <cell r="M5467" t="str">
            <v>F</v>
          </cell>
          <cell r="AB5467" t="str">
            <v>WB</v>
          </cell>
          <cell r="AF5467">
            <v>1</v>
          </cell>
        </row>
        <row r="5468">
          <cell r="A5468" t="str">
            <v>unk</v>
          </cell>
          <cell r="K5468" t="str">
            <v>ECOR</v>
          </cell>
          <cell r="M5468" t="str">
            <v>F</v>
          </cell>
          <cell r="AB5468" t="str">
            <v>WB</v>
          </cell>
          <cell r="AF5468">
            <v>1</v>
          </cell>
        </row>
        <row r="5469">
          <cell r="A5469" t="str">
            <v>unk</v>
          </cell>
          <cell r="K5469" t="str">
            <v>ECOR</v>
          </cell>
          <cell r="M5469" t="str">
            <v>F</v>
          </cell>
          <cell r="AB5469" t="str">
            <v>WB</v>
          </cell>
          <cell r="AF5469">
            <v>1</v>
          </cell>
        </row>
        <row r="5470">
          <cell r="A5470" t="str">
            <v>unk</v>
          </cell>
          <cell r="K5470" t="str">
            <v>ECOR</v>
          </cell>
          <cell r="M5470" t="str">
            <v>F</v>
          </cell>
          <cell r="AB5470" t="str">
            <v>WB</v>
          </cell>
          <cell r="AF5470">
            <v>1</v>
          </cell>
        </row>
        <row r="5471">
          <cell r="A5471" t="str">
            <v>IS_alqt_plus</v>
          </cell>
          <cell r="K5471" t="str">
            <v>LCAT</v>
          </cell>
          <cell r="M5471" t="str">
            <v>F</v>
          </cell>
          <cell r="AB5471" t="str">
            <v>WB</v>
          </cell>
          <cell r="AF5471">
            <v>1</v>
          </cell>
        </row>
        <row r="5472">
          <cell r="A5472" t="str">
            <v>IS_alqt_plus</v>
          </cell>
          <cell r="K5472" t="str">
            <v>LCAT</v>
          </cell>
          <cell r="M5472" t="str">
            <v>F</v>
          </cell>
          <cell r="AB5472" t="str">
            <v>serum</v>
          </cell>
          <cell r="AF5472">
            <v>1.4</v>
          </cell>
        </row>
        <row r="5473">
          <cell r="A5473" t="str">
            <v>IS_alqt_plus</v>
          </cell>
          <cell r="K5473" t="str">
            <v>VRUB</v>
          </cell>
          <cell r="M5473" t="str">
            <v>F</v>
          </cell>
          <cell r="AB5473" t="str">
            <v>WB</v>
          </cell>
          <cell r="AF5473">
            <v>0.5</v>
          </cell>
        </row>
        <row r="5474">
          <cell r="A5474" t="str">
            <v>IS_alqt_plus</v>
          </cell>
          <cell r="K5474" t="str">
            <v>VRUB</v>
          </cell>
          <cell r="M5474" t="str">
            <v>F</v>
          </cell>
          <cell r="AB5474" t="str">
            <v>serum</v>
          </cell>
          <cell r="AF5474">
            <v>1.3</v>
          </cell>
        </row>
        <row r="5475">
          <cell r="A5475" t="str">
            <v>IS_alqt_plus</v>
          </cell>
          <cell r="K5475" t="str">
            <v>PCOQ</v>
          </cell>
          <cell r="M5475" t="str">
            <v>F</v>
          </cell>
          <cell r="AB5475" t="str">
            <v>serum</v>
          </cell>
          <cell r="AF5475">
            <v>0.85</v>
          </cell>
        </row>
        <row r="5476">
          <cell r="A5476" t="str">
            <v>IS_alqt_plus</v>
          </cell>
          <cell r="K5476" t="str">
            <v>PCOQ</v>
          </cell>
          <cell r="M5476" t="str">
            <v>M</v>
          </cell>
          <cell r="AB5476" t="str">
            <v>serum</v>
          </cell>
          <cell r="AF5476">
            <v>0.8</v>
          </cell>
        </row>
        <row r="5477">
          <cell r="A5477" t="str">
            <v>unk</v>
          </cell>
          <cell r="K5477" t="str">
            <v>PCOQ</v>
          </cell>
          <cell r="M5477" t="str">
            <v>M</v>
          </cell>
          <cell r="AB5477" t="str">
            <v>serum</v>
          </cell>
          <cell r="AF5477">
            <v>0.7</v>
          </cell>
        </row>
        <row r="5478">
          <cell r="A5478" t="str">
            <v>IS_alqt_plus</v>
          </cell>
          <cell r="K5478" t="str">
            <v>ECOL</v>
          </cell>
          <cell r="M5478" t="str">
            <v>M</v>
          </cell>
          <cell r="AB5478" t="str">
            <v>serum</v>
          </cell>
          <cell r="AF5478">
            <v>1.5</v>
          </cell>
        </row>
        <row r="5479">
          <cell r="A5479" t="str">
            <v>IS_alqt_plus</v>
          </cell>
          <cell r="K5479" t="str">
            <v>ECOL</v>
          </cell>
          <cell r="M5479" t="str">
            <v>M</v>
          </cell>
          <cell r="AB5479" t="str">
            <v>serum</v>
          </cell>
          <cell r="AF5479">
            <v>1.5</v>
          </cell>
        </row>
        <row r="5480">
          <cell r="A5480" t="str">
            <v>IS_alqt_plus</v>
          </cell>
          <cell r="K5480" t="str">
            <v>ECOL</v>
          </cell>
          <cell r="M5480" t="str">
            <v>M</v>
          </cell>
          <cell r="AB5480" t="str">
            <v>serum</v>
          </cell>
          <cell r="AF5480">
            <v>1.5</v>
          </cell>
        </row>
        <row r="5481">
          <cell r="A5481" t="str">
            <v>IS_alqt_plus</v>
          </cell>
          <cell r="K5481" t="str">
            <v>ECOL</v>
          </cell>
          <cell r="M5481" t="str">
            <v>M</v>
          </cell>
          <cell r="AB5481" t="str">
            <v>serum</v>
          </cell>
          <cell r="AF5481">
            <v>1.5</v>
          </cell>
        </row>
        <row r="5482">
          <cell r="A5482" t="str">
            <v>IS_alqt_plus</v>
          </cell>
          <cell r="K5482" t="str">
            <v>ECOL</v>
          </cell>
          <cell r="M5482" t="str">
            <v>M</v>
          </cell>
          <cell r="AB5482" t="str">
            <v>serum</v>
          </cell>
          <cell r="AF5482">
            <v>1.5</v>
          </cell>
        </row>
        <row r="5483">
          <cell r="A5483" t="str">
            <v>IS_alqt_plus</v>
          </cell>
          <cell r="K5483" t="str">
            <v>ECOL</v>
          </cell>
          <cell r="M5483" t="str">
            <v>M</v>
          </cell>
          <cell r="AB5483" t="str">
            <v>serum</v>
          </cell>
          <cell r="AF5483">
            <v>1.2</v>
          </cell>
        </row>
        <row r="5484">
          <cell r="A5484" t="str">
            <v>IS_alqt_plus</v>
          </cell>
          <cell r="K5484" t="str">
            <v>ECOL</v>
          </cell>
          <cell r="M5484" t="str">
            <v>M</v>
          </cell>
          <cell r="AB5484" t="str">
            <v>serum</v>
          </cell>
          <cell r="AF5484">
            <v>1.5</v>
          </cell>
        </row>
        <row r="5485">
          <cell r="A5485" t="str">
            <v>IS_alqt_plus</v>
          </cell>
          <cell r="K5485" t="str">
            <v>ECOL</v>
          </cell>
          <cell r="M5485" t="str">
            <v>M</v>
          </cell>
          <cell r="AB5485" t="str">
            <v>serum</v>
          </cell>
          <cell r="AF5485">
            <v>1.5</v>
          </cell>
        </row>
        <row r="5486">
          <cell r="A5486" t="str">
            <v>IS_alqt_plus</v>
          </cell>
          <cell r="K5486" t="str">
            <v>ECOL</v>
          </cell>
          <cell r="M5486" t="str">
            <v>M</v>
          </cell>
          <cell r="AB5486" t="str">
            <v>serum</v>
          </cell>
          <cell r="AF5486">
            <v>1.5</v>
          </cell>
        </row>
        <row r="5487">
          <cell r="A5487" t="str">
            <v>IS_alqt_plus</v>
          </cell>
          <cell r="K5487" t="str">
            <v>ECOL</v>
          </cell>
          <cell r="M5487" t="str">
            <v>M</v>
          </cell>
          <cell r="AB5487" t="str">
            <v>serum</v>
          </cell>
          <cell r="AF5487">
            <v>1.4</v>
          </cell>
        </row>
        <row r="5488">
          <cell r="A5488" t="str">
            <v>IS_alqt_plus</v>
          </cell>
          <cell r="K5488" t="str">
            <v>ECOL</v>
          </cell>
          <cell r="M5488" t="str">
            <v>M</v>
          </cell>
          <cell r="AB5488" t="str">
            <v>serum</v>
          </cell>
          <cell r="AF5488">
            <v>1.5</v>
          </cell>
        </row>
        <row r="5489">
          <cell r="A5489" t="str">
            <v>IS_alqt_plus</v>
          </cell>
          <cell r="K5489" t="str">
            <v>ECOL</v>
          </cell>
          <cell r="M5489" t="str">
            <v>M</v>
          </cell>
          <cell r="AB5489" t="str">
            <v>serum</v>
          </cell>
          <cell r="AF5489">
            <v>1.5</v>
          </cell>
        </row>
        <row r="5490">
          <cell r="A5490" t="str">
            <v>IS_alqt_plus</v>
          </cell>
          <cell r="K5490" t="str">
            <v>ECOL</v>
          </cell>
          <cell r="M5490" t="str">
            <v>M</v>
          </cell>
          <cell r="AB5490" t="str">
            <v>serum</v>
          </cell>
          <cell r="AF5490">
            <v>1.5</v>
          </cell>
        </row>
        <row r="5491">
          <cell r="A5491" t="str">
            <v>IS_alqt_plus</v>
          </cell>
          <cell r="K5491" t="str">
            <v>ECOL</v>
          </cell>
          <cell r="M5491" t="str">
            <v>M</v>
          </cell>
          <cell r="AB5491" t="str">
            <v>serum</v>
          </cell>
          <cell r="AF5491">
            <v>1</v>
          </cell>
        </row>
        <row r="5492">
          <cell r="A5492" t="str">
            <v>gone</v>
          </cell>
          <cell r="K5492" t="str">
            <v>ECOL</v>
          </cell>
          <cell r="M5492" t="str">
            <v>M</v>
          </cell>
          <cell r="AB5492" t="str">
            <v>WB</v>
          </cell>
          <cell r="AF5492">
            <v>0</v>
          </cell>
        </row>
        <row r="5493">
          <cell r="A5493" t="str">
            <v>IS_alqt_plus</v>
          </cell>
          <cell r="K5493" t="str">
            <v>ECOL</v>
          </cell>
          <cell r="M5493" t="str">
            <v>M</v>
          </cell>
          <cell r="AB5493" t="str">
            <v>WB</v>
          </cell>
          <cell r="AF5493">
            <v>1.3</v>
          </cell>
        </row>
        <row r="5494">
          <cell r="A5494" t="str">
            <v>IS_alqt_plus</v>
          </cell>
          <cell r="K5494" t="str">
            <v>ECOL</v>
          </cell>
          <cell r="M5494" t="str">
            <v>M</v>
          </cell>
          <cell r="AB5494" t="str">
            <v>WB</v>
          </cell>
          <cell r="AF5494">
            <v>1.3</v>
          </cell>
        </row>
        <row r="5495">
          <cell r="A5495" t="str">
            <v>IS_alqt_plus</v>
          </cell>
          <cell r="K5495" t="str">
            <v>ECOL</v>
          </cell>
          <cell r="M5495" t="str">
            <v>M</v>
          </cell>
          <cell r="AB5495" t="str">
            <v>WB</v>
          </cell>
          <cell r="AF5495">
            <v>1.3</v>
          </cell>
        </row>
        <row r="5496">
          <cell r="A5496" t="str">
            <v>IS_alqt_plus</v>
          </cell>
          <cell r="K5496" t="str">
            <v>ECOL</v>
          </cell>
          <cell r="M5496" t="str">
            <v>M</v>
          </cell>
          <cell r="AB5496" t="str">
            <v>WB</v>
          </cell>
          <cell r="AF5496">
            <v>1.3</v>
          </cell>
        </row>
        <row r="5497">
          <cell r="A5497" t="str">
            <v>IS_alqt_plus</v>
          </cell>
          <cell r="K5497" t="str">
            <v>ECOL</v>
          </cell>
          <cell r="M5497" t="str">
            <v>M</v>
          </cell>
          <cell r="AB5497" t="str">
            <v>WB</v>
          </cell>
          <cell r="AF5497">
            <v>1.3</v>
          </cell>
        </row>
        <row r="5498">
          <cell r="A5498" t="str">
            <v>IS_alqt_plus</v>
          </cell>
          <cell r="K5498" t="str">
            <v>ECOL</v>
          </cell>
          <cell r="M5498" t="str">
            <v>M</v>
          </cell>
          <cell r="AB5498" t="str">
            <v>WB</v>
          </cell>
          <cell r="AF5498">
            <v>1.3</v>
          </cell>
        </row>
        <row r="5499">
          <cell r="A5499" t="str">
            <v>IS_alqt_plus</v>
          </cell>
          <cell r="K5499" t="str">
            <v>ECOL</v>
          </cell>
          <cell r="M5499" t="str">
            <v>M</v>
          </cell>
          <cell r="AB5499" t="str">
            <v>WB</v>
          </cell>
          <cell r="AF5499">
            <v>1.3</v>
          </cell>
        </row>
        <row r="5500">
          <cell r="A5500" t="str">
            <v>IS_alqt_plus</v>
          </cell>
          <cell r="K5500" t="str">
            <v>EUL</v>
          </cell>
          <cell r="M5500" t="str">
            <v>F</v>
          </cell>
          <cell r="AB5500" t="str">
            <v>unk</v>
          </cell>
          <cell r="AF5500">
            <v>0.3</v>
          </cell>
        </row>
        <row r="5501">
          <cell r="A5501" t="str">
            <v>IS_alqt_plus</v>
          </cell>
          <cell r="K5501" t="str">
            <v>PCOQ</v>
          </cell>
          <cell r="M5501" t="str">
            <v>F</v>
          </cell>
          <cell r="AB5501" t="str">
            <v>bile</v>
          </cell>
          <cell r="AF5501">
            <v>1</v>
          </cell>
        </row>
        <row r="5502">
          <cell r="A5502" t="str">
            <v>IS_alqt_plus</v>
          </cell>
          <cell r="K5502" t="str">
            <v>PTAT</v>
          </cell>
          <cell r="M5502" t="str">
            <v>F</v>
          </cell>
          <cell r="AB5502" t="str">
            <v>unk</v>
          </cell>
          <cell r="AF5502">
            <v>0.75</v>
          </cell>
        </row>
        <row r="5503">
          <cell r="A5503" t="str">
            <v>IS_alqt_plus</v>
          </cell>
          <cell r="K5503" t="str">
            <v>PTAT</v>
          </cell>
          <cell r="M5503" t="str">
            <v>F</v>
          </cell>
          <cell r="AB5503" t="str">
            <v>unk</v>
          </cell>
          <cell r="AF5503">
            <v>1.5</v>
          </cell>
        </row>
        <row r="5504">
          <cell r="A5504" t="str">
            <v>IS_alqt_plus</v>
          </cell>
          <cell r="K5504" t="str">
            <v>EMAC</v>
          </cell>
          <cell r="M5504" t="str">
            <v>M</v>
          </cell>
          <cell r="AB5504" t="str">
            <v>WB</v>
          </cell>
          <cell r="AF5504">
            <v>1</v>
          </cell>
        </row>
        <row r="5505">
          <cell r="A5505" t="str">
            <v>IS_alqt_plus</v>
          </cell>
          <cell r="K5505" t="str">
            <v>EMAC</v>
          </cell>
          <cell r="M5505" t="str">
            <v>M</v>
          </cell>
          <cell r="AB5505" t="str">
            <v>WB</v>
          </cell>
          <cell r="AF5505">
            <v>1</v>
          </cell>
        </row>
        <row r="5506">
          <cell r="A5506" t="str">
            <v>IS_alqt_plus</v>
          </cell>
          <cell r="K5506" t="str">
            <v>EMAC</v>
          </cell>
          <cell r="M5506" t="str">
            <v>M</v>
          </cell>
          <cell r="AB5506" t="str">
            <v>WB</v>
          </cell>
          <cell r="AF5506">
            <v>1</v>
          </cell>
        </row>
        <row r="5507">
          <cell r="A5507" t="str">
            <v>IS_alqt_plus</v>
          </cell>
          <cell r="K5507" t="str">
            <v>EMAC</v>
          </cell>
          <cell r="M5507" t="str">
            <v>M</v>
          </cell>
          <cell r="AB5507" t="str">
            <v>WB</v>
          </cell>
          <cell r="AF5507">
            <v>1</v>
          </cell>
        </row>
        <row r="5508">
          <cell r="A5508" t="str">
            <v>IS_alqt_plus</v>
          </cell>
          <cell r="K5508" t="str">
            <v>EMAC</v>
          </cell>
          <cell r="M5508" t="str">
            <v>M</v>
          </cell>
          <cell r="AB5508" t="str">
            <v>WB</v>
          </cell>
          <cell r="AF5508">
            <v>1</v>
          </cell>
        </row>
        <row r="5509">
          <cell r="A5509" t="str">
            <v>IS_alqt_plus</v>
          </cell>
          <cell r="K5509" t="str">
            <v>EMAC</v>
          </cell>
          <cell r="M5509" t="str">
            <v>M</v>
          </cell>
          <cell r="AB5509" t="str">
            <v>WB</v>
          </cell>
          <cell r="AF5509">
            <v>1</v>
          </cell>
        </row>
        <row r="5510">
          <cell r="A5510" t="str">
            <v>IS_alqt_plus</v>
          </cell>
          <cell r="K5510" t="str">
            <v>EMAC</v>
          </cell>
          <cell r="M5510" t="str">
            <v>M</v>
          </cell>
          <cell r="AB5510" t="str">
            <v>WB</v>
          </cell>
          <cell r="AF5510">
            <v>1</v>
          </cell>
        </row>
        <row r="5511">
          <cell r="A5511" t="str">
            <v>IS_alqt_plus</v>
          </cell>
          <cell r="K5511" t="str">
            <v>EMAC</v>
          </cell>
          <cell r="M5511" t="str">
            <v>M</v>
          </cell>
          <cell r="AB5511" t="str">
            <v>WB</v>
          </cell>
          <cell r="AF5511">
            <v>1</v>
          </cell>
        </row>
        <row r="5512">
          <cell r="A5512" t="str">
            <v>IS_alqt_plus</v>
          </cell>
          <cell r="K5512" t="str">
            <v>EMAC</v>
          </cell>
          <cell r="M5512" t="str">
            <v>M</v>
          </cell>
          <cell r="AB5512" t="str">
            <v>WB</v>
          </cell>
          <cell r="AF5512">
            <v>1</v>
          </cell>
        </row>
        <row r="5513">
          <cell r="A5513" t="str">
            <v>gone</v>
          </cell>
          <cell r="K5513" t="str">
            <v>EMAC</v>
          </cell>
          <cell r="M5513" t="str">
            <v>M</v>
          </cell>
          <cell r="AB5513" t="str">
            <v>WB</v>
          </cell>
          <cell r="AF5513">
            <v>0</v>
          </cell>
        </row>
        <row r="5514">
          <cell r="A5514" t="str">
            <v>IS_alqt_plus</v>
          </cell>
          <cell r="K5514" t="str">
            <v>EMAC</v>
          </cell>
          <cell r="M5514" t="str">
            <v>M</v>
          </cell>
          <cell r="AB5514" t="str">
            <v>WB</v>
          </cell>
          <cell r="AF5514">
            <v>1</v>
          </cell>
        </row>
        <row r="5515">
          <cell r="A5515" t="str">
            <v>IS_alqt_plus</v>
          </cell>
          <cell r="K5515" t="str">
            <v>EMAC</v>
          </cell>
          <cell r="M5515" t="str">
            <v>M</v>
          </cell>
          <cell r="AB5515" t="str">
            <v>WB</v>
          </cell>
          <cell r="AF5515">
            <v>1</v>
          </cell>
        </row>
        <row r="5516">
          <cell r="A5516" t="str">
            <v>IS_alqt_plus</v>
          </cell>
          <cell r="K5516" t="str">
            <v>EMAC</v>
          </cell>
          <cell r="M5516" t="str">
            <v>M</v>
          </cell>
          <cell r="AB5516" t="str">
            <v>WB</v>
          </cell>
          <cell r="AF5516">
            <v>0.75</v>
          </cell>
        </row>
        <row r="5517">
          <cell r="A5517" t="str">
            <v>IS_alqt_plus</v>
          </cell>
          <cell r="K5517" t="str">
            <v>EMAC</v>
          </cell>
          <cell r="M5517" t="str">
            <v>M</v>
          </cell>
          <cell r="AB5517" t="str">
            <v>WB</v>
          </cell>
          <cell r="AF5517">
            <v>1</v>
          </cell>
        </row>
        <row r="5518">
          <cell r="A5518" t="str">
            <v>IS_alqt_plus</v>
          </cell>
          <cell r="K5518" t="str">
            <v>EMAC</v>
          </cell>
          <cell r="M5518" t="str">
            <v>M</v>
          </cell>
          <cell r="AB5518" t="str">
            <v>WB</v>
          </cell>
          <cell r="AF5518">
            <v>1</v>
          </cell>
        </row>
        <row r="5519">
          <cell r="A5519" t="str">
            <v>IS_alqt_plus</v>
          </cell>
          <cell r="K5519" t="str">
            <v>EMAC</v>
          </cell>
          <cell r="M5519" t="str">
            <v>M</v>
          </cell>
          <cell r="AB5519" t="str">
            <v>WB</v>
          </cell>
          <cell r="AF5519">
            <v>1</v>
          </cell>
        </row>
        <row r="5520">
          <cell r="A5520" t="str">
            <v>IS_alqt_plus</v>
          </cell>
          <cell r="K5520" t="str">
            <v>EMAC</v>
          </cell>
          <cell r="M5520" t="str">
            <v>M</v>
          </cell>
          <cell r="AB5520" t="str">
            <v>WB</v>
          </cell>
          <cell r="AF5520">
            <v>1</v>
          </cell>
        </row>
        <row r="5521">
          <cell r="A5521" t="str">
            <v>IS_alqt_plus</v>
          </cell>
          <cell r="K5521" t="str">
            <v>EMAC</v>
          </cell>
          <cell r="M5521" t="str">
            <v>M</v>
          </cell>
          <cell r="AB5521" t="str">
            <v>WB</v>
          </cell>
          <cell r="AF5521">
            <v>1</v>
          </cell>
        </row>
        <row r="5522">
          <cell r="A5522" t="str">
            <v>IS_alqt_plus</v>
          </cell>
          <cell r="K5522" t="str">
            <v>EMAC</v>
          </cell>
          <cell r="M5522" t="str">
            <v>M</v>
          </cell>
          <cell r="AB5522" t="str">
            <v>WB</v>
          </cell>
          <cell r="AF5522">
            <v>1</v>
          </cell>
        </row>
        <row r="5523">
          <cell r="A5523" t="str">
            <v>IS_alqt_plus</v>
          </cell>
          <cell r="K5523" t="str">
            <v>EMAC</v>
          </cell>
          <cell r="M5523" t="str">
            <v>M</v>
          </cell>
          <cell r="AB5523" t="str">
            <v>WB</v>
          </cell>
          <cell r="AF5523">
            <v>1</v>
          </cell>
        </row>
        <row r="5524">
          <cell r="A5524" t="str">
            <v>IS_alqt_plus</v>
          </cell>
          <cell r="K5524" t="str">
            <v>EMAC</v>
          </cell>
          <cell r="M5524" t="str">
            <v>M</v>
          </cell>
          <cell r="AB5524" t="str">
            <v>serum</v>
          </cell>
          <cell r="AF5524">
            <v>1</v>
          </cell>
        </row>
        <row r="5525">
          <cell r="A5525" t="str">
            <v>IS_alqt_plus</v>
          </cell>
          <cell r="K5525" t="str">
            <v>EMAC</v>
          </cell>
          <cell r="M5525" t="str">
            <v>M</v>
          </cell>
          <cell r="AB5525" t="str">
            <v>serum</v>
          </cell>
          <cell r="AF5525">
            <v>1</v>
          </cell>
        </row>
        <row r="5526">
          <cell r="A5526" t="str">
            <v>IS_alqt_plus</v>
          </cell>
          <cell r="K5526" t="str">
            <v>EMAC</v>
          </cell>
          <cell r="M5526" t="str">
            <v>M</v>
          </cell>
          <cell r="AB5526" t="str">
            <v>serum</v>
          </cell>
          <cell r="AF5526">
            <v>1</v>
          </cell>
        </row>
        <row r="5527">
          <cell r="A5527" t="str">
            <v>IS_alqt_plus</v>
          </cell>
          <cell r="K5527" t="str">
            <v>EMAC</v>
          </cell>
          <cell r="M5527" t="str">
            <v>M</v>
          </cell>
          <cell r="AB5527" t="str">
            <v>serum</v>
          </cell>
          <cell r="AF5527">
            <v>1</v>
          </cell>
        </row>
        <row r="5528">
          <cell r="A5528" t="str">
            <v>IS_alqt_plus</v>
          </cell>
          <cell r="K5528" t="str">
            <v>EMAC</v>
          </cell>
          <cell r="M5528" t="str">
            <v>M</v>
          </cell>
          <cell r="AB5528" t="str">
            <v>serum</v>
          </cell>
          <cell r="AF5528">
            <v>0.75</v>
          </cell>
        </row>
        <row r="5529">
          <cell r="A5529" t="str">
            <v>IS_alqt_plus</v>
          </cell>
          <cell r="K5529" t="str">
            <v>EMAC</v>
          </cell>
          <cell r="M5529" t="str">
            <v>M</v>
          </cell>
          <cell r="AB5529" t="str">
            <v>serum</v>
          </cell>
          <cell r="AF5529">
            <v>1</v>
          </cell>
        </row>
        <row r="5530">
          <cell r="A5530" t="str">
            <v>IS_alqt_plus</v>
          </cell>
          <cell r="K5530" t="str">
            <v>EMAC</v>
          </cell>
          <cell r="M5530" t="str">
            <v>M</v>
          </cell>
          <cell r="AB5530" t="str">
            <v>serum</v>
          </cell>
          <cell r="AF5530">
            <v>1</v>
          </cell>
        </row>
        <row r="5531">
          <cell r="A5531" t="str">
            <v>IS_alqt_plus</v>
          </cell>
          <cell r="K5531" t="str">
            <v>EMAC</v>
          </cell>
          <cell r="M5531" t="str">
            <v>M</v>
          </cell>
          <cell r="AB5531" t="str">
            <v>serum</v>
          </cell>
          <cell r="AF5531">
            <v>1</v>
          </cell>
        </row>
        <row r="5532">
          <cell r="A5532" t="str">
            <v>IS_alqt_plus</v>
          </cell>
          <cell r="K5532" t="str">
            <v>EMAC</v>
          </cell>
          <cell r="M5532" t="str">
            <v>M</v>
          </cell>
          <cell r="AB5532" t="str">
            <v>serum</v>
          </cell>
          <cell r="AF5532">
            <v>1</v>
          </cell>
        </row>
        <row r="5533">
          <cell r="A5533" t="str">
            <v>IS_alqt_plus</v>
          </cell>
          <cell r="K5533" t="str">
            <v>EMAC</v>
          </cell>
          <cell r="M5533" t="str">
            <v>M</v>
          </cell>
          <cell r="AB5533" t="str">
            <v>serum</v>
          </cell>
          <cell r="AF5533">
            <v>0.9</v>
          </cell>
        </row>
        <row r="5534">
          <cell r="A5534" t="str">
            <v>IS_alqt_plus</v>
          </cell>
          <cell r="K5534" t="str">
            <v>EMAC</v>
          </cell>
          <cell r="M5534" t="str">
            <v>M</v>
          </cell>
          <cell r="AB5534" t="str">
            <v>serum</v>
          </cell>
          <cell r="AF5534">
            <v>1</v>
          </cell>
        </row>
        <row r="5535">
          <cell r="A5535" t="str">
            <v>IS_alqt_plus</v>
          </cell>
          <cell r="K5535" t="str">
            <v>EMAC</v>
          </cell>
          <cell r="M5535" t="str">
            <v>M</v>
          </cell>
          <cell r="AB5535" t="str">
            <v>serum</v>
          </cell>
          <cell r="AF5535">
            <v>1</v>
          </cell>
        </row>
        <row r="5536">
          <cell r="A5536" t="str">
            <v>IS_alqt_plus</v>
          </cell>
          <cell r="K5536" t="str">
            <v>EMAC</v>
          </cell>
          <cell r="M5536" t="str">
            <v>M</v>
          </cell>
          <cell r="AB5536" t="str">
            <v>serum</v>
          </cell>
          <cell r="AF5536">
            <v>1</v>
          </cell>
        </row>
        <row r="5537">
          <cell r="A5537" t="str">
            <v>IS_alqt_plus</v>
          </cell>
          <cell r="K5537" t="str">
            <v>EMAC</v>
          </cell>
          <cell r="M5537" t="str">
            <v>M</v>
          </cell>
          <cell r="AB5537" t="str">
            <v>serum</v>
          </cell>
          <cell r="AF5537">
            <v>1</v>
          </cell>
        </row>
        <row r="5538">
          <cell r="A5538" t="str">
            <v>IS_alqt_plus</v>
          </cell>
          <cell r="K5538" t="str">
            <v>EMAC</v>
          </cell>
          <cell r="M5538" t="str">
            <v>M</v>
          </cell>
          <cell r="AB5538" t="str">
            <v>serum</v>
          </cell>
          <cell r="AF5538">
            <v>1</v>
          </cell>
        </row>
        <row r="5539">
          <cell r="A5539" t="str">
            <v>IS_alqt_plus</v>
          </cell>
          <cell r="K5539" t="str">
            <v>EMAC</v>
          </cell>
          <cell r="M5539" t="str">
            <v>M</v>
          </cell>
          <cell r="AB5539" t="str">
            <v>serum</v>
          </cell>
          <cell r="AF5539">
            <v>1</v>
          </cell>
        </row>
        <row r="5540">
          <cell r="A5540" t="str">
            <v>IS_alqt_plus</v>
          </cell>
          <cell r="K5540" t="str">
            <v>EMAC</v>
          </cell>
          <cell r="M5540" t="str">
            <v>M</v>
          </cell>
          <cell r="AB5540" t="str">
            <v>serum</v>
          </cell>
          <cell r="AF5540">
            <v>1</v>
          </cell>
        </row>
        <row r="5541">
          <cell r="A5541" t="str">
            <v>IS_alqt_plus</v>
          </cell>
          <cell r="K5541" t="str">
            <v>EMAC</v>
          </cell>
          <cell r="M5541" t="str">
            <v>M</v>
          </cell>
          <cell r="AB5541" t="str">
            <v>serum</v>
          </cell>
          <cell r="AF5541">
            <v>1</v>
          </cell>
        </row>
        <row r="5542">
          <cell r="A5542" t="str">
            <v>IS_alqt_plus</v>
          </cell>
          <cell r="K5542" t="str">
            <v>EMAC</v>
          </cell>
          <cell r="M5542" t="str">
            <v>M</v>
          </cell>
          <cell r="AB5542" t="str">
            <v>serum</v>
          </cell>
          <cell r="AF5542">
            <v>1</v>
          </cell>
        </row>
        <row r="5543">
          <cell r="A5543" t="str">
            <v>unk</v>
          </cell>
          <cell r="K5543" t="str">
            <v>EMAC</v>
          </cell>
          <cell r="M5543" t="str">
            <v>M</v>
          </cell>
          <cell r="AB5543" t="str">
            <v>serum</v>
          </cell>
          <cell r="AF5543">
            <v>1</v>
          </cell>
        </row>
        <row r="5544">
          <cell r="A5544" t="str">
            <v>unk</v>
          </cell>
          <cell r="K5544" t="str">
            <v>VVV</v>
          </cell>
          <cell r="M5544" t="str">
            <v>M</v>
          </cell>
          <cell r="AB5544" t="str">
            <v>WB</v>
          </cell>
          <cell r="AF5544">
            <v>2</v>
          </cell>
        </row>
        <row r="5545">
          <cell r="A5545" t="str">
            <v>IS_alqt_plus</v>
          </cell>
          <cell r="K5545" t="str">
            <v>VVV</v>
          </cell>
          <cell r="M5545" t="str">
            <v>M</v>
          </cell>
          <cell r="AB5545" t="str">
            <v>WB</v>
          </cell>
          <cell r="AF5545">
            <v>0.8</v>
          </cell>
        </row>
        <row r="5546">
          <cell r="A5546" t="str">
            <v>IS_alqt_plus</v>
          </cell>
          <cell r="K5546" t="str">
            <v>VVV</v>
          </cell>
          <cell r="M5546" t="str">
            <v>M</v>
          </cell>
          <cell r="AB5546" t="str">
            <v>serum</v>
          </cell>
          <cell r="AF5546">
            <v>0.9</v>
          </cell>
        </row>
        <row r="5547">
          <cell r="A5547" t="str">
            <v>IS_alqt_plus</v>
          </cell>
          <cell r="K5547" t="str">
            <v>VVV</v>
          </cell>
          <cell r="M5547" t="str">
            <v>M</v>
          </cell>
          <cell r="AB5547" t="str">
            <v>serum</v>
          </cell>
          <cell r="AF5547">
            <v>0.5</v>
          </cell>
        </row>
        <row r="5548">
          <cell r="A5548" t="str">
            <v>IS_alqt_plus</v>
          </cell>
          <cell r="K5548" t="str">
            <v>LCAT</v>
          </cell>
          <cell r="M5548" t="str">
            <v>F</v>
          </cell>
          <cell r="AB5548" t="str">
            <v>WB</v>
          </cell>
          <cell r="AF5548">
            <v>1</v>
          </cell>
        </row>
        <row r="5549">
          <cell r="A5549" t="str">
            <v>gone</v>
          </cell>
          <cell r="K5549" t="str">
            <v>LCAT</v>
          </cell>
          <cell r="M5549" t="str">
            <v>M</v>
          </cell>
          <cell r="AB5549" t="str">
            <v>serum</v>
          </cell>
          <cell r="AF5549">
            <v>0</v>
          </cell>
        </row>
        <row r="5550">
          <cell r="A5550" t="str">
            <v>IS_alqt_plus</v>
          </cell>
          <cell r="K5550" t="str">
            <v>LCAT</v>
          </cell>
          <cell r="M5550" t="str">
            <v>M</v>
          </cell>
          <cell r="AB5550" t="str">
            <v>serum</v>
          </cell>
          <cell r="AF5550">
            <v>1.1000000000000001</v>
          </cell>
        </row>
        <row r="5551">
          <cell r="A5551" t="str">
            <v>IS_alqt_plus</v>
          </cell>
          <cell r="K5551" t="str">
            <v>LCAT</v>
          </cell>
          <cell r="M5551" t="str">
            <v>M</v>
          </cell>
          <cell r="AB5551" t="str">
            <v>serum</v>
          </cell>
          <cell r="AF5551">
            <v>1.4</v>
          </cell>
        </row>
        <row r="5552">
          <cell r="A5552" t="str">
            <v>IS_alqt_plus</v>
          </cell>
          <cell r="K5552" t="str">
            <v>LCAT</v>
          </cell>
          <cell r="M5552" t="str">
            <v>M</v>
          </cell>
          <cell r="AB5552" t="str">
            <v>serum</v>
          </cell>
          <cell r="AF5552">
            <v>1.1000000000000001</v>
          </cell>
        </row>
        <row r="5553">
          <cell r="A5553" t="str">
            <v>IS_alqt_plus</v>
          </cell>
          <cell r="K5553" t="str">
            <v>PCOQ</v>
          </cell>
          <cell r="M5553" t="str">
            <v>F</v>
          </cell>
          <cell r="AB5553" t="str">
            <v>serum</v>
          </cell>
          <cell r="AF5553">
            <v>0.4</v>
          </cell>
        </row>
        <row r="5554">
          <cell r="A5554" t="str">
            <v>IS_alqt_plus</v>
          </cell>
          <cell r="K5554" t="str">
            <v>DMAD</v>
          </cell>
          <cell r="M5554" t="str">
            <v>F</v>
          </cell>
          <cell r="AB5554" t="str">
            <v>serum</v>
          </cell>
          <cell r="AF5554">
            <v>0.4</v>
          </cell>
        </row>
        <row r="5555">
          <cell r="A5555" t="str">
            <v>gone</v>
          </cell>
          <cell r="K5555" t="str">
            <v>MMUR</v>
          </cell>
          <cell r="M5555" t="str">
            <v>M</v>
          </cell>
          <cell r="AB5555" t="str">
            <v>WB</v>
          </cell>
          <cell r="AF5555">
            <v>0</v>
          </cell>
        </row>
        <row r="5556">
          <cell r="A5556" t="str">
            <v>IS_alqt_minus</v>
          </cell>
          <cell r="K5556" t="str">
            <v>CMED</v>
          </cell>
          <cell r="M5556" t="str">
            <v>F</v>
          </cell>
          <cell r="AB5556" t="str">
            <v>serum</v>
          </cell>
          <cell r="AF5556">
            <v>0.1</v>
          </cell>
        </row>
        <row r="5557">
          <cell r="A5557" t="str">
            <v>IS_alqt_plus</v>
          </cell>
          <cell r="K5557" t="str">
            <v>EMAC</v>
          </cell>
          <cell r="M5557" t="str">
            <v>M</v>
          </cell>
          <cell r="AB5557" t="str">
            <v>WB</v>
          </cell>
          <cell r="AF5557">
            <v>1.3</v>
          </cell>
        </row>
        <row r="5558">
          <cell r="A5558" t="str">
            <v>IS_alqt_plus</v>
          </cell>
          <cell r="K5558" t="str">
            <v>EMAC</v>
          </cell>
          <cell r="M5558" t="str">
            <v>M</v>
          </cell>
          <cell r="AB5558" t="str">
            <v>WB</v>
          </cell>
          <cell r="AF5558">
            <v>1.3</v>
          </cell>
        </row>
        <row r="5559">
          <cell r="A5559" t="str">
            <v>IS_alqt_plus</v>
          </cell>
          <cell r="K5559" t="str">
            <v>EMAC</v>
          </cell>
          <cell r="M5559" t="str">
            <v>M</v>
          </cell>
          <cell r="AB5559" t="str">
            <v>WB</v>
          </cell>
          <cell r="AF5559">
            <v>1</v>
          </cell>
        </row>
        <row r="5560">
          <cell r="A5560" t="str">
            <v>IS_alqt_plus</v>
          </cell>
          <cell r="K5560" t="str">
            <v>EMAC</v>
          </cell>
          <cell r="M5560" t="str">
            <v>M</v>
          </cell>
          <cell r="AB5560" t="str">
            <v>WB</v>
          </cell>
          <cell r="AF5560">
            <v>1</v>
          </cell>
        </row>
        <row r="5561">
          <cell r="A5561" t="str">
            <v>IS_alqt_plus</v>
          </cell>
          <cell r="K5561" t="str">
            <v>EMAC</v>
          </cell>
          <cell r="M5561" t="str">
            <v>M</v>
          </cell>
          <cell r="AB5561" t="str">
            <v>WB</v>
          </cell>
          <cell r="AF5561">
            <v>1.3</v>
          </cell>
        </row>
        <row r="5562">
          <cell r="A5562" t="str">
            <v>IS_alqt_plus</v>
          </cell>
          <cell r="K5562" t="str">
            <v>EMAC</v>
          </cell>
          <cell r="M5562" t="str">
            <v>M</v>
          </cell>
          <cell r="AB5562" t="str">
            <v>WB</v>
          </cell>
          <cell r="AF5562">
            <v>1</v>
          </cell>
        </row>
        <row r="5563">
          <cell r="A5563" t="str">
            <v>IS_alqt_plus</v>
          </cell>
          <cell r="K5563" t="str">
            <v>EMAC</v>
          </cell>
          <cell r="M5563" t="str">
            <v>M</v>
          </cell>
          <cell r="AB5563" t="str">
            <v>WB</v>
          </cell>
          <cell r="AF5563">
            <v>1</v>
          </cell>
        </row>
        <row r="5564">
          <cell r="A5564" t="str">
            <v>IS_alqt_plus</v>
          </cell>
          <cell r="K5564" t="str">
            <v>EMAC</v>
          </cell>
          <cell r="M5564" t="str">
            <v>M</v>
          </cell>
          <cell r="AB5564" t="str">
            <v>WB</v>
          </cell>
          <cell r="AF5564">
            <v>1.3</v>
          </cell>
        </row>
        <row r="5565">
          <cell r="A5565" t="str">
            <v>IS_alqt_plus</v>
          </cell>
          <cell r="K5565" t="str">
            <v>EMAC</v>
          </cell>
          <cell r="M5565" t="str">
            <v>M</v>
          </cell>
          <cell r="AB5565" t="str">
            <v>WB</v>
          </cell>
          <cell r="AF5565">
            <v>1.3</v>
          </cell>
        </row>
        <row r="5566">
          <cell r="A5566" t="str">
            <v>IS_alqt_plus</v>
          </cell>
          <cell r="K5566" t="str">
            <v>EMAC</v>
          </cell>
          <cell r="M5566" t="str">
            <v>M</v>
          </cell>
          <cell r="AB5566" t="str">
            <v>WB</v>
          </cell>
          <cell r="AF5566">
            <v>1.3</v>
          </cell>
        </row>
        <row r="5567">
          <cell r="A5567" t="str">
            <v>IS_alqt_plus</v>
          </cell>
          <cell r="K5567" t="str">
            <v>EMAC</v>
          </cell>
          <cell r="M5567" t="str">
            <v>M</v>
          </cell>
          <cell r="AB5567" t="str">
            <v>WB</v>
          </cell>
          <cell r="AF5567">
            <v>1</v>
          </cell>
        </row>
        <row r="5568">
          <cell r="A5568" t="str">
            <v>IS_alqt_plus</v>
          </cell>
          <cell r="K5568" t="str">
            <v>EMAC</v>
          </cell>
          <cell r="M5568" t="str">
            <v>M</v>
          </cell>
          <cell r="AB5568" t="str">
            <v>WB</v>
          </cell>
          <cell r="AF5568">
            <v>1</v>
          </cell>
        </row>
        <row r="5569">
          <cell r="A5569" t="str">
            <v>IS_alqt_plus</v>
          </cell>
          <cell r="K5569" t="str">
            <v>EMAC</v>
          </cell>
          <cell r="M5569" t="str">
            <v>M</v>
          </cell>
          <cell r="AB5569" t="str">
            <v>WB</v>
          </cell>
          <cell r="AF5569">
            <v>1.3</v>
          </cell>
        </row>
        <row r="5570">
          <cell r="A5570" t="str">
            <v>IS_alqt_plus</v>
          </cell>
          <cell r="K5570" t="str">
            <v>EMAC</v>
          </cell>
          <cell r="M5570" t="str">
            <v>M</v>
          </cell>
          <cell r="AB5570" t="str">
            <v>WB</v>
          </cell>
          <cell r="AF5570">
            <v>1</v>
          </cell>
        </row>
        <row r="5571">
          <cell r="A5571" t="str">
            <v>IS_alqt_plus</v>
          </cell>
          <cell r="K5571" t="str">
            <v>EMAC</v>
          </cell>
          <cell r="M5571" t="str">
            <v>M</v>
          </cell>
          <cell r="AB5571" t="str">
            <v>WB</v>
          </cell>
          <cell r="AF5571">
            <v>1.3</v>
          </cell>
        </row>
        <row r="5572">
          <cell r="A5572" t="str">
            <v>IS_alqt_plus</v>
          </cell>
          <cell r="K5572" t="str">
            <v>EMAC</v>
          </cell>
          <cell r="M5572" t="str">
            <v>M</v>
          </cell>
          <cell r="AB5572" t="str">
            <v>WB</v>
          </cell>
          <cell r="AF5572">
            <v>1</v>
          </cell>
        </row>
        <row r="5573">
          <cell r="A5573" t="str">
            <v>IS_alqt_plus</v>
          </cell>
          <cell r="K5573" t="str">
            <v>EMAC</v>
          </cell>
          <cell r="M5573" t="str">
            <v>M</v>
          </cell>
          <cell r="AB5573" t="str">
            <v>WB</v>
          </cell>
          <cell r="AF5573">
            <v>1.3</v>
          </cell>
        </row>
        <row r="5574">
          <cell r="A5574" t="str">
            <v>IS_alqt_plus</v>
          </cell>
          <cell r="K5574" t="str">
            <v>EMAC</v>
          </cell>
          <cell r="M5574" t="str">
            <v>M</v>
          </cell>
          <cell r="AB5574" t="str">
            <v>WB</v>
          </cell>
          <cell r="AF5574">
            <v>1</v>
          </cell>
        </row>
        <row r="5575">
          <cell r="A5575" t="str">
            <v>IS_alqt_plus</v>
          </cell>
          <cell r="K5575" t="str">
            <v>EMAC</v>
          </cell>
          <cell r="M5575" t="str">
            <v>M</v>
          </cell>
          <cell r="AB5575" t="str">
            <v>WB</v>
          </cell>
          <cell r="AF5575">
            <v>1</v>
          </cell>
        </row>
        <row r="5576">
          <cell r="A5576" t="str">
            <v>IS_alqt_plus</v>
          </cell>
          <cell r="K5576" t="str">
            <v>EMAC</v>
          </cell>
          <cell r="M5576" t="str">
            <v>M</v>
          </cell>
          <cell r="AB5576" t="str">
            <v>WB</v>
          </cell>
          <cell r="AF5576">
            <v>1</v>
          </cell>
        </row>
        <row r="5577">
          <cell r="A5577" t="str">
            <v>IS_alqt_plus</v>
          </cell>
          <cell r="K5577" t="str">
            <v>EMAC</v>
          </cell>
          <cell r="M5577" t="str">
            <v>M</v>
          </cell>
          <cell r="AB5577" t="str">
            <v>WB</v>
          </cell>
          <cell r="AF5577">
            <v>1</v>
          </cell>
        </row>
        <row r="5578">
          <cell r="A5578" t="str">
            <v>IS_alqt_plus</v>
          </cell>
          <cell r="K5578" t="str">
            <v>EMAC</v>
          </cell>
          <cell r="M5578" t="str">
            <v>M</v>
          </cell>
          <cell r="AB5578" t="str">
            <v>WB</v>
          </cell>
          <cell r="AF5578">
            <v>1</v>
          </cell>
        </row>
        <row r="5579">
          <cell r="A5579" t="str">
            <v>IS_alqt_plus</v>
          </cell>
          <cell r="K5579" t="str">
            <v>EMAC</v>
          </cell>
          <cell r="M5579" t="str">
            <v>M</v>
          </cell>
          <cell r="AB5579" t="str">
            <v>WB</v>
          </cell>
          <cell r="AF5579">
            <v>1</v>
          </cell>
        </row>
        <row r="5580">
          <cell r="A5580" t="str">
            <v>IS_alqt_plus</v>
          </cell>
          <cell r="K5580" t="str">
            <v>EMAC</v>
          </cell>
          <cell r="M5580" t="str">
            <v>M</v>
          </cell>
          <cell r="AB5580" t="str">
            <v>WB</v>
          </cell>
          <cell r="AF5580">
            <v>1</v>
          </cell>
        </row>
        <row r="5581">
          <cell r="A5581" t="str">
            <v>IS_alqt_plus</v>
          </cell>
          <cell r="K5581" t="str">
            <v>EMAC</v>
          </cell>
          <cell r="M5581" t="str">
            <v>M</v>
          </cell>
          <cell r="AB5581" t="str">
            <v>WB</v>
          </cell>
          <cell r="AF5581">
            <v>1.3</v>
          </cell>
        </row>
        <row r="5582">
          <cell r="A5582" t="str">
            <v>IS_alqt_plus</v>
          </cell>
          <cell r="K5582" t="str">
            <v>EMAC</v>
          </cell>
          <cell r="M5582" t="str">
            <v>M</v>
          </cell>
          <cell r="AB5582" t="str">
            <v>WB</v>
          </cell>
          <cell r="AF5582">
            <v>1.4</v>
          </cell>
        </row>
        <row r="5583">
          <cell r="A5583" t="str">
            <v>gone</v>
          </cell>
          <cell r="K5583" t="str">
            <v>EMAC</v>
          </cell>
          <cell r="M5583" t="str">
            <v>M</v>
          </cell>
          <cell r="AB5583" t="str">
            <v>WB</v>
          </cell>
          <cell r="AF5583">
            <v>0</v>
          </cell>
        </row>
        <row r="5584">
          <cell r="A5584" t="str">
            <v>IS_alqt_plus</v>
          </cell>
          <cell r="K5584" t="str">
            <v>EMAC</v>
          </cell>
          <cell r="M5584" t="str">
            <v>M</v>
          </cell>
          <cell r="AB5584" t="str">
            <v>WB</v>
          </cell>
          <cell r="AF5584">
            <v>1.5</v>
          </cell>
        </row>
        <row r="5585">
          <cell r="A5585" t="str">
            <v>IS_alqt_plus</v>
          </cell>
          <cell r="K5585" t="str">
            <v>EMAC</v>
          </cell>
          <cell r="M5585" t="str">
            <v>M</v>
          </cell>
          <cell r="AB5585" t="str">
            <v>WB</v>
          </cell>
          <cell r="AF5585">
            <v>1.5</v>
          </cell>
        </row>
        <row r="5586">
          <cell r="A5586" t="str">
            <v>IS_alqt_plus</v>
          </cell>
          <cell r="K5586" t="str">
            <v>EMAC</v>
          </cell>
          <cell r="M5586" t="str">
            <v>M</v>
          </cell>
          <cell r="AB5586" t="str">
            <v>WB</v>
          </cell>
          <cell r="AF5586">
            <v>1.4</v>
          </cell>
        </row>
        <row r="5587">
          <cell r="A5587" t="str">
            <v>IS_alqt_plus</v>
          </cell>
          <cell r="K5587" t="str">
            <v>EMAC</v>
          </cell>
          <cell r="M5587" t="str">
            <v>M</v>
          </cell>
          <cell r="AB5587" t="str">
            <v>WB</v>
          </cell>
          <cell r="AF5587">
            <v>1.5</v>
          </cell>
        </row>
        <row r="5588">
          <cell r="A5588" t="str">
            <v>IS_alqt_plus</v>
          </cell>
          <cell r="K5588" t="str">
            <v>EMAC</v>
          </cell>
          <cell r="M5588" t="str">
            <v>M</v>
          </cell>
          <cell r="AB5588" t="str">
            <v>WB</v>
          </cell>
          <cell r="AF5588">
            <v>1.4</v>
          </cell>
        </row>
        <row r="5589">
          <cell r="A5589" t="str">
            <v>IS_alqt_plus</v>
          </cell>
          <cell r="K5589" t="str">
            <v>EMAC</v>
          </cell>
          <cell r="M5589" t="str">
            <v>M</v>
          </cell>
          <cell r="AB5589" t="str">
            <v>WB</v>
          </cell>
          <cell r="AF5589">
            <v>1.25</v>
          </cell>
        </row>
        <row r="5590">
          <cell r="A5590" t="str">
            <v>IS_alqt_plus</v>
          </cell>
          <cell r="K5590" t="str">
            <v>EMAC</v>
          </cell>
          <cell r="M5590" t="str">
            <v>M</v>
          </cell>
          <cell r="AB5590" t="str">
            <v>WB</v>
          </cell>
          <cell r="AF5590">
            <v>1</v>
          </cell>
        </row>
        <row r="5591">
          <cell r="A5591" t="str">
            <v>IS_alqt_plus</v>
          </cell>
          <cell r="K5591" t="str">
            <v>EMAC</v>
          </cell>
          <cell r="M5591" t="str">
            <v>M</v>
          </cell>
          <cell r="AB5591" t="str">
            <v>WB</v>
          </cell>
          <cell r="AF5591">
            <v>1.4</v>
          </cell>
        </row>
        <row r="5592">
          <cell r="A5592" t="str">
            <v>IS_alqt_plus</v>
          </cell>
          <cell r="K5592" t="str">
            <v>EMAC</v>
          </cell>
          <cell r="M5592" t="str">
            <v>M</v>
          </cell>
          <cell r="AB5592" t="str">
            <v>WB</v>
          </cell>
          <cell r="AF5592">
            <v>1.3</v>
          </cell>
        </row>
        <row r="5593">
          <cell r="A5593" t="str">
            <v>IS_alqt_plus</v>
          </cell>
          <cell r="K5593" t="str">
            <v>EMAC</v>
          </cell>
          <cell r="M5593" t="str">
            <v>M</v>
          </cell>
          <cell r="AB5593" t="str">
            <v>WB</v>
          </cell>
          <cell r="AF5593">
            <v>1</v>
          </cell>
        </row>
        <row r="5594">
          <cell r="A5594" t="str">
            <v>IS_alqt_plus</v>
          </cell>
          <cell r="K5594" t="str">
            <v>EMAC</v>
          </cell>
          <cell r="M5594" t="str">
            <v>M</v>
          </cell>
          <cell r="AB5594" t="str">
            <v>WB</v>
          </cell>
          <cell r="AF5594">
            <v>1.3</v>
          </cell>
        </row>
        <row r="5595">
          <cell r="A5595" t="str">
            <v>IS_alqt_plus</v>
          </cell>
          <cell r="K5595" t="str">
            <v>EMAC</v>
          </cell>
          <cell r="M5595" t="str">
            <v>M</v>
          </cell>
          <cell r="AB5595" t="str">
            <v>WB</v>
          </cell>
          <cell r="AF5595">
            <v>1</v>
          </cell>
        </row>
        <row r="5596">
          <cell r="A5596" t="str">
            <v>IS_alqt_plus</v>
          </cell>
          <cell r="K5596" t="str">
            <v>EMAC</v>
          </cell>
          <cell r="M5596" t="str">
            <v>M</v>
          </cell>
          <cell r="AB5596" t="str">
            <v>WB</v>
          </cell>
          <cell r="AF5596">
            <v>0.8</v>
          </cell>
        </row>
        <row r="5597">
          <cell r="A5597" t="str">
            <v>IS_alqt_plus</v>
          </cell>
          <cell r="K5597" t="str">
            <v>EMAC</v>
          </cell>
          <cell r="M5597" t="str">
            <v>M</v>
          </cell>
          <cell r="AB5597" t="str">
            <v>serum</v>
          </cell>
          <cell r="AF5597">
            <v>1.5</v>
          </cell>
        </row>
        <row r="5598">
          <cell r="A5598" t="str">
            <v>IS_alqt_plus</v>
          </cell>
          <cell r="K5598" t="str">
            <v>EMAC</v>
          </cell>
          <cell r="M5598" t="str">
            <v>M</v>
          </cell>
          <cell r="AB5598" t="str">
            <v>serum</v>
          </cell>
          <cell r="AF5598">
            <v>1.5</v>
          </cell>
        </row>
        <row r="5599">
          <cell r="A5599" t="str">
            <v>IS_alqt_plus</v>
          </cell>
          <cell r="K5599" t="str">
            <v>EMAC</v>
          </cell>
          <cell r="M5599" t="str">
            <v>M</v>
          </cell>
          <cell r="AB5599" t="str">
            <v>serum</v>
          </cell>
          <cell r="AF5599">
            <v>1.5</v>
          </cell>
        </row>
        <row r="5600">
          <cell r="A5600" t="str">
            <v>IS_alqt_plus</v>
          </cell>
          <cell r="K5600" t="str">
            <v>EMAC</v>
          </cell>
          <cell r="M5600" t="str">
            <v>M</v>
          </cell>
          <cell r="AB5600" t="str">
            <v>serum</v>
          </cell>
          <cell r="AF5600">
            <v>1.5</v>
          </cell>
        </row>
        <row r="5601">
          <cell r="A5601" t="str">
            <v>IS_alqt_plus</v>
          </cell>
          <cell r="K5601" t="str">
            <v>EMAC</v>
          </cell>
          <cell r="M5601" t="str">
            <v>M</v>
          </cell>
          <cell r="AB5601" t="str">
            <v>serum</v>
          </cell>
          <cell r="AF5601">
            <v>1.5</v>
          </cell>
        </row>
        <row r="5602">
          <cell r="A5602" t="str">
            <v>IS_alqt_plus</v>
          </cell>
          <cell r="K5602" t="str">
            <v>EMAC</v>
          </cell>
          <cell r="M5602" t="str">
            <v>M</v>
          </cell>
          <cell r="AB5602" t="str">
            <v>serum</v>
          </cell>
          <cell r="AF5602">
            <v>1.5</v>
          </cell>
        </row>
        <row r="5603">
          <cell r="A5603" t="str">
            <v>IS_alqt_plus</v>
          </cell>
          <cell r="K5603" t="str">
            <v>EMAC</v>
          </cell>
          <cell r="M5603" t="str">
            <v>M</v>
          </cell>
          <cell r="AB5603" t="str">
            <v>serum</v>
          </cell>
          <cell r="AF5603">
            <v>1.5</v>
          </cell>
        </row>
        <row r="5604">
          <cell r="A5604" t="str">
            <v>IS_alqt_plus</v>
          </cell>
          <cell r="K5604" t="str">
            <v>EMAC</v>
          </cell>
          <cell r="M5604" t="str">
            <v>M</v>
          </cell>
          <cell r="AB5604" t="str">
            <v>serum</v>
          </cell>
          <cell r="AF5604">
            <v>1.5</v>
          </cell>
        </row>
        <row r="5605">
          <cell r="A5605" t="str">
            <v>IS_alqt_plus</v>
          </cell>
          <cell r="K5605" t="str">
            <v>EMAC</v>
          </cell>
          <cell r="M5605" t="str">
            <v>M</v>
          </cell>
          <cell r="AB5605" t="str">
            <v>serum</v>
          </cell>
          <cell r="AF5605">
            <v>1.5</v>
          </cell>
        </row>
        <row r="5606">
          <cell r="A5606" t="str">
            <v>IS_alqt_plus</v>
          </cell>
          <cell r="K5606" t="str">
            <v>EMAC</v>
          </cell>
          <cell r="M5606" t="str">
            <v>M</v>
          </cell>
          <cell r="AB5606" t="str">
            <v>serum</v>
          </cell>
          <cell r="AF5606">
            <v>1.5</v>
          </cell>
        </row>
        <row r="5607">
          <cell r="A5607" t="str">
            <v>IS_alqt_plus</v>
          </cell>
          <cell r="K5607" t="str">
            <v>EMAC</v>
          </cell>
          <cell r="M5607" t="str">
            <v>M</v>
          </cell>
          <cell r="AB5607" t="str">
            <v>serum</v>
          </cell>
          <cell r="AF5607">
            <v>1.5</v>
          </cell>
        </row>
        <row r="5608">
          <cell r="A5608" t="str">
            <v>IS_alqt_plus</v>
          </cell>
          <cell r="K5608" t="str">
            <v>EMAC</v>
          </cell>
          <cell r="M5608" t="str">
            <v>M</v>
          </cell>
          <cell r="AB5608" t="str">
            <v>serum</v>
          </cell>
          <cell r="AF5608">
            <v>1.5</v>
          </cell>
        </row>
        <row r="5609">
          <cell r="A5609" t="str">
            <v>IS_alqt_plus</v>
          </cell>
          <cell r="K5609" t="str">
            <v>EMAC</v>
          </cell>
          <cell r="M5609" t="str">
            <v>M</v>
          </cell>
          <cell r="AB5609" t="str">
            <v>serum</v>
          </cell>
          <cell r="AF5609">
            <v>1.5</v>
          </cell>
        </row>
        <row r="5610">
          <cell r="A5610" t="str">
            <v>IS_alqt_plus</v>
          </cell>
          <cell r="K5610" t="str">
            <v>EMAC</v>
          </cell>
          <cell r="M5610" t="str">
            <v>M</v>
          </cell>
          <cell r="AB5610" t="str">
            <v>serum</v>
          </cell>
          <cell r="AF5610">
            <v>1.5</v>
          </cell>
        </row>
        <row r="5611">
          <cell r="A5611" t="str">
            <v>IS_alqt_plus</v>
          </cell>
          <cell r="K5611" t="str">
            <v>EMAC</v>
          </cell>
          <cell r="M5611" t="str">
            <v>M</v>
          </cell>
          <cell r="AB5611" t="str">
            <v>serum</v>
          </cell>
          <cell r="AF5611">
            <v>1.5</v>
          </cell>
        </row>
        <row r="5612">
          <cell r="A5612" t="str">
            <v>IS_alqt_plus</v>
          </cell>
          <cell r="K5612" t="str">
            <v>EMAC</v>
          </cell>
          <cell r="M5612" t="str">
            <v>M</v>
          </cell>
          <cell r="AB5612" t="str">
            <v>serum</v>
          </cell>
          <cell r="AF5612">
            <v>1.5</v>
          </cell>
        </row>
        <row r="5613">
          <cell r="A5613" t="str">
            <v>IS_alqt_plus</v>
          </cell>
          <cell r="K5613" t="str">
            <v>EMAC</v>
          </cell>
          <cell r="M5613" t="str">
            <v>M</v>
          </cell>
          <cell r="AB5613" t="str">
            <v>serum</v>
          </cell>
          <cell r="AF5613">
            <v>1.5</v>
          </cell>
        </row>
        <row r="5614">
          <cell r="A5614" t="str">
            <v>IS_alqt_plus</v>
          </cell>
          <cell r="K5614" t="str">
            <v>EMAC</v>
          </cell>
          <cell r="M5614" t="str">
            <v>M</v>
          </cell>
          <cell r="AB5614" t="str">
            <v>serum</v>
          </cell>
          <cell r="AF5614">
            <v>1.5</v>
          </cell>
        </row>
        <row r="5615">
          <cell r="A5615" t="str">
            <v>IS_alqt_plus</v>
          </cell>
          <cell r="K5615" t="str">
            <v>EMAC</v>
          </cell>
          <cell r="M5615" t="str">
            <v>M</v>
          </cell>
          <cell r="AB5615" t="str">
            <v>serum</v>
          </cell>
          <cell r="AF5615">
            <v>1.5</v>
          </cell>
        </row>
        <row r="5616">
          <cell r="A5616" t="str">
            <v>IS_alqt_plus</v>
          </cell>
          <cell r="K5616" t="str">
            <v>EMAC</v>
          </cell>
          <cell r="M5616" t="str">
            <v>M</v>
          </cell>
          <cell r="AB5616" t="str">
            <v>serum</v>
          </cell>
          <cell r="AF5616">
            <v>1.5</v>
          </cell>
        </row>
        <row r="5617">
          <cell r="A5617" t="str">
            <v>IS_alqt_plus</v>
          </cell>
          <cell r="K5617" t="str">
            <v>EMAC</v>
          </cell>
          <cell r="M5617" t="str">
            <v>M</v>
          </cell>
          <cell r="AB5617" t="str">
            <v>serum</v>
          </cell>
          <cell r="AF5617">
            <v>1.5</v>
          </cell>
        </row>
        <row r="5618">
          <cell r="A5618" t="str">
            <v>IS_alqt_plus</v>
          </cell>
          <cell r="K5618" t="str">
            <v>EMAC</v>
          </cell>
          <cell r="M5618" t="str">
            <v>M</v>
          </cell>
          <cell r="AB5618" t="str">
            <v>serum</v>
          </cell>
          <cell r="AF5618">
            <v>1.5</v>
          </cell>
        </row>
        <row r="5619">
          <cell r="A5619" t="str">
            <v>IS_alqt_plus</v>
          </cell>
          <cell r="K5619" t="str">
            <v>EMAC</v>
          </cell>
          <cell r="M5619" t="str">
            <v>M</v>
          </cell>
          <cell r="AB5619" t="str">
            <v>serum</v>
          </cell>
          <cell r="AF5619">
            <v>1.5</v>
          </cell>
        </row>
        <row r="5620">
          <cell r="A5620" t="str">
            <v>IS_alqt_plus</v>
          </cell>
          <cell r="K5620" t="str">
            <v>EMAC</v>
          </cell>
          <cell r="M5620" t="str">
            <v>M</v>
          </cell>
          <cell r="AB5620" t="str">
            <v>serum</v>
          </cell>
          <cell r="AF5620">
            <v>1.4</v>
          </cell>
        </row>
        <row r="5621">
          <cell r="A5621" t="str">
            <v>IS_alqt_plus</v>
          </cell>
          <cell r="K5621" t="str">
            <v>ECOL</v>
          </cell>
          <cell r="M5621" t="str">
            <v>F</v>
          </cell>
          <cell r="AB5621" t="str">
            <v>serum</v>
          </cell>
          <cell r="AF5621">
            <v>1</v>
          </cell>
        </row>
        <row r="5622">
          <cell r="A5622" t="str">
            <v>IS_alqt_plus</v>
          </cell>
          <cell r="K5622" t="str">
            <v>LCAT</v>
          </cell>
          <cell r="M5622" t="str">
            <v>F</v>
          </cell>
          <cell r="AB5622" t="str">
            <v>WB</v>
          </cell>
          <cell r="AF5622">
            <v>1</v>
          </cell>
        </row>
        <row r="5623">
          <cell r="A5623" t="str">
            <v>IS_alqt_plus</v>
          </cell>
          <cell r="K5623" t="str">
            <v>PCOQ</v>
          </cell>
          <cell r="M5623" t="str">
            <v>F</v>
          </cell>
          <cell r="AB5623" t="str">
            <v>serum</v>
          </cell>
          <cell r="AF5623">
            <v>1</v>
          </cell>
        </row>
        <row r="5624">
          <cell r="A5624" t="str">
            <v>IS_alqt_plus</v>
          </cell>
          <cell r="K5624" t="str">
            <v>LCAT</v>
          </cell>
          <cell r="M5624" t="str">
            <v>F</v>
          </cell>
          <cell r="AB5624" t="str">
            <v>WB</v>
          </cell>
          <cell r="AF5624">
            <v>1</v>
          </cell>
        </row>
        <row r="5625">
          <cell r="A5625" t="str">
            <v>IS_alqt_plus</v>
          </cell>
          <cell r="K5625" t="str">
            <v>LCAT</v>
          </cell>
          <cell r="M5625" t="str">
            <v>F</v>
          </cell>
          <cell r="AB5625" t="str">
            <v>WB</v>
          </cell>
          <cell r="AF5625">
            <v>1</v>
          </cell>
        </row>
        <row r="5626">
          <cell r="A5626" t="str">
            <v>IS_alqt_plus</v>
          </cell>
          <cell r="K5626" t="str">
            <v>PCOQ</v>
          </cell>
          <cell r="M5626" t="str">
            <v>M</v>
          </cell>
          <cell r="AB5626" t="str">
            <v>serum</v>
          </cell>
          <cell r="AF5626">
            <v>0.3</v>
          </cell>
        </row>
        <row r="5627">
          <cell r="A5627" t="str">
            <v>IS_alqt_plus</v>
          </cell>
          <cell r="K5627" t="str">
            <v>PCOQ</v>
          </cell>
          <cell r="M5627" t="str">
            <v>M</v>
          </cell>
          <cell r="AB5627" t="str">
            <v>serum</v>
          </cell>
          <cell r="AF5627">
            <v>0.8</v>
          </cell>
        </row>
        <row r="5628">
          <cell r="A5628" t="str">
            <v>IS_alqt_plus</v>
          </cell>
          <cell r="K5628" t="str">
            <v>EFUL</v>
          </cell>
          <cell r="M5628" t="str">
            <v>F</v>
          </cell>
          <cell r="AB5628" t="str">
            <v>WB</v>
          </cell>
          <cell r="AF5628">
            <v>0.2</v>
          </cell>
        </row>
        <row r="5629">
          <cell r="A5629" t="str">
            <v>IS_alqt_plus</v>
          </cell>
          <cell r="K5629" t="str">
            <v>EFUL</v>
          </cell>
          <cell r="M5629" t="str">
            <v>F</v>
          </cell>
          <cell r="AB5629" t="str">
            <v>WB</v>
          </cell>
          <cell r="AF5629">
            <v>0.2</v>
          </cell>
        </row>
        <row r="5630">
          <cell r="A5630" t="str">
            <v>IS_alqt_plus</v>
          </cell>
          <cell r="K5630" t="str">
            <v>EFUL</v>
          </cell>
          <cell r="M5630" t="str">
            <v>F</v>
          </cell>
          <cell r="AB5630" t="str">
            <v>WB</v>
          </cell>
          <cell r="AF5630">
            <v>0.2</v>
          </cell>
        </row>
        <row r="5631">
          <cell r="A5631" t="str">
            <v>IS_alqt_plus</v>
          </cell>
          <cell r="K5631" t="str">
            <v>EFUL</v>
          </cell>
          <cell r="M5631" t="str">
            <v>F</v>
          </cell>
          <cell r="AB5631" t="str">
            <v>WB</v>
          </cell>
          <cell r="AF5631">
            <v>0.2</v>
          </cell>
        </row>
        <row r="5632">
          <cell r="A5632" t="str">
            <v>IS_alqt_plus</v>
          </cell>
          <cell r="K5632" t="str">
            <v>EFUL</v>
          </cell>
          <cell r="M5632" t="str">
            <v>F</v>
          </cell>
          <cell r="AB5632" t="str">
            <v>WB</v>
          </cell>
          <cell r="AF5632">
            <v>1.25</v>
          </cell>
        </row>
        <row r="5633">
          <cell r="A5633" t="str">
            <v>IS_alqt_plus</v>
          </cell>
          <cell r="K5633" t="str">
            <v>EFUL</v>
          </cell>
          <cell r="M5633" t="str">
            <v>F</v>
          </cell>
          <cell r="AB5633" t="str">
            <v>WB</v>
          </cell>
          <cell r="AF5633">
            <v>1.3</v>
          </cell>
        </row>
        <row r="5634">
          <cell r="A5634" t="str">
            <v>IS_alqt_plus</v>
          </cell>
          <cell r="K5634" t="str">
            <v>EFUL</v>
          </cell>
          <cell r="M5634" t="str">
            <v>F</v>
          </cell>
          <cell r="AB5634" t="str">
            <v>WB</v>
          </cell>
          <cell r="AF5634">
            <v>1.3</v>
          </cell>
        </row>
        <row r="5635">
          <cell r="A5635" t="str">
            <v>IS_alqt_plus</v>
          </cell>
          <cell r="K5635" t="str">
            <v>EFUL</v>
          </cell>
          <cell r="M5635" t="str">
            <v>F</v>
          </cell>
          <cell r="AB5635" t="str">
            <v>WB</v>
          </cell>
          <cell r="AF5635">
            <v>1</v>
          </cell>
        </row>
        <row r="5636">
          <cell r="A5636" t="str">
            <v>IS_alqt_plus</v>
          </cell>
          <cell r="K5636" t="str">
            <v>EFUL</v>
          </cell>
          <cell r="M5636" t="str">
            <v>F</v>
          </cell>
          <cell r="AB5636" t="str">
            <v>WB</v>
          </cell>
          <cell r="AF5636">
            <v>1</v>
          </cell>
        </row>
        <row r="5637">
          <cell r="A5637" t="str">
            <v>IS_alqt_plus</v>
          </cell>
          <cell r="K5637" t="str">
            <v>EFUL</v>
          </cell>
          <cell r="M5637" t="str">
            <v>F</v>
          </cell>
          <cell r="AB5637" t="str">
            <v>WB</v>
          </cell>
          <cell r="AF5637">
            <v>1</v>
          </cell>
        </row>
        <row r="5638">
          <cell r="A5638" t="str">
            <v>IS_alqt_plus</v>
          </cell>
          <cell r="K5638" t="str">
            <v>EFUL</v>
          </cell>
          <cell r="M5638" t="str">
            <v>F</v>
          </cell>
          <cell r="AB5638" t="str">
            <v>WB</v>
          </cell>
          <cell r="AF5638">
            <v>1</v>
          </cell>
        </row>
        <row r="5639">
          <cell r="A5639" t="str">
            <v>IS_alqt_plus</v>
          </cell>
          <cell r="K5639" t="str">
            <v>EFUL</v>
          </cell>
          <cell r="M5639" t="str">
            <v>F</v>
          </cell>
          <cell r="AB5639" t="str">
            <v>WB</v>
          </cell>
          <cell r="AF5639">
            <v>1</v>
          </cell>
        </row>
        <row r="5640">
          <cell r="A5640" t="str">
            <v>IS_alqt_plus</v>
          </cell>
          <cell r="K5640" t="str">
            <v>EFUL</v>
          </cell>
          <cell r="M5640" t="str">
            <v>F</v>
          </cell>
          <cell r="AB5640" t="str">
            <v>WB</v>
          </cell>
          <cell r="AF5640">
            <v>1</v>
          </cell>
        </row>
        <row r="5641">
          <cell r="A5641" t="str">
            <v>IS_alqt_plus</v>
          </cell>
          <cell r="K5641" t="str">
            <v>EFUL</v>
          </cell>
          <cell r="M5641" t="str">
            <v>F</v>
          </cell>
          <cell r="AB5641" t="str">
            <v>WB</v>
          </cell>
          <cell r="AF5641">
            <v>1</v>
          </cell>
        </row>
        <row r="5642">
          <cell r="A5642" t="str">
            <v>IS_alqt_plus</v>
          </cell>
          <cell r="K5642" t="str">
            <v>EFUL</v>
          </cell>
          <cell r="M5642" t="str">
            <v>F</v>
          </cell>
          <cell r="AB5642" t="str">
            <v>WB</v>
          </cell>
          <cell r="AF5642">
            <v>1</v>
          </cell>
        </row>
        <row r="5643">
          <cell r="A5643" t="str">
            <v>IS_alqt_plus</v>
          </cell>
          <cell r="K5643" t="str">
            <v>EFUL</v>
          </cell>
          <cell r="M5643" t="str">
            <v>F</v>
          </cell>
          <cell r="AB5643" t="str">
            <v>WB</v>
          </cell>
          <cell r="AF5643">
            <v>1</v>
          </cell>
        </row>
        <row r="5644">
          <cell r="A5644" t="str">
            <v>IS_alqt_plus</v>
          </cell>
          <cell r="K5644" t="str">
            <v>EFUL</v>
          </cell>
          <cell r="M5644" t="str">
            <v>F</v>
          </cell>
          <cell r="AB5644" t="str">
            <v>WB</v>
          </cell>
          <cell r="AF5644">
            <v>1</v>
          </cell>
        </row>
        <row r="5645">
          <cell r="A5645" t="str">
            <v>IS_alqt_plus</v>
          </cell>
          <cell r="K5645" t="str">
            <v>EFUL</v>
          </cell>
          <cell r="M5645" t="str">
            <v>F</v>
          </cell>
          <cell r="AB5645" t="str">
            <v>WB</v>
          </cell>
          <cell r="AF5645">
            <v>1</v>
          </cell>
        </row>
        <row r="5646">
          <cell r="A5646" t="str">
            <v>IS_alqt_plus</v>
          </cell>
          <cell r="K5646" t="str">
            <v>EFUL</v>
          </cell>
          <cell r="M5646" t="str">
            <v>F</v>
          </cell>
          <cell r="AB5646" t="str">
            <v>WB</v>
          </cell>
          <cell r="AF5646">
            <v>1</v>
          </cell>
        </row>
        <row r="5647">
          <cell r="A5647" t="str">
            <v>IS_alqt_plus</v>
          </cell>
          <cell r="K5647" t="str">
            <v>EFUL</v>
          </cell>
          <cell r="M5647" t="str">
            <v>F</v>
          </cell>
          <cell r="AB5647" t="str">
            <v>serum</v>
          </cell>
          <cell r="AF5647">
            <v>1</v>
          </cell>
        </row>
        <row r="5648">
          <cell r="A5648" t="str">
            <v>IS_alqt_plus</v>
          </cell>
          <cell r="K5648" t="str">
            <v>EFUL</v>
          </cell>
          <cell r="M5648" t="str">
            <v>F</v>
          </cell>
          <cell r="AB5648" t="str">
            <v>serum</v>
          </cell>
          <cell r="AF5648">
            <v>1</v>
          </cell>
        </row>
        <row r="5649">
          <cell r="A5649" t="str">
            <v>IS_alqt_plus</v>
          </cell>
          <cell r="K5649" t="str">
            <v>EFUL</v>
          </cell>
          <cell r="M5649" t="str">
            <v>F</v>
          </cell>
          <cell r="AB5649" t="str">
            <v>serum</v>
          </cell>
          <cell r="AF5649">
            <v>1</v>
          </cell>
        </row>
        <row r="5650">
          <cell r="A5650" t="str">
            <v>IS_alqt_plus</v>
          </cell>
          <cell r="K5650" t="str">
            <v>EFUL</v>
          </cell>
          <cell r="M5650" t="str">
            <v>F</v>
          </cell>
          <cell r="AB5650" t="str">
            <v>serum</v>
          </cell>
          <cell r="AF5650">
            <v>1</v>
          </cell>
        </row>
        <row r="5651">
          <cell r="A5651" t="str">
            <v>IS_alqt_plus</v>
          </cell>
          <cell r="K5651" t="str">
            <v>EFUL</v>
          </cell>
          <cell r="M5651" t="str">
            <v>F</v>
          </cell>
          <cell r="AB5651" t="str">
            <v>serum</v>
          </cell>
          <cell r="AF5651">
            <v>1</v>
          </cell>
        </row>
        <row r="5652">
          <cell r="A5652" t="str">
            <v>IS_alqt_plus</v>
          </cell>
          <cell r="K5652" t="str">
            <v>EFUL</v>
          </cell>
          <cell r="M5652" t="str">
            <v>F</v>
          </cell>
          <cell r="AB5652" t="str">
            <v>serum</v>
          </cell>
          <cell r="AF5652">
            <v>1.2</v>
          </cell>
        </row>
        <row r="5653">
          <cell r="A5653" t="str">
            <v>IS_alqt_plus</v>
          </cell>
          <cell r="K5653" t="str">
            <v>EFUL</v>
          </cell>
          <cell r="M5653" t="str">
            <v>F</v>
          </cell>
          <cell r="AB5653" t="str">
            <v>serum</v>
          </cell>
          <cell r="AF5653">
            <v>1</v>
          </cell>
        </row>
        <row r="5654">
          <cell r="A5654" t="str">
            <v>IS_alqt_plus</v>
          </cell>
          <cell r="K5654" t="str">
            <v>EFUL</v>
          </cell>
          <cell r="M5654" t="str">
            <v>F</v>
          </cell>
          <cell r="AB5654" t="str">
            <v>serum</v>
          </cell>
          <cell r="AF5654">
            <v>1</v>
          </cell>
        </row>
        <row r="5655">
          <cell r="A5655" t="str">
            <v>IS_alqt_plus</v>
          </cell>
          <cell r="K5655" t="str">
            <v>EFUL</v>
          </cell>
          <cell r="M5655" t="str">
            <v>F</v>
          </cell>
          <cell r="AB5655" t="str">
            <v>serum</v>
          </cell>
          <cell r="AF5655">
            <v>1</v>
          </cell>
        </row>
        <row r="5656">
          <cell r="A5656" t="str">
            <v>IS_alqt_plus</v>
          </cell>
          <cell r="K5656" t="str">
            <v>EFUL</v>
          </cell>
          <cell r="M5656" t="str">
            <v>F</v>
          </cell>
          <cell r="AB5656" t="str">
            <v>serum</v>
          </cell>
          <cell r="AF5656">
            <v>1</v>
          </cell>
        </row>
        <row r="5657">
          <cell r="A5657" t="str">
            <v>IS_alqt_plus</v>
          </cell>
          <cell r="K5657" t="str">
            <v>EFUL</v>
          </cell>
          <cell r="M5657" t="str">
            <v>F</v>
          </cell>
          <cell r="AB5657" t="str">
            <v>serum</v>
          </cell>
          <cell r="AF5657">
            <v>1</v>
          </cell>
        </row>
        <row r="5658">
          <cell r="A5658" t="str">
            <v>IS_alqt_plus</v>
          </cell>
          <cell r="K5658" t="str">
            <v>EFUL</v>
          </cell>
          <cell r="M5658" t="str">
            <v>F</v>
          </cell>
          <cell r="AB5658" t="str">
            <v>serum</v>
          </cell>
          <cell r="AF5658">
            <v>1</v>
          </cell>
        </row>
        <row r="5659">
          <cell r="A5659" t="str">
            <v>IS_alqt_plus</v>
          </cell>
          <cell r="K5659" t="str">
            <v>EFUL</v>
          </cell>
          <cell r="M5659" t="str">
            <v>F</v>
          </cell>
          <cell r="AB5659" t="str">
            <v>serum</v>
          </cell>
          <cell r="AF5659">
            <v>1</v>
          </cell>
        </row>
        <row r="5660">
          <cell r="A5660" t="str">
            <v>IS_alqt_plus</v>
          </cell>
          <cell r="K5660" t="str">
            <v>EFUL</v>
          </cell>
          <cell r="M5660" t="str">
            <v>F</v>
          </cell>
          <cell r="AB5660" t="str">
            <v>serum</v>
          </cell>
          <cell r="AF5660">
            <v>1.2</v>
          </cell>
        </row>
        <row r="5661">
          <cell r="A5661" t="str">
            <v>IS_alqt_plus</v>
          </cell>
          <cell r="K5661" t="str">
            <v>EFUL</v>
          </cell>
          <cell r="M5661" t="str">
            <v>F</v>
          </cell>
          <cell r="AB5661" t="str">
            <v>serum</v>
          </cell>
          <cell r="AF5661">
            <v>1</v>
          </cell>
        </row>
        <row r="5662">
          <cell r="A5662" t="str">
            <v>IS_alqt_plus</v>
          </cell>
          <cell r="K5662" t="str">
            <v>EFUL</v>
          </cell>
          <cell r="M5662" t="str">
            <v>F</v>
          </cell>
          <cell r="AB5662" t="str">
            <v>serum</v>
          </cell>
          <cell r="AF5662">
            <v>1</v>
          </cell>
        </row>
        <row r="5663">
          <cell r="A5663" t="str">
            <v>IS_alqt_plus</v>
          </cell>
          <cell r="K5663" t="str">
            <v>EFUL</v>
          </cell>
          <cell r="M5663" t="str">
            <v>F</v>
          </cell>
          <cell r="AB5663" t="str">
            <v>serum</v>
          </cell>
          <cell r="AF5663">
            <v>1</v>
          </cell>
        </row>
        <row r="5664">
          <cell r="A5664" t="str">
            <v>IS_alqt_plus</v>
          </cell>
          <cell r="K5664" t="str">
            <v>EFUL</v>
          </cell>
          <cell r="M5664" t="str">
            <v>F</v>
          </cell>
          <cell r="AB5664" t="str">
            <v>serum</v>
          </cell>
          <cell r="AF5664">
            <v>1</v>
          </cell>
        </row>
        <row r="5665">
          <cell r="A5665" t="str">
            <v>IS_alqt_plus</v>
          </cell>
          <cell r="K5665" t="str">
            <v>EFUL</v>
          </cell>
          <cell r="M5665" t="str">
            <v>F</v>
          </cell>
          <cell r="AB5665" t="str">
            <v>serum</v>
          </cell>
          <cell r="AF5665">
            <v>1</v>
          </cell>
        </row>
        <row r="5666">
          <cell r="A5666" t="str">
            <v>IS_alqt_plus</v>
          </cell>
          <cell r="K5666" t="str">
            <v>EFUL</v>
          </cell>
          <cell r="M5666" t="str">
            <v>F</v>
          </cell>
          <cell r="AB5666" t="str">
            <v>serum</v>
          </cell>
          <cell r="AF5666">
            <v>1</v>
          </cell>
        </row>
        <row r="5667">
          <cell r="A5667" t="str">
            <v>IS_alqt_plus</v>
          </cell>
          <cell r="K5667" t="str">
            <v>EFUL</v>
          </cell>
          <cell r="M5667" t="str">
            <v>F</v>
          </cell>
          <cell r="AB5667" t="str">
            <v>serum</v>
          </cell>
          <cell r="AF5667">
            <v>1</v>
          </cell>
        </row>
        <row r="5668">
          <cell r="A5668" t="str">
            <v>IS_alqt_plus</v>
          </cell>
          <cell r="K5668" t="str">
            <v>ECOR</v>
          </cell>
          <cell r="M5668" t="str">
            <v>F</v>
          </cell>
          <cell r="AB5668" t="str">
            <v>WB</v>
          </cell>
          <cell r="AF5668">
            <v>0.2</v>
          </cell>
        </row>
        <row r="5669">
          <cell r="A5669" t="str">
            <v>IS_alqt_plus</v>
          </cell>
          <cell r="K5669" t="str">
            <v>DMAD</v>
          </cell>
          <cell r="M5669" t="str">
            <v>F</v>
          </cell>
          <cell r="AB5669" t="str">
            <v>serum</v>
          </cell>
          <cell r="AF5669">
            <v>0.5</v>
          </cell>
        </row>
        <row r="5670">
          <cell r="A5670" t="str">
            <v>IS_alqt_plus</v>
          </cell>
          <cell r="K5670" t="str">
            <v>DMAD</v>
          </cell>
          <cell r="M5670" t="str">
            <v>F</v>
          </cell>
          <cell r="AB5670" t="str">
            <v>WB</v>
          </cell>
          <cell r="AF5670">
            <v>0.75</v>
          </cell>
        </row>
        <row r="5671">
          <cell r="A5671" t="str">
            <v>IS_alqt_plus</v>
          </cell>
          <cell r="K5671" t="str">
            <v>EUL</v>
          </cell>
          <cell r="M5671" t="str">
            <v>F</v>
          </cell>
          <cell r="AB5671" t="str">
            <v>serum</v>
          </cell>
          <cell r="AF5671">
            <v>0.75</v>
          </cell>
        </row>
        <row r="5672">
          <cell r="A5672" t="str">
            <v>IS_alqt_plus</v>
          </cell>
          <cell r="K5672" t="str">
            <v>LCAT</v>
          </cell>
          <cell r="M5672" t="str">
            <v>F</v>
          </cell>
          <cell r="AB5672" t="str">
            <v>WB</v>
          </cell>
          <cell r="AF5672">
            <v>1</v>
          </cell>
        </row>
        <row r="5673">
          <cell r="A5673" t="str">
            <v>IS_alqt_plus</v>
          </cell>
          <cell r="K5673" t="str">
            <v>PCOQ</v>
          </cell>
          <cell r="M5673" t="str">
            <v>F</v>
          </cell>
          <cell r="AB5673" t="str">
            <v>serum</v>
          </cell>
          <cell r="AF5673">
            <v>1.2</v>
          </cell>
        </row>
        <row r="5674">
          <cell r="A5674" t="str">
            <v>IS_alqt_plus</v>
          </cell>
          <cell r="K5674" t="str">
            <v>PCOQ</v>
          </cell>
          <cell r="M5674" t="str">
            <v>M</v>
          </cell>
          <cell r="AB5674" t="str">
            <v>serum</v>
          </cell>
          <cell r="AF5674">
            <v>1</v>
          </cell>
        </row>
        <row r="5675">
          <cell r="A5675" t="str">
            <v>IS_alqt_plus</v>
          </cell>
          <cell r="K5675" t="str">
            <v>LCAT</v>
          </cell>
          <cell r="M5675" t="str">
            <v>F</v>
          </cell>
          <cell r="AB5675" t="str">
            <v>WB</v>
          </cell>
          <cell r="AF5675">
            <v>1</v>
          </cell>
        </row>
        <row r="5676">
          <cell r="A5676" t="str">
            <v>IS_alqt_plus</v>
          </cell>
          <cell r="K5676" t="str">
            <v>EUL</v>
          </cell>
          <cell r="M5676" t="str">
            <v>M</v>
          </cell>
          <cell r="AB5676" t="str">
            <v>WB</v>
          </cell>
          <cell r="AF5676">
            <v>0.75</v>
          </cell>
        </row>
        <row r="5677">
          <cell r="A5677" t="str">
            <v>IS_alqt_plus</v>
          </cell>
          <cell r="K5677" t="str">
            <v>EUL</v>
          </cell>
          <cell r="M5677" t="str">
            <v>M</v>
          </cell>
          <cell r="AB5677" t="str">
            <v>serum</v>
          </cell>
          <cell r="AF5677">
            <v>1</v>
          </cell>
        </row>
        <row r="5678">
          <cell r="A5678" t="str">
            <v>IS_alqt_plus</v>
          </cell>
          <cell r="K5678" t="str">
            <v>EUL</v>
          </cell>
          <cell r="M5678" t="str">
            <v>M</v>
          </cell>
          <cell r="AB5678" t="str">
            <v>serum</v>
          </cell>
          <cell r="AF5678">
            <v>0.75</v>
          </cell>
        </row>
        <row r="5679">
          <cell r="A5679" t="str">
            <v>IS_alqt_plus</v>
          </cell>
          <cell r="K5679" t="str">
            <v>ECOL</v>
          </cell>
          <cell r="M5679" t="str">
            <v>F</v>
          </cell>
          <cell r="AB5679" t="str">
            <v>serum</v>
          </cell>
          <cell r="AF5679">
            <v>0.75</v>
          </cell>
        </row>
        <row r="5680">
          <cell r="A5680" t="str">
            <v>IS_alqt_plus</v>
          </cell>
          <cell r="K5680" t="str">
            <v>DMAD</v>
          </cell>
          <cell r="M5680" t="str">
            <v>M</v>
          </cell>
          <cell r="AB5680" t="str">
            <v>serum</v>
          </cell>
          <cell r="AF5680">
            <v>1</v>
          </cell>
        </row>
        <row r="5681">
          <cell r="A5681" t="str">
            <v>IS_alqt_plus</v>
          </cell>
          <cell r="K5681" t="str">
            <v>DMAD</v>
          </cell>
          <cell r="M5681" t="str">
            <v>M</v>
          </cell>
          <cell r="AB5681" t="str">
            <v>serum</v>
          </cell>
          <cell r="AF5681">
            <v>1.4</v>
          </cell>
        </row>
        <row r="5682">
          <cell r="A5682" t="str">
            <v>IS_alqt_plus</v>
          </cell>
          <cell r="K5682" t="str">
            <v>DMAD</v>
          </cell>
          <cell r="M5682" t="str">
            <v>M</v>
          </cell>
          <cell r="AB5682" t="str">
            <v>serum</v>
          </cell>
          <cell r="AF5682">
            <v>1.5</v>
          </cell>
        </row>
        <row r="5683">
          <cell r="A5683" t="str">
            <v>IS_alqt_plus</v>
          </cell>
          <cell r="K5683" t="str">
            <v>DMAD</v>
          </cell>
          <cell r="M5683" t="str">
            <v>M</v>
          </cell>
          <cell r="AB5683" t="str">
            <v>serum</v>
          </cell>
          <cell r="AF5683">
            <v>0.75</v>
          </cell>
        </row>
        <row r="5684">
          <cell r="A5684" t="str">
            <v>IS_alqt_plus</v>
          </cell>
          <cell r="K5684" t="str">
            <v>DMAD</v>
          </cell>
          <cell r="M5684" t="str">
            <v>M</v>
          </cell>
          <cell r="AB5684" t="str">
            <v>serum</v>
          </cell>
          <cell r="AF5684">
            <v>1.5</v>
          </cell>
        </row>
        <row r="5685">
          <cell r="A5685" t="str">
            <v>IS_alqt_plus</v>
          </cell>
          <cell r="K5685" t="str">
            <v>DMAD</v>
          </cell>
          <cell r="M5685" t="str">
            <v>M</v>
          </cell>
          <cell r="AB5685" t="str">
            <v>serum</v>
          </cell>
          <cell r="AF5685">
            <v>1</v>
          </cell>
        </row>
        <row r="5686">
          <cell r="A5686" t="str">
            <v>IS_alqt_plus</v>
          </cell>
          <cell r="K5686" t="str">
            <v>DMAD</v>
          </cell>
          <cell r="M5686" t="str">
            <v>M</v>
          </cell>
          <cell r="AB5686" t="str">
            <v>serum</v>
          </cell>
          <cell r="AF5686">
            <v>1.5</v>
          </cell>
        </row>
        <row r="5687">
          <cell r="A5687" t="str">
            <v>IS_alqt_plus</v>
          </cell>
          <cell r="K5687" t="str">
            <v>DMAD</v>
          </cell>
          <cell r="M5687" t="str">
            <v>M</v>
          </cell>
          <cell r="AB5687" t="str">
            <v>serum</v>
          </cell>
          <cell r="AF5687">
            <v>1.5</v>
          </cell>
        </row>
        <row r="5688">
          <cell r="A5688" t="str">
            <v>IS_alqt_plus</v>
          </cell>
          <cell r="K5688" t="str">
            <v>DMAD</v>
          </cell>
          <cell r="M5688" t="str">
            <v>M</v>
          </cell>
          <cell r="AB5688" t="str">
            <v>serum</v>
          </cell>
          <cell r="AF5688">
            <v>1.5</v>
          </cell>
        </row>
        <row r="5689">
          <cell r="A5689" t="str">
            <v>IS_alqt_plus</v>
          </cell>
          <cell r="K5689" t="str">
            <v>DMAD</v>
          </cell>
          <cell r="M5689" t="str">
            <v>M</v>
          </cell>
          <cell r="AB5689" t="str">
            <v>serum</v>
          </cell>
          <cell r="AF5689">
            <v>1.5</v>
          </cell>
        </row>
        <row r="5690">
          <cell r="A5690" t="str">
            <v>IS_alqt_plus</v>
          </cell>
          <cell r="K5690" t="str">
            <v>DMAD</v>
          </cell>
          <cell r="M5690" t="str">
            <v>M</v>
          </cell>
          <cell r="AB5690" t="str">
            <v>serum</v>
          </cell>
          <cell r="AF5690">
            <v>1.4</v>
          </cell>
        </row>
        <row r="5691">
          <cell r="A5691" t="str">
            <v>IS_alqt_plus</v>
          </cell>
          <cell r="K5691" t="str">
            <v>DMAD</v>
          </cell>
          <cell r="M5691" t="str">
            <v>M</v>
          </cell>
          <cell r="AB5691" t="str">
            <v>serum</v>
          </cell>
          <cell r="AF5691">
            <v>1.5</v>
          </cell>
        </row>
        <row r="5692">
          <cell r="A5692" t="str">
            <v>IS_alqt_plus</v>
          </cell>
          <cell r="K5692" t="str">
            <v>DMAD</v>
          </cell>
          <cell r="M5692" t="str">
            <v>M</v>
          </cell>
          <cell r="AB5692" t="str">
            <v>serum</v>
          </cell>
          <cell r="AF5692">
            <v>1.5</v>
          </cell>
        </row>
        <row r="5693">
          <cell r="A5693" t="str">
            <v>IS_alqt_plus</v>
          </cell>
          <cell r="K5693" t="str">
            <v>DMAD</v>
          </cell>
          <cell r="M5693" t="str">
            <v>M</v>
          </cell>
          <cell r="AB5693" t="str">
            <v>serum</v>
          </cell>
          <cell r="AF5693">
            <v>1.2</v>
          </cell>
        </row>
        <row r="5694">
          <cell r="A5694" t="str">
            <v>IS_alqt_plus</v>
          </cell>
          <cell r="K5694" t="str">
            <v>DMAD</v>
          </cell>
          <cell r="M5694" t="str">
            <v>M</v>
          </cell>
          <cell r="AB5694" t="str">
            <v>serum</v>
          </cell>
          <cell r="AF5694">
            <v>1.4</v>
          </cell>
        </row>
        <row r="5695">
          <cell r="A5695" t="str">
            <v>IS_alqt_plus</v>
          </cell>
          <cell r="K5695" t="str">
            <v>DMAD</v>
          </cell>
          <cell r="M5695" t="str">
            <v>M</v>
          </cell>
          <cell r="AB5695" t="str">
            <v>serum</v>
          </cell>
          <cell r="AF5695">
            <v>1.5</v>
          </cell>
        </row>
        <row r="5696">
          <cell r="A5696" t="str">
            <v>IS_alqt_plus</v>
          </cell>
          <cell r="K5696" t="str">
            <v>DMAD</v>
          </cell>
          <cell r="M5696" t="str">
            <v>M</v>
          </cell>
          <cell r="AB5696" t="str">
            <v>serum</v>
          </cell>
          <cell r="AF5696">
            <v>1.4</v>
          </cell>
        </row>
        <row r="5697">
          <cell r="A5697" t="str">
            <v>IS_alqt_plus</v>
          </cell>
          <cell r="K5697" t="str">
            <v>DMAD</v>
          </cell>
          <cell r="M5697" t="str">
            <v>M</v>
          </cell>
          <cell r="AB5697" t="str">
            <v>WB</v>
          </cell>
          <cell r="AF5697">
            <v>0.8</v>
          </cell>
        </row>
        <row r="5698">
          <cell r="A5698" t="str">
            <v>IS_alqt_plus</v>
          </cell>
          <cell r="K5698" t="str">
            <v>DMAD</v>
          </cell>
          <cell r="M5698" t="str">
            <v>M</v>
          </cell>
          <cell r="AB5698" t="str">
            <v>WB</v>
          </cell>
          <cell r="AF5698">
            <v>1.2</v>
          </cell>
        </row>
        <row r="5699">
          <cell r="A5699" t="str">
            <v>IS_alqt_plus</v>
          </cell>
          <cell r="K5699" t="str">
            <v>DMAD</v>
          </cell>
          <cell r="M5699" t="str">
            <v>M</v>
          </cell>
          <cell r="AB5699" t="str">
            <v>WB</v>
          </cell>
          <cell r="AF5699">
            <v>1.2</v>
          </cell>
        </row>
        <row r="5700">
          <cell r="A5700" t="str">
            <v>IS_alqt_plus</v>
          </cell>
          <cell r="K5700" t="str">
            <v>DMAD</v>
          </cell>
          <cell r="M5700" t="str">
            <v>M</v>
          </cell>
          <cell r="AB5700" t="str">
            <v>WB</v>
          </cell>
          <cell r="AF5700">
            <v>1.1000000000000001</v>
          </cell>
        </row>
        <row r="5701">
          <cell r="A5701" t="str">
            <v>IS_alqt_plus</v>
          </cell>
          <cell r="K5701" t="str">
            <v>DMAD</v>
          </cell>
          <cell r="M5701" t="str">
            <v>M</v>
          </cell>
          <cell r="AB5701" t="str">
            <v>WB</v>
          </cell>
          <cell r="AF5701">
            <v>1.1000000000000001</v>
          </cell>
        </row>
        <row r="5702">
          <cell r="A5702" t="str">
            <v>IS_alqt_plus</v>
          </cell>
          <cell r="K5702" t="str">
            <v>DMAD</v>
          </cell>
          <cell r="M5702" t="str">
            <v>M</v>
          </cell>
          <cell r="AB5702" t="str">
            <v>WB</v>
          </cell>
          <cell r="AF5702">
            <v>1.3</v>
          </cell>
        </row>
        <row r="5703">
          <cell r="A5703" t="str">
            <v>IS_alqt_plus</v>
          </cell>
          <cell r="K5703" t="str">
            <v>DMAD</v>
          </cell>
          <cell r="M5703" t="str">
            <v>M</v>
          </cell>
          <cell r="AB5703" t="str">
            <v>WB</v>
          </cell>
          <cell r="AF5703">
            <v>1.3</v>
          </cell>
        </row>
        <row r="5704">
          <cell r="A5704" t="str">
            <v>IS_alqt_plus</v>
          </cell>
          <cell r="K5704" t="str">
            <v>DMAD</v>
          </cell>
          <cell r="M5704" t="str">
            <v>M</v>
          </cell>
          <cell r="AB5704" t="str">
            <v>WB</v>
          </cell>
          <cell r="AF5704">
            <v>0.6</v>
          </cell>
        </row>
        <row r="5705">
          <cell r="A5705" t="str">
            <v>IS_alqt_plus</v>
          </cell>
          <cell r="K5705" t="str">
            <v>DMAD</v>
          </cell>
          <cell r="M5705" t="str">
            <v>M</v>
          </cell>
          <cell r="AB5705" t="str">
            <v>WB</v>
          </cell>
          <cell r="AF5705">
            <v>1.3</v>
          </cell>
        </row>
        <row r="5706">
          <cell r="A5706" t="str">
            <v>IS_alqt_plus</v>
          </cell>
          <cell r="K5706" t="str">
            <v>DMAD</v>
          </cell>
          <cell r="M5706" t="str">
            <v>M</v>
          </cell>
          <cell r="AB5706" t="str">
            <v>WB</v>
          </cell>
          <cell r="AF5706">
            <v>1.3</v>
          </cell>
        </row>
        <row r="5707">
          <cell r="A5707" t="str">
            <v>IS_alqt_plus</v>
          </cell>
          <cell r="K5707" t="str">
            <v>DMAD</v>
          </cell>
          <cell r="M5707" t="str">
            <v>M</v>
          </cell>
          <cell r="AB5707" t="str">
            <v>WB</v>
          </cell>
          <cell r="AF5707">
            <v>1.1000000000000001</v>
          </cell>
        </row>
        <row r="5708">
          <cell r="A5708" t="str">
            <v>IS_alqt_plus</v>
          </cell>
          <cell r="K5708" t="str">
            <v>DMAD</v>
          </cell>
          <cell r="M5708" t="str">
            <v>M</v>
          </cell>
          <cell r="AB5708" t="str">
            <v>WB</v>
          </cell>
          <cell r="AF5708">
            <v>1.3</v>
          </cell>
        </row>
        <row r="5709">
          <cell r="A5709" t="str">
            <v>IS_alqt_plus</v>
          </cell>
          <cell r="K5709" t="str">
            <v>DMAD</v>
          </cell>
          <cell r="M5709" t="str">
            <v>M</v>
          </cell>
          <cell r="AB5709" t="str">
            <v>WB</v>
          </cell>
          <cell r="AF5709">
            <v>0.7</v>
          </cell>
        </row>
        <row r="5710">
          <cell r="A5710" t="str">
            <v>IS_alqt_plus</v>
          </cell>
          <cell r="K5710" t="str">
            <v>ECOR</v>
          </cell>
          <cell r="M5710" t="str">
            <v>F</v>
          </cell>
          <cell r="AB5710" t="str">
            <v>serum</v>
          </cell>
          <cell r="AF5710">
            <v>1.1000000000000001</v>
          </cell>
        </row>
        <row r="5711">
          <cell r="A5711" t="str">
            <v>IS_alqt_plus</v>
          </cell>
          <cell r="K5711" t="str">
            <v>ECOR</v>
          </cell>
          <cell r="M5711" t="str">
            <v>F</v>
          </cell>
          <cell r="AB5711" t="str">
            <v>serum</v>
          </cell>
          <cell r="AF5711">
            <v>1</v>
          </cell>
        </row>
        <row r="5712">
          <cell r="A5712" t="str">
            <v>IS_alqt_plus</v>
          </cell>
          <cell r="K5712" t="str">
            <v>ECOR</v>
          </cell>
          <cell r="M5712" t="str">
            <v>F</v>
          </cell>
          <cell r="AB5712" t="str">
            <v>serum</v>
          </cell>
          <cell r="AF5712">
            <v>1</v>
          </cell>
        </row>
        <row r="5713">
          <cell r="A5713" t="str">
            <v>IS_alqt_minus</v>
          </cell>
          <cell r="K5713" t="str">
            <v>ECOR</v>
          </cell>
          <cell r="M5713" t="str">
            <v>F</v>
          </cell>
          <cell r="AB5713" t="str">
            <v>serum</v>
          </cell>
          <cell r="AF5713">
            <v>0.15</v>
          </cell>
        </row>
        <row r="5714">
          <cell r="A5714" t="str">
            <v>IS_alqt_plus</v>
          </cell>
          <cell r="K5714" t="str">
            <v>ECOR</v>
          </cell>
          <cell r="M5714" t="str">
            <v>F</v>
          </cell>
          <cell r="AB5714" t="str">
            <v>serum</v>
          </cell>
          <cell r="AF5714">
            <v>1</v>
          </cell>
        </row>
        <row r="5715">
          <cell r="A5715" t="str">
            <v>IS_alqt_plus</v>
          </cell>
          <cell r="K5715" t="str">
            <v>ECOR</v>
          </cell>
          <cell r="M5715" t="str">
            <v>F</v>
          </cell>
          <cell r="AB5715" t="str">
            <v>serum</v>
          </cell>
          <cell r="AF5715">
            <v>1</v>
          </cell>
        </row>
        <row r="5716">
          <cell r="A5716" t="str">
            <v>IS_alqt_plus</v>
          </cell>
          <cell r="K5716" t="str">
            <v>ECOR</v>
          </cell>
          <cell r="M5716" t="str">
            <v>F</v>
          </cell>
          <cell r="AB5716" t="str">
            <v>serum</v>
          </cell>
          <cell r="AF5716">
            <v>1</v>
          </cell>
        </row>
        <row r="5717">
          <cell r="A5717" t="str">
            <v>IS_alqt_plus</v>
          </cell>
          <cell r="K5717" t="str">
            <v>ECOR</v>
          </cell>
          <cell r="M5717" t="str">
            <v>F</v>
          </cell>
          <cell r="AB5717" t="str">
            <v>serum</v>
          </cell>
          <cell r="AF5717">
            <v>1</v>
          </cell>
        </row>
        <row r="5718">
          <cell r="A5718" t="str">
            <v>IS_alqt_plus</v>
          </cell>
          <cell r="K5718" t="str">
            <v>ECOR</v>
          </cell>
          <cell r="M5718" t="str">
            <v>F</v>
          </cell>
          <cell r="AB5718" t="str">
            <v>serum</v>
          </cell>
          <cell r="AF5718">
            <v>1</v>
          </cell>
        </row>
        <row r="5719">
          <cell r="A5719" t="str">
            <v>IS_alqt_plus</v>
          </cell>
          <cell r="K5719" t="str">
            <v>ECOR</v>
          </cell>
          <cell r="M5719" t="str">
            <v>F</v>
          </cell>
          <cell r="AB5719" t="str">
            <v>serum</v>
          </cell>
          <cell r="AF5719">
            <v>1</v>
          </cell>
        </row>
        <row r="5720">
          <cell r="A5720" t="str">
            <v>IS_alqt_plus</v>
          </cell>
          <cell r="K5720" t="str">
            <v>ECOR</v>
          </cell>
          <cell r="M5720" t="str">
            <v>F</v>
          </cell>
          <cell r="AB5720" t="str">
            <v>WB</v>
          </cell>
          <cell r="AF5720">
            <v>0.75</v>
          </cell>
        </row>
        <row r="5721">
          <cell r="A5721" t="str">
            <v>IS_alqt_plus</v>
          </cell>
          <cell r="K5721" t="str">
            <v>ECOR</v>
          </cell>
          <cell r="M5721" t="str">
            <v>F</v>
          </cell>
          <cell r="AB5721" t="str">
            <v>WB</v>
          </cell>
          <cell r="AF5721">
            <v>0.4</v>
          </cell>
        </row>
        <row r="5722">
          <cell r="A5722" t="str">
            <v>gone</v>
          </cell>
          <cell r="K5722" t="str">
            <v>ECOR</v>
          </cell>
          <cell r="M5722" t="str">
            <v>F</v>
          </cell>
          <cell r="AB5722" t="str">
            <v>WB</v>
          </cell>
          <cell r="AF5722">
            <v>0</v>
          </cell>
        </row>
        <row r="5723">
          <cell r="A5723" t="str">
            <v>IS_alqt_plus</v>
          </cell>
          <cell r="K5723" t="str">
            <v>ECOR</v>
          </cell>
          <cell r="M5723" t="str">
            <v>F</v>
          </cell>
          <cell r="AB5723" t="str">
            <v>WB</v>
          </cell>
          <cell r="AF5723">
            <v>1</v>
          </cell>
        </row>
        <row r="5724">
          <cell r="A5724" t="str">
            <v>IS_alqt_plus</v>
          </cell>
          <cell r="K5724" t="str">
            <v>ECOR</v>
          </cell>
          <cell r="M5724" t="str">
            <v>F</v>
          </cell>
          <cell r="AB5724" t="str">
            <v>WB</v>
          </cell>
          <cell r="AF5724">
            <v>1</v>
          </cell>
        </row>
        <row r="5725">
          <cell r="A5725" t="str">
            <v>IS_alqt_plus</v>
          </cell>
          <cell r="K5725" t="str">
            <v>ECOR</v>
          </cell>
          <cell r="M5725" t="str">
            <v>F</v>
          </cell>
          <cell r="AB5725" t="str">
            <v>WB</v>
          </cell>
          <cell r="AF5725">
            <v>1</v>
          </cell>
        </row>
        <row r="5726">
          <cell r="A5726" t="str">
            <v>unk</v>
          </cell>
          <cell r="K5726" t="str">
            <v>ECOR</v>
          </cell>
          <cell r="M5726" t="str">
            <v>F</v>
          </cell>
          <cell r="AB5726" t="str">
            <v>WB</v>
          </cell>
          <cell r="AF5726">
            <v>2</v>
          </cell>
        </row>
        <row r="5727">
          <cell r="A5727" t="str">
            <v>IS_alqt_plus</v>
          </cell>
          <cell r="K5727" t="str">
            <v>ECOL</v>
          </cell>
          <cell r="M5727" t="str">
            <v>F</v>
          </cell>
          <cell r="AB5727" t="str">
            <v>serum</v>
          </cell>
          <cell r="AF5727">
            <v>1.5</v>
          </cell>
        </row>
        <row r="5728">
          <cell r="A5728" t="str">
            <v>IS_alqt_plus</v>
          </cell>
          <cell r="K5728" t="str">
            <v>ECOL</v>
          </cell>
          <cell r="M5728" t="str">
            <v>F</v>
          </cell>
          <cell r="AB5728" t="str">
            <v>serum</v>
          </cell>
          <cell r="AF5728">
            <v>1.5</v>
          </cell>
        </row>
        <row r="5729">
          <cell r="A5729" t="str">
            <v>IS_alqt_plus</v>
          </cell>
          <cell r="K5729" t="str">
            <v>ECOL</v>
          </cell>
          <cell r="M5729" t="str">
            <v>F</v>
          </cell>
          <cell r="AB5729" t="str">
            <v>serum</v>
          </cell>
          <cell r="AF5729">
            <v>1.5</v>
          </cell>
        </row>
        <row r="5730">
          <cell r="A5730" t="str">
            <v>IS_alqt_plus</v>
          </cell>
          <cell r="K5730" t="str">
            <v>ECOL</v>
          </cell>
          <cell r="M5730" t="str">
            <v>F</v>
          </cell>
          <cell r="AB5730" t="str">
            <v>serum</v>
          </cell>
          <cell r="AF5730">
            <v>1.5</v>
          </cell>
        </row>
        <row r="5731">
          <cell r="A5731" t="str">
            <v>IS_alqt_plus</v>
          </cell>
          <cell r="K5731" t="str">
            <v>ECOL</v>
          </cell>
          <cell r="M5731" t="str">
            <v>F</v>
          </cell>
          <cell r="AB5731" t="str">
            <v>serum</v>
          </cell>
          <cell r="AF5731">
            <v>1.5</v>
          </cell>
        </row>
        <row r="5732">
          <cell r="A5732" t="str">
            <v>IS_alqt_plus</v>
          </cell>
          <cell r="K5732" t="str">
            <v>ECOL</v>
          </cell>
          <cell r="M5732" t="str">
            <v>F</v>
          </cell>
          <cell r="AB5732" t="str">
            <v>serum</v>
          </cell>
          <cell r="AF5732">
            <v>1.5</v>
          </cell>
        </row>
        <row r="5733">
          <cell r="A5733" t="str">
            <v>IS_alqt_plus</v>
          </cell>
          <cell r="K5733" t="str">
            <v>ECOL</v>
          </cell>
          <cell r="M5733" t="str">
            <v>F</v>
          </cell>
          <cell r="AB5733" t="str">
            <v>serum</v>
          </cell>
          <cell r="AF5733">
            <v>1.5</v>
          </cell>
        </row>
        <row r="5734">
          <cell r="A5734" t="str">
            <v>IS_alqt_plus</v>
          </cell>
          <cell r="K5734" t="str">
            <v>ECOL</v>
          </cell>
          <cell r="M5734" t="str">
            <v>F</v>
          </cell>
          <cell r="AB5734" t="str">
            <v>serum</v>
          </cell>
          <cell r="AF5734">
            <v>1.5</v>
          </cell>
        </row>
        <row r="5735">
          <cell r="A5735" t="str">
            <v>IS_alqt_plus</v>
          </cell>
          <cell r="K5735" t="str">
            <v>ECOL</v>
          </cell>
          <cell r="M5735" t="str">
            <v>F</v>
          </cell>
          <cell r="AB5735" t="str">
            <v>serum</v>
          </cell>
          <cell r="AF5735">
            <v>1.5</v>
          </cell>
        </row>
        <row r="5736">
          <cell r="A5736" t="str">
            <v>IS_alqt_plus</v>
          </cell>
          <cell r="K5736" t="str">
            <v>ECOL</v>
          </cell>
          <cell r="M5736" t="str">
            <v>F</v>
          </cell>
          <cell r="AB5736" t="str">
            <v>serum</v>
          </cell>
          <cell r="AF5736">
            <v>0.75</v>
          </cell>
        </row>
        <row r="5737">
          <cell r="A5737" t="str">
            <v>IS_alqt_plus</v>
          </cell>
          <cell r="K5737" t="str">
            <v>ECOL</v>
          </cell>
          <cell r="M5737" t="str">
            <v>F</v>
          </cell>
          <cell r="AB5737" t="str">
            <v>serum</v>
          </cell>
          <cell r="AF5737">
            <v>1.5</v>
          </cell>
        </row>
        <row r="5738">
          <cell r="A5738" t="str">
            <v>IS_alqt_plus</v>
          </cell>
          <cell r="K5738" t="str">
            <v>ECOL</v>
          </cell>
          <cell r="M5738" t="str">
            <v>F</v>
          </cell>
          <cell r="AB5738" t="str">
            <v>serum</v>
          </cell>
          <cell r="AF5738">
            <v>1.5</v>
          </cell>
        </row>
        <row r="5739">
          <cell r="A5739" t="str">
            <v>IS_alqt_plus</v>
          </cell>
          <cell r="K5739" t="str">
            <v>ECOL</v>
          </cell>
          <cell r="M5739" t="str">
            <v>F</v>
          </cell>
          <cell r="AB5739" t="str">
            <v>serum</v>
          </cell>
          <cell r="AF5739">
            <v>1.5</v>
          </cell>
        </row>
        <row r="5740">
          <cell r="A5740" t="str">
            <v>IS_alqt_plus</v>
          </cell>
          <cell r="K5740" t="str">
            <v>ECOL</v>
          </cell>
          <cell r="M5740" t="str">
            <v>F</v>
          </cell>
          <cell r="AB5740" t="str">
            <v>serum</v>
          </cell>
          <cell r="AF5740">
            <v>1.5</v>
          </cell>
        </row>
        <row r="5741">
          <cell r="A5741" t="str">
            <v>IS_alqt_plus</v>
          </cell>
          <cell r="K5741" t="str">
            <v>ECOL</v>
          </cell>
          <cell r="M5741" t="str">
            <v>F</v>
          </cell>
          <cell r="AB5741" t="str">
            <v>serum</v>
          </cell>
          <cell r="AF5741">
            <v>1.5</v>
          </cell>
        </row>
        <row r="5742">
          <cell r="A5742" t="str">
            <v>IS_alqt_plus</v>
          </cell>
          <cell r="K5742" t="str">
            <v>ECOL</v>
          </cell>
          <cell r="M5742" t="str">
            <v>F</v>
          </cell>
          <cell r="AB5742" t="str">
            <v>WB</v>
          </cell>
          <cell r="AF5742">
            <v>1.3</v>
          </cell>
        </row>
        <row r="5743">
          <cell r="A5743" t="str">
            <v>IS_alqt_plus</v>
          </cell>
          <cell r="K5743" t="str">
            <v>ECOL</v>
          </cell>
          <cell r="M5743" t="str">
            <v>F</v>
          </cell>
          <cell r="AB5743" t="str">
            <v>WB</v>
          </cell>
          <cell r="AF5743">
            <v>1.3</v>
          </cell>
        </row>
        <row r="5744">
          <cell r="A5744" t="str">
            <v>IS_alqt_plus</v>
          </cell>
          <cell r="K5744" t="str">
            <v>ECOL</v>
          </cell>
          <cell r="M5744" t="str">
            <v>F</v>
          </cell>
          <cell r="AB5744" t="str">
            <v>WB</v>
          </cell>
          <cell r="AF5744">
            <v>1</v>
          </cell>
        </row>
        <row r="5745">
          <cell r="A5745" t="str">
            <v>IS_alqt_plus</v>
          </cell>
          <cell r="K5745" t="str">
            <v>ECOL</v>
          </cell>
          <cell r="M5745" t="str">
            <v>F</v>
          </cell>
          <cell r="AB5745" t="str">
            <v>WB</v>
          </cell>
          <cell r="AF5745">
            <v>1.3</v>
          </cell>
        </row>
        <row r="5746">
          <cell r="A5746" t="str">
            <v>IS_alqt_plus</v>
          </cell>
          <cell r="K5746" t="str">
            <v>ECOL</v>
          </cell>
          <cell r="M5746" t="str">
            <v>F</v>
          </cell>
          <cell r="AB5746" t="str">
            <v>WB</v>
          </cell>
          <cell r="AF5746">
            <v>1.3</v>
          </cell>
        </row>
        <row r="5747">
          <cell r="A5747" t="str">
            <v>IS_alqt_plus</v>
          </cell>
          <cell r="K5747" t="str">
            <v>ECOL</v>
          </cell>
          <cell r="M5747" t="str">
            <v>F</v>
          </cell>
          <cell r="AB5747" t="str">
            <v>WB</v>
          </cell>
          <cell r="AF5747">
            <v>1.3</v>
          </cell>
        </row>
        <row r="5748">
          <cell r="A5748" t="str">
            <v>IS_alqt_plus</v>
          </cell>
          <cell r="K5748" t="str">
            <v>ECOL</v>
          </cell>
          <cell r="M5748" t="str">
            <v>F</v>
          </cell>
          <cell r="AB5748" t="str">
            <v>WB</v>
          </cell>
          <cell r="AF5748">
            <v>1.3</v>
          </cell>
        </row>
        <row r="5749">
          <cell r="A5749" t="str">
            <v>IS_alqt_plus</v>
          </cell>
          <cell r="K5749" t="str">
            <v>ECOL</v>
          </cell>
          <cell r="M5749" t="str">
            <v>F</v>
          </cell>
          <cell r="AB5749" t="str">
            <v>WB</v>
          </cell>
          <cell r="AF5749">
            <v>1.3</v>
          </cell>
        </row>
        <row r="5750">
          <cell r="A5750" t="str">
            <v>IS_alqt_plus</v>
          </cell>
          <cell r="K5750" t="str">
            <v>ECOL</v>
          </cell>
          <cell r="M5750" t="str">
            <v>F</v>
          </cell>
          <cell r="AB5750" t="str">
            <v>WB</v>
          </cell>
          <cell r="AF5750">
            <v>1.5</v>
          </cell>
        </row>
        <row r="5751">
          <cell r="A5751" t="str">
            <v>IS_alqt_plus</v>
          </cell>
          <cell r="K5751" t="str">
            <v>ECOL</v>
          </cell>
          <cell r="M5751" t="str">
            <v>F</v>
          </cell>
          <cell r="AB5751" t="str">
            <v>WB</v>
          </cell>
          <cell r="AF5751">
            <v>1.3</v>
          </cell>
        </row>
        <row r="5752">
          <cell r="A5752" t="str">
            <v>IS_alqt_plus</v>
          </cell>
          <cell r="K5752" t="str">
            <v>ECOL</v>
          </cell>
          <cell r="M5752" t="str">
            <v>F</v>
          </cell>
          <cell r="AB5752" t="str">
            <v>WB</v>
          </cell>
          <cell r="AF5752">
            <v>1.5</v>
          </cell>
        </row>
        <row r="5753">
          <cell r="A5753" t="str">
            <v>IS_alqt_plus</v>
          </cell>
          <cell r="K5753" t="str">
            <v>ECOL</v>
          </cell>
          <cell r="M5753" t="str">
            <v>F</v>
          </cell>
          <cell r="AB5753" t="str">
            <v>WB</v>
          </cell>
          <cell r="AF5753">
            <v>1.5</v>
          </cell>
        </row>
        <row r="5754">
          <cell r="A5754" t="str">
            <v>IS_alqt_plus</v>
          </cell>
          <cell r="K5754" t="str">
            <v>ECOL</v>
          </cell>
          <cell r="M5754" t="str">
            <v>F</v>
          </cell>
          <cell r="AB5754" t="str">
            <v>WB</v>
          </cell>
          <cell r="AF5754">
            <v>1.4</v>
          </cell>
        </row>
        <row r="5755">
          <cell r="A5755" t="str">
            <v>IS_alqt_plus</v>
          </cell>
          <cell r="K5755" t="str">
            <v>ECOL</v>
          </cell>
          <cell r="M5755" t="str">
            <v>F</v>
          </cell>
          <cell r="AB5755" t="str">
            <v>WB</v>
          </cell>
          <cell r="AF5755">
            <v>1.4</v>
          </cell>
        </row>
        <row r="5756">
          <cell r="A5756" t="str">
            <v>IS_alqt_plus</v>
          </cell>
          <cell r="K5756" t="str">
            <v>ECOL</v>
          </cell>
          <cell r="M5756" t="str">
            <v>F</v>
          </cell>
          <cell r="AB5756" t="str">
            <v>WB</v>
          </cell>
          <cell r="AF5756">
            <v>1.3</v>
          </cell>
        </row>
        <row r="5757">
          <cell r="A5757" t="str">
            <v>IS_alqt_plus</v>
          </cell>
          <cell r="K5757" t="str">
            <v>ECOL</v>
          </cell>
          <cell r="M5757" t="str">
            <v>F</v>
          </cell>
          <cell r="AB5757" t="str">
            <v>WB</v>
          </cell>
          <cell r="AF5757">
            <v>1.3</v>
          </cell>
        </row>
        <row r="5758">
          <cell r="A5758" t="str">
            <v>IS_alqt_plus</v>
          </cell>
          <cell r="K5758" t="str">
            <v>ECOL</v>
          </cell>
          <cell r="M5758" t="str">
            <v>F</v>
          </cell>
          <cell r="AB5758" t="str">
            <v>WB</v>
          </cell>
          <cell r="AF5758">
            <v>1.2</v>
          </cell>
        </row>
        <row r="5759">
          <cell r="A5759" t="str">
            <v>IS_alqt_plus</v>
          </cell>
          <cell r="K5759" t="str">
            <v>ECOL</v>
          </cell>
          <cell r="M5759" t="str">
            <v>F</v>
          </cell>
          <cell r="AB5759" t="str">
            <v>WB</v>
          </cell>
          <cell r="AF5759">
            <v>1.3</v>
          </cell>
        </row>
        <row r="5760">
          <cell r="A5760" t="str">
            <v>IS_alqt_plus</v>
          </cell>
          <cell r="K5760" t="str">
            <v>ECOL</v>
          </cell>
          <cell r="M5760" t="str">
            <v>F</v>
          </cell>
          <cell r="AB5760" t="str">
            <v>WB</v>
          </cell>
          <cell r="AF5760">
            <v>1.3</v>
          </cell>
        </row>
        <row r="5761">
          <cell r="A5761" t="str">
            <v>gone</v>
          </cell>
          <cell r="K5761" t="str">
            <v>ECOL</v>
          </cell>
          <cell r="M5761" t="str">
            <v>F</v>
          </cell>
          <cell r="AB5761" t="str">
            <v>WB</v>
          </cell>
          <cell r="AF5761">
            <v>0</v>
          </cell>
        </row>
        <row r="5762">
          <cell r="A5762" t="str">
            <v>IS_alqt_plus</v>
          </cell>
          <cell r="K5762" t="str">
            <v>ECOL</v>
          </cell>
          <cell r="M5762" t="str">
            <v>F</v>
          </cell>
          <cell r="AB5762" t="str">
            <v>WB</v>
          </cell>
          <cell r="AF5762">
            <v>1.5</v>
          </cell>
        </row>
        <row r="5763">
          <cell r="A5763" t="str">
            <v>IS_alqt_plus</v>
          </cell>
          <cell r="K5763" t="str">
            <v>VVV</v>
          </cell>
          <cell r="M5763" t="str">
            <v>F</v>
          </cell>
          <cell r="AB5763" t="str">
            <v>WB</v>
          </cell>
          <cell r="AF5763">
            <v>0.4</v>
          </cell>
        </row>
        <row r="5764">
          <cell r="A5764" t="str">
            <v>IS_alqt_plus</v>
          </cell>
          <cell r="K5764" t="str">
            <v>LCAT</v>
          </cell>
          <cell r="M5764" t="str">
            <v>F</v>
          </cell>
          <cell r="AB5764" t="str">
            <v>WB</v>
          </cell>
          <cell r="AF5764">
            <v>1</v>
          </cell>
        </row>
        <row r="5765">
          <cell r="A5765" t="str">
            <v>IS_alqt_plus</v>
          </cell>
          <cell r="K5765" t="str">
            <v>LCAT</v>
          </cell>
          <cell r="M5765" t="str">
            <v>F</v>
          </cell>
          <cell r="AB5765" t="str">
            <v>serum</v>
          </cell>
          <cell r="AF5765">
            <v>0.4</v>
          </cell>
        </row>
        <row r="5766">
          <cell r="A5766" t="str">
            <v>IS_alqt_plus</v>
          </cell>
          <cell r="K5766" t="str">
            <v>LCAT</v>
          </cell>
          <cell r="M5766" t="str">
            <v>F</v>
          </cell>
          <cell r="AB5766" t="str">
            <v>WB</v>
          </cell>
          <cell r="AF5766">
            <v>1</v>
          </cell>
        </row>
        <row r="5767">
          <cell r="A5767" t="str">
            <v>IS_alqt_plus</v>
          </cell>
          <cell r="K5767" t="str">
            <v>LCAT</v>
          </cell>
          <cell r="M5767" t="str">
            <v>F</v>
          </cell>
          <cell r="AB5767" t="str">
            <v>WB</v>
          </cell>
          <cell r="AF5767">
            <v>1</v>
          </cell>
        </row>
        <row r="5768">
          <cell r="A5768" t="str">
            <v>IS_alqt_plus</v>
          </cell>
          <cell r="K5768" t="str">
            <v>LCAT</v>
          </cell>
          <cell r="M5768" t="str">
            <v>F</v>
          </cell>
          <cell r="AB5768" t="str">
            <v>serum</v>
          </cell>
          <cell r="AF5768">
            <v>1</v>
          </cell>
        </row>
        <row r="5769">
          <cell r="A5769" t="str">
            <v>IS_alqt_plus</v>
          </cell>
          <cell r="K5769" t="str">
            <v>LCAT</v>
          </cell>
          <cell r="M5769" t="str">
            <v>M</v>
          </cell>
          <cell r="AB5769" t="str">
            <v>serum</v>
          </cell>
          <cell r="AF5769">
            <v>1</v>
          </cell>
        </row>
        <row r="5770">
          <cell r="A5770" t="str">
            <v>IS_alqt_plus</v>
          </cell>
          <cell r="K5770" t="str">
            <v>LCAT</v>
          </cell>
          <cell r="M5770" t="str">
            <v>F</v>
          </cell>
          <cell r="AB5770" t="str">
            <v>WB</v>
          </cell>
          <cell r="AF5770">
            <v>1</v>
          </cell>
        </row>
        <row r="5771">
          <cell r="A5771" t="str">
            <v>gone</v>
          </cell>
          <cell r="K5771" t="str">
            <v>VVV</v>
          </cell>
          <cell r="M5771" t="str">
            <v>F</v>
          </cell>
          <cell r="AB5771" t="str">
            <v>WB</v>
          </cell>
          <cell r="AF5771">
            <v>0</v>
          </cell>
        </row>
        <row r="5772">
          <cell r="A5772" t="str">
            <v>IS_alqt_plus</v>
          </cell>
          <cell r="K5772" t="str">
            <v>VVV</v>
          </cell>
          <cell r="M5772" t="str">
            <v>F</v>
          </cell>
          <cell r="AB5772" t="str">
            <v>serum</v>
          </cell>
          <cell r="AF5772">
            <v>1</v>
          </cell>
        </row>
        <row r="5773">
          <cell r="A5773" t="str">
            <v>IS_alqt_plus</v>
          </cell>
          <cell r="K5773" t="str">
            <v>LCAT</v>
          </cell>
          <cell r="M5773" t="str">
            <v>F</v>
          </cell>
          <cell r="AB5773" t="str">
            <v>WB</v>
          </cell>
          <cell r="AF5773">
            <v>1</v>
          </cell>
        </row>
        <row r="5774">
          <cell r="A5774" t="str">
            <v>IS_alqt_minus</v>
          </cell>
          <cell r="K5774" t="str">
            <v>HGG</v>
          </cell>
          <cell r="M5774" t="str">
            <v>F</v>
          </cell>
          <cell r="AB5774" t="str">
            <v>serum</v>
          </cell>
          <cell r="AF5774">
            <v>0.1</v>
          </cell>
        </row>
        <row r="5775">
          <cell r="A5775" t="str">
            <v>IS_alqt_plus</v>
          </cell>
          <cell r="K5775" t="str">
            <v>PCOQ</v>
          </cell>
          <cell r="M5775" t="str">
            <v>M</v>
          </cell>
          <cell r="AB5775" t="str">
            <v>serum</v>
          </cell>
          <cell r="AF5775">
            <v>0.5</v>
          </cell>
        </row>
        <row r="5776">
          <cell r="A5776" t="str">
            <v>IS_alqt_plus</v>
          </cell>
          <cell r="K5776" t="str">
            <v>EFLA</v>
          </cell>
          <cell r="M5776" t="str">
            <v>M</v>
          </cell>
          <cell r="AB5776" t="str">
            <v>serum</v>
          </cell>
          <cell r="AF5776">
            <v>0.6</v>
          </cell>
        </row>
        <row r="5777">
          <cell r="A5777" t="str">
            <v>IS_alqt_plus</v>
          </cell>
          <cell r="K5777" t="str">
            <v>EFLA</v>
          </cell>
          <cell r="M5777" t="str">
            <v>M</v>
          </cell>
          <cell r="AB5777" t="str">
            <v>WB</v>
          </cell>
          <cell r="AF5777">
            <v>1.3</v>
          </cell>
        </row>
        <row r="5778">
          <cell r="A5778" t="str">
            <v>IS_alqt_plus</v>
          </cell>
          <cell r="K5778" t="str">
            <v>LCAT</v>
          </cell>
          <cell r="M5778" t="str">
            <v>F</v>
          </cell>
          <cell r="AB5778" t="str">
            <v>WB</v>
          </cell>
          <cell r="AF5778">
            <v>1</v>
          </cell>
        </row>
        <row r="5779">
          <cell r="A5779" t="str">
            <v>IS_alqt_plus</v>
          </cell>
          <cell r="K5779" t="str">
            <v>EALB</v>
          </cell>
          <cell r="M5779" t="str">
            <v>F</v>
          </cell>
          <cell r="AB5779" t="str">
            <v>WB</v>
          </cell>
          <cell r="AF5779">
            <v>0.6</v>
          </cell>
        </row>
        <row r="5780">
          <cell r="A5780" t="str">
            <v>IS_alqt_plus</v>
          </cell>
          <cell r="K5780" t="str">
            <v>EALB</v>
          </cell>
          <cell r="M5780" t="str">
            <v>F</v>
          </cell>
          <cell r="AB5780" t="str">
            <v>serum</v>
          </cell>
          <cell r="AF5780">
            <v>0.4</v>
          </cell>
        </row>
        <row r="5781">
          <cell r="A5781" t="str">
            <v>IS_alqt_plus</v>
          </cell>
          <cell r="K5781" t="str">
            <v>ECOR</v>
          </cell>
          <cell r="M5781" t="str">
            <v>F</v>
          </cell>
          <cell r="AB5781" t="str">
            <v>serum</v>
          </cell>
          <cell r="AF5781">
            <v>0.5</v>
          </cell>
        </row>
        <row r="5782">
          <cell r="A5782" t="str">
            <v>gone</v>
          </cell>
          <cell r="K5782" t="str">
            <v>ECOR</v>
          </cell>
          <cell r="M5782" t="str">
            <v>F</v>
          </cell>
          <cell r="AB5782" t="str">
            <v>WB</v>
          </cell>
          <cell r="AF5782">
            <v>0</v>
          </cell>
        </row>
        <row r="5783">
          <cell r="A5783" t="str">
            <v>IS_alqt_plus</v>
          </cell>
          <cell r="K5783" t="str">
            <v>ECOR</v>
          </cell>
          <cell r="M5783" t="str">
            <v>M</v>
          </cell>
          <cell r="AB5783" t="str">
            <v>WB</v>
          </cell>
          <cell r="AF5783">
            <v>0.8</v>
          </cell>
        </row>
        <row r="5784">
          <cell r="A5784" t="str">
            <v>gone</v>
          </cell>
          <cell r="K5784" t="str">
            <v>VVV</v>
          </cell>
          <cell r="M5784" t="str">
            <v>M</v>
          </cell>
          <cell r="AB5784" t="str">
            <v>WB</v>
          </cell>
          <cell r="AF5784">
            <v>0</v>
          </cell>
        </row>
        <row r="5785">
          <cell r="A5785" t="str">
            <v>gone</v>
          </cell>
          <cell r="K5785" t="str">
            <v>MMUR</v>
          </cell>
          <cell r="M5785" t="str">
            <v>M</v>
          </cell>
          <cell r="AB5785" t="str">
            <v>WB</v>
          </cell>
          <cell r="AF5785">
            <v>0</v>
          </cell>
        </row>
        <row r="5786">
          <cell r="A5786" t="str">
            <v>IS_alqt_plus</v>
          </cell>
          <cell r="K5786" t="str">
            <v>VRUB</v>
          </cell>
          <cell r="M5786" t="str">
            <v>F</v>
          </cell>
          <cell r="AB5786" t="str">
            <v>WB</v>
          </cell>
          <cell r="AF5786">
            <v>3</v>
          </cell>
        </row>
        <row r="5787">
          <cell r="A5787" t="str">
            <v>IS_alqt_plus</v>
          </cell>
          <cell r="K5787" t="str">
            <v>EFLA</v>
          </cell>
          <cell r="M5787" t="str">
            <v>F</v>
          </cell>
          <cell r="AB5787" t="str">
            <v>serum</v>
          </cell>
          <cell r="AF5787">
            <v>0.4</v>
          </cell>
        </row>
        <row r="5788">
          <cell r="A5788" t="str">
            <v>gone</v>
          </cell>
          <cell r="K5788" t="str">
            <v>EFLA</v>
          </cell>
          <cell r="M5788" t="str">
            <v>F</v>
          </cell>
          <cell r="AB5788" t="str">
            <v>WB</v>
          </cell>
          <cell r="AF5788">
            <v>0</v>
          </cell>
        </row>
        <row r="5789">
          <cell r="A5789" t="str">
            <v>IS_alqt_plus</v>
          </cell>
          <cell r="K5789" t="str">
            <v>EMON</v>
          </cell>
          <cell r="M5789" t="str">
            <v>F</v>
          </cell>
          <cell r="AB5789" t="str">
            <v>WB</v>
          </cell>
          <cell r="AF5789">
            <v>1.1000000000000001</v>
          </cell>
        </row>
        <row r="5790">
          <cell r="A5790" t="str">
            <v>IS_alqt_plus</v>
          </cell>
          <cell r="K5790" t="str">
            <v>LCAT</v>
          </cell>
          <cell r="M5790" t="str">
            <v>F</v>
          </cell>
          <cell r="AB5790" t="str">
            <v>WB</v>
          </cell>
          <cell r="AF5790">
            <v>1</v>
          </cell>
        </row>
        <row r="5791">
          <cell r="A5791" t="str">
            <v>IS_alqt_plus</v>
          </cell>
          <cell r="K5791" t="str">
            <v>LCAT</v>
          </cell>
          <cell r="M5791" t="str">
            <v>F</v>
          </cell>
          <cell r="AB5791" t="str">
            <v>WB</v>
          </cell>
          <cell r="AF5791">
            <v>1</v>
          </cell>
        </row>
        <row r="5792">
          <cell r="A5792" t="str">
            <v>IS_alqt_plus</v>
          </cell>
          <cell r="K5792" t="str">
            <v>LCAT</v>
          </cell>
          <cell r="M5792" t="str">
            <v>F</v>
          </cell>
          <cell r="AB5792" t="str">
            <v>WB</v>
          </cell>
          <cell r="AF5792">
            <v>1</v>
          </cell>
        </row>
        <row r="5793">
          <cell r="A5793" t="str">
            <v>gone</v>
          </cell>
          <cell r="K5793" t="str">
            <v>VVV</v>
          </cell>
          <cell r="M5793" t="str">
            <v>M</v>
          </cell>
          <cell r="AB5793" t="str">
            <v>WB</v>
          </cell>
          <cell r="AF5793">
            <v>0</v>
          </cell>
        </row>
        <row r="5794">
          <cell r="A5794" t="str">
            <v>gone</v>
          </cell>
          <cell r="K5794" t="str">
            <v>VVV</v>
          </cell>
          <cell r="M5794" t="str">
            <v>M</v>
          </cell>
          <cell r="AB5794" t="str">
            <v>WB</v>
          </cell>
          <cell r="AF5794">
            <v>0</v>
          </cell>
        </row>
        <row r="5795">
          <cell r="A5795" t="str">
            <v>IS_alqt_plus</v>
          </cell>
          <cell r="K5795" t="str">
            <v>VVV</v>
          </cell>
          <cell r="M5795" t="str">
            <v>M</v>
          </cell>
          <cell r="AB5795" t="str">
            <v>serum</v>
          </cell>
          <cell r="AF5795">
            <v>0.8</v>
          </cell>
        </row>
        <row r="5796">
          <cell r="A5796" t="str">
            <v>IS_alqt_plus</v>
          </cell>
          <cell r="K5796" t="str">
            <v>VVV</v>
          </cell>
          <cell r="M5796" t="str">
            <v>M</v>
          </cell>
          <cell r="AB5796" t="str">
            <v>serum</v>
          </cell>
          <cell r="AF5796">
            <v>0.8</v>
          </cell>
        </row>
        <row r="5797">
          <cell r="A5797" t="str">
            <v>IS_alqt_plus</v>
          </cell>
          <cell r="K5797" t="str">
            <v>ECOL</v>
          </cell>
          <cell r="M5797" t="str">
            <v>M</v>
          </cell>
          <cell r="AB5797" t="str">
            <v>WB</v>
          </cell>
          <cell r="AF5797">
            <v>0.5</v>
          </cell>
        </row>
        <row r="5798">
          <cell r="A5798" t="str">
            <v>IS_alqt_plus</v>
          </cell>
          <cell r="K5798" t="str">
            <v>LCAT</v>
          </cell>
          <cell r="M5798" t="str">
            <v>F</v>
          </cell>
          <cell r="AB5798" t="str">
            <v>WB</v>
          </cell>
          <cell r="AF5798">
            <v>1</v>
          </cell>
        </row>
        <row r="5799">
          <cell r="A5799" t="str">
            <v>IS_alqt_plus</v>
          </cell>
          <cell r="K5799" t="str">
            <v>LCAT</v>
          </cell>
          <cell r="M5799" t="str">
            <v>F</v>
          </cell>
          <cell r="AB5799" t="str">
            <v>WB</v>
          </cell>
          <cell r="AF5799">
            <v>1</v>
          </cell>
        </row>
        <row r="5800">
          <cell r="A5800" t="str">
            <v>IS_alqt_plus</v>
          </cell>
          <cell r="K5800" t="str">
            <v>LCAT</v>
          </cell>
          <cell r="M5800" t="str">
            <v>F</v>
          </cell>
          <cell r="AB5800" t="str">
            <v>WB</v>
          </cell>
          <cell r="AF5800">
            <v>1</v>
          </cell>
        </row>
        <row r="5801">
          <cell r="A5801" t="str">
            <v>IS_alqt_plus</v>
          </cell>
          <cell r="K5801" t="str">
            <v>LCAT</v>
          </cell>
          <cell r="M5801" t="str">
            <v>F</v>
          </cell>
          <cell r="AB5801" t="str">
            <v>WB</v>
          </cell>
          <cell r="AF5801">
            <v>1</v>
          </cell>
        </row>
        <row r="5802">
          <cell r="A5802" t="str">
            <v>gone</v>
          </cell>
          <cell r="K5802" t="str">
            <v>LCAT</v>
          </cell>
          <cell r="M5802" t="str">
            <v>M</v>
          </cell>
          <cell r="AB5802" t="str">
            <v>WB</v>
          </cell>
          <cell r="AF5802">
            <v>0</v>
          </cell>
        </row>
        <row r="5803">
          <cell r="A5803" t="str">
            <v>IS_alqt_plus</v>
          </cell>
          <cell r="K5803" t="str">
            <v>LCAT</v>
          </cell>
          <cell r="M5803" t="str">
            <v>M</v>
          </cell>
          <cell r="AB5803" t="str">
            <v>WB</v>
          </cell>
          <cell r="AF5803">
            <v>1.8</v>
          </cell>
        </row>
        <row r="5804">
          <cell r="A5804" t="str">
            <v>IS_alqt_plus</v>
          </cell>
          <cell r="K5804" t="str">
            <v>LCAT</v>
          </cell>
          <cell r="M5804" t="str">
            <v>M</v>
          </cell>
          <cell r="AB5804" t="str">
            <v>WB</v>
          </cell>
          <cell r="AF5804">
            <v>1.8</v>
          </cell>
        </row>
        <row r="5805">
          <cell r="A5805" t="str">
            <v>IS_alqt_plus</v>
          </cell>
          <cell r="K5805" t="str">
            <v>LCAT</v>
          </cell>
          <cell r="M5805" t="str">
            <v>M</v>
          </cell>
          <cell r="AB5805" t="str">
            <v>WB</v>
          </cell>
          <cell r="AF5805">
            <v>1.6</v>
          </cell>
        </row>
        <row r="5806">
          <cell r="A5806" t="str">
            <v>IS_alqt_plus</v>
          </cell>
          <cell r="K5806" t="str">
            <v>LCAT</v>
          </cell>
          <cell r="M5806" t="str">
            <v>F</v>
          </cell>
          <cell r="AB5806" t="str">
            <v>serum</v>
          </cell>
          <cell r="AF5806">
            <v>1.5</v>
          </cell>
        </row>
        <row r="5807">
          <cell r="A5807" t="str">
            <v>IS_alqt_plus</v>
          </cell>
          <cell r="K5807" t="str">
            <v>LCAT</v>
          </cell>
          <cell r="M5807" t="str">
            <v>F</v>
          </cell>
          <cell r="AB5807" t="str">
            <v>serum</v>
          </cell>
          <cell r="AF5807">
            <v>1.5</v>
          </cell>
        </row>
        <row r="5808">
          <cell r="A5808" t="str">
            <v>IS_alqt_plus</v>
          </cell>
          <cell r="K5808" t="str">
            <v>LCAT</v>
          </cell>
          <cell r="M5808" t="str">
            <v>F</v>
          </cell>
          <cell r="AB5808" t="str">
            <v>serum</v>
          </cell>
          <cell r="AF5808">
            <v>1.5</v>
          </cell>
        </row>
        <row r="5809">
          <cell r="A5809" t="str">
            <v>IS_alqt_plus</v>
          </cell>
          <cell r="K5809" t="str">
            <v>LCAT</v>
          </cell>
          <cell r="M5809" t="str">
            <v>F</v>
          </cell>
          <cell r="AB5809" t="str">
            <v>serum</v>
          </cell>
          <cell r="AF5809">
            <v>1.5</v>
          </cell>
        </row>
        <row r="5810">
          <cell r="A5810" t="str">
            <v>IS_alqt_plus</v>
          </cell>
          <cell r="K5810" t="str">
            <v>LCAT</v>
          </cell>
          <cell r="M5810" t="str">
            <v>F</v>
          </cell>
          <cell r="AB5810" t="str">
            <v>serum</v>
          </cell>
          <cell r="AF5810">
            <v>1.3</v>
          </cell>
        </row>
        <row r="5811">
          <cell r="A5811" t="str">
            <v>IS_alqt_plus</v>
          </cell>
          <cell r="K5811" t="str">
            <v>LCAT</v>
          </cell>
          <cell r="M5811" t="str">
            <v>F</v>
          </cell>
          <cell r="AB5811" t="str">
            <v>serum</v>
          </cell>
          <cell r="AF5811">
            <v>1.5</v>
          </cell>
        </row>
        <row r="5812">
          <cell r="A5812" t="str">
            <v>IS_alqt_plus</v>
          </cell>
          <cell r="K5812" t="str">
            <v>LCAT</v>
          </cell>
          <cell r="M5812" t="str">
            <v>F</v>
          </cell>
          <cell r="AB5812" t="str">
            <v>serum</v>
          </cell>
          <cell r="AF5812">
            <v>1.5</v>
          </cell>
        </row>
        <row r="5813">
          <cell r="A5813" t="str">
            <v>IS_alqt_plus</v>
          </cell>
          <cell r="K5813" t="str">
            <v>VVV</v>
          </cell>
          <cell r="M5813" t="str">
            <v>F</v>
          </cell>
          <cell r="AB5813" t="str">
            <v>serum</v>
          </cell>
          <cell r="AF5813">
            <v>0.5</v>
          </cell>
        </row>
        <row r="5814">
          <cell r="A5814" t="str">
            <v>IS_alqt_plus</v>
          </cell>
          <cell r="K5814" t="str">
            <v>VVV</v>
          </cell>
          <cell r="M5814" t="str">
            <v>F</v>
          </cell>
          <cell r="AB5814" t="str">
            <v>serum</v>
          </cell>
          <cell r="AF5814">
            <v>0.5</v>
          </cell>
        </row>
        <row r="5815">
          <cell r="A5815" t="str">
            <v>IS_alqt_plus</v>
          </cell>
          <cell r="K5815" t="str">
            <v>VVV</v>
          </cell>
          <cell r="M5815" t="str">
            <v>F</v>
          </cell>
          <cell r="AB5815" t="str">
            <v>serum</v>
          </cell>
          <cell r="AF5815">
            <v>0.5</v>
          </cell>
        </row>
        <row r="5816">
          <cell r="A5816" t="str">
            <v>IS_alqt_plus</v>
          </cell>
          <cell r="K5816" t="str">
            <v>ECOR</v>
          </cell>
          <cell r="M5816" t="str">
            <v>M</v>
          </cell>
          <cell r="AB5816" t="str">
            <v>WB</v>
          </cell>
          <cell r="AF5816">
            <v>0.5</v>
          </cell>
        </row>
        <row r="5817">
          <cell r="A5817" t="str">
            <v>IS_alqt_plus</v>
          </cell>
          <cell r="K5817" t="str">
            <v>EFLA</v>
          </cell>
          <cell r="M5817" t="str">
            <v>M</v>
          </cell>
          <cell r="AB5817" t="str">
            <v>WB</v>
          </cell>
          <cell r="AF5817">
            <v>0.75</v>
          </cell>
        </row>
        <row r="5818">
          <cell r="A5818" t="str">
            <v>IS_alqt_plus</v>
          </cell>
          <cell r="K5818" t="str">
            <v>HGG</v>
          </cell>
          <cell r="M5818" t="str">
            <v>F</v>
          </cell>
          <cell r="AB5818" t="str">
            <v>WB</v>
          </cell>
          <cell r="AF5818">
            <v>1.1000000000000001</v>
          </cell>
        </row>
        <row r="5819">
          <cell r="A5819" t="str">
            <v>gone</v>
          </cell>
          <cell r="K5819" t="str">
            <v>ERUB</v>
          </cell>
          <cell r="M5819" t="str">
            <v>M</v>
          </cell>
          <cell r="AB5819" t="str">
            <v>WB</v>
          </cell>
          <cell r="AF5819">
            <v>0</v>
          </cell>
        </row>
        <row r="5820">
          <cell r="A5820" t="str">
            <v>IS_alqt_plus</v>
          </cell>
          <cell r="K5820" t="str">
            <v>HGG</v>
          </cell>
          <cell r="M5820" t="str">
            <v>F</v>
          </cell>
          <cell r="AB5820" t="str">
            <v>serum</v>
          </cell>
          <cell r="AF5820">
            <v>1</v>
          </cell>
        </row>
        <row r="5821">
          <cell r="A5821" t="str">
            <v>IS_alqt_plus</v>
          </cell>
          <cell r="K5821" t="str">
            <v>ERUB</v>
          </cell>
          <cell r="M5821" t="str">
            <v>M</v>
          </cell>
          <cell r="AB5821" t="str">
            <v>serum</v>
          </cell>
          <cell r="AF5821">
            <v>0.3</v>
          </cell>
        </row>
        <row r="5822">
          <cell r="A5822" t="str">
            <v>IS_alqt_plus</v>
          </cell>
          <cell r="K5822" t="str">
            <v>ECOR</v>
          </cell>
          <cell r="M5822" t="str">
            <v>M</v>
          </cell>
          <cell r="AB5822" t="str">
            <v>serum</v>
          </cell>
          <cell r="AF5822">
            <v>0.4</v>
          </cell>
        </row>
        <row r="5823">
          <cell r="A5823" t="str">
            <v>IS_alqt_plus</v>
          </cell>
          <cell r="K5823" t="str">
            <v>ECOR</v>
          </cell>
          <cell r="M5823" t="str">
            <v>M</v>
          </cell>
          <cell r="AB5823" t="str">
            <v>serum</v>
          </cell>
          <cell r="AF5823">
            <v>0.5</v>
          </cell>
        </row>
        <row r="5824">
          <cell r="A5824" t="str">
            <v>IS_alqt_plus</v>
          </cell>
          <cell r="K5824" t="str">
            <v>LCAT</v>
          </cell>
          <cell r="M5824" t="str">
            <v>F</v>
          </cell>
          <cell r="AB5824" t="str">
            <v>WB</v>
          </cell>
          <cell r="AF5824">
            <v>0.8</v>
          </cell>
        </row>
        <row r="5825">
          <cell r="A5825" t="str">
            <v>IS_alqt_plus</v>
          </cell>
          <cell r="K5825" t="str">
            <v>PCOQ</v>
          </cell>
          <cell r="M5825" t="str">
            <v>F</v>
          </cell>
          <cell r="AB5825" t="str">
            <v>serum</v>
          </cell>
          <cell r="AF5825">
            <v>1.5</v>
          </cell>
        </row>
        <row r="5826">
          <cell r="A5826" t="str">
            <v>IS_alqt_plus</v>
          </cell>
          <cell r="K5826" t="str">
            <v>ECOR</v>
          </cell>
          <cell r="M5826" t="str">
            <v>M</v>
          </cell>
          <cell r="AB5826" t="str">
            <v>WB</v>
          </cell>
          <cell r="AF5826">
            <v>0.2</v>
          </cell>
        </row>
        <row r="5827">
          <cell r="A5827" t="str">
            <v>gone</v>
          </cell>
          <cell r="K5827" t="str">
            <v>VVV</v>
          </cell>
          <cell r="M5827" t="str">
            <v>F</v>
          </cell>
          <cell r="AB5827" t="str">
            <v>WB</v>
          </cell>
          <cell r="AF5827">
            <v>0</v>
          </cell>
        </row>
        <row r="5828">
          <cell r="A5828" t="str">
            <v>gone</v>
          </cell>
          <cell r="K5828" t="str">
            <v>VVV</v>
          </cell>
          <cell r="M5828" t="str">
            <v>M</v>
          </cell>
          <cell r="AB5828" t="str">
            <v>WB</v>
          </cell>
          <cell r="AF5828">
            <v>0</v>
          </cell>
        </row>
        <row r="5829">
          <cell r="A5829" t="str">
            <v>IS_alqt_plus</v>
          </cell>
          <cell r="K5829" t="str">
            <v>VVV</v>
          </cell>
          <cell r="M5829" t="str">
            <v>F</v>
          </cell>
          <cell r="AB5829" t="str">
            <v>serum</v>
          </cell>
          <cell r="AF5829">
            <v>1.4</v>
          </cell>
        </row>
        <row r="5830">
          <cell r="A5830" t="str">
            <v>IS_alqt_plus</v>
          </cell>
          <cell r="K5830" t="str">
            <v>VVV</v>
          </cell>
          <cell r="M5830" t="str">
            <v>M</v>
          </cell>
          <cell r="AB5830" t="str">
            <v>serum</v>
          </cell>
          <cell r="AF5830">
            <v>1.5</v>
          </cell>
        </row>
        <row r="5831">
          <cell r="A5831" t="str">
            <v>IS_alqt_plus</v>
          </cell>
          <cell r="K5831" t="str">
            <v>LCAT</v>
          </cell>
          <cell r="M5831" t="str">
            <v>F</v>
          </cell>
          <cell r="AB5831" t="str">
            <v>WB</v>
          </cell>
          <cell r="AF5831">
            <v>0.4</v>
          </cell>
        </row>
        <row r="5832">
          <cell r="A5832" t="str">
            <v>IS_alqt_plus</v>
          </cell>
          <cell r="K5832" t="str">
            <v>ERUB</v>
          </cell>
          <cell r="M5832" t="str">
            <v>F</v>
          </cell>
          <cell r="AB5832" t="str">
            <v>WB</v>
          </cell>
          <cell r="AF5832">
            <v>0.2</v>
          </cell>
        </row>
        <row r="5833">
          <cell r="A5833" t="str">
            <v>IS_alqt_plus</v>
          </cell>
          <cell r="K5833" t="str">
            <v>LCAT</v>
          </cell>
          <cell r="M5833" t="str">
            <v>M</v>
          </cell>
          <cell r="AB5833" t="str">
            <v>serum</v>
          </cell>
          <cell r="AF5833">
            <v>0.3</v>
          </cell>
        </row>
        <row r="5834">
          <cell r="A5834" t="str">
            <v>IS_alqt_plus</v>
          </cell>
          <cell r="K5834" t="str">
            <v>ERUB</v>
          </cell>
          <cell r="M5834" t="str">
            <v>F</v>
          </cell>
          <cell r="AB5834" t="str">
            <v>serum</v>
          </cell>
          <cell r="AF5834">
            <v>1.1000000000000001</v>
          </cell>
        </row>
        <row r="5835">
          <cell r="A5835" t="str">
            <v>IS_alqt_plus</v>
          </cell>
          <cell r="K5835" t="str">
            <v>VRUB</v>
          </cell>
          <cell r="M5835" t="str">
            <v>M</v>
          </cell>
          <cell r="AB5835" t="str">
            <v>WB</v>
          </cell>
          <cell r="AF5835">
            <v>0.5</v>
          </cell>
        </row>
        <row r="5836">
          <cell r="A5836" t="str">
            <v>IS_alqt_plus</v>
          </cell>
          <cell r="K5836" t="str">
            <v>VRUB</v>
          </cell>
          <cell r="M5836" t="str">
            <v>F</v>
          </cell>
          <cell r="AB5836" t="str">
            <v>WB</v>
          </cell>
          <cell r="AF5836">
            <v>0.75</v>
          </cell>
        </row>
        <row r="5837">
          <cell r="A5837" t="str">
            <v>IS_alqt_plus</v>
          </cell>
          <cell r="K5837" t="str">
            <v>VRUB</v>
          </cell>
          <cell r="M5837" t="str">
            <v>M</v>
          </cell>
          <cell r="AB5837" t="str">
            <v>serum</v>
          </cell>
          <cell r="AF5837">
            <v>0.4</v>
          </cell>
        </row>
        <row r="5838">
          <cell r="A5838" t="str">
            <v>IS_alqt_plus</v>
          </cell>
          <cell r="K5838" t="str">
            <v>VRUB</v>
          </cell>
          <cell r="M5838" t="str">
            <v>F</v>
          </cell>
          <cell r="AB5838" t="str">
            <v>serum</v>
          </cell>
          <cell r="AF5838">
            <v>0.5</v>
          </cell>
        </row>
        <row r="5839">
          <cell r="A5839" t="str">
            <v>IS_alqt_plus</v>
          </cell>
          <cell r="K5839" t="str">
            <v>HGG</v>
          </cell>
          <cell r="M5839" t="str">
            <v>M</v>
          </cell>
          <cell r="AB5839" t="str">
            <v>serum</v>
          </cell>
          <cell r="AF5839">
            <v>0.5</v>
          </cell>
        </row>
        <row r="5840">
          <cell r="A5840" t="str">
            <v>gone</v>
          </cell>
          <cell r="K5840" t="str">
            <v>HGG</v>
          </cell>
          <cell r="M5840" t="str">
            <v>M</v>
          </cell>
          <cell r="AB5840" t="str">
            <v>WB</v>
          </cell>
          <cell r="AF5840">
            <v>0</v>
          </cell>
        </row>
        <row r="5841">
          <cell r="A5841" t="str">
            <v>IS_alqt_plus</v>
          </cell>
          <cell r="K5841" t="str">
            <v>HGG</v>
          </cell>
          <cell r="M5841" t="str">
            <v>F</v>
          </cell>
          <cell r="AB5841" t="str">
            <v>WB</v>
          </cell>
          <cell r="AF5841">
            <v>0.6</v>
          </cell>
        </row>
        <row r="5842">
          <cell r="A5842" t="str">
            <v>IS_alqt_plus</v>
          </cell>
          <cell r="K5842" t="str">
            <v>HGG</v>
          </cell>
          <cell r="M5842" t="str">
            <v>F</v>
          </cell>
          <cell r="AB5842" t="str">
            <v>serum</v>
          </cell>
          <cell r="AF5842">
            <v>0.75</v>
          </cell>
        </row>
        <row r="5843">
          <cell r="A5843" t="str">
            <v>IS_alqt_plus</v>
          </cell>
          <cell r="K5843" t="str">
            <v>ERUB</v>
          </cell>
          <cell r="M5843" t="str">
            <v>F</v>
          </cell>
          <cell r="AB5843" t="str">
            <v>WB</v>
          </cell>
          <cell r="AF5843">
            <v>0.5</v>
          </cell>
        </row>
        <row r="5844">
          <cell r="A5844" t="str">
            <v>IS_alqt_plus</v>
          </cell>
          <cell r="K5844" t="str">
            <v>EMON</v>
          </cell>
          <cell r="M5844" t="str">
            <v>M</v>
          </cell>
          <cell r="AB5844" t="str">
            <v>WB</v>
          </cell>
          <cell r="AF5844">
            <v>1.1000000000000001</v>
          </cell>
        </row>
        <row r="5845">
          <cell r="A5845" t="str">
            <v>IS_alqt_plus</v>
          </cell>
          <cell r="K5845" t="str">
            <v>EMON</v>
          </cell>
          <cell r="M5845" t="str">
            <v>M</v>
          </cell>
          <cell r="AB5845" t="str">
            <v>WB</v>
          </cell>
          <cell r="AF5845">
            <v>1.2</v>
          </cell>
        </row>
        <row r="5846">
          <cell r="A5846" t="str">
            <v>IS_alqt_plus</v>
          </cell>
          <cell r="K5846" t="str">
            <v>EMON</v>
          </cell>
          <cell r="M5846" t="str">
            <v>F</v>
          </cell>
          <cell r="AB5846" t="str">
            <v>WB</v>
          </cell>
          <cell r="AF5846">
            <v>0.6</v>
          </cell>
        </row>
        <row r="5847">
          <cell r="A5847" t="str">
            <v>IS_alqt_plus</v>
          </cell>
          <cell r="K5847" t="str">
            <v>EMON</v>
          </cell>
          <cell r="M5847" t="str">
            <v>M</v>
          </cell>
          <cell r="AB5847" t="str">
            <v>WB</v>
          </cell>
          <cell r="AF5847">
            <v>1.2</v>
          </cell>
        </row>
        <row r="5848">
          <cell r="A5848" t="str">
            <v>IS_alqt_plus</v>
          </cell>
          <cell r="K5848" t="str">
            <v>LCAT</v>
          </cell>
          <cell r="M5848" t="str">
            <v>F</v>
          </cell>
          <cell r="AB5848" t="str">
            <v>WB</v>
          </cell>
          <cell r="AF5848">
            <v>1</v>
          </cell>
        </row>
        <row r="5849">
          <cell r="A5849" t="str">
            <v>IS_alqt_plus</v>
          </cell>
          <cell r="K5849" t="str">
            <v>LCAT</v>
          </cell>
          <cell r="M5849" t="str">
            <v>F</v>
          </cell>
          <cell r="AB5849" t="str">
            <v>serum</v>
          </cell>
          <cell r="AF5849">
            <v>0.5</v>
          </cell>
        </row>
        <row r="5850">
          <cell r="A5850" t="str">
            <v>IS_alqt_plus</v>
          </cell>
          <cell r="K5850" t="str">
            <v>DMAD</v>
          </cell>
          <cell r="M5850" t="str">
            <v>F</v>
          </cell>
          <cell r="AB5850" t="str">
            <v>serum</v>
          </cell>
          <cell r="AF5850">
            <v>0.9</v>
          </cell>
        </row>
        <row r="5851">
          <cell r="A5851" t="str">
            <v>IS_alqt_plus</v>
          </cell>
          <cell r="K5851" t="str">
            <v>DMAD</v>
          </cell>
          <cell r="M5851" t="str">
            <v>F</v>
          </cell>
          <cell r="AB5851" t="str">
            <v>WB</v>
          </cell>
          <cell r="AF5851">
            <v>0.5</v>
          </cell>
        </row>
        <row r="5852">
          <cell r="A5852" t="str">
            <v>IS_alqt_plus</v>
          </cell>
          <cell r="K5852" t="str">
            <v>DMAD</v>
          </cell>
          <cell r="M5852" t="str">
            <v>F</v>
          </cell>
          <cell r="AB5852" t="str">
            <v>WB</v>
          </cell>
          <cell r="AF5852">
            <v>0.5</v>
          </cell>
        </row>
        <row r="5853">
          <cell r="A5853" t="str">
            <v>IS_alqt_plus</v>
          </cell>
          <cell r="K5853" t="str">
            <v>VRUB</v>
          </cell>
          <cell r="M5853" t="str">
            <v>F</v>
          </cell>
          <cell r="AB5853" t="str">
            <v>WB</v>
          </cell>
          <cell r="AF5853">
            <v>0.4</v>
          </cell>
        </row>
        <row r="5854">
          <cell r="A5854" t="str">
            <v>IS_alqt_plus</v>
          </cell>
          <cell r="K5854" t="str">
            <v>VRUB</v>
          </cell>
          <cell r="M5854" t="str">
            <v>F</v>
          </cell>
          <cell r="AB5854" t="str">
            <v>WB</v>
          </cell>
          <cell r="AF5854">
            <v>0.5</v>
          </cell>
        </row>
        <row r="5855">
          <cell r="A5855" t="str">
            <v>IS_alqt_plus</v>
          </cell>
          <cell r="K5855" t="str">
            <v>VRUB</v>
          </cell>
          <cell r="M5855" t="str">
            <v>F</v>
          </cell>
          <cell r="AB5855" t="str">
            <v>WB</v>
          </cell>
          <cell r="AF5855">
            <v>1.2</v>
          </cell>
        </row>
        <row r="5856">
          <cell r="A5856" t="str">
            <v>gone</v>
          </cell>
          <cell r="K5856" t="str">
            <v>VRUB</v>
          </cell>
          <cell r="M5856" t="str">
            <v>F</v>
          </cell>
          <cell r="AB5856" t="str">
            <v>WB</v>
          </cell>
          <cell r="AF5856">
            <v>0</v>
          </cell>
        </row>
        <row r="5857">
          <cell r="A5857" t="str">
            <v>IS_alqt_plus</v>
          </cell>
          <cell r="K5857" t="str">
            <v>VRUB</v>
          </cell>
          <cell r="M5857" t="str">
            <v>F</v>
          </cell>
          <cell r="AB5857" t="str">
            <v>serum</v>
          </cell>
          <cell r="AF5857">
            <v>1</v>
          </cell>
        </row>
        <row r="5858">
          <cell r="A5858" t="str">
            <v>IS_alqt_plus</v>
          </cell>
          <cell r="K5858" t="str">
            <v>DMAD</v>
          </cell>
          <cell r="M5858" t="str">
            <v>F</v>
          </cell>
          <cell r="AB5858" t="str">
            <v>serum</v>
          </cell>
          <cell r="AF5858">
            <v>1</v>
          </cell>
        </row>
        <row r="5859">
          <cell r="A5859" t="str">
            <v>IS_alqt_plus</v>
          </cell>
          <cell r="K5859" t="str">
            <v>ERUF</v>
          </cell>
          <cell r="M5859" t="str">
            <v>M</v>
          </cell>
          <cell r="AB5859" t="str">
            <v>serum</v>
          </cell>
          <cell r="AF5859">
            <v>1.4</v>
          </cell>
        </row>
        <row r="5860">
          <cell r="A5860" t="str">
            <v>IS_alqt_plus</v>
          </cell>
          <cell r="K5860" t="str">
            <v>ERUF</v>
          </cell>
          <cell r="M5860" t="str">
            <v>F</v>
          </cell>
          <cell r="AB5860" t="str">
            <v>serum</v>
          </cell>
          <cell r="AF5860">
            <v>1.2</v>
          </cell>
        </row>
        <row r="5861">
          <cell r="A5861" t="str">
            <v>IS_alqt_plus</v>
          </cell>
          <cell r="K5861" t="str">
            <v>DMAD</v>
          </cell>
          <cell r="M5861" t="str">
            <v>F</v>
          </cell>
          <cell r="AB5861" t="str">
            <v>WB</v>
          </cell>
          <cell r="AF5861">
            <v>0.65</v>
          </cell>
        </row>
        <row r="5862">
          <cell r="A5862" t="str">
            <v>IS_alqt_plus</v>
          </cell>
          <cell r="K5862" t="str">
            <v>ERUF</v>
          </cell>
          <cell r="M5862" t="str">
            <v>M</v>
          </cell>
          <cell r="AB5862" t="str">
            <v>WB</v>
          </cell>
          <cell r="AF5862">
            <v>0.3</v>
          </cell>
        </row>
        <row r="5863">
          <cell r="A5863" t="str">
            <v>IS_alqt_plus</v>
          </cell>
          <cell r="K5863" t="str">
            <v>ERUF</v>
          </cell>
          <cell r="M5863" t="str">
            <v>F</v>
          </cell>
          <cell r="AB5863" t="str">
            <v>WB</v>
          </cell>
          <cell r="AF5863">
            <v>0.65</v>
          </cell>
        </row>
        <row r="5864">
          <cell r="A5864" t="str">
            <v>IS_alqt_plus</v>
          </cell>
          <cell r="K5864" t="str">
            <v>EFLA</v>
          </cell>
          <cell r="M5864" t="str">
            <v>M</v>
          </cell>
          <cell r="AB5864" t="str">
            <v>serum</v>
          </cell>
          <cell r="AF5864">
            <v>0.4</v>
          </cell>
        </row>
        <row r="5865">
          <cell r="A5865" t="str">
            <v>gone</v>
          </cell>
          <cell r="K5865" t="str">
            <v>EFLA</v>
          </cell>
          <cell r="M5865" t="str">
            <v>M</v>
          </cell>
          <cell r="AB5865" t="str">
            <v>WB</v>
          </cell>
          <cell r="AF5865">
            <v>0</v>
          </cell>
        </row>
        <row r="5866">
          <cell r="A5866" t="str">
            <v>IS_alqt_plus</v>
          </cell>
          <cell r="K5866" t="str">
            <v>EFLA</v>
          </cell>
          <cell r="M5866" t="str">
            <v>M</v>
          </cell>
          <cell r="AB5866" t="str">
            <v>WB</v>
          </cell>
          <cell r="AF5866">
            <v>0.35</v>
          </cell>
        </row>
        <row r="5867">
          <cell r="A5867" t="str">
            <v>IS_alqt_plus</v>
          </cell>
          <cell r="K5867" t="str">
            <v>EFLA</v>
          </cell>
          <cell r="M5867" t="str">
            <v>M</v>
          </cell>
          <cell r="AB5867" t="str">
            <v>serum</v>
          </cell>
          <cell r="AF5867">
            <v>0.8</v>
          </cell>
        </row>
        <row r="5868">
          <cell r="A5868" t="str">
            <v>IS_alqt_plus</v>
          </cell>
          <cell r="K5868" t="str">
            <v>EFLA</v>
          </cell>
          <cell r="M5868" t="str">
            <v>M</v>
          </cell>
          <cell r="AB5868" t="str">
            <v>serum</v>
          </cell>
          <cell r="AF5868">
            <v>0.9</v>
          </cell>
        </row>
        <row r="5869">
          <cell r="A5869" t="str">
            <v>IS_alqt_plus</v>
          </cell>
          <cell r="K5869" t="str">
            <v>EFLA</v>
          </cell>
          <cell r="M5869" t="str">
            <v>M</v>
          </cell>
          <cell r="AB5869" t="str">
            <v>serum</v>
          </cell>
          <cell r="AF5869">
            <v>1</v>
          </cell>
        </row>
        <row r="5870">
          <cell r="A5870" t="str">
            <v>IS_alqt_plus</v>
          </cell>
          <cell r="K5870" t="str">
            <v>EFLA</v>
          </cell>
          <cell r="M5870" t="str">
            <v>M</v>
          </cell>
          <cell r="AB5870" t="str">
            <v>serum</v>
          </cell>
          <cell r="AF5870">
            <v>0.8</v>
          </cell>
        </row>
        <row r="5871">
          <cell r="A5871" t="str">
            <v>IS_alqt_plus</v>
          </cell>
          <cell r="K5871" t="str">
            <v>EFLA</v>
          </cell>
          <cell r="M5871" t="str">
            <v>M</v>
          </cell>
          <cell r="AB5871" t="str">
            <v>serum</v>
          </cell>
          <cell r="AF5871">
            <v>1</v>
          </cell>
        </row>
        <row r="5872">
          <cell r="A5872" t="str">
            <v>IS_alqt_plus</v>
          </cell>
          <cell r="K5872" t="str">
            <v>EFLA</v>
          </cell>
          <cell r="M5872" t="str">
            <v>M</v>
          </cell>
          <cell r="AB5872" t="str">
            <v>serum</v>
          </cell>
          <cell r="AF5872">
            <v>1</v>
          </cell>
        </row>
        <row r="5873">
          <cell r="A5873" t="str">
            <v>IS_alqt_plus</v>
          </cell>
          <cell r="K5873" t="str">
            <v>EFLA</v>
          </cell>
          <cell r="M5873" t="str">
            <v>M</v>
          </cell>
          <cell r="AB5873" t="str">
            <v>WB</v>
          </cell>
          <cell r="AF5873">
            <v>0.8</v>
          </cell>
        </row>
        <row r="5874">
          <cell r="A5874" t="str">
            <v>gone</v>
          </cell>
          <cell r="K5874" t="str">
            <v>EFLA</v>
          </cell>
          <cell r="M5874" t="str">
            <v>M</v>
          </cell>
          <cell r="AB5874" t="str">
            <v>WB</v>
          </cell>
          <cell r="AF5874">
            <v>0</v>
          </cell>
        </row>
        <row r="5875">
          <cell r="A5875" t="str">
            <v>IS_alqt_plus</v>
          </cell>
          <cell r="K5875" t="str">
            <v>EFLA</v>
          </cell>
          <cell r="M5875" t="str">
            <v>M</v>
          </cell>
          <cell r="AB5875" t="str">
            <v>WB</v>
          </cell>
          <cell r="AF5875">
            <v>1.3</v>
          </cell>
        </row>
        <row r="5876">
          <cell r="A5876" t="str">
            <v>IS_alqt_plus</v>
          </cell>
          <cell r="K5876" t="str">
            <v>EFLA</v>
          </cell>
          <cell r="M5876" t="str">
            <v>M</v>
          </cell>
          <cell r="AB5876" t="str">
            <v>serum</v>
          </cell>
          <cell r="AF5876">
            <v>0.6</v>
          </cell>
        </row>
        <row r="5877">
          <cell r="A5877" t="str">
            <v>IS_alqt_plus</v>
          </cell>
          <cell r="K5877" t="str">
            <v>EFLA</v>
          </cell>
          <cell r="M5877" t="str">
            <v>M</v>
          </cell>
          <cell r="AB5877" t="str">
            <v>serum</v>
          </cell>
          <cell r="AF5877">
            <v>0.6</v>
          </cell>
        </row>
        <row r="5878">
          <cell r="A5878" t="str">
            <v>IS_alqt_plus</v>
          </cell>
          <cell r="K5878" t="str">
            <v>EFLA</v>
          </cell>
          <cell r="M5878" t="str">
            <v>M</v>
          </cell>
          <cell r="AB5878" t="str">
            <v>serum</v>
          </cell>
          <cell r="AF5878">
            <v>0.6</v>
          </cell>
        </row>
        <row r="5879">
          <cell r="A5879" t="str">
            <v>IS_alqt_plus</v>
          </cell>
          <cell r="K5879" t="str">
            <v>EFLA</v>
          </cell>
          <cell r="M5879" t="str">
            <v>M</v>
          </cell>
          <cell r="AB5879" t="str">
            <v>serum</v>
          </cell>
          <cell r="AF5879">
            <v>0.6</v>
          </cell>
        </row>
        <row r="5880">
          <cell r="A5880" t="str">
            <v>IS_alqt_plus</v>
          </cell>
          <cell r="K5880" t="str">
            <v>EFLA</v>
          </cell>
          <cell r="M5880" t="str">
            <v>M</v>
          </cell>
          <cell r="AB5880" t="str">
            <v>serum</v>
          </cell>
          <cell r="AF5880">
            <v>0.9</v>
          </cell>
        </row>
        <row r="5881">
          <cell r="A5881" t="str">
            <v>IS_alqt_plus</v>
          </cell>
          <cell r="K5881" t="str">
            <v>EFLA</v>
          </cell>
          <cell r="M5881" t="str">
            <v>M</v>
          </cell>
          <cell r="AB5881" t="str">
            <v>serum</v>
          </cell>
          <cell r="AF5881">
            <v>0.6</v>
          </cell>
        </row>
        <row r="5882">
          <cell r="A5882" t="str">
            <v>IS_alqt_plus</v>
          </cell>
          <cell r="K5882" t="str">
            <v>EFLA</v>
          </cell>
          <cell r="M5882" t="str">
            <v>M</v>
          </cell>
          <cell r="AB5882" t="str">
            <v>serum</v>
          </cell>
          <cell r="AF5882">
            <v>0.6</v>
          </cell>
        </row>
        <row r="5883">
          <cell r="A5883" t="str">
            <v>IS_alqt_plus</v>
          </cell>
          <cell r="K5883" t="str">
            <v>EFLA</v>
          </cell>
          <cell r="M5883" t="str">
            <v>M</v>
          </cell>
          <cell r="AB5883" t="str">
            <v>serum</v>
          </cell>
          <cell r="AF5883">
            <v>0.6</v>
          </cell>
        </row>
        <row r="5884">
          <cell r="A5884" t="str">
            <v>IS_alqt_plus</v>
          </cell>
          <cell r="K5884" t="str">
            <v>EFLA</v>
          </cell>
          <cell r="M5884" t="str">
            <v>M</v>
          </cell>
          <cell r="AB5884" t="str">
            <v>serum</v>
          </cell>
          <cell r="AF5884">
            <v>1</v>
          </cell>
        </row>
        <row r="5885">
          <cell r="A5885" t="str">
            <v>IS_alqt_plus</v>
          </cell>
          <cell r="K5885" t="str">
            <v>EFLA</v>
          </cell>
          <cell r="M5885" t="str">
            <v>M</v>
          </cell>
          <cell r="AB5885" t="str">
            <v>serum</v>
          </cell>
          <cell r="AF5885">
            <v>0.6</v>
          </cell>
        </row>
        <row r="5886">
          <cell r="A5886" t="str">
            <v>IS_alqt_plus</v>
          </cell>
          <cell r="K5886" t="str">
            <v>EFLA</v>
          </cell>
          <cell r="M5886" t="str">
            <v>M</v>
          </cell>
          <cell r="AB5886" t="str">
            <v>serum</v>
          </cell>
          <cell r="AF5886">
            <v>1</v>
          </cell>
        </row>
        <row r="5887">
          <cell r="A5887" t="str">
            <v>IS_alqt_plus</v>
          </cell>
          <cell r="K5887" t="str">
            <v>EFLA</v>
          </cell>
          <cell r="M5887" t="str">
            <v>M</v>
          </cell>
          <cell r="AB5887" t="str">
            <v>WB</v>
          </cell>
          <cell r="AF5887">
            <v>1</v>
          </cell>
        </row>
        <row r="5888">
          <cell r="A5888" t="str">
            <v>IS_alqt_plus</v>
          </cell>
          <cell r="K5888" t="str">
            <v>EFLA</v>
          </cell>
          <cell r="M5888" t="str">
            <v>M</v>
          </cell>
          <cell r="AB5888" t="str">
            <v>WB</v>
          </cell>
          <cell r="AF5888">
            <v>1</v>
          </cell>
        </row>
        <row r="5889">
          <cell r="A5889" t="str">
            <v>IS_alqt_plus</v>
          </cell>
          <cell r="K5889" t="str">
            <v>EFLA</v>
          </cell>
          <cell r="M5889" t="str">
            <v>M</v>
          </cell>
          <cell r="AB5889" t="str">
            <v>WB</v>
          </cell>
          <cell r="AF5889">
            <v>1</v>
          </cell>
        </row>
        <row r="5890">
          <cell r="A5890" t="str">
            <v>IS_alqt_plus</v>
          </cell>
          <cell r="K5890" t="str">
            <v>EFLA</v>
          </cell>
          <cell r="M5890" t="str">
            <v>M</v>
          </cell>
          <cell r="AB5890" t="str">
            <v>WB</v>
          </cell>
          <cell r="AF5890">
            <v>1</v>
          </cell>
        </row>
        <row r="5891">
          <cell r="A5891" t="str">
            <v>gone</v>
          </cell>
          <cell r="K5891" t="str">
            <v>EFLA</v>
          </cell>
          <cell r="M5891" t="str">
            <v>M</v>
          </cell>
          <cell r="AB5891" t="str">
            <v>WB</v>
          </cell>
          <cell r="AF5891">
            <v>0</v>
          </cell>
        </row>
        <row r="5892">
          <cell r="A5892" t="str">
            <v>IS_alqt_plus</v>
          </cell>
          <cell r="K5892" t="str">
            <v>EFLA</v>
          </cell>
          <cell r="M5892" t="str">
            <v>M</v>
          </cell>
          <cell r="AB5892" t="str">
            <v>WB</v>
          </cell>
          <cell r="AF5892">
            <v>1</v>
          </cell>
        </row>
        <row r="5893">
          <cell r="A5893" t="str">
            <v>IS_alqt_plus</v>
          </cell>
          <cell r="K5893" t="str">
            <v>EFLA</v>
          </cell>
          <cell r="M5893" t="str">
            <v>M</v>
          </cell>
          <cell r="AB5893" t="str">
            <v>WB</v>
          </cell>
          <cell r="AF5893">
            <v>1</v>
          </cell>
        </row>
        <row r="5894">
          <cell r="A5894" t="str">
            <v>IS_alqt_plus</v>
          </cell>
          <cell r="K5894" t="str">
            <v>EFLA</v>
          </cell>
          <cell r="M5894" t="str">
            <v>M</v>
          </cell>
          <cell r="AB5894" t="str">
            <v>WB</v>
          </cell>
          <cell r="AF5894">
            <v>1</v>
          </cell>
        </row>
        <row r="5895">
          <cell r="A5895" t="str">
            <v>IS_alqt_plus</v>
          </cell>
          <cell r="K5895" t="str">
            <v>EFLA</v>
          </cell>
          <cell r="M5895" t="str">
            <v>M</v>
          </cell>
          <cell r="AB5895" t="str">
            <v>WB</v>
          </cell>
          <cell r="AF5895">
            <v>1.2</v>
          </cell>
        </row>
        <row r="5896">
          <cell r="A5896" t="str">
            <v>IS_alqt_plus</v>
          </cell>
          <cell r="K5896" t="str">
            <v>EFLA</v>
          </cell>
          <cell r="M5896" t="str">
            <v>M</v>
          </cell>
          <cell r="AB5896" t="str">
            <v>WB</v>
          </cell>
          <cell r="AF5896">
            <v>1</v>
          </cell>
        </row>
        <row r="5897">
          <cell r="A5897" t="str">
            <v>IS_alqt_plus</v>
          </cell>
          <cell r="K5897" t="str">
            <v>EFLA</v>
          </cell>
          <cell r="M5897" t="str">
            <v>M</v>
          </cell>
          <cell r="AB5897" t="str">
            <v>WB</v>
          </cell>
          <cell r="AF5897">
            <v>1</v>
          </cell>
        </row>
        <row r="5898">
          <cell r="A5898" t="str">
            <v>IS_alqt_plus</v>
          </cell>
          <cell r="K5898" t="str">
            <v>EFLA</v>
          </cell>
          <cell r="M5898" t="str">
            <v>M</v>
          </cell>
          <cell r="AB5898" t="str">
            <v>WB</v>
          </cell>
          <cell r="AF5898">
            <v>1</v>
          </cell>
        </row>
        <row r="5899">
          <cell r="A5899" t="str">
            <v>IS_alqt_plus</v>
          </cell>
          <cell r="K5899" t="str">
            <v>EFLA</v>
          </cell>
          <cell r="M5899" t="str">
            <v>M</v>
          </cell>
          <cell r="AB5899" t="str">
            <v>WB</v>
          </cell>
          <cell r="AF5899">
            <v>1.2</v>
          </cell>
        </row>
        <row r="5900">
          <cell r="A5900" t="str">
            <v>IS_alqt_plus</v>
          </cell>
          <cell r="K5900" t="str">
            <v>EFLA</v>
          </cell>
          <cell r="M5900" t="str">
            <v>M</v>
          </cell>
          <cell r="AB5900" t="str">
            <v>WB</v>
          </cell>
          <cell r="AF5900">
            <v>1</v>
          </cell>
        </row>
        <row r="5901">
          <cell r="A5901" t="str">
            <v>IS_alqt_plus</v>
          </cell>
          <cell r="K5901" t="str">
            <v>EFLA</v>
          </cell>
          <cell r="M5901" t="str">
            <v>M</v>
          </cell>
          <cell r="AB5901" t="str">
            <v>WB</v>
          </cell>
          <cell r="AF5901">
            <v>1</v>
          </cell>
        </row>
        <row r="5902">
          <cell r="A5902" t="str">
            <v>IS_alqt_plus</v>
          </cell>
          <cell r="K5902" t="str">
            <v>EFLA</v>
          </cell>
          <cell r="M5902" t="str">
            <v>M</v>
          </cell>
          <cell r="AB5902" t="str">
            <v>WB</v>
          </cell>
          <cell r="AF5902">
            <v>1</v>
          </cell>
        </row>
        <row r="5903">
          <cell r="A5903" t="str">
            <v>IS_alqt_plus</v>
          </cell>
          <cell r="K5903" t="str">
            <v>EFLA</v>
          </cell>
          <cell r="M5903" t="str">
            <v>M</v>
          </cell>
          <cell r="AB5903" t="str">
            <v>WB</v>
          </cell>
          <cell r="AF5903">
            <v>1</v>
          </cell>
        </row>
        <row r="5904">
          <cell r="A5904" t="str">
            <v>IS_alqt_plus</v>
          </cell>
          <cell r="K5904" t="str">
            <v>EFLA</v>
          </cell>
          <cell r="M5904" t="str">
            <v>M</v>
          </cell>
          <cell r="AB5904" t="str">
            <v>WB</v>
          </cell>
          <cell r="AF5904">
            <v>1.1000000000000001</v>
          </cell>
        </row>
        <row r="5905">
          <cell r="A5905" t="str">
            <v>IS_alqt_plus</v>
          </cell>
          <cell r="K5905" t="str">
            <v>EFLA</v>
          </cell>
          <cell r="M5905" t="str">
            <v>M</v>
          </cell>
          <cell r="AB5905" t="str">
            <v>WB</v>
          </cell>
          <cell r="AF5905">
            <v>1.2</v>
          </cell>
        </row>
        <row r="5906">
          <cell r="A5906" t="str">
            <v>IS_alqt_plus</v>
          </cell>
          <cell r="K5906" t="str">
            <v>EFLA</v>
          </cell>
          <cell r="M5906" t="str">
            <v>M</v>
          </cell>
          <cell r="AB5906" t="str">
            <v>WB</v>
          </cell>
          <cell r="AF5906">
            <v>1</v>
          </cell>
        </row>
        <row r="5907">
          <cell r="A5907" t="str">
            <v>IS_alqt_plus</v>
          </cell>
          <cell r="K5907" t="str">
            <v>EFLA</v>
          </cell>
          <cell r="M5907" t="str">
            <v>M</v>
          </cell>
          <cell r="AB5907" t="str">
            <v>WB</v>
          </cell>
          <cell r="AF5907">
            <v>1</v>
          </cell>
        </row>
        <row r="5908">
          <cell r="A5908" t="str">
            <v>IS_alqt_plus</v>
          </cell>
          <cell r="K5908" t="str">
            <v>EFLA</v>
          </cell>
          <cell r="M5908" t="str">
            <v>M</v>
          </cell>
          <cell r="AB5908" t="str">
            <v>WB</v>
          </cell>
          <cell r="AF5908">
            <v>1</v>
          </cell>
        </row>
        <row r="5909">
          <cell r="A5909" t="str">
            <v>IS_alqt_plus</v>
          </cell>
          <cell r="K5909" t="str">
            <v>EFLA</v>
          </cell>
          <cell r="M5909" t="str">
            <v>M</v>
          </cell>
          <cell r="AB5909" t="str">
            <v>WB</v>
          </cell>
          <cell r="AF5909">
            <v>1</v>
          </cell>
        </row>
        <row r="5910">
          <cell r="A5910" t="str">
            <v>IS_alqt_plus</v>
          </cell>
          <cell r="K5910" t="str">
            <v>EFLA</v>
          </cell>
          <cell r="M5910" t="str">
            <v>M</v>
          </cell>
          <cell r="AB5910" t="str">
            <v>WB</v>
          </cell>
          <cell r="AF5910">
            <v>1</v>
          </cell>
        </row>
        <row r="5911">
          <cell r="A5911" t="str">
            <v>IS_alqt_plus</v>
          </cell>
          <cell r="K5911" t="str">
            <v>EFLA</v>
          </cell>
          <cell r="M5911" t="str">
            <v>M</v>
          </cell>
          <cell r="AB5911" t="str">
            <v>WB</v>
          </cell>
          <cell r="AF5911">
            <v>1</v>
          </cell>
        </row>
        <row r="5912">
          <cell r="A5912" t="str">
            <v>IS_alqt_plus</v>
          </cell>
          <cell r="K5912" t="str">
            <v>EFLA</v>
          </cell>
          <cell r="M5912" t="str">
            <v>M</v>
          </cell>
          <cell r="AB5912" t="str">
            <v>WB</v>
          </cell>
          <cell r="AF5912">
            <v>1</v>
          </cell>
        </row>
        <row r="5913">
          <cell r="A5913" t="str">
            <v>IS_alqt_plus</v>
          </cell>
          <cell r="K5913" t="str">
            <v>EFLA</v>
          </cell>
          <cell r="M5913" t="str">
            <v>M</v>
          </cell>
          <cell r="AB5913" t="str">
            <v>WB</v>
          </cell>
          <cell r="AF5913">
            <v>1</v>
          </cell>
        </row>
        <row r="5914">
          <cell r="A5914" t="str">
            <v>gone</v>
          </cell>
          <cell r="K5914" t="str">
            <v>EMON</v>
          </cell>
          <cell r="M5914" t="str">
            <v>F</v>
          </cell>
          <cell r="AB5914" t="str">
            <v>WB</v>
          </cell>
          <cell r="AF5914">
            <v>0</v>
          </cell>
        </row>
        <row r="5915">
          <cell r="A5915" t="str">
            <v>IS_alqt_plus</v>
          </cell>
          <cell r="K5915" t="str">
            <v>EMON</v>
          </cell>
          <cell r="M5915" t="str">
            <v>M</v>
          </cell>
          <cell r="AB5915" t="str">
            <v>WB</v>
          </cell>
          <cell r="AF5915">
            <v>0.7</v>
          </cell>
        </row>
        <row r="5916">
          <cell r="A5916" t="str">
            <v>IS_alqt_plus</v>
          </cell>
          <cell r="K5916" t="str">
            <v>EMON</v>
          </cell>
          <cell r="M5916" t="str">
            <v>F</v>
          </cell>
          <cell r="AB5916" t="str">
            <v>WB</v>
          </cell>
          <cell r="AF5916">
            <v>0.75</v>
          </cell>
        </row>
        <row r="5917">
          <cell r="A5917" t="str">
            <v>IS_alqt_plus</v>
          </cell>
          <cell r="K5917" t="str">
            <v>EMON</v>
          </cell>
          <cell r="M5917" t="str">
            <v>M</v>
          </cell>
          <cell r="AB5917" t="str">
            <v>WB</v>
          </cell>
          <cell r="AF5917">
            <v>1.2</v>
          </cell>
        </row>
        <row r="5918">
          <cell r="A5918" t="str">
            <v>IS_alqt_plus</v>
          </cell>
          <cell r="K5918" t="str">
            <v>VRUB</v>
          </cell>
          <cell r="M5918" t="str">
            <v>M</v>
          </cell>
          <cell r="AB5918" t="str">
            <v>WB</v>
          </cell>
          <cell r="AF5918">
            <v>0.4</v>
          </cell>
        </row>
        <row r="5919">
          <cell r="A5919" t="str">
            <v>IS_alqt_plus</v>
          </cell>
          <cell r="K5919" t="str">
            <v>VRUB</v>
          </cell>
          <cell r="M5919" t="str">
            <v>F</v>
          </cell>
          <cell r="AB5919" t="str">
            <v>WB</v>
          </cell>
          <cell r="AF5919">
            <v>0.7</v>
          </cell>
        </row>
        <row r="5920">
          <cell r="A5920" t="str">
            <v>IS_alqt_plus</v>
          </cell>
          <cell r="K5920" t="str">
            <v>VRUB</v>
          </cell>
          <cell r="M5920" t="str">
            <v>M</v>
          </cell>
          <cell r="AB5920" t="str">
            <v>serum</v>
          </cell>
          <cell r="AF5920">
            <v>1.5</v>
          </cell>
        </row>
        <row r="5921">
          <cell r="A5921" t="str">
            <v>IS_alqt_plus</v>
          </cell>
          <cell r="K5921" t="str">
            <v>VRUB</v>
          </cell>
          <cell r="M5921" t="str">
            <v>F</v>
          </cell>
          <cell r="AB5921" t="str">
            <v>serum</v>
          </cell>
          <cell r="AF5921">
            <v>1.3</v>
          </cell>
        </row>
        <row r="5922">
          <cell r="A5922" t="str">
            <v>IS_alqt_plus</v>
          </cell>
          <cell r="K5922" t="str">
            <v>DMAD</v>
          </cell>
          <cell r="M5922" t="str">
            <v>F</v>
          </cell>
          <cell r="AB5922" t="str">
            <v>serum</v>
          </cell>
          <cell r="AF5922">
            <v>0.9</v>
          </cell>
        </row>
        <row r="5923">
          <cell r="A5923" t="str">
            <v>IS_alqt_plus</v>
          </cell>
          <cell r="K5923" t="str">
            <v>DMAD</v>
          </cell>
          <cell r="M5923" t="str">
            <v>F</v>
          </cell>
          <cell r="AB5923" t="str">
            <v>WB</v>
          </cell>
          <cell r="AF5923">
            <v>0.6</v>
          </cell>
        </row>
        <row r="5924">
          <cell r="A5924" t="str">
            <v>IS_alqt_plus</v>
          </cell>
          <cell r="K5924" t="str">
            <v>VRUB</v>
          </cell>
          <cell r="M5924" t="str">
            <v>F</v>
          </cell>
          <cell r="AB5924" t="str">
            <v>WB</v>
          </cell>
          <cell r="AF5924">
            <v>0.5</v>
          </cell>
        </row>
        <row r="5925">
          <cell r="A5925" t="str">
            <v>IS_alqt_plus</v>
          </cell>
          <cell r="K5925" t="str">
            <v>VRUB</v>
          </cell>
          <cell r="M5925" t="str">
            <v>F</v>
          </cell>
          <cell r="AB5925" t="str">
            <v>serum</v>
          </cell>
          <cell r="AF5925">
            <v>1.1000000000000001</v>
          </cell>
        </row>
        <row r="5926">
          <cell r="A5926" t="str">
            <v>IS_alqt_plus</v>
          </cell>
          <cell r="K5926" t="str">
            <v>DMAD</v>
          </cell>
          <cell r="M5926" t="str">
            <v>F</v>
          </cell>
          <cell r="AB5926" t="str">
            <v>serum</v>
          </cell>
          <cell r="AF5926">
            <v>0.7</v>
          </cell>
        </row>
        <row r="5927">
          <cell r="A5927" t="str">
            <v>IS_alqt_plus</v>
          </cell>
          <cell r="K5927" t="str">
            <v>DMAD</v>
          </cell>
          <cell r="M5927" t="str">
            <v>F</v>
          </cell>
          <cell r="AB5927" t="str">
            <v>serum</v>
          </cell>
          <cell r="AF5927">
            <v>0.7</v>
          </cell>
        </row>
        <row r="5928">
          <cell r="A5928" t="str">
            <v>IS_alqt_plus</v>
          </cell>
          <cell r="K5928" t="str">
            <v>DMAD</v>
          </cell>
          <cell r="M5928" t="str">
            <v>F</v>
          </cell>
          <cell r="AB5928" t="str">
            <v>WB</v>
          </cell>
          <cell r="AF5928">
            <v>0.7</v>
          </cell>
        </row>
        <row r="5929">
          <cell r="A5929" t="str">
            <v>IS_alqt_plus</v>
          </cell>
          <cell r="K5929" t="str">
            <v>VVV</v>
          </cell>
          <cell r="M5929" t="str">
            <v>F</v>
          </cell>
          <cell r="AB5929" t="str">
            <v>WB</v>
          </cell>
          <cell r="AF5929">
            <v>1.1000000000000001</v>
          </cell>
        </row>
        <row r="5930">
          <cell r="A5930" t="str">
            <v>IS_alqt_plus</v>
          </cell>
          <cell r="K5930" t="str">
            <v>VVV</v>
          </cell>
          <cell r="M5930" t="str">
            <v>F</v>
          </cell>
          <cell r="AB5930" t="str">
            <v>WB</v>
          </cell>
          <cell r="AF5930">
            <v>1.3</v>
          </cell>
        </row>
        <row r="5931">
          <cell r="A5931" t="str">
            <v>IS_alqt_plus</v>
          </cell>
          <cell r="K5931" t="str">
            <v>VVV</v>
          </cell>
          <cell r="M5931" t="str">
            <v>F</v>
          </cell>
          <cell r="AB5931" t="str">
            <v>WB</v>
          </cell>
          <cell r="AF5931">
            <v>1.3</v>
          </cell>
        </row>
        <row r="5932">
          <cell r="A5932" t="str">
            <v>IS_alqt_plus</v>
          </cell>
          <cell r="K5932" t="str">
            <v>VVV</v>
          </cell>
          <cell r="M5932" t="str">
            <v>F</v>
          </cell>
          <cell r="AB5932" t="str">
            <v>WB</v>
          </cell>
          <cell r="AF5932">
            <v>1.3</v>
          </cell>
        </row>
        <row r="5933">
          <cell r="A5933" t="str">
            <v>IS_alqt_plus</v>
          </cell>
          <cell r="K5933" t="str">
            <v>VVV</v>
          </cell>
          <cell r="M5933" t="str">
            <v>F</v>
          </cell>
          <cell r="AB5933" t="str">
            <v>WB</v>
          </cell>
          <cell r="AF5933">
            <v>1.3</v>
          </cell>
        </row>
        <row r="5934">
          <cell r="A5934" t="str">
            <v>gone</v>
          </cell>
          <cell r="K5934" t="str">
            <v>VVV</v>
          </cell>
          <cell r="M5934" t="str">
            <v>F</v>
          </cell>
          <cell r="AB5934" t="str">
            <v>WB</v>
          </cell>
          <cell r="AF5934">
            <v>0</v>
          </cell>
        </row>
        <row r="5935">
          <cell r="A5935" t="str">
            <v>IS_alqt_plus</v>
          </cell>
          <cell r="K5935" t="str">
            <v>VVV</v>
          </cell>
          <cell r="M5935" t="str">
            <v>F</v>
          </cell>
          <cell r="AB5935" t="str">
            <v>WB</v>
          </cell>
          <cell r="AF5935">
            <v>1.3</v>
          </cell>
        </row>
        <row r="5936">
          <cell r="A5936" t="str">
            <v>IS_alqt_plus</v>
          </cell>
          <cell r="K5936" t="str">
            <v>VVV</v>
          </cell>
          <cell r="M5936" t="str">
            <v>F</v>
          </cell>
          <cell r="AB5936" t="str">
            <v>WB</v>
          </cell>
          <cell r="AF5936">
            <v>1.5</v>
          </cell>
        </row>
        <row r="5937">
          <cell r="A5937" t="str">
            <v>IS_alqt_plus</v>
          </cell>
          <cell r="K5937" t="str">
            <v>VVV</v>
          </cell>
          <cell r="M5937" t="str">
            <v>F</v>
          </cell>
          <cell r="AB5937" t="str">
            <v>WB</v>
          </cell>
          <cell r="AF5937">
            <v>1.5</v>
          </cell>
        </row>
        <row r="5938">
          <cell r="A5938" t="str">
            <v>IS_alqt_plus</v>
          </cell>
          <cell r="K5938" t="str">
            <v>VVV</v>
          </cell>
          <cell r="M5938" t="str">
            <v>F</v>
          </cell>
          <cell r="AB5938" t="str">
            <v>WB</v>
          </cell>
          <cell r="AF5938">
            <v>1.5</v>
          </cell>
        </row>
        <row r="5939">
          <cell r="A5939" t="str">
            <v>IS_alqt_plus</v>
          </cell>
          <cell r="K5939" t="str">
            <v>VVV</v>
          </cell>
          <cell r="M5939" t="str">
            <v>F</v>
          </cell>
          <cell r="AB5939" t="str">
            <v>WB</v>
          </cell>
          <cell r="AF5939">
            <v>1.3</v>
          </cell>
        </row>
        <row r="5940">
          <cell r="A5940" t="str">
            <v>IS_alqt_plus</v>
          </cell>
          <cell r="K5940" t="str">
            <v>VVV</v>
          </cell>
          <cell r="M5940" t="str">
            <v>F</v>
          </cell>
          <cell r="AB5940" t="str">
            <v>WB</v>
          </cell>
          <cell r="AF5940">
            <v>1.5</v>
          </cell>
        </row>
        <row r="5941">
          <cell r="A5941" t="str">
            <v>IS_alqt_plus</v>
          </cell>
          <cell r="K5941" t="str">
            <v>VVV</v>
          </cell>
          <cell r="M5941" t="str">
            <v>F</v>
          </cell>
          <cell r="AB5941" t="str">
            <v>WB</v>
          </cell>
          <cell r="AF5941">
            <v>1.3</v>
          </cell>
        </row>
        <row r="5942">
          <cell r="A5942" t="str">
            <v>IS_alqt_plus</v>
          </cell>
          <cell r="K5942" t="str">
            <v>VVV</v>
          </cell>
          <cell r="M5942" t="str">
            <v>F</v>
          </cell>
          <cell r="AB5942" t="str">
            <v>WB</v>
          </cell>
          <cell r="AF5942">
            <v>1.3</v>
          </cell>
        </row>
        <row r="5943">
          <cell r="A5943" t="str">
            <v>IS_alqt_plus</v>
          </cell>
          <cell r="K5943" t="str">
            <v>VVV</v>
          </cell>
          <cell r="M5943" t="str">
            <v>F</v>
          </cell>
          <cell r="AB5943" t="str">
            <v>WB</v>
          </cell>
          <cell r="AF5943">
            <v>1.3</v>
          </cell>
        </row>
        <row r="5944">
          <cell r="A5944" t="str">
            <v>IS_alqt_plus</v>
          </cell>
          <cell r="K5944" t="str">
            <v>VVV</v>
          </cell>
          <cell r="M5944" t="str">
            <v>F</v>
          </cell>
          <cell r="AB5944" t="str">
            <v>WB</v>
          </cell>
          <cell r="AF5944">
            <v>1.5</v>
          </cell>
        </row>
        <row r="5945">
          <cell r="A5945" t="str">
            <v>IS_alqt_plus</v>
          </cell>
          <cell r="K5945" t="str">
            <v>VVV</v>
          </cell>
          <cell r="M5945" t="str">
            <v>F</v>
          </cell>
          <cell r="AB5945" t="str">
            <v>WB</v>
          </cell>
          <cell r="AF5945">
            <v>1.2</v>
          </cell>
        </row>
        <row r="5946">
          <cell r="A5946" t="str">
            <v>IS_alqt_plus</v>
          </cell>
          <cell r="K5946" t="str">
            <v>VVV</v>
          </cell>
          <cell r="M5946" t="str">
            <v>F</v>
          </cell>
          <cell r="AB5946" t="str">
            <v>WB</v>
          </cell>
          <cell r="AF5946">
            <v>1.3</v>
          </cell>
        </row>
        <row r="5947">
          <cell r="A5947" t="str">
            <v>IS_alqt_plus</v>
          </cell>
          <cell r="K5947" t="str">
            <v>VVV</v>
          </cell>
          <cell r="M5947" t="str">
            <v>F</v>
          </cell>
          <cell r="AB5947" t="str">
            <v>WB</v>
          </cell>
          <cell r="AF5947">
            <v>1.25</v>
          </cell>
        </row>
        <row r="5948">
          <cell r="A5948" t="str">
            <v>IS_alqt_plus</v>
          </cell>
          <cell r="K5948" t="str">
            <v>VVV</v>
          </cell>
          <cell r="M5948" t="str">
            <v>F</v>
          </cell>
          <cell r="AB5948" t="str">
            <v>WB</v>
          </cell>
          <cell r="AF5948">
            <v>1.2</v>
          </cell>
        </row>
        <row r="5949">
          <cell r="A5949" t="str">
            <v>IS_alqt_plus</v>
          </cell>
          <cell r="K5949" t="str">
            <v>VVV</v>
          </cell>
          <cell r="M5949" t="str">
            <v>F</v>
          </cell>
          <cell r="AB5949" t="str">
            <v>serum</v>
          </cell>
          <cell r="AF5949">
            <v>1.5</v>
          </cell>
        </row>
        <row r="5950">
          <cell r="A5950" t="str">
            <v>IS_alqt_plus</v>
          </cell>
          <cell r="K5950" t="str">
            <v>VVV</v>
          </cell>
          <cell r="M5950" t="str">
            <v>F</v>
          </cell>
          <cell r="AB5950" t="str">
            <v>serum</v>
          </cell>
          <cell r="AF5950">
            <v>1.5</v>
          </cell>
        </row>
        <row r="5951">
          <cell r="A5951" t="str">
            <v>IS_alqt_plus</v>
          </cell>
          <cell r="K5951" t="str">
            <v>VVV</v>
          </cell>
          <cell r="M5951" t="str">
            <v>F</v>
          </cell>
          <cell r="AB5951" t="str">
            <v>serum</v>
          </cell>
          <cell r="AF5951">
            <v>1.5</v>
          </cell>
        </row>
        <row r="5952">
          <cell r="A5952" t="str">
            <v>IS_alqt_plus</v>
          </cell>
          <cell r="K5952" t="str">
            <v>VVV</v>
          </cell>
          <cell r="M5952" t="str">
            <v>F</v>
          </cell>
          <cell r="AB5952" t="str">
            <v>serum</v>
          </cell>
          <cell r="AF5952">
            <v>1.5</v>
          </cell>
        </row>
        <row r="5953">
          <cell r="A5953" t="str">
            <v>IS_alqt_plus</v>
          </cell>
          <cell r="K5953" t="str">
            <v>VVV</v>
          </cell>
          <cell r="M5953" t="str">
            <v>F</v>
          </cell>
          <cell r="AB5953" t="str">
            <v>serum</v>
          </cell>
          <cell r="AF5953">
            <v>1.5</v>
          </cell>
        </row>
        <row r="5954">
          <cell r="A5954" t="str">
            <v>IS_alqt_plus</v>
          </cell>
          <cell r="K5954" t="str">
            <v>VVV</v>
          </cell>
          <cell r="M5954" t="str">
            <v>F</v>
          </cell>
          <cell r="AB5954" t="str">
            <v>serum</v>
          </cell>
          <cell r="AF5954">
            <v>1.5</v>
          </cell>
        </row>
        <row r="5955">
          <cell r="A5955" t="str">
            <v>IS_alqt_plus</v>
          </cell>
          <cell r="K5955" t="str">
            <v>VVV</v>
          </cell>
          <cell r="M5955" t="str">
            <v>F</v>
          </cell>
          <cell r="AB5955" t="str">
            <v>serum</v>
          </cell>
          <cell r="AF5955">
            <v>1.5</v>
          </cell>
        </row>
        <row r="5956">
          <cell r="A5956" t="str">
            <v>IS_alqt_plus</v>
          </cell>
          <cell r="K5956" t="str">
            <v>VVV</v>
          </cell>
          <cell r="M5956" t="str">
            <v>F</v>
          </cell>
          <cell r="AB5956" t="str">
            <v>serum</v>
          </cell>
          <cell r="AF5956">
            <v>1.5</v>
          </cell>
        </row>
        <row r="5957">
          <cell r="A5957" t="str">
            <v>IS_alqt_plus</v>
          </cell>
          <cell r="K5957" t="str">
            <v>VVV</v>
          </cell>
          <cell r="M5957" t="str">
            <v>F</v>
          </cell>
          <cell r="AB5957" t="str">
            <v>serum</v>
          </cell>
          <cell r="AF5957">
            <v>1.5</v>
          </cell>
        </row>
        <row r="5958">
          <cell r="A5958" t="str">
            <v>IS_alqt_plus</v>
          </cell>
          <cell r="K5958" t="str">
            <v>VVV</v>
          </cell>
          <cell r="M5958" t="str">
            <v>F</v>
          </cell>
          <cell r="AB5958" t="str">
            <v>serum</v>
          </cell>
          <cell r="AF5958">
            <v>1.5</v>
          </cell>
        </row>
        <row r="5959">
          <cell r="A5959" t="str">
            <v>IS_alqt_plus</v>
          </cell>
          <cell r="K5959" t="str">
            <v>VVV</v>
          </cell>
          <cell r="M5959" t="str">
            <v>F</v>
          </cell>
          <cell r="AB5959" t="str">
            <v>serum</v>
          </cell>
          <cell r="AF5959">
            <v>1.5</v>
          </cell>
        </row>
        <row r="5960">
          <cell r="A5960" t="str">
            <v>IS_alqt_plus</v>
          </cell>
          <cell r="K5960" t="str">
            <v>VVV</v>
          </cell>
          <cell r="M5960" t="str">
            <v>F</v>
          </cell>
          <cell r="AB5960" t="str">
            <v>serum</v>
          </cell>
          <cell r="AF5960">
            <v>1.5</v>
          </cell>
        </row>
        <row r="5961">
          <cell r="A5961" t="str">
            <v>IS_alqt_plus</v>
          </cell>
          <cell r="K5961" t="str">
            <v>VVV</v>
          </cell>
          <cell r="M5961" t="str">
            <v>F</v>
          </cell>
          <cell r="AB5961" t="str">
            <v>serum</v>
          </cell>
          <cell r="AF5961">
            <v>1.5</v>
          </cell>
        </row>
        <row r="5962">
          <cell r="A5962" t="str">
            <v>IS_alqt_plus</v>
          </cell>
          <cell r="K5962" t="str">
            <v>VVV</v>
          </cell>
          <cell r="M5962" t="str">
            <v>F</v>
          </cell>
          <cell r="AB5962" t="str">
            <v>serum</v>
          </cell>
          <cell r="AF5962">
            <v>1.5</v>
          </cell>
        </row>
        <row r="5963">
          <cell r="A5963" t="str">
            <v>IS_alqt_minus</v>
          </cell>
          <cell r="K5963" t="str">
            <v>ECOR</v>
          </cell>
          <cell r="M5963" t="str">
            <v>M</v>
          </cell>
          <cell r="AB5963" t="str">
            <v>WB</v>
          </cell>
          <cell r="AF5963">
            <v>0.1</v>
          </cell>
        </row>
        <row r="5964">
          <cell r="A5964" t="str">
            <v>IS_alqt_plus</v>
          </cell>
          <cell r="K5964" t="str">
            <v>EUL</v>
          </cell>
          <cell r="M5964" t="str">
            <v>M</v>
          </cell>
          <cell r="AB5964" t="str">
            <v>serum</v>
          </cell>
          <cell r="AF5964">
            <v>1</v>
          </cell>
        </row>
        <row r="5965">
          <cell r="A5965" t="str">
            <v>IS_alqt_plus</v>
          </cell>
          <cell r="K5965" t="str">
            <v>EUL</v>
          </cell>
          <cell r="M5965" t="str">
            <v>M</v>
          </cell>
          <cell r="AB5965" t="str">
            <v>WB</v>
          </cell>
          <cell r="AF5965">
            <v>0.6</v>
          </cell>
        </row>
        <row r="5966">
          <cell r="A5966" t="str">
            <v>IS_alqt_plus</v>
          </cell>
          <cell r="K5966" t="str">
            <v>ERUB</v>
          </cell>
          <cell r="M5966" t="str">
            <v>F</v>
          </cell>
          <cell r="AB5966" t="str">
            <v>WB</v>
          </cell>
          <cell r="AF5966">
            <v>0.6</v>
          </cell>
        </row>
        <row r="5967">
          <cell r="A5967" t="str">
            <v>IS_alqt_plus</v>
          </cell>
          <cell r="K5967" t="str">
            <v>ERUB</v>
          </cell>
          <cell r="M5967" t="str">
            <v>F</v>
          </cell>
          <cell r="AB5967" t="str">
            <v>serum</v>
          </cell>
          <cell r="AF5967">
            <v>1.4</v>
          </cell>
        </row>
        <row r="5968">
          <cell r="A5968" t="str">
            <v>IS_alqt_plus</v>
          </cell>
          <cell r="K5968" t="str">
            <v>VRUB</v>
          </cell>
          <cell r="M5968" t="str">
            <v>F</v>
          </cell>
          <cell r="AB5968" t="str">
            <v>WB</v>
          </cell>
          <cell r="AF5968">
            <v>0.2</v>
          </cell>
        </row>
        <row r="5969">
          <cell r="A5969" t="str">
            <v>IS_alqt_plus</v>
          </cell>
          <cell r="K5969" t="str">
            <v>VRUB</v>
          </cell>
          <cell r="M5969" t="str">
            <v>F</v>
          </cell>
          <cell r="AB5969" t="str">
            <v>WB</v>
          </cell>
          <cell r="AF5969">
            <v>0.6</v>
          </cell>
        </row>
        <row r="5970">
          <cell r="A5970" t="str">
            <v>IS_alqt_plus</v>
          </cell>
          <cell r="K5970" t="str">
            <v>VRUB</v>
          </cell>
          <cell r="M5970" t="str">
            <v>F</v>
          </cell>
          <cell r="AB5970" t="str">
            <v>serum</v>
          </cell>
          <cell r="AF5970">
            <v>1.1000000000000001</v>
          </cell>
        </row>
        <row r="5971">
          <cell r="A5971" t="str">
            <v>IS_alqt_plus</v>
          </cell>
          <cell r="K5971" t="str">
            <v>VRUB</v>
          </cell>
          <cell r="M5971" t="str">
            <v>F</v>
          </cell>
          <cell r="AB5971" t="str">
            <v>serum</v>
          </cell>
          <cell r="AF5971">
            <v>0.8</v>
          </cell>
        </row>
        <row r="5972">
          <cell r="A5972" t="str">
            <v>IS_alqt_plus</v>
          </cell>
          <cell r="K5972" t="str">
            <v>EFLA</v>
          </cell>
          <cell r="M5972" t="str">
            <v>M</v>
          </cell>
          <cell r="AB5972" t="str">
            <v>serum</v>
          </cell>
          <cell r="AF5972">
            <v>0.2</v>
          </cell>
        </row>
        <row r="5973">
          <cell r="A5973" t="str">
            <v>IS_alqt_plus</v>
          </cell>
          <cell r="K5973" t="str">
            <v>EFLA</v>
          </cell>
          <cell r="M5973" t="str">
            <v>M</v>
          </cell>
          <cell r="AB5973" t="str">
            <v>serum</v>
          </cell>
          <cell r="AF5973">
            <v>0.2</v>
          </cell>
        </row>
        <row r="5974">
          <cell r="A5974" t="str">
            <v>IS_alqt_plus</v>
          </cell>
          <cell r="K5974" t="str">
            <v>EFLA</v>
          </cell>
          <cell r="M5974" t="str">
            <v>M</v>
          </cell>
          <cell r="AB5974" t="str">
            <v>serum</v>
          </cell>
          <cell r="AF5974">
            <v>0.2</v>
          </cell>
        </row>
        <row r="5975">
          <cell r="A5975" t="str">
            <v>IS_alqt_plus</v>
          </cell>
          <cell r="K5975" t="str">
            <v>EFLA</v>
          </cell>
          <cell r="M5975" t="str">
            <v>M</v>
          </cell>
          <cell r="AB5975" t="str">
            <v>serum</v>
          </cell>
          <cell r="AF5975">
            <v>0.2</v>
          </cell>
        </row>
        <row r="5976">
          <cell r="A5976" t="str">
            <v>IS_alqt_plus</v>
          </cell>
          <cell r="K5976" t="str">
            <v>EFLA</v>
          </cell>
          <cell r="M5976" t="str">
            <v>M</v>
          </cell>
          <cell r="AB5976" t="str">
            <v>serum</v>
          </cell>
          <cell r="AF5976">
            <v>0.2</v>
          </cell>
        </row>
        <row r="5977">
          <cell r="A5977" t="str">
            <v>IS_alqt_plus</v>
          </cell>
          <cell r="K5977" t="str">
            <v>EFLA</v>
          </cell>
          <cell r="M5977" t="str">
            <v>M</v>
          </cell>
          <cell r="AB5977" t="str">
            <v>serum</v>
          </cell>
          <cell r="AF5977">
            <v>0.3</v>
          </cell>
        </row>
        <row r="5978">
          <cell r="A5978" t="str">
            <v>IS_alqt_plus</v>
          </cell>
          <cell r="K5978" t="str">
            <v>EFLA</v>
          </cell>
          <cell r="M5978" t="str">
            <v>F</v>
          </cell>
          <cell r="AB5978" t="str">
            <v>serum</v>
          </cell>
          <cell r="AF5978">
            <v>1.5</v>
          </cell>
        </row>
        <row r="5979">
          <cell r="A5979" t="str">
            <v>gone</v>
          </cell>
          <cell r="K5979" t="str">
            <v>EFLA</v>
          </cell>
          <cell r="M5979" t="str">
            <v>M</v>
          </cell>
          <cell r="AB5979" t="str">
            <v>WB</v>
          </cell>
          <cell r="AF5979">
            <v>0</v>
          </cell>
        </row>
        <row r="5980">
          <cell r="A5980" t="str">
            <v>IS_alqt_plus</v>
          </cell>
          <cell r="K5980" t="str">
            <v>EFLA</v>
          </cell>
          <cell r="M5980" t="str">
            <v>F</v>
          </cell>
          <cell r="AB5980" t="str">
            <v>WB</v>
          </cell>
          <cell r="AF5980">
            <v>0.65</v>
          </cell>
        </row>
        <row r="5981">
          <cell r="A5981" t="str">
            <v>gone</v>
          </cell>
          <cell r="K5981" t="str">
            <v>VRUB</v>
          </cell>
          <cell r="M5981" t="str">
            <v>F</v>
          </cell>
          <cell r="AB5981" t="str">
            <v>WB</v>
          </cell>
          <cell r="AF5981">
            <v>0</v>
          </cell>
        </row>
        <row r="5982">
          <cell r="A5982" t="str">
            <v>IS_alqt_plus</v>
          </cell>
          <cell r="K5982" t="str">
            <v>VRUB</v>
          </cell>
          <cell r="M5982" t="str">
            <v>F</v>
          </cell>
          <cell r="AB5982" t="str">
            <v>WB</v>
          </cell>
          <cell r="AF5982">
            <v>0.6</v>
          </cell>
        </row>
        <row r="5983">
          <cell r="A5983" t="str">
            <v>IS_alqt_plus</v>
          </cell>
          <cell r="K5983" t="str">
            <v>VRUB</v>
          </cell>
          <cell r="M5983" t="str">
            <v>F</v>
          </cell>
          <cell r="AB5983" t="str">
            <v>serum</v>
          </cell>
          <cell r="AF5983">
            <v>1.5</v>
          </cell>
        </row>
        <row r="5984">
          <cell r="A5984" t="str">
            <v>IS_alqt_plus</v>
          </cell>
          <cell r="K5984" t="str">
            <v>LCAT</v>
          </cell>
          <cell r="M5984" t="str">
            <v>F</v>
          </cell>
          <cell r="AB5984" t="str">
            <v>serum</v>
          </cell>
          <cell r="AF5984">
            <v>0.25</v>
          </cell>
        </row>
        <row r="5985">
          <cell r="A5985" t="str">
            <v>IS_alqt_plus</v>
          </cell>
          <cell r="K5985" t="str">
            <v>LCAT</v>
          </cell>
          <cell r="M5985" t="str">
            <v>F</v>
          </cell>
          <cell r="AB5985" t="str">
            <v>WB</v>
          </cell>
          <cell r="AF5985">
            <v>0.7</v>
          </cell>
        </row>
        <row r="5986">
          <cell r="A5986" t="str">
            <v>IS_alqt_plus</v>
          </cell>
          <cell r="K5986" t="str">
            <v>LCAT</v>
          </cell>
          <cell r="M5986" t="str">
            <v>F</v>
          </cell>
          <cell r="AB5986" t="str">
            <v>WB</v>
          </cell>
          <cell r="AF5986">
            <v>0.8</v>
          </cell>
        </row>
        <row r="5987">
          <cell r="A5987" t="str">
            <v>IS_alqt_plus</v>
          </cell>
          <cell r="K5987" t="str">
            <v>PCOQ</v>
          </cell>
          <cell r="M5987" t="str">
            <v>F</v>
          </cell>
          <cell r="AB5987" t="str">
            <v>serum</v>
          </cell>
          <cell r="AF5987">
            <v>1.5</v>
          </cell>
        </row>
        <row r="5988">
          <cell r="A5988" t="str">
            <v>IS_alqt_plus</v>
          </cell>
          <cell r="K5988" t="str">
            <v>PCOQ</v>
          </cell>
          <cell r="M5988" t="str">
            <v>F</v>
          </cell>
          <cell r="AB5988" t="str">
            <v>serum</v>
          </cell>
          <cell r="AF5988">
            <v>1.1000000000000001</v>
          </cell>
        </row>
        <row r="5989">
          <cell r="A5989" t="str">
            <v>unk</v>
          </cell>
          <cell r="K5989" t="str">
            <v>EMON</v>
          </cell>
          <cell r="M5989" t="str">
            <v>F</v>
          </cell>
          <cell r="AB5989" t="str">
            <v>RBCs/serum</v>
          </cell>
          <cell r="AF5989">
            <v>3</v>
          </cell>
        </row>
        <row r="5990">
          <cell r="A5990" t="str">
            <v>gone</v>
          </cell>
          <cell r="K5990" t="str">
            <v>EMON</v>
          </cell>
          <cell r="M5990" t="str">
            <v>F</v>
          </cell>
          <cell r="AB5990" t="str">
            <v>WB</v>
          </cell>
          <cell r="AF5990">
            <v>0</v>
          </cell>
        </row>
        <row r="5991">
          <cell r="A5991" t="str">
            <v>IS_alqt_plus</v>
          </cell>
          <cell r="K5991" t="str">
            <v>EMON</v>
          </cell>
          <cell r="M5991" t="str">
            <v>M</v>
          </cell>
          <cell r="AB5991" t="str">
            <v>WB</v>
          </cell>
          <cell r="AF5991">
            <v>1.2</v>
          </cell>
        </row>
        <row r="5992">
          <cell r="A5992" t="str">
            <v>unk</v>
          </cell>
          <cell r="K5992" t="str">
            <v>EMON</v>
          </cell>
          <cell r="M5992" t="str">
            <v>F</v>
          </cell>
          <cell r="AB5992" t="str">
            <v>WB</v>
          </cell>
          <cell r="AF5992">
            <v>1</v>
          </cell>
        </row>
        <row r="5993">
          <cell r="A5993" t="str">
            <v>IS_alqt_plus</v>
          </cell>
          <cell r="K5993" t="str">
            <v>PCOQ</v>
          </cell>
          <cell r="M5993" t="str">
            <v>M</v>
          </cell>
          <cell r="AB5993" t="str">
            <v>serum</v>
          </cell>
          <cell r="AF5993">
            <v>1.2</v>
          </cell>
        </row>
        <row r="5994">
          <cell r="A5994" t="str">
            <v>IS_alqt_plus</v>
          </cell>
          <cell r="K5994" t="str">
            <v>PCOQ</v>
          </cell>
          <cell r="M5994" t="str">
            <v>M</v>
          </cell>
          <cell r="AB5994" t="str">
            <v>serum</v>
          </cell>
          <cell r="AF5994">
            <v>1.4</v>
          </cell>
        </row>
        <row r="5995">
          <cell r="A5995" t="str">
            <v>IS_alqt_plus</v>
          </cell>
          <cell r="K5995" t="str">
            <v>PCOQ</v>
          </cell>
          <cell r="M5995" t="str">
            <v>M</v>
          </cell>
          <cell r="AB5995" t="str">
            <v>serum</v>
          </cell>
          <cell r="AF5995">
            <v>0.5</v>
          </cell>
        </row>
        <row r="5996">
          <cell r="A5996" t="str">
            <v>IS_alqt_plus</v>
          </cell>
          <cell r="K5996" t="str">
            <v>VRUB</v>
          </cell>
          <cell r="M5996" t="str">
            <v>F</v>
          </cell>
          <cell r="AB5996" t="str">
            <v>WB</v>
          </cell>
          <cell r="AF5996">
            <v>0.9</v>
          </cell>
        </row>
        <row r="5997">
          <cell r="A5997" t="str">
            <v>IS_alqt_plus</v>
          </cell>
          <cell r="K5997" t="str">
            <v>ECOR</v>
          </cell>
          <cell r="M5997" t="str">
            <v>M</v>
          </cell>
          <cell r="AB5997" t="str">
            <v>serum</v>
          </cell>
          <cell r="AF5997">
            <v>0.7</v>
          </cell>
        </row>
        <row r="5998">
          <cell r="A5998" t="str">
            <v>IS_alqt_plus</v>
          </cell>
          <cell r="K5998" t="str">
            <v>ECOR</v>
          </cell>
          <cell r="M5998" t="str">
            <v>F</v>
          </cell>
          <cell r="AB5998" t="str">
            <v>serum</v>
          </cell>
          <cell r="AF5998">
            <v>0.75</v>
          </cell>
        </row>
        <row r="5999">
          <cell r="A5999" t="str">
            <v>IS_alqt_plus</v>
          </cell>
          <cell r="K5999" t="str">
            <v>ECOR</v>
          </cell>
          <cell r="M5999" t="str">
            <v>M</v>
          </cell>
          <cell r="AB5999" t="str">
            <v>WB</v>
          </cell>
          <cell r="AF5999">
            <v>0.65</v>
          </cell>
        </row>
        <row r="6000">
          <cell r="A6000" t="str">
            <v>IS_alqt_plus</v>
          </cell>
          <cell r="K6000" t="str">
            <v>ECOR</v>
          </cell>
          <cell r="M6000" t="str">
            <v>F</v>
          </cell>
          <cell r="AB6000" t="str">
            <v>WB</v>
          </cell>
          <cell r="AF6000">
            <v>0.8</v>
          </cell>
        </row>
        <row r="6001">
          <cell r="A6001" t="str">
            <v>IS_alqt_plus</v>
          </cell>
          <cell r="K6001" t="str">
            <v>ESAN</v>
          </cell>
          <cell r="M6001" t="str">
            <v>F</v>
          </cell>
          <cell r="AB6001" t="str">
            <v>serum</v>
          </cell>
          <cell r="AF6001">
            <v>1</v>
          </cell>
        </row>
        <row r="6002">
          <cell r="A6002" t="str">
            <v>unk</v>
          </cell>
          <cell r="K6002" t="str">
            <v>VVV</v>
          </cell>
          <cell r="M6002" t="str">
            <v>M</v>
          </cell>
          <cell r="AB6002" t="str">
            <v>WB</v>
          </cell>
          <cell r="AF6002">
            <v>0.25</v>
          </cell>
        </row>
        <row r="6003">
          <cell r="A6003" t="str">
            <v>IS_alqt_plus</v>
          </cell>
          <cell r="K6003" t="str">
            <v>VVV</v>
          </cell>
          <cell r="M6003" t="str">
            <v>M</v>
          </cell>
          <cell r="AB6003" t="str">
            <v>serum</v>
          </cell>
          <cell r="AF6003">
            <v>0.8</v>
          </cell>
        </row>
        <row r="6004">
          <cell r="A6004" t="str">
            <v>IS_alqt_plus</v>
          </cell>
          <cell r="K6004" t="str">
            <v>VVV</v>
          </cell>
          <cell r="M6004" t="str">
            <v>M</v>
          </cell>
          <cell r="AB6004" t="str">
            <v>WB</v>
          </cell>
          <cell r="AF6004">
            <v>0.8</v>
          </cell>
        </row>
        <row r="6005">
          <cell r="A6005" t="str">
            <v>IS_alqt_plus</v>
          </cell>
          <cell r="K6005" t="str">
            <v>VVV</v>
          </cell>
          <cell r="M6005" t="str">
            <v>M</v>
          </cell>
          <cell r="AB6005" t="str">
            <v>serum</v>
          </cell>
          <cell r="AF6005">
            <v>1.4</v>
          </cell>
        </row>
        <row r="6006">
          <cell r="A6006" t="str">
            <v>IS_alqt_plus</v>
          </cell>
          <cell r="K6006" t="str">
            <v>ECOL</v>
          </cell>
          <cell r="M6006" t="str">
            <v>F</v>
          </cell>
          <cell r="AB6006" t="str">
            <v>serum</v>
          </cell>
          <cell r="AF6006">
            <v>1.5</v>
          </cell>
        </row>
        <row r="6007">
          <cell r="A6007" t="str">
            <v>IS_alqt_plus</v>
          </cell>
          <cell r="K6007" t="str">
            <v>EMON</v>
          </cell>
          <cell r="M6007" t="str">
            <v>F</v>
          </cell>
          <cell r="AB6007" t="str">
            <v>WB</v>
          </cell>
          <cell r="AF6007">
            <v>1.2</v>
          </cell>
        </row>
        <row r="6008">
          <cell r="A6008" t="str">
            <v>IS_alqt_plus</v>
          </cell>
          <cell r="K6008" t="str">
            <v>ECOL</v>
          </cell>
          <cell r="M6008" t="str">
            <v>F</v>
          </cell>
          <cell r="AB6008" t="str">
            <v>WB</v>
          </cell>
          <cell r="AF6008">
            <v>0.7</v>
          </cell>
        </row>
        <row r="6009">
          <cell r="A6009" t="str">
            <v>gone</v>
          </cell>
          <cell r="K6009" t="str">
            <v>EMON</v>
          </cell>
          <cell r="M6009" t="str">
            <v>M</v>
          </cell>
          <cell r="AB6009" t="str">
            <v>WB</v>
          </cell>
          <cell r="AF6009">
            <v>0</v>
          </cell>
        </row>
        <row r="6010">
          <cell r="A6010" t="str">
            <v>IS_alqt_plus</v>
          </cell>
          <cell r="K6010" t="str">
            <v>DMAD</v>
          </cell>
          <cell r="M6010" t="str">
            <v>F</v>
          </cell>
          <cell r="AB6010" t="str">
            <v>serum</v>
          </cell>
          <cell r="AF6010">
            <v>0.7</v>
          </cell>
        </row>
        <row r="6011">
          <cell r="A6011" t="str">
            <v>IS_alqt_plus</v>
          </cell>
          <cell r="K6011" t="str">
            <v>DMAD</v>
          </cell>
          <cell r="M6011" t="str">
            <v>F</v>
          </cell>
          <cell r="AB6011" t="str">
            <v>WB</v>
          </cell>
          <cell r="AF6011">
            <v>0.6</v>
          </cell>
        </row>
        <row r="6012">
          <cell r="A6012" t="str">
            <v>IS_alqt_plus</v>
          </cell>
          <cell r="K6012" t="str">
            <v>VVV</v>
          </cell>
          <cell r="M6012" t="str">
            <v>F</v>
          </cell>
          <cell r="AB6012" t="str">
            <v>WB</v>
          </cell>
          <cell r="AF6012">
            <v>0.75</v>
          </cell>
        </row>
        <row r="6013">
          <cell r="A6013" t="str">
            <v>IS_alqt_plus</v>
          </cell>
          <cell r="K6013" t="str">
            <v>VVV</v>
          </cell>
          <cell r="M6013" t="str">
            <v>F</v>
          </cell>
          <cell r="AB6013" t="str">
            <v>WB</v>
          </cell>
          <cell r="AF6013">
            <v>0.5</v>
          </cell>
        </row>
        <row r="6014">
          <cell r="A6014" t="str">
            <v>IS_alqt_plus</v>
          </cell>
          <cell r="K6014" t="str">
            <v>VVV</v>
          </cell>
          <cell r="M6014" t="str">
            <v>M</v>
          </cell>
          <cell r="AB6014" t="str">
            <v>WB</v>
          </cell>
          <cell r="AF6014">
            <v>0.25</v>
          </cell>
        </row>
        <row r="6015">
          <cell r="A6015" t="str">
            <v>gone</v>
          </cell>
          <cell r="K6015" t="str">
            <v>VVV</v>
          </cell>
          <cell r="M6015" t="str">
            <v>M</v>
          </cell>
          <cell r="AB6015" t="str">
            <v>WB</v>
          </cell>
          <cell r="AF6015">
            <v>0</v>
          </cell>
        </row>
        <row r="6016">
          <cell r="A6016" t="str">
            <v>IS_alqt_plus</v>
          </cell>
          <cell r="K6016" t="str">
            <v>EFLA</v>
          </cell>
          <cell r="M6016" t="str">
            <v>M</v>
          </cell>
          <cell r="AB6016" t="str">
            <v>serum</v>
          </cell>
          <cell r="AF6016">
            <v>1.5</v>
          </cell>
        </row>
        <row r="6017">
          <cell r="A6017" t="str">
            <v>gone</v>
          </cell>
          <cell r="K6017" t="str">
            <v>EFLA</v>
          </cell>
          <cell r="M6017" t="str">
            <v>M</v>
          </cell>
          <cell r="AB6017" t="str">
            <v>WB</v>
          </cell>
          <cell r="AF6017">
            <v>0</v>
          </cell>
        </row>
        <row r="6018">
          <cell r="A6018" t="str">
            <v>IS_alqt_plus</v>
          </cell>
          <cell r="K6018" t="str">
            <v>VVV</v>
          </cell>
          <cell r="M6018" t="str">
            <v>M</v>
          </cell>
          <cell r="AB6018" t="str">
            <v>serum</v>
          </cell>
          <cell r="AF6018">
            <v>0.5</v>
          </cell>
        </row>
        <row r="6019">
          <cell r="A6019" t="str">
            <v>IS_alqt_plus</v>
          </cell>
          <cell r="K6019" t="str">
            <v>LCAT</v>
          </cell>
          <cell r="M6019" t="str">
            <v>F</v>
          </cell>
          <cell r="AB6019" t="str">
            <v>WB</v>
          </cell>
          <cell r="AF6019">
            <v>0.4</v>
          </cell>
        </row>
        <row r="6020">
          <cell r="A6020" t="str">
            <v>IS_alqt_plus</v>
          </cell>
          <cell r="K6020" t="str">
            <v>LCAT</v>
          </cell>
          <cell r="M6020" t="str">
            <v>F</v>
          </cell>
          <cell r="AB6020" t="str">
            <v>WB</v>
          </cell>
          <cell r="AF6020">
            <v>0.5</v>
          </cell>
        </row>
        <row r="6021">
          <cell r="A6021" t="str">
            <v>IS_alqt_plus</v>
          </cell>
          <cell r="K6021" t="str">
            <v>LCAT</v>
          </cell>
          <cell r="M6021" t="str">
            <v>F</v>
          </cell>
          <cell r="AB6021" t="str">
            <v>WB</v>
          </cell>
          <cell r="AF6021">
            <v>0.5</v>
          </cell>
        </row>
        <row r="6022">
          <cell r="A6022" t="str">
            <v>IS_alqt_plus</v>
          </cell>
          <cell r="K6022" t="str">
            <v>LCAT</v>
          </cell>
          <cell r="M6022" t="str">
            <v>F</v>
          </cell>
          <cell r="AB6022" t="str">
            <v>WB</v>
          </cell>
          <cell r="AF6022">
            <v>1.2</v>
          </cell>
        </row>
        <row r="6023">
          <cell r="A6023" t="str">
            <v>IS_alqt_plus</v>
          </cell>
          <cell r="K6023" t="str">
            <v>LCAT</v>
          </cell>
          <cell r="M6023" t="str">
            <v>M</v>
          </cell>
          <cell r="AB6023" t="str">
            <v>WB</v>
          </cell>
          <cell r="AF6023">
            <v>1</v>
          </cell>
        </row>
        <row r="6024">
          <cell r="A6024" t="str">
            <v>IS_alqt_plus</v>
          </cell>
          <cell r="K6024" t="str">
            <v>LCAT</v>
          </cell>
          <cell r="M6024" t="str">
            <v>M</v>
          </cell>
          <cell r="AB6024" t="str">
            <v>WB</v>
          </cell>
          <cell r="AF6024">
            <v>0.8</v>
          </cell>
        </row>
        <row r="6025">
          <cell r="A6025" t="str">
            <v>IS_alqt_plus</v>
          </cell>
          <cell r="K6025" t="str">
            <v>LCAT</v>
          </cell>
          <cell r="M6025" t="str">
            <v>M</v>
          </cell>
          <cell r="AB6025" t="str">
            <v>WB</v>
          </cell>
          <cell r="AF6025">
            <v>0.7</v>
          </cell>
        </row>
        <row r="6026">
          <cell r="A6026" t="str">
            <v>IS_alqt_plus</v>
          </cell>
          <cell r="K6026" t="str">
            <v>LCAT</v>
          </cell>
          <cell r="M6026" t="str">
            <v>F</v>
          </cell>
          <cell r="AB6026" t="str">
            <v>WB</v>
          </cell>
          <cell r="AF6026">
            <v>1</v>
          </cell>
        </row>
        <row r="6027">
          <cell r="A6027" t="str">
            <v>IS_alqt_plus</v>
          </cell>
          <cell r="K6027" t="str">
            <v>LCAT</v>
          </cell>
          <cell r="M6027" t="str">
            <v>M</v>
          </cell>
          <cell r="AB6027" t="str">
            <v>WB</v>
          </cell>
          <cell r="AF6027">
            <v>0.6</v>
          </cell>
        </row>
        <row r="6028">
          <cell r="A6028" t="str">
            <v>IS_alqt_plus</v>
          </cell>
          <cell r="K6028" t="str">
            <v>LCAT</v>
          </cell>
          <cell r="M6028" t="str">
            <v>M</v>
          </cell>
          <cell r="AB6028" t="str">
            <v>WB</v>
          </cell>
          <cell r="AF6028">
            <v>0.8</v>
          </cell>
        </row>
        <row r="6029">
          <cell r="A6029" t="str">
            <v>IS_alqt_plus</v>
          </cell>
          <cell r="K6029" t="str">
            <v>LCAT</v>
          </cell>
          <cell r="M6029" t="str">
            <v>M</v>
          </cell>
          <cell r="AB6029" t="str">
            <v>WB</v>
          </cell>
          <cell r="AF6029">
            <v>0.2</v>
          </cell>
        </row>
        <row r="6030">
          <cell r="A6030" t="str">
            <v>IS_alqt_plus</v>
          </cell>
          <cell r="K6030" t="str">
            <v>LCAT</v>
          </cell>
          <cell r="M6030" t="str">
            <v>M</v>
          </cell>
          <cell r="AB6030" t="str">
            <v>WB</v>
          </cell>
          <cell r="AF6030">
            <v>0.2</v>
          </cell>
        </row>
        <row r="6031">
          <cell r="A6031" t="str">
            <v>IS_alqt_plus</v>
          </cell>
          <cell r="K6031" t="str">
            <v>LCAT</v>
          </cell>
          <cell r="M6031" t="str">
            <v>M</v>
          </cell>
          <cell r="AB6031" t="str">
            <v>WB</v>
          </cell>
          <cell r="AF6031">
            <v>0.2</v>
          </cell>
        </row>
        <row r="6032">
          <cell r="A6032" t="str">
            <v>IS_alqt_plus</v>
          </cell>
          <cell r="K6032" t="str">
            <v>LCAT</v>
          </cell>
          <cell r="M6032" t="str">
            <v>M</v>
          </cell>
          <cell r="AB6032" t="str">
            <v>WB</v>
          </cell>
          <cell r="AF6032">
            <v>0.2</v>
          </cell>
        </row>
        <row r="6033">
          <cell r="A6033" t="str">
            <v>IS_alqt_plus</v>
          </cell>
          <cell r="K6033" t="str">
            <v>LCAT</v>
          </cell>
          <cell r="M6033" t="str">
            <v>M</v>
          </cell>
          <cell r="AB6033" t="str">
            <v>WB</v>
          </cell>
          <cell r="AF6033">
            <v>0.2</v>
          </cell>
        </row>
        <row r="6034">
          <cell r="A6034" t="str">
            <v>gone</v>
          </cell>
          <cell r="K6034" t="str">
            <v>LCAT</v>
          </cell>
          <cell r="M6034" t="str">
            <v>M</v>
          </cell>
          <cell r="AB6034" t="str">
            <v>WB</v>
          </cell>
          <cell r="AF6034">
            <v>0</v>
          </cell>
        </row>
        <row r="6035">
          <cell r="A6035" t="str">
            <v>gone</v>
          </cell>
          <cell r="K6035" t="str">
            <v>LCAT</v>
          </cell>
          <cell r="M6035" t="str">
            <v>M</v>
          </cell>
          <cell r="AB6035" t="str">
            <v>WB</v>
          </cell>
          <cell r="AF6035">
            <v>0</v>
          </cell>
        </row>
        <row r="6036">
          <cell r="A6036" t="str">
            <v>gone</v>
          </cell>
          <cell r="K6036" t="str">
            <v>LCAT</v>
          </cell>
          <cell r="M6036" t="str">
            <v>M</v>
          </cell>
          <cell r="AB6036" t="str">
            <v>WB</v>
          </cell>
          <cell r="AF6036">
            <v>0</v>
          </cell>
        </row>
        <row r="6037">
          <cell r="A6037" t="str">
            <v>IS_alqt_plus</v>
          </cell>
          <cell r="K6037" t="str">
            <v>LCAT</v>
          </cell>
          <cell r="M6037" t="str">
            <v>M</v>
          </cell>
          <cell r="AB6037" t="str">
            <v>WB</v>
          </cell>
          <cell r="AF6037">
            <v>0.25</v>
          </cell>
        </row>
        <row r="6038">
          <cell r="A6038" t="str">
            <v>IS_alqt_plus</v>
          </cell>
          <cell r="K6038" t="str">
            <v>LCAT</v>
          </cell>
          <cell r="M6038" t="str">
            <v>F</v>
          </cell>
          <cell r="AB6038" t="str">
            <v>WB</v>
          </cell>
          <cell r="AF6038">
            <v>0.5</v>
          </cell>
        </row>
        <row r="6039">
          <cell r="A6039" t="str">
            <v>IS_alqt_plus</v>
          </cell>
          <cell r="K6039" t="str">
            <v>LCAT</v>
          </cell>
          <cell r="M6039" t="str">
            <v>F</v>
          </cell>
          <cell r="AB6039" t="str">
            <v>WB</v>
          </cell>
          <cell r="AF6039">
            <v>0.25</v>
          </cell>
        </row>
        <row r="6040">
          <cell r="A6040" t="str">
            <v>IS_alqt_plus</v>
          </cell>
          <cell r="K6040" t="str">
            <v>LCAT</v>
          </cell>
          <cell r="M6040" t="str">
            <v>F</v>
          </cell>
          <cell r="AB6040" t="str">
            <v>WB</v>
          </cell>
          <cell r="AF6040">
            <v>0.25</v>
          </cell>
        </row>
        <row r="6041">
          <cell r="A6041" t="str">
            <v>IS_alqt_plus</v>
          </cell>
          <cell r="K6041" t="str">
            <v>LCAT</v>
          </cell>
          <cell r="M6041" t="str">
            <v>F</v>
          </cell>
          <cell r="AB6041" t="str">
            <v>WB</v>
          </cell>
          <cell r="AF6041">
            <v>0.75</v>
          </cell>
        </row>
        <row r="6042">
          <cell r="A6042" t="str">
            <v>gone</v>
          </cell>
          <cell r="K6042" t="str">
            <v>LCAT</v>
          </cell>
          <cell r="M6042" t="str">
            <v>F</v>
          </cell>
          <cell r="AB6042" t="str">
            <v>WB</v>
          </cell>
          <cell r="AF6042">
            <v>0</v>
          </cell>
        </row>
        <row r="6043">
          <cell r="A6043" t="str">
            <v>IS_alqt_plus</v>
          </cell>
          <cell r="K6043" t="str">
            <v>LCAT</v>
          </cell>
          <cell r="M6043" t="str">
            <v>F</v>
          </cell>
          <cell r="AB6043" t="str">
            <v>WB</v>
          </cell>
          <cell r="AF6043">
            <v>0.7</v>
          </cell>
        </row>
        <row r="6044">
          <cell r="A6044" t="str">
            <v>IS_alqt_plus</v>
          </cell>
          <cell r="K6044" t="str">
            <v>PCOQ</v>
          </cell>
          <cell r="M6044" t="str">
            <v>M</v>
          </cell>
          <cell r="AB6044" t="str">
            <v>serum</v>
          </cell>
          <cell r="AF6044">
            <v>1.3</v>
          </cell>
        </row>
        <row r="6045">
          <cell r="A6045" t="str">
            <v>IS_alqt_plus</v>
          </cell>
          <cell r="K6045" t="str">
            <v>PCOQ</v>
          </cell>
          <cell r="M6045" t="str">
            <v>M</v>
          </cell>
          <cell r="AB6045" t="str">
            <v>serum</v>
          </cell>
          <cell r="AF6045">
            <v>1.5</v>
          </cell>
        </row>
        <row r="6046">
          <cell r="A6046" t="str">
            <v>IS_alqt_plus</v>
          </cell>
          <cell r="K6046" t="str">
            <v>PCOQ</v>
          </cell>
          <cell r="M6046" t="str">
            <v>M</v>
          </cell>
          <cell r="AB6046" t="str">
            <v>serum</v>
          </cell>
          <cell r="AF6046">
            <v>1.5</v>
          </cell>
        </row>
        <row r="6047">
          <cell r="A6047" t="str">
            <v>IS_alqt_plus</v>
          </cell>
          <cell r="K6047" t="str">
            <v>PCOQ</v>
          </cell>
          <cell r="M6047" t="str">
            <v>M</v>
          </cell>
          <cell r="AB6047" t="str">
            <v>serum</v>
          </cell>
          <cell r="AF6047">
            <v>1.5</v>
          </cell>
        </row>
        <row r="6048">
          <cell r="A6048" t="str">
            <v>IS_alqt_plus</v>
          </cell>
          <cell r="K6048" t="str">
            <v>PCOQ</v>
          </cell>
          <cell r="M6048" t="str">
            <v>M</v>
          </cell>
          <cell r="AB6048" t="str">
            <v>serum</v>
          </cell>
          <cell r="AF6048">
            <v>1.5</v>
          </cell>
        </row>
        <row r="6049">
          <cell r="A6049" t="str">
            <v>IS_alqt_plus</v>
          </cell>
          <cell r="K6049" t="str">
            <v>PCOQ</v>
          </cell>
          <cell r="M6049" t="str">
            <v>M</v>
          </cell>
          <cell r="AB6049" t="str">
            <v>serum</v>
          </cell>
          <cell r="AF6049">
            <v>1.5</v>
          </cell>
        </row>
        <row r="6050">
          <cell r="A6050" t="str">
            <v>IS_alqt_plus</v>
          </cell>
          <cell r="K6050" t="str">
            <v>PCOQ</v>
          </cell>
          <cell r="M6050" t="str">
            <v>M</v>
          </cell>
          <cell r="AB6050" t="str">
            <v>serum</v>
          </cell>
          <cell r="AF6050">
            <v>1.5</v>
          </cell>
        </row>
        <row r="6051">
          <cell r="A6051" t="str">
            <v>IS_alqt_plus</v>
          </cell>
          <cell r="K6051" t="str">
            <v>PCOQ</v>
          </cell>
          <cell r="M6051" t="str">
            <v>M</v>
          </cell>
          <cell r="AB6051" t="str">
            <v>serum</v>
          </cell>
          <cell r="AF6051">
            <v>1.5</v>
          </cell>
        </row>
        <row r="6052">
          <cell r="A6052" t="str">
            <v>IS_alqt_plus</v>
          </cell>
          <cell r="K6052" t="str">
            <v>PCOQ</v>
          </cell>
          <cell r="M6052" t="str">
            <v>M</v>
          </cell>
          <cell r="AB6052" t="str">
            <v>serum</v>
          </cell>
          <cell r="AF6052">
            <v>1.5</v>
          </cell>
        </row>
        <row r="6053">
          <cell r="A6053" t="str">
            <v>IS_alqt_plus</v>
          </cell>
          <cell r="K6053" t="str">
            <v>PCOQ</v>
          </cell>
          <cell r="M6053" t="str">
            <v>M</v>
          </cell>
          <cell r="AB6053" t="str">
            <v>serum</v>
          </cell>
          <cell r="AF6053">
            <v>1.5</v>
          </cell>
        </row>
        <row r="6054">
          <cell r="A6054" t="str">
            <v>IS_alqt_plus</v>
          </cell>
          <cell r="K6054" t="str">
            <v>PCOQ</v>
          </cell>
          <cell r="M6054" t="str">
            <v>M</v>
          </cell>
          <cell r="AB6054" t="str">
            <v>serum</v>
          </cell>
          <cell r="AF6054">
            <v>1.5</v>
          </cell>
        </row>
        <row r="6055">
          <cell r="A6055" t="str">
            <v>IS_alqt_plus</v>
          </cell>
          <cell r="K6055" t="str">
            <v>PCOQ</v>
          </cell>
          <cell r="M6055" t="str">
            <v>M</v>
          </cell>
          <cell r="AB6055" t="str">
            <v>serum</v>
          </cell>
          <cell r="AF6055">
            <v>1.5</v>
          </cell>
        </row>
        <row r="6056">
          <cell r="A6056" t="str">
            <v>IS_alqt_plus</v>
          </cell>
          <cell r="K6056" t="str">
            <v>PCOQ</v>
          </cell>
          <cell r="M6056" t="str">
            <v>M</v>
          </cell>
          <cell r="AB6056" t="str">
            <v>serum</v>
          </cell>
          <cell r="AF6056">
            <v>1.5</v>
          </cell>
        </row>
        <row r="6057">
          <cell r="A6057" t="str">
            <v>IS_alqt_plus</v>
          </cell>
          <cell r="K6057" t="str">
            <v>PCOQ</v>
          </cell>
          <cell r="M6057" t="str">
            <v>M</v>
          </cell>
          <cell r="AB6057" t="str">
            <v>serum</v>
          </cell>
          <cell r="AF6057">
            <v>1.5</v>
          </cell>
        </row>
        <row r="6058">
          <cell r="A6058" t="str">
            <v>IS_alqt_plus</v>
          </cell>
          <cell r="K6058" t="str">
            <v>PCOQ</v>
          </cell>
          <cell r="M6058" t="str">
            <v>M</v>
          </cell>
          <cell r="AB6058" t="str">
            <v>serum</v>
          </cell>
          <cell r="AF6058">
            <v>1.5</v>
          </cell>
        </row>
        <row r="6059">
          <cell r="A6059" t="str">
            <v>IS_alqt_plus</v>
          </cell>
          <cell r="K6059" t="str">
            <v>PCOQ</v>
          </cell>
          <cell r="M6059" t="str">
            <v>M</v>
          </cell>
          <cell r="AB6059" t="str">
            <v>serum</v>
          </cell>
          <cell r="AF6059">
            <v>1.5</v>
          </cell>
        </row>
        <row r="6060">
          <cell r="A6060" t="str">
            <v>IS_alqt_plus</v>
          </cell>
          <cell r="K6060" t="str">
            <v>PCOQ</v>
          </cell>
          <cell r="M6060" t="str">
            <v>M</v>
          </cell>
          <cell r="AB6060" t="str">
            <v>serum</v>
          </cell>
          <cell r="AF6060">
            <v>1.5</v>
          </cell>
        </row>
        <row r="6061">
          <cell r="A6061" t="str">
            <v>IS_alqt_plus</v>
          </cell>
          <cell r="K6061" t="str">
            <v>PCOQ</v>
          </cell>
          <cell r="M6061" t="str">
            <v>M</v>
          </cell>
          <cell r="AB6061" t="str">
            <v>serum</v>
          </cell>
          <cell r="AF6061">
            <v>1.5</v>
          </cell>
        </row>
        <row r="6062">
          <cell r="A6062" t="str">
            <v>IS_alqt_plus</v>
          </cell>
          <cell r="K6062" t="str">
            <v>PCOQ</v>
          </cell>
          <cell r="M6062" t="str">
            <v>M</v>
          </cell>
          <cell r="AB6062" t="str">
            <v>serum</v>
          </cell>
          <cell r="AF6062">
            <v>1.5</v>
          </cell>
        </row>
        <row r="6063">
          <cell r="A6063" t="str">
            <v>gone</v>
          </cell>
          <cell r="K6063" t="str">
            <v>EMON</v>
          </cell>
          <cell r="M6063" t="str">
            <v>M</v>
          </cell>
          <cell r="AB6063" t="str">
            <v>WB</v>
          </cell>
          <cell r="AF6063">
            <v>0</v>
          </cell>
        </row>
        <row r="6064">
          <cell r="A6064" t="str">
            <v>gone</v>
          </cell>
          <cell r="K6064" t="str">
            <v>LCAT</v>
          </cell>
          <cell r="M6064" t="str">
            <v>F</v>
          </cell>
          <cell r="AB6064" t="str">
            <v>WB</v>
          </cell>
          <cell r="AF6064">
            <v>0</v>
          </cell>
        </row>
        <row r="6065">
          <cell r="A6065" t="str">
            <v>IS_alqt_plus</v>
          </cell>
          <cell r="K6065" t="str">
            <v>PCOQ</v>
          </cell>
          <cell r="M6065" t="str">
            <v>M</v>
          </cell>
          <cell r="AB6065" t="str">
            <v>serum</v>
          </cell>
          <cell r="AF6065">
            <v>1</v>
          </cell>
        </row>
        <row r="6066">
          <cell r="A6066" t="str">
            <v>IS_alqt_plus</v>
          </cell>
          <cell r="K6066" t="str">
            <v>DMAD</v>
          </cell>
          <cell r="M6066" t="str">
            <v>F</v>
          </cell>
          <cell r="AB6066" t="str">
            <v>serum</v>
          </cell>
          <cell r="AF6066">
            <v>1.1000000000000001</v>
          </cell>
        </row>
        <row r="6067">
          <cell r="A6067" t="str">
            <v>IS_alqt_plus</v>
          </cell>
          <cell r="K6067" t="str">
            <v>DMAD</v>
          </cell>
          <cell r="M6067" t="str">
            <v>F</v>
          </cell>
          <cell r="AB6067" t="str">
            <v>WB</v>
          </cell>
          <cell r="AF6067">
            <v>0.75</v>
          </cell>
        </row>
        <row r="6068">
          <cell r="A6068" t="str">
            <v>IS_alqt_plus</v>
          </cell>
          <cell r="K6068" t="str">
            <v>ECOL</v>
          </cell>
          <cell r="M6068" t="str">
            <v>F</v>
          </cell>
          <cell r="AB6068" t="str">
            <v>serum</v>
          </cell>
          <cell r="AF6068">
            <v>1.2</v>
          </cell>
        </row>
        <row r="6069">
          <cell r="A6069" t="str">
            <v>IS_alqt_plus</v>
          </cell>
          <cell r="K6069" t="str">
            <v>ECOL</v>
          </cell>
          <cell r="M6069" t="str">
            <v>F</v>
          </cell>
          <cell r="AB6069" t="str">
            <v>serum</v>
          </cell>
          <cell r="AF6069">
            <v>1.2</v>
          </cell>
        </row>
        <row r="6070">
          <cell r="A6070" t="str">
            <v>IS_alqt_plus</v>
          </cell>
          <cell r="K6070" t="str">
            <v>ECOL</v>
          </cell>
          <cell r="M6070" t="str">
            <v>F</v>
          </cell>
          <cell r="AB6070" t="str">
            <v>serum</v>
          </cell>
          <cell r="AF6070">
            <v>1</v>
          </cell>
        </row>
        <row r="6071">
          <cell r="A6071" t="str">
            <v>IS_alqt_plus</v>
          </cell>
          <cell r="K6071" t="str">
            <v>ECOL</v>
          </cell>
          <cell r="M6071" t="str">
            <v>F</v>
          </cell>
          <cell r="AB6071" t="str">
            <v>serum</v>
          </cell>
          <cell r="AF6071">
            <v>1</v>
          </cell>
        </row>
        <row r="6072">
          <cell r="A6072" t="str">
            <v>IS_alqt_plus</v>
          </cell>
          <cell r="K6072" t="str">
            <v>ECOL</v>
          </cell>
          <cell r="M6072" t="str">
            <v>F</v>
          </cell>
          <cell r="AB6072" t="str">
            <v>serum</v>
          </cell>
          <cell r="AF6072">
            <v>1</v>
          </cell>
        </row>
        <row r="6073">
          <cell r="A6073" t="str">
            <v>IS_alqt_plus</v>
          </cell>
          <cell r="K6073" t="str">
            <v>ECOL</v>
          </cell>
          <cell r="M6073" t="str">
            <v>F</v>
          </cell>
          <cell r="AB6073" t="str">
            <v>serum</v>
          </cell>
          <cell r="AF6073">
            <v>1.1000000000000001</v>
          </cell>
        </row>
        <row r="6074">
          <cell r="A6074" t="str">
            <v>IS_alqt_plus</v>
          </cell>
          <cell r="K6074" t="str">
            <v>ECOL</v>
          </cell>
          <cell r="M6074" t="str">
            <v>F</v>
          </cell>
          <cell r="AB6074" t="str">
            <v>WB</v>
          </cell>
          <cell r="AF6074">
            <v>1.3</v>
          </cell>
        </row>
        <row r="6075">
          <cell r="A6075" t="str">
            <v>gone</v>
          </cell>
          <cell r="K6075" t="str">
            <v>ECOL</v>
          </cell>
          <cell r="M6075" t="str">
            <v>F</v>
          </cell>
          <cell r="AB6075" t="str">
            <v>WB</v>
          </cell>
          <cell r="AF6075">
            <v>0</v>
          </cell>
        </row>
        <row r="6076">
          <cell r="A6076" t="str">
            <v>IS_alqt_plus</v>
          </cell>
          <cell r="K6076" t="str">
            <v>ECOL</v>
          </cell>
          <cell r="M6076" t="str">
            <v>F</v>
          </cell>
          <cell r="AB6076" t="str">
            <v>WB</v>
          </cell>
          <cell r="AF6076">
            <v>0.6</v>
          </cell>
        </row>
        <row r="6077">
          <cell r="A6077" t="str">
            <v>IS_alqt_plus</v>
          </cell>
          <cell r="K6077" t="str">
            <v>ECOL</v>
          </cell>
          <cell r="M6077" t="str">
            <v>F</v>
          </cell>
          <cell r="AB6077" t="str">
            <v>WB</v>
          </cell>
          <cell r="AF6077">
            <v>1.2</v>
          </cell>
        </row>
        <row r="6078">
          <cell r="A6078" t="str">
            <v>IS_alqt_plus</v>
          </cell>
          <cell r="K6078" t="str">
            <v>ECOL</v>
          </cell>
          <cell r="M6078" t="str">
            <v>F</v>
          </cell>
          <cell r="AB6078" t="str">
            <v>WB</v>
          </cell>
          <cell r="AF6078">
            <v>1.3</v>
          </cell>
        </row>
        <row r="6079">
          <cell r="A6079" t="str">
            <v>IS_alqt_plus</v>
          </cell>
          <cell r="K6079" t="str">
            <v>ECOL</v>
          </cell>
          <cell r="M6079" t="str">
            <v>F</v>
          </cell>
          <cell r="AB6079" t="str">
            <v>WB</v>
          </cell>
          <cell r="AF6079">
            <v>1.3</v>
          </cell>
        </row>
        <row r="6080">
          <cell r="A6080" t="str">
            <v>IS_alqt_plus</v>
          </cell>
          <cell r="K6080" t="str">
            <v>ECOL</v>
          </cell>
          <cell r="M6080" t="str">
            <v>F</v>
          </cell>
          <cell r="AB6080" t="str">
            <v>WB</v>
          </cell>
          <cell r="AF6080">
            <v>0.3</v>
          </cell>
        </row>
        <row r="6081">
          <cell r="A6081" t="str">
            <v>IS_alqt_plus</v>
          </cell>
          <cell r="K6081" t="str">
            <v>ECOL</v>
          </cell>
          <cell r="M6081" t="str">
            <v>F</v>
          </cell>
          <cell r="AB6081" t="str">
            <v>WB</v>
          </cell>
          <cell r="AF6081">
            <v>1.3</v>
          </cell>
        </row>
        <row r="6082">
          <cell r="A6082" t="str">
            <v>IS_alqt_plus</v>
          </cell>
          <cell r="K6082" t="str">
            <v>ECOL</v>
          </cell>
          <cell r="M6082" t="str">
            <v>F</v>
          </cell>
          <cell r="AB6082" t="str">
            <v>WB</v>
          </cell>
          <cell r="AF6082">
            <v>0.5</v>
          </cell>
        </row>
        <row r="6083">
          <cell r="A6083" t="str">
            <v>IS_alqt_plus</v>
          </cell>
          <cell r="K6083" t="str">
            <v>ECOL</v>
          </cell>
          <cell r="M6083" t="str">
            <v>F</v>
          </cell>
          <cell r="AB6083" t="str">
            <v>WB</v>
          </cell>
          <cell r="AF6083">
            <v>1.3</v>
          </cell>
        </row>
        <row r="6084">
          <cell r="A6084" t="str">
            <v>IS_alqt_plus</v>
          </cell>
          <cell r="K6084" t="str">
            <v>ECOL</v>
          </cell>
          <cell r="M6084" t="str">
            <v>F</v>
          </cell>
          <cell r="AB6084" t="str">
            <v>WB</v>
          </cell>
          <cell r="AF6084">
            <v>1.3</v>
          </cell>
        </row>
        <row r="6085">
          <cell r="A6085" t="str">
            <v>IS_alqt_plus</v>
          </cell>
          <cell r="K6085" t="str">
            <v>ECOL</v>
          </cell>
          <cell r="M6085" t="str">
            <v>F</v>
          </cell>
          <cell r="AB6085" t="str">
            <v>WB</v>
          </cell>
          <cell r="AF6085">
            <v>1.2</v>
          </cell>
        </row>
        <row r="6086">
          <cell r="A6086" t="str">
            <v>gone</v>
          </cell>
          <cell r="K6086" t="str">
            <v>EMON</v>
          </cell>
          <cell r="M6086" t="str">
            <v>M</v>
          </cell>
          <cell r="AB6086" t="str">
            <v>WB</v>
          </cell>
          <cell r="AF6086">
            <v>0</v>
          </cell>
        </row>
        <row r="6087">
          <cell r="A6087" t="str">
            <v>IS_alqt_plus</v>
          </cell>
          <cell r="K6087" t="str">
            <v>EMON</v>
          </cell>
          <cell r="M6087" t="str">
            <v>F</v>
          </cell>
          <cell r="AB6087" t="str">
            <v>WB</v>
          </cell>
          <cell r="AF6087">
            <v>0.75</v>
          </cell>
        </row>
        <row r="6088">
          <cell r="A6088" t="str">
            <v>IS_alqt_plus</v>
          </cell>
          <cell r="K6088" t="str">
            <v>EMAC</v>
          </cell>
          <cell r="M6088" t="str">
            <v>F</v>
          </cell>
          <cell r="AB6088" t="str">
            <v>WB</v>
          </cell>
          <cell r="AF6088">
            <v>0.4</v>
          </cell>
        </row>
        <row r="6089">
          <cell r="A6089" t="str">
            <v>IS_alqt_plus</v>
          </cell>
          <cell r="K6089" t="str">
            <v>EMON</v>
          </cell>
          <cell r="M6089" t="str">
            <v>F</v>
          </cell>
          <cell r="AB6089" t="str">
            <v>WB</v>
          </cell>
          <cell r="AF6089">
            <v>0.5</v>
          </cell>
        </row>
        <row r="6090">
          <cell r="A6090" t="str">
            <v>IS_alqt_plus</v>
          </cell>
          <cell r="K6090" t="str">
            <v>EMON</v>
          </cell>
          <cell r="M6090" t="str">
            <v>M</v>
          </cell>
          <cell r="AB6090" t="str">
            <v>WB</v>
          </cell>
          <cell r="AF6090">
            <v>0.75</v>
          </cell>
        </row>
        <row r="6091">
          <cell r="A6091" t="str">
            <v>IS_alqt_plus</v>
          </cell>
          <cell r="K6091" t="str">
            <v>EMON</v>
          </cell>
          <cell r="M6091" t="str">
            <v>M</v>
          </cell>
          <cell r="AB6091" t="str">
            <v>WB</v>
          </cell>
          <cell r="AF6091">
            <v>0.7</v>
          </cell>
        </row>
        <row r="6092">
          <cell r="A6092" t="str">
            <v>IS_alqt_plus</v>
          </cell>
          <cell r="K6092" t="str">
            <v>EMON</v>
          </cell>
          <cell r="M6092" t="str">
            <v>M</v>
          </cell>
          <cell r="AB6092" t="str">
            <v>WB</v>
          </cell>
          <cell r="AF6092">
            <v>0.6</v>
          </cell>
        </row>
        <row r="6093">
          <cell r="A6093" t="str">
            <v>IS_alqt_plus</v>
          </cell>
          <cell r="K6093" t="str">
            <v>EMON</v>
          </cell>
          <cell r="M6093" t="str">
            <v>F</v>
          </cell>
          <cell r="AB6093" t="str">
            <v>WB</v>
          </cell>
          <cell r="AF6093">
            <v>0.7</v>
          </cell>
        </row>
        <row r="6094">
          <cell r="A6094" t="str">
            <v>IS_alqt_plus</v>
          </cell>
          <cell r="K6094" t="str">
            <v>EMON</v>
          </cell>
          <cell r="M6094" t="str">
            <v>F</v>
          </cell>
          <cell r="AB6094" t="str">
            <v>WB</v>
          </cell>
          <cell r="AF6094">
            <v>0.7</v>
          </cell>
        </row>
        <row r="6095">
          <cell r="A6095" t="str">
            <v>gone</v>
          </cell>
          <cell r="K6095" t="str">
            <v>EMON</v>
          </cell>
          <cell r="M6095" t="str">
            <v>M</v>
          </cell>
          <cell r="AB6095" t="str">
            <v>WB</v>
          </cell>
          <cell r="AF6095">
            <v>0</v>
          </cell>
        </row>
        <row r="6096">
          <cell r="A6096" t="str">
            <v>IS_alqt_plus</v>
          </cell>
          <cell r="K6096" t="str">
            <v>EMON</v>
          </cell>
          <cell r="M6096" t="str">
            <v>M</v>
          </cell>
          <cell r="AB6096" t="str">
            <v>WB</v>
          </cell>
          <cell r="AF6096">
            <v>0.2</v>
          </cell>
        </row>
        <row r="6097">
          <cell r="A6097" t="str">
            <v>IS_alqt_plus</v>
          </cell>
          <cell r="K6097" t="str">
            <v>EMON</v>
          </cell>
          <cell r="M6097" t="str">
            <v>F</v>
          </cell>
          <cell r="AB6097" t="str">
            <v>WB</v>
          </cell>
          <cell r="AF6097">
            <v>0.8</v>
          </cell>
        </row>
        <row r="6098">
          <cell r="A6098" t="str">
            <v>IS_alqt_plus</v>
          </cell>
          <cell r="K6098" t="str">
            <v>EMON</v>
          </cell>
          <cell r="M6098" t="str">
            <v>M</v>
          </cell>
          <cell r="AB6098" t="str">
            <v>WB</v>
          </cell>
          <cell r="AF6098">
            <v>0.5</v>
          </cell>
        </row>
        <row r="6099">
          <cell r="A6099" t="str">
            <v>gone</v>
          </cell>
          <cell r="K6099" t="str">
            <v>EMON</v>
          </cell>
          <cell r="M6099" t="str">
            <v>F</v>
          </cell>
          <cell r="AB6099" t="str">
            <v>WB</v>
          </cell>
          <cell r="AF6099">
            <v>0</v>
          </cell>
        </row>
        <row r="6100">
          <cell r="A6100" t="str">
            <v>IS_alqt_plus</v>
          </cell>
          <cell r="K6100" t="str">
            <v>EMON</v>
          </cell>
          <cell r="M6100" t="str">
            <v>F</v>
          </cell>
          <cell r="AB6100" t="str">
            <v>WB</v>
          </cell>
          <cell r="AF6100">
            <v>0.7</v>
          </cell>
        </row>
        <row r="6101">
          <cell r="A6101" t="str">
            <v>IS_alqt_plus</v>
          </cell>
          <cell r="K6101" t="str">
            <v>EMON</v>
          </cell>
          <cell r="M6101" t="str">
            <v>M</v>
          </cell>
          <cell r="AB6101" t="str">
            <v>WB</v>
          </cell>
          <cell r="AF6101">
            <v>0.5</v>
          </cell>
        </row>
        <row r="6102">
          <cell r="A6102" t="str">
            <v>IS_alqt_plus</v>
          </cell>
          <cell r="K6102" t="str">
            <v>EMON</v>
          </cell>
          <cell r="M6102" t="str">
            <v>M</v>
          </cell>
          <cell r="AB6102" t="str">
            <v>WB</v>
          </cell>
          <cell r="AF6102">
            <v>0.6</v>
          </cell>
        </row>
        <row r="6103">
          <cell r="A6103" t="str">
            <v>IS_alqt_plus</v>
          </cell>
          <cell r="K6103" t="str">
            <v>EMON</v>
          </cell>
          <cell r="M6103" t="str">
            <v>M</v>
          </cell>
          <cell r="AB6103" t="str">
            <v>WB</v>
          </cell>
          <cell r="AF6103">
            <v>0.5</v>
          </cell>
        </row>
        <row r="6104">
          <cell r="A6104" t="str">
            <v>gone</v>
          </cell>
          <cell r="K6104" t="str">
            <v>EMON</v>
          </cell>
          <cell r="M6104" t="str">
            <v>F</v>
          </cell>
          <cell r="AB6104" t="str">
            <v>WB</v>
          </cell>
          <cell r="AF6104">
            <v>0</v>
          </cell>
        </row>
        <row r="6105">
          <cell r="A6105" t="str">
            <v>IS_alqt_plus</v>
          </cell>
          <cell r="K6105" t="str">
            <v>EMON</v>
          </cell>
          <cell r="M6105" t="str">
            <v>M</v>
          </cell>
          <cell r="AB6105" t="str">
            <v>WB</v>
          </cell>
          <cell r="AF6105">
            <v>0.6</v>
          </cell>
        </row>
        <row r="6106">
          <cell r="A6106" t="str">
            <v>IS_alqt_plus</v>
          </cell>
          <cell r="K6106" t="str">
            <v>EMON</v>
          </cell>
          <cell r="M6106" t="str">
            <v>F</v>
          </cell>
          <cell r="AB6106" t="str">
            <v>WB</v>
          </cell>
          <cell r="AF6106">
            <v>0.5</v>
          </cell>
        </row>
        <row r="6107">
          <cell r="A6107" t="str">
            <v>IS_alqt_plus</v>
          </cell>
          <cell r="K6107" t="str">
            <v>EMON</v>
          </cell>
          <cell r="M6107" t="str">
            <v>F</v>
          </cell>
          <cell r="AB6107" t="str">
            <v>WB</v>
          </cell>
          <cell r="AF6107">
            <v>0.5</v>
          </cell>
        </row>
        <row r="6108">
          <cell r="A6108" t="str">
            <v>IS_alqt_plus</v>
          </cell>
          <cell r="K6108" t="str">
            <v>EMON</v>
          </cell>
          <cell r="M6108" t="str">
            <v>M</v>
          </cell>
          <cell r="AB6108" t="str">
            <v>WB</v>
          </cell>
          <cell r="AF6108">
            <v>0.75</v>
          </cell>
        </row>
        <row r="6109">
          <cell r="A6109" t="str">
            <v>IS_alqt_plus</v>
          </cell>
          <cell r="K6109" t="str">
            <v>EMON</v>
          </cell>
          <cell r="M6109" t="str">
            <v>M</v>
          </cell>
          <cell r="AB6109" t="str">
            <v>WB</v>
          </cell>
          <cell r="AF6109">
            <v>0.6</v>
          </cell>
        </row>
        <row r="6110">
          <cell r="A6110" t="str">
            <v>IS_alqt_plus</v>
          </cell>
          <cell r="K6110" t="str">
            <v>EMON</v>
          </cell>
          <cell r="M6110" t="str">
            <v>F</v>
          </cell>
          <cell r="AB6110" t="str">
            <v>WB</v>
          </cell>
          <cell r="AF6110">
            <v>0.5</v>
          </cell>
        </row>
        <row r="6111">
          <cell r="A6111" t="str">
            <v>IS_alqt_plus</v>
          </cell>
          <cell r="K6111" t="str">
            <v>EMON</v>
          </cell>
          <cell r="M6111" t="str">
            <v>M</v>
          </cell>
          <cell r="AB6111" t="str">
            <v>WB</v>
          </cell>
          <cell r="AF6111">
            <v>0.7</v>
          </cell>
        </row>
        <row r="6112">
          <cell r="A6112" t="str">
            <v>IS_alqt_plus</v>
          </cell>
          <cell r="K6112" t="str">
            <v>EMON</v>
          </cell>
          <cell r="M6112" t="str">
            <v>M</v>
          </cell>
          <cell r="AB6112" t="str">
            <v>WB</v>
          </cell>
          <cell r="AF6112">
            <v>0.6</v>
          </cell>
        </row>
        <row r="6113">
          <cell r="A6113" t="str">
            <v>IS_alqt_plus</v>
          </cell>
          <cell r="K6113" t="str">
            <v>EMON</v>
          </cell>
          <cell r="M6113" t="str">
            <v>F</v>
          </cell>
          <cell r="AB6113" t="str">
            <v>WB</v>
          </cell>
          <cell r="AF6113">
            <v>0.6</v>
          </cell>
        </row>
        <row r="6114">
          <cell r="A6114" t="str">
            <v>IS_alqt_plus</v>
          </cell>
          <cell r="K6114" t="str">
            <v>EMON</v>
          </cell>
          <cell r="M6114" t="str">
            <v>M</v>
          </cell>
          <cell r="AB6114" t="str">
            <v>WB</v>
          </cell>
          <cell r="AF6114">
            <v>0.5</v>
          </cell>
        </row>
        <row r="6115">
          <cell r="A6115" t="str">
            <v>IS_alqt_plus</v>
          </cell>
          <cell r="K6115" t="str">
            <v>EMON</v>
          </cell>
          <cell r="M6115" t="str">
            <v>F</v>
          </cell>
          <cell r="AB6115" t="str">
            <v>WB</v>
          </cell>
          <cell r="AF6115">
            <v>0.4</v>
          </cell>
        </row>
        <row r="6116">
          <cell r="A6116" t="str">
            <v>IS_alqt_plus</v>
          </cell>
          <cell r="K6116" t="str">
            <v>EMON</v>
          </cell>
          <cell r="M6116" t="str">
            <v>M</v>
          </cell>
          <cell r="AB6116" t="str">
            <v>WB</v>
          </cell>
          <cell r="AF6116">
            <v>0.6</v>
          </cell>
        </row>
        <row r="6117">
          <cell r="A6117" t="str">
            <v>IS_alqt_plus</v>
          </cell>
          <cell r="K6117" t="str">
            <v>EMON</v>
          </cell>
          <cell r="M6117" t="str">
            <v>M</v>
          </cell>
          <cell r="AB6117" t="str">
            <v>WB</v>
          </cell>
          <cell r="AF6117">
            <v>0.5</v>
          </cell>
        </row>
        <row r="6118">
          <cell r="A6118" t="str">
            <v>IS_alqt_plus</v>
          </cell>
          <cell r="K6118" t="str">
            <v>EMON</v>
          </cell>
          <cell r="M6118" t="str">
            <v>M</v>
          </cell>
          <cell r="AB6118" t="str">
            <v>WB</v>
          </cell>
          <cell r="AF6118">
            <v>0.75</v>
          </cell>
        </row>
        <row r="6119">
          <cell r="A6119" t="str">
            <v>IS_alqt_plus</v>
          </cell>
          <cell r="K6119" t="str">
            <v>EMON</v>
          </cell>
          <cell r="M6119" t="str">
            <v>F</v>
          </cell>
          <cell r="AB6119" t="str">
            <v>WB</v>
          </cell>
          <cell r="AF6119">
            <v>0.75</v>
          </cell>
        </row>
        <row r="6120">
          <cell r="A6120" t="str">
            <v>IS_alqt_plus</v>
          </cell>
          <cell r="K6120" t="str">
            <v>EMON</v>
          </cell>
          <cell r="M6120" t="str">
            <v>F</v>
          </cell>
          <cell r="AB6120" t="str">
            <v>WB</v>
          </cell>
          <cell r="AF6120">
            <v>0.5</v>
          </cell>
        </row>
        <row r="6121">
          <cell r="A6121" t="str">
            <v>IS_alqt_plus</v>
          </cell>
          <cell r="K6121" t="str">
            <v>EMON</v>
          </cell>
          <cell r="M6121" t="str">
            <v>F</v>
          </cell>
          <cell r="AB6121" t="str">
            <v>WB</v>
          </cell>
          <cell r="AF6121">
            <v>0.5</v>
          </cell>
        </row>
        <row r="6122">
          <cell r="A6122" t="str">
            <v>IS_alqt_plus</v>
          </cell>
          <cell r="K6122" t="str">
            <v>EMON</v>
          </cell>
          <cell r="M6122" t="str">
            <v>M</v>
          </cell>
          <cell r="AB6122" t="str">
            <v>WB</v>
          </cell>
          <cell r="AF6122">
            <v>0.7</v>
          </cell>
        </row>
        <row r="6123">
          <cell r="A6123" t="str">
            <v>IS_alqt_plus</v>
          </cell>
          <cell r="K6123" t="str">
            <v>EMON</v>
          </cell>
          <cell r="M6123" t="str">
            <v>M</v>
          </cell>
          <cell r="AB6123" t="str">
            <v>WB</v>
          </cell>
          <cell r="AF6123">
            <v>0.75</v>
          </cell>
        </row>
        <row r="6124">
          <cell r="A6124" t="str">
            <v>IS_alqt_plus</v>
          </cell>
          <cell r="K6124" t="str">
            <v>EMON</v>
          </cell>
          <cell r="M6124" t="str">
            <v>F</v>
          </cell>
          <cell r="AB6124" t="str">
            <v>WB</v>
          </cell>
          <cell r="AF6124">
            <v>0.5</v>
          </cell>
        </row>
        <row r="6125">
          <cell r="A6125" t="str">
            <v>gone</v>
          </cell>
          <cell r="K6125" t="str">
            <v>EMON</v>
          </cell>
          <cell r="M6125" t="str">
            <v>F</v>
          </cell>
          <cell r="AB6125" t="str">
            <v>WB</v>
          </cell>
          <cell r="AF6125">
            <v>0</v>
          </cell>
        </row>
        <row r="6126">
          <cell r="A6126" t="str">
            <v>IS_alqt_plus</v>
          </cell>
          <cell r="K6126" t="str">
            <v>EMON</v>
          </cell>
          <cell r="M6126" t="str">
            <v>M</v>
          </cell>
          <cell r="AB6126" t="str">
            <v>WB</v>
          </cell>
          <cell r="AF6126">
            <v>0.5</v>
          </cell>
        </row>
        <row r="6127">
          <cell r="A6127" t="str">
            <v>IS_alqt_plus</v>
          </cell>
          <cell r="K6127" t="str">
            <v>EMON</v>
          </cell>
          <cell r="M6127" t="str">
            <v>M</v>
          </cell>
          <cell r="AB6127" t="str">
            <v>WB</v>
          </cell>
          <cell r="AF6127">
            <v>0.7</v>
          </cell>
        </row>
        <row r="6128">
          <cell r="A6128" t="str">
            <v>IS_alqt_plus</v>
          </cell>
          <cell r="K6128" t="str">
            <v>EMON</v>
          </cell>
          <cell r="M6128" t="str">
            <v>M</v>
          </cell>
          <cell r="AB6128" t="str">
            <v>WB</v>
          </cell>
          <cell r="AF6128">
            <v>1.5</v>
          </cell>
        </row>
        <row r="6129">
          <cell r="A6129" t="str">
            <v>IS_alqt_plus</v>
          </cell>
          <cell r="K6129" t="str">
            <v>EMON</v>
          </cell>
          <cell r="M6129" t="str">
            <v>M</v>
          </cell>
          <cell r="AB6129" t="str">
            <v>WB</v>
          </cell>
          <cell r="AF6129">
            <v>1.3</v>
          </cell>
        </row>
        <row r="6130">
          <cell r="A6130" t="str">
            <v>IS_alqt_plus</v>
          </cell>
          <cell r="K6130" t="str">
            <v>EMON</v>
          </cell>
          <cell r="M6130" t="str">
            <v>M</v>
          </cell>
          <cell r="AB6130" t="str">
            <v>WB</v>
          </cell>
          <cell r="AF6130">
            <v>1.3</v>
          </cell>
        </row>
        <row r="6131">
          <cell r="A6131" t="str">
            <v>IS_alqt_plus</v>
          </cell>
          <cell r="K6131" t="str">
            <v>EMON</v>
          </cell>
          <cell r="M6131" t="str">
            <v>M</v>
          </cell>
          <cell r="AB6131" t="str">
            <v>WB</v>
          </cell>
          <cell r="AF6131">
            <v>1.5</v>
          </cell>
        </row>
        <row r="6132">
          <cell r="A6132" t="str">
            <v>IS_alqt_plus</v>
          </cell>
          <cell r="K6132" t="str">
            <v>EMON</v>
          </cell>
          <cell r="M6132" t="str">
            <v>M</v>
          </cell>
          <cell r="AB6132" t="str">
            <v>WB</v>
          </cell>
          <cell r="AF6132">
            <v>1.5</v>
          </cell>
        </row>
        <row r="6133">
          <cell r="A6133" t="str">
            <v>IS_alqt_plus</v>
          </cell>
          <cell r="K6133" t="str">
            <v>EMON</v>
          </cell>
          <cell r="M6133" t="str">
            <v>M</v>
          </cell>
          <cell r="AB6133" t="str">
            <v>WB</v>
          </cell>
          <cell r="AF6133">
            <v>1.5</v>
          </cell>
        </row>
        <row r="6134">
          <cell r="A6134" t="str">
            <v>IS_alqt_plus</v>
          </cell>
          <cell r="K6134" t="str">
            <v>EMON</v>
          </cell>
          <cell r="M6134" t="str">
            <v>M</v>
          </cell>
          <cell r="AB6134" t="str">
            <v>WB</v>
          </cell>
          <cell r="AF6134">
            <v>1.3</v>
          </cell>
        </row>
        <row r="6135">
          <cell r="A6135" t="str">
            <v>IS_alqt_plus</v>
          </cell>
          <cell r="K6135" t="str">
            <v>EMON</v>
          </cell>
          <cell r="M6135" t="str">
            <v>M</v>
          </cell>
          <cell r="AB6135" t="str">
            <v>WB</v>
          </cell>
          <cell r="AF6135">
            <v>1.5</v>
          </cell>
        </row>
        <row r="6136">
          <cell r="A6136" t="str">
            <v>IS_alqt_plus</v>
          </cell>
          <cell r="K6136" t="str">
            <v>EMON</v>
          </cell>
          <cell r="M6136" t="str">
            <v>M</v>
          </cell>
          <cell r="AB6136" t="str">
            <v>WB</v>
          </cell>
          <cell r="AF6136">
            <v>0.6</v>
          </cell>
        </row>
        <row r="6137">
          <cell r="A6137" t="str">
            <v>IS_alqt_plus</v>
          </cell>
          <cell r="K6137" t="str">
            <v>EMON</v>
          </cell>
          <cell r="M6137" t="str">
            <v>M</v>
          </cell>
          <cell r="AB6137" t="str">
            <v>WB</v>
          </cell>
          <cell r="AF6137">
            <v>1.3</v>
          </cell>
        </row>
        <row r="6138">
          <cell r="A6138" t="str">
            <v>gone</v>
          </cell>
          <cell r="K6138" t="str">
            <v>EMAC</v>
          </cell>
          <cell r="M6138" t="str">
            <v>F</v>
          </cell>
          <cell r="AB6138" t="str">
            <v>WB</v>
          </cell>
          <cell r="AF6138">
            <v>0</v>
          </cell>
        </row>
        <row r="6139">
          <cell r="A6139" t="str">
            <v>IS_alqt_plus</v>
          </cell>
          <cell r="K6139" t="str">
            <v>EMAC</v>
          </cell>
          <cell r="M6139" t="str">
            <v>F</v>
          </cell>
          <cell r="AB6139" t="str">
            <v>WB</v>
          </cell>
          <cell r="AF6139">
            <v>1.5</v>
          </cell>
        </row>
        <row r="6140">
          <cell r="A6140" t="str">
            <v>IS_alqt_plus</v>
          </cell>
          <cell r="K6140" t="str">
            <v>EMAC</v>
          </cell>
          <cell r="M6140" t="str">
            <v>F</v>
          </cell>
          <cell r="AB6140" t="str">
            <v>WB</v>
          </cell>
          <cell r="AF6140">
            <v>1.5</v>
          </cell>
        </row>
        <row r="6141">
          <cell r="A6141" t="str">
            <v>IS_alqt_plus</v>
          </cell>
          <cell r="K6141" t="str">
            <v>EMAC</v>
          </cell>
          <cell r="M6141" t="str">
            <v>F</v>
          </cell>
          <cell r="AB6141" t="str">
            <v>WB</v>
          </cell>
          <cell r="AF6141">
            <v>1.5</v>
          </cell>
        </row>
        <row r="6142">
          <cell r="A6142" t="str">
            <v>IS_alqt_plus</v>
          </cell>
          <cell r="K6142" t="str">
            <v>EMAC</v>
          </cell>
          <cell r="M6142" t="str">
            <v>F</v>
          </cell>
          <cell r="AB6142" t="str">
            <v>WB</v>
          </cell>
          <cell r="AF6142">
            <v>1.5</v>
          </cell>
        </row>
        <row r="6143">
          <cell r="A6143" t="str">
            <v>IS_alqt_plus</v>
          </cell>
          <cell r="K6143" t="str">
            <v>EMAC</v>
          </cell>
          <cell r="M6143" t="str">
            <v>F</v>
          </cell>
          <cell r="AB6143" t="str">
            <v>WB</v>
          </cell>
          <cell r="AF6143">
            <v>1.5</v>
          </cell>
        </row>
        <row r="6144">
          <cell r="A6144" t="str">
            <v>IS_alqt_plus</v>
          </cell>
          <cell r="K6144" t="str">
            <v>EMAC</v>
          </cell>
          <cell r="M6144" t="str">
            <v>F</v>
          </cell>
          <cell r="AB6144" t="str">
            <v>WB</v>
          </cell>
          <cell r="AF6144">
            <v>1.5</v>
          </cell>
        </row>
        <row r="6145">
          <cell r="A6145" t="str">
            <v>IS_alqt_plus</v>
          </cell>
          <cell r="K6145" t="str">
            <v>EMAC</v>
          </cell>
          <cell r="M6145" t="str">
            <v>F</v>
          </cell>
          <cell r="AB6145" t="str">
            <v>WB</v>
          </cell>
          <cell r="AF6145">
            <v>1.5</v>
          </cell>
        </row>
        <row r="6146">
          <cell r="A6146" t="str">
            <v>IS_alqt_plus</v>
          </cell>
          <cell r="K6146" t="str">
            <v>EMAC</v>
          </cell>
          <cell r="M6146" t="str">
            <v>F</v>
          </cell>
          <cell r="AB6146" t="str">
            <v>WB</v>
          </cell>
          <cell r="AF6146">
            <v>1.5</v>
          </cell>
        </row>
        <row r="6147">
          <cell r="A6147" t="str">
            <v>IS_alqt_plus</v>
          </cell>
          <cell r="K6147" t="str">
            <v>EMAC</v>
          </cell>
          <cell r="M6147" t="str">
            <v>F</v>
          </cell>
          <cell r="AB6147" t="str">
            <v>WB</v>
          </cell>
          <cell r="AF6147">
            <v>1.5</v>
          </cell>
        </row>
        <row r="6148">
          <cell r="A6148" t="str">
            <v>IS_alqt_plus</v>
          </cell>
          <cell r="K6148" t="str">
            <v>EMAC</v>
          </cell>
          <cell r="M6148" t="str">
            <v>F</v>
          </cell>
          <cell r="AB6148" t="str">
            <v>WB</v>
          </cell>
          <cell r="AF6148">
            <v>1.5</v>
          </cell>
        </row>
        <row r="6149">
          <cell r="A6149" t="str">
            <v>IS_alqt_plus</v>
          </cell>
          <cell r="K6149" t="str">
            <v>EMAC</v>
          </cell>
          <cell r="M6149" t="str">
            <v>F</v>
          </cell>
          <cell r="AB6149" t="str">
            <v>WB</v>
          </cell>
          <cell r="AF6149">
            <v>1.5</v>
          </cell>
        </row>
        <row r="6150">
          <cell r="A6150" t="str">
            <v>IS_alqt_plus</v>
          </cell>
          <cell r="K6150" t="str">
            <v>EMAC</v>
          </cell>
          <cell r="M6150" t="str">
            <v>F</v>
          </cell>
          <cell r="AB6150" t="str">
            <v>WB</v>
          </cell>
          <cell r="AF6150">
            <v>1.3</v>
          </cell>
        </row>
        <row r="6151">
          <cell r="A6151" t="str">
            <v>IS_alqt_plus</v>
          </cell>
          <cell r="K6151" t="str">
            <v>EMAC</v>
          </cell>
          <cell r="M6151" t="str">
            <v>F</v>
          </cell>
          <cell r="AB6151" t="str">
            <v>WB</v>
          </cell>
          <cell r="AF6151">
            <v>1.5</v>
          </cell>
        </row>
        <row r="6152">
          <cell r="A6152" t="str">
            <v>IS_alqt_plus</v>
          </cell>
          <cell r="K6152" t="str">
            <v>EMAC</v>
          </cell>
          <cell r="M6152" t="str">
            <v>F</v>
          </cell>
          <cell r="AB6152" t="str">
            <v>WB</v>
          </cell>
          <cell r="AF6152">
            <v>1.5</v>
          </cell>
        </row>
        <row r="6153">
          <cell r="A6153" t="str">
            <v>IS_alqt_plus</v>
          </cell>
          <cell r="K6153" t="str">
            <v>EMAC</v>
          </cell>
          <cell r="M6153" t="str">
            <v>F</v>
          </cell>
          <cell r="AB6153" t="str">
            <v>WB</v>
          </cell>
          <cell r="AF6153">
            <v>1.5</v>
          </cell>
        </row>
        <row r="6154">
          <cell r="A6154" t="str">
            <v>IS_alqt_plus</v>
          </cell>
          <cell r="K6154" t="str">
            <v>EMAC</v>
          </cell>
          <cell r="M6154" t="str">
            <v>F</v>
          </cell>
          <cell r="AB6154" t="str">
            <v>WB</v>
          </cell>
          <cell r="AF6154">
            <v>1.5</v>
          </cell>
        </row>
        <row r="6155">
          <cell r="A6155" t="str">
            <v>IS_alqt_plus</v>
          </cell>
          <cell r="K6155" t="str">
            <v>EMAC</v>
          </cell>
          <cell r="M6155" t="str">
            <v>F</v>
          </cell>
          <cell r="AB6155" t="str">
            <v>WB</v>
          </cell>
          <cell r="AF6155">
            <v>1.5</v>
          </cell>
        </row>
        <row r="6156">
          <cell r="A6156" t="str">
            <v>IS_alqt_plus</v>
          </cell>
          <cell r="K6156" t="str">
            <v>EMAC</v>
          </cell>
          <cell r="M6156" t="str">
            <v>F</v>
          </cell>
          <cell r="AB6156" t="str">
            <v>WB</v>
          </cell>
          <cell r="AF6156">
            <v>1.5</v>
          </cell>
        </row>
        <row r="6157">
          <cell r="A6157" t="str">
            <v>IS_alqt_plus</v>
          </cell>
          <cell r="K6157" t="str">
            <v>EMAC</v>
          </cell>
          <cell r="M6157" t="str">
            <v>F</v>
          </cell>
          <cell r="AB6157" t="str">
            <v>WB</v>
          </cell>
          <cell r="AF6157">
            <v>1.5</v>
          </cell>
        </row>
        <row r="6158">
          <cell r="A6158" t="str">
            <v>IS_alqt_plus</v>
          </cell>
          <cell r="K6158" t="str">
            <v>EMAC</v>
          </cell>
          <cell r="M6158" t="str">
            <v>F</v>
          </cell>
          <cell r="AB6158" t="str">
            <v>WB</v>
          </cell>
          <cell r="AF6158">
            <v>1.5</v>
          </cell>
        </row>
        <row r="6159">
          <cell r="A6159" t="str">
            <v>IS_alqt_plus</v>
          </cell>
          <cell r="K6159" t="str">
            <v>EMAC</v>
          </cell>
          <cell r="M6159" t="str">
            <v>F</v>
          </cell>
          <cell r="AB6159" t="str">
            <v>WB</v>
          </cell>
          <cell r="AF6159">
            <v>1.5</v>
          </cell>
        </row>
        <row r="6160">
          <cell r="A6160" t="str">
            <v>IS_alqt_plus</v>
          </cell>
          <cell r="K6160" t="str">
            <v>EMAC</v>
          </cell>
          <cell r="M6160" t="str">
            <v>F</v>
          </cell>
          <cell r="AB6160" t="str">
            <v>WB</v>
          </cell>
          <cell r="AF6160">
            <v>1.5</v>
          </cell>
        </row>
        <row r="6161">
          <cell r="A6161" t="str">
            <v>IS_alqt_plus</v>
          </cell>
          <cell r="K6161" t="str">
            <v>EMAC</v>
          </cell>
          <cell r="M6161" t="str">
            <v>F</v>
          </cell>
          <cell r="AB6161" t="str">
            <v>WB</v>
          </cell>
          <cell r="AF6161">
            <v>1.5</v>
          </cell>
        </row>
        <row r="6162">
          <cell r="A6162" t="str">
            <v>IS_alqt_plus</v>
          </cell>
          <cell r="K6162" t="str">
            <v>EMAC</v>
          </cell>
          <cell r="M6162" t="str">
            <v>F</v>
          </cell>
          <cell r="AB6162" t="str">
            <v>WB</v>
          </cell>
          <cell r="AF6162">
            <v>1.5</v>
          </cell>
        </row>
        <row r="6163">
          <cell r="A6163" t="str">
            <v>IS_alqt_plus</v>
          </cell>
          <cell r="K6163" t="str">
            <v>EMAC</v>
          </cell>
          <cell r="M6163" t="str">
            <v>F</v>
          </cell>
          <cell r="AB6163" t="str">
            <v>WB</v>
          </cell>
          <cell r="AF6163">
            <v>1.5</v>
          </cell>
        </row>
        <row r="6164">
          <cell r="A6164" t="str">
            <v>IS_alqt_plus</v>
          </cell>
          <cell r="K6164" t="str">
            <v>EMAC</v>
          </cell>
          <cell r="M6164" t="str">
            <v>F</v>
          </cell>
          <cell r="AB6164" t="str">
            <v>WB</v>
          </cell>
          <cell r="AF6164">
            <v>1.5</v>
          </cell>
        </row>
        <row r="6165">
          <cell r="A6165" t="str">
            <v>IS_alqt_plus</v>
          </cell>
          <cell r="K6165" t="str">
            <v>EMAC</v>
          </cell>
          <cell r="M6165" t="str">
            <v>F</v>
          </cell>
          <cell r="AB6165" t="str">
            <v>WB</v>
          </cell>
          <cell r="AF6165">
            <v>1.3</v>
          </cell>
        </row>
        <row r="6166">
          <cell r="A6166" t="str">
            <v>IS_alqt_plus</v>
          </cell>
          <cell r="K6166" t="str">
            <v>EMAC</v>
          </cell>
          <cell r="M6166" t="str">
            <v>F</v>
          </cell>
          <cell r="AB6166" t="str">
            <v>serum</v>
          </cell>
          <cell r="AF6166">
            <v>1.5</v>
          </cell>
        </row>
        <row r="6167">
          <cell r="A6167" t="str">
            <v>IS_alqt_plus</v>
          </cell>
          <cell r="K6167" t="str">
            <v>EMAC</v>
          </cell>
          <cell r="M6167" t="str">
            <v>F</v>
          </cell>
          <cell r="AB6167" t="str">
            <v>serum</v>
          </cell>
          <cell r="AF6167">
            <v>1.5</v>
          </cell>
        </row>
        <row r="6168">
          <cell r="A6168" t="str">
            <v>IS_alqt_plus</v>
          </cell>
          <cell r="K6168" t="str">
            <v>EMAC</v>
          </cell>
          <cell r="M6168" t="str">
            <v>F</v>
          </cell>
          <cell r="AB6168" t="str">
            <v>serum</v>
          </cell>
          <cell r="AF6168">
            <v>1</v>
          </cell>
        </row>
        <row r="6169">
          <cell r="A6169" t="str">
            <v>IS_alqt_plus</v>
          </cell>
          <cell r="K6169" t="str">
            <v>EMAC</v>
          </cell>
          <cell r="M6169" t="str">
            <v>F</v>
          </cell>
          <cell r="AB6169" t="str">
            <v>serum</v>
          </cell>
          <cell r="AF6169">
            <v>1.5</v>
          </cell>
        </row>
        <row r="6170">
          <cell r="A6170" t="str">
            <v>IS_alqt_plus</v>
          </cell>
          <cell r="K6170" t="str">
            <v>EMAC</v>
          </cell>
          <cell r="M6170" t="str">
            <v>F</v>
          </cell>
          <cell r="AB6170" t="str">
            <v>serum</v>
          </cell>
          <cell r="AF6170">
            <v>1</v>
          </cell>
        </row>
        <row r="6171">
          <cell r="A6171" t="str">
            <v>IS_alqt_plus</v>
          </cell>
          <cell r="K6171" t="str">
            <v>EMAC</v>
          </cell>
          <cell r="M6171" t="str">
            <v>F</v>
          </cell>
          <cell r="AB6171" t="str">
            <v>serum</v>
          </cell>
          <cell r="AF6171">
            <v>1.5</v>
          </cell>
        </row>
        <row r="6172">
          <cell r="A6172" t="str">
            <v>IS_alqt_plus</v>
          </cell>
          <cell r="K6172" t="str">
            <v>EMAC</v>
          </cell>
          <cell r="M6172" t="str">
            <v>F</v>
          </cell>
          <cell r="AB6172" t="str">
            <v>serum</v>
          </cell>
          <cell r="AF6172">
            <v>1.5</v>
          </cell>
        </row>
        <row r="6173">
          <cell r="A6173" t="str">
            <v>IS_alqt_plus</v>
          </cell>
          <cell r="K6173" t="str">
            <v>EMAC</v>
          </cell>
          <cell r="M6173" t="str">
            <v>F</v>
          </cell>
          <cell r="AB6173" t="str">
            <v>serum</v>
          </cell>
          <cell r="AF6173">
            <v>1.5</v>
          </cell>
        </row>
        <row r="6174">
          <cell r="A6174" t="str">
            <v>IS_alqt_plus</v>
          </cell>
          <cell r="K6174" t="str">
            <v>EMAC</v>
          </cell>
          <cell r="M6174" t="str">
            <v>F</v>
          </cell>
          <cell r="AB6174" t="str">
            <v>serum</v>
          </cell>
          <cell r="AF6174">
            <v>1.5</v>
          </cell>
        </row>
        <row r="6175">
          <cell r="A6175" t="str">
            <v>IS_alqt_plus</v>
          </cell>
          <cell r="K6175" t="str">
            <v>EMAC</v>
          </cell>
          <cell r="M6175" t="str">
            <v>F</v>
          </cell>
          <cell r="AB6175" t="str">
            <v>serum</v>
          </cell>
          <cell r="AF6175">
            <v>1.5</v>
          </cell>
        </row>
        <row r="6176">
          <cell r="A6176" t="str">
            <v>IS_alqt_plus</v>
          </cell>
          <cell r="K6176" t="str">
            <v>EMAC</v>
          </cell>
          <cell r="M6176" t="str">
            <v>F</v>
          </cell>
          <cell r="AB6176" t="str">
            <v>serum</v>
          </cell>
          <cell r="AF6176">
            <v>1.5</v>
          </cell>
        </row>
        <row r="6177">
          <cell r="A6177" t="str">
            <v>IS_alqt_plus</v>
          </cell>
          <cell r="K6177" t="str">
            <v>EMAC</v>
          </cell>
          <cell r="M6177" t="str">
            <v>F</v>
          </cell>
          <cell r="AB6177" t="str">
            <v>serum</v>
          </cell>
          <cell r="AF6177">
            <v>1</v>
          </cell>
        </row>
        <row r="6178">
          <cell r="A6178" t="str">
            <v>IS_alqt_plus</v>
          </cell>
          <cell r="K6178" t="str">
            <v>EMAC</v>
          </cell>
          <cell r="M6178" t="str">
            <v>F</v>
          </cell>
          <cell r="AB6178" t="str">
            <v>serum</v>
          </cell>
          <cell r="AF6178">
            <v>1.5</v>
          </cell>
        </row>
        <row r="6179">
          <cell r="A6179" t="str">
            <v>IS_alqt_plus</v>
          </cell>
          <cell r="K6179" t="str">
            <v>EMAC</v>
          </cell>
          <cell r="M6179" t="str">
            <v>F</v>
          </cell>
          <cell r="AB6179" t="str">
            <v>serum</v>
          </cell>
          <cell r="AF6179">
            <v>1.5</v>
          </cell>
        </row>
        <row r="6180">
          <cell r="A6180" t="str">
            <v>IS_alqt_plus</v>
          </cell>
          <cell r="K6180" t="str">
            <v>EMAC</v>
          </cell>
          <cell r="M6180" t="str">
            <v>F</v>
          </cell>
          <cell r="AB6180" t="str">
            <v>serum</v>
          </cell>
          <cell r="AF6180">
            <v>1.5</v>
          </cell>
        </row>
        <row r="6181">
          <cell r="A6181" t="str">
            <v>IS_alqt_plus</v>
          </cell>
          <cell r="K6181" t="str">
            <v>EMAC</v>
          </cell>
          <cell r="M6181" t="str">
            <v>F</v>
          </cell>
          <cell r="AB6181" t="str">
            <v>serum</v>
          </cell>
          <cell r="AF6181">
            <v>1.5</v>
          </cell>
        </row>
        <row r="6182">
          <cell r="A6182" t="str">
            <v>IS_alqt_plus</v>
          </cell>
          <cell r="K6182" t="str">
            <v>EMAC</v>
          </cell>
          <cell r="M6182" t="str">
            <v>F</v>
          </cell>
          <cell r="AB6182" t="str">
            <v>serum</v>
          </cell>
          <cell r="AF6182">
            <v>1.5</v>
          </cell>
        </row>
        <row r="6183">
          <cell r="A6183" t="str">
            <v>IS_alqt_plus</v>
          </cell>
          <cell r="K6183" t="str">
            <v>EMAC</v>
          </cell>
          <cell r="M6183" t="str">
            <v>F</v>
          </cell>
          <cell r="AB6183" t="str">
            <v>serum</v>
          </cell>
          <cell r="AF6183">
            <v>1.5</v>
          </cell>
        </row>
        <row r="6184">
          <cell r="A6184" t="str">
            <v>gone</v>
          </cell>
          <cell r="K6184" t="str">
            <v>LCAT</v>
          </cell>
          <cell r="M6184" t="str">
            <v>M</v>
          </cell>
          <cell r="AB6184" t="str">
            <v>WB</v>
          </cell>
          <cell r="AF6184">
            <v>0</v>
          </cell>
        </row>
        <row r="6185">
          <cell r="A6185" t="str">
            <v>IS_alqt_plus</v>
          </cell>
          <cell r="K6185" t="str">
            <v>LCAT</v>
          </cell>
          <cell r="M6185" t="str">
            <v>F</v>
          </cell>
          <cell r="AB6185" t="str">
            <v>WB</v>
          </cell>
          <cell r="AF6185">
            <v>0.2</v>
          </cell>
        </row>
        <row r="6186">
          <cell r="A6186" t="str">
            <v>IS_alqt_plus</v>
          </cell>
          <cell r="K6186" t="str">
            <v>LCAT</v>
          </cell>
          <cell r="M6186" t="str">
            <v>M</v>
          </cell>
          <cell r="AB6186" t="str">
            <v>serum</v>
          </cell>
          <cell r="AF6186">
            <v>1.3</v>
          </cell>
        </row>
        <row r="6187">
          <cell r="A6187" t="str">
            <v>IS_alqt_plus</v>
          </cell>
          <cell r="K6187" t="str">
            <v>PCOQ</v>
          </cell>
          <cell r="M6187" t="str">
            <v>M</v>
          </cell>
          <cell r="AB6187" t="str">
            <v>serum</v>
          </cell>
          <cell r="AF6187">
            <v>0.5</v>
          </cell>
        </row>
        <row r="6188">
          <cell r="A6188" t="str">
            <v>IS_alqt_plus</v>
          </cell>
          <cell r="K6188" t="str">
            <v>EALB</v>
          </cell>
          <cell r="M6188" t="str">
            <v>F</v>
          </cell>
          <cell r="AB6188" t="str">
            <v>WB</v>
          </cell>
          <cell r="AF6188">
            <v>0.4</v>
          </cell>
        </row>
        <row r="6189">
          <cell r="A6189" t="str">
            <v>IS_alqt_plus</v>
          </cell>
          <cell r="K6189" t="str">
            <v>EALB</v>
          </cell>
          <cell r="M6189" t="str">
            <v>F</v>
          </cell>
          <cell r="AB6189" t="str">
            <v>WB</v>
          </cell>
          <cell r="AF6189">
            <v>1.5</v>
          </cell>
        </row>
        <row r="6190">
          <cell r="A6190" t="str">
            <v>IS_alqt_plus</v>
          </cell>
          <cell r="K6190" t="str">
            <v>EALB</v>
          </cell>
          <cell r="M6190" t="str">
            <v>F</v>
          </cell>
          <cell r="AB6190" t="str">
            <v>WB</v>
          </cell>
          <cell r="AF6190">
            <v>1.5</v>
          </cell>
        </row>
        <row r="6191">
          <cell r="A6191" t="str">
            <v>IS_alqt_plus</v>
          </cell>
          <cell r="K6191" t="str">
            <v>EALB</v>
          </cell>
          <cell r="M6191" t="str">
            <v>F</v>
          </cell>
          <cell r="AB6191" t="str">
            <v>WB</v>
          </cell>
          <cell r="AF6191">
            <v>1.5</v>
          </cell>
        </row>
        <row r="6192">
          <cell r="A6192" t="str">
            <v>IS_alqt_plus</v>
          </cell>
          <cell r="K6192" t="str">
            <v>EALB</v>
          </cell>
          <cell r="M6192" t="str">
            <v>F</v>
          </cell>
          <cell r="AB6192" t="str">
            <v>WB</v>
          </cell>
          <cell r="AF6192">
            <v>1.5</v>
          </cell>
        </row>
        <row r="6193">
          <cell r="A6193" t="str">
            <v>IS_alqt_plus</v>
          </cell>
          <cell r="K6193" t="str">
            <v>EALB</v>
          </cell>
          <cell r="M6193" t="str">
            <v>F</v>
          </cell>
          <cell r="AB6193" t="str">
            <v>WB</v>
          </cell>
          <cell r="AF6193">
            <v>1.5</v>
          </cell>
        </row>
        <row r="6194">
          <cell r="A6194" t="str">
            <v>IS_alqt_plus</v>
          </cell>
          <cell r="K6194" t="str">
            <v>EALB</v>
          </cell>
          <cell r="M6194" t="str">
            <v>F</v>
          </cell>
          <cell r="AB6194" t="str">
            <v>WB</v>
          </cell>
          <cell r="AF6194">
            <v>1.5</v>
          </cell>
        </row>
        <row r="6195">
          <cell r="A6195" t="str">
            <v>IS_alqt_plus</v>
          </cell>
          <cell r="K6195" t="str">
            <v>EALB</v>
          </cell>
          <cell r="M6195" t="str">
            <v>F</v>
          </cell>
          <cell r="AB6195" t="str">
            <v>WB</v>
          </cell>
          <cell r="AF6195">
            <v>1.5</v>
          </cell>
        </row>
        <row r="6196">
          <cell r="A6196" t="str">
            <v>IS_alqt_plus</v>
          </cell>
          <cell r="K6196" t="str">
            <v>EALB</v>
          </cell>
          <cell r="M6196" t="str">
            <v>F</v>
          </cell>
          <cell r="AB6196" t="str">
            <v>WB</v>
          </cell>
          <cell r="AF6196">
            <v>1.5</v>
          </cell>
        </row>
        <row r="6197">
          <cell r="A6197" t="str">
            <v>IS_alqt_plus</v>
          </cell>
          <cell r="K6197" t="str">
            <v>EALB</v>
          </cell>
          <cell r="M6197" t="str">
            <v>F</v>
          </cell>
          <cell r="AB6197" t="str">
            <v>WB</v>
          </cell>
          <cell r="AF6197">
            <v>1.5</v>
          </cell>
        </row>
        <row r="6198">
          <cell r="A6198" t="str">
            <v>IS_alqt_plus</v>
          </cell>
          <cell r="K6198" t="str">
            <v>EALB</v>
          </cell>
          <cell r="M6198" t="str">
            <v>F</v>
          </cell>
          <cell r="AB6198" t="str">
            <v>WB</v>
          </cell>
          <cell r="AF6198">
            <v>1.5</v>
          </cell>
        </row>
        <row r="6199">
          <cell r="A6199" t="str">
            <v>IS_alqt_plus</v>
          </cell>
          <cell r="K6199" t="str">
            <v>EALB</v>
          </cell>
          <cell r="M6199" t="str">
            <v>F</v>
          </cell>
          <cell r="AB6199" t="str">
            <v>WB</v>
          </cell>
          <cell r="AF6199">
            <v>0.5</v>
          </cell>
        </row>
        <row r="6200">
          <cell r="A6200" t="str">
            <v>IS_alqt_plus</v>
          </cell>
          <cell r="K6200" t="str">
            <v>EALB</v>
          </cell>
          <cell r="M6200" t="str">
            <v>F</v>
          </cell>
          <cell r="AB6200" t="str">
            <v>WB</v>
          </cell>
          <cell r="AF6200">
            <v>0.5</v>
          </cell>
        </row>
        <row r="6201">
          <cell r="A6201" t="str">
            <v>IS_alqt_plus</v>
          </cell>
          <cell r="K6201" t="str">
            <v>EALB</v>
          </cell>
          <cell r="M6201" t="str">
            <v>F</v>
          </cell>
          <cell r="AB6201" t="str">
            <v>WB</v>
          </cell>
          <cell r="AF6201">
            <v>0.5</v>
          </cell>
        </row>
        <row r="6202">
          <cell r="A6202" t="str">
            <v>IS_alqt_plus</v>
          </cell>
          <cell r="K6202" t="str">
            <v>EALB</v>
          </cell>
          <cell r="M6202" t="str">
            <v>F</v>
          </cell>
          <cell r="AB6202" t="str">
            <v>WB</v>
          </cell>
          <cell r="AF6202">
            <v>1</v>
          </cell>
        </row>
        <row r="6203">
          <cell r="A6203" t="str">
            <v>IS_alqt_plus</v>
          </cell>
          <cell r="K6203" t="str">
            <v>EALB</v>
          </cell>
          <cell r="M6203" t="str">
            <v>F</v>
          </cell>
          <cell r="AB6203" t="str">
            <v>WB</v>
          </cell>
          <cell r="AF6203">
            <v>0.5</v>
          </cell>
        </row>
        <row r="6204">
          <cell r="A6204" t="str">
            <v>IS_alqt_plus</v>
          </cell>
          <cell r="K6204" t="str">
            <v>EALB</v>
          </cell>
          <cell r="M6204" t="str">
            <v>F</v>
          </cell>
          <cell r="AB6204" t="str">
            <v>WB</v>
          </cell>
          <cell r="AF6204">
            <v>0.5</v>
          </cell>
        </row>
        <row r="6205">
          <cell r="A6205" t="str">
            <v>IS_alqt_plus</v>
          </cell>
          <cell r="K6205" t="str">
            <v>EALB</v>
          </cell>
          <cell r="M6205" t="str">
            <v>F</v>
          </cell>
          <cell r="AB6205" t="str">
            <v>WB</v>
          </cell>
          <cell r="AF6205">
            <v>0.5</v>
          </cell>
        </row>
        <row r="6206">
          <cell r="A6206" t="str">
            <v>IS_alqt_plus</v>
          </cell>
          <cell r="K6206" t="str">
            <v>EALB</v>
          </cell>
          <cell r="M6206" t="str">
            <v>F</v>
          </cell>
          <cell r="AB6206" t="str">
            <v>WB</v>
          </cell>
          <cell r="AF6206">
            <v>0.5</v>
          </cell>
        </row>
        <row r="6207">
          <cell r="A6207" t="str">
            <v>IS_alqt_plus</v>
          </cell>
          <cell r="K6207" t="str">
            <v>EALB</v>
          </cell>
          <cell r="M6207" t="str">
            <v>F</v>
          </cell>
          <cell r="AB6207" t="str">
            <v>WB</v>
          </cell>
          <cell r="AF6207">
            <v>0.5</v>
          </cell>
        </row>
        <row r="6208">
          <cell r="A6208" t="str">
            <v>IS_alqt_plus</v>
          </cell>
          <cell r="K6208" t="str">
            <v>EALB</v>
          </cell>
          <cell r="M6208" t="str">
            <v>F</v>
          </cell>
          <cell r="AB6208" t="str">
            <v>WB</v>
          </cell>
          <cell r="AF6208">
            <v>0.2</v>
          </cell>
        </row>
        <row r="6209">
          <cell r="A6209" t="str">
            <v>IS_alqt_plus</v>
          </cell>
          <cell r="K6209" t="str">
            <v>EALB</v>
          </cell>
          <cell r="M6209" t="str">
            <v>F</v>
          </cell>
          <cell r="AB6209" t="str">
            <v>WB</v>
          </cell>
          <cell r="AF6209">
            <v>0.2</v>
          </cell>
        </row>
        <row r="6210">
          <cell r="A6210" t="str">
            <v>IS_alqt_plus</v>
          </cell>
          <cell r="K6210" t="str">
            <v>EALB</v>
          </cell>
          <cell r="M6210" t="str">
            <v>F</v>
          </cell>
          <cell r="AB6210" t="str">
            <v>WB</v>
          </cell>
          <cell r="AF6210">
            <v>0.2</v>
          </cell>
        </row>
        <row r="6211">
          <cell r="A6211" t="str">
            <v>IS_alqt_plus</v>
          </cell>
          <cell r="K6211" t="str">
            <v>EALB</v>
          </cell>
          <cell r="M6211" t="str">
            <v>F</v>
          </cell>
          <cell r="AB6211" t="str">
            <v>WB</v>
          </cell>
          <cell r="AF6211">
            <v>0.2</v>
          </cell>
        </row>
        <row r="6212">
          <cell r="A6212" t="str">
            <v>IS_alqt_plus</v>
          </cell>
          <cell r="K6212" t="str">
            <v>EALB</v>
          </cell>
          <cell r="M6212" t="str">
            <v>F</v>
          </cell>
          <cell r="AB6212" t="str">
            <v>WB</v>
          </cell>
          <cell r="AF6212">
            <v>0.2</v>
          </cell>
        </row>
        <row r="6213">
          <cell r="A6213" t="str">
            <v>IS_alqt_plus</v>
          </cell>
          <cell r="K6213" t="str">
            <v>EALB</v>
          </cell>
          <cell r="M6213" t="str">
            <v>F</v>
          </cell>
          <cell r="AB6213" t="str">
            <v>WB</v>
          </cell>
          <cell r="AF6213">
            <v>0.2</v>
          </cell>
        </row>
        <row r="6214">
          <cell r="A6214" t="str">
            <v>IS_alqt_plus</v>
          </cell>
          <cell r="K6214" t="str">
            <v>EALB</v>
          </cell>
          <cell r="M6214" t="str">
            <v>F</v>
          </cell>
          <cell r="AB6214" t="str">
            <v>WB</v>
          </cell>
          <cell r="AF6214">
            <v>0.2</v>
          </cell>
        </row>
        <row r="6215">
          <cell r="A6215" t="str">
            <v>IS_alqt_plus</v>
          </cell>
          <cell r="K6215" t="str">
            <v>EALB</v>
          </cell>
          <cell r="M6215" t="str">
            <v>F</v>
          </cell>
          <cell r="AB6215" t="str">
            <v>serum</v>
          </cell>
          <cell r="AF6215">
            <v>1.5</v>
          </cell>
        </row>
        <row r="6216">
          <cell r="A6216" t="str">
            <v>IS_alqt_plus</v>
          </cell>
          <cell r="K6216" t="str">
            <v>EALB</v>
          </cell>
          <cell r="M6216" t="str">
            <v>F</v>
          </cell>
          <cell r="AB6216" t="str">
            <v>serum</v>
          </cell>
          <cell r="AF6216">
            <v>1.5</v>
          </cell>
        </row>
        <row r="6217">
          <cell r="A6217" t="str">
            <v>IS_alqt_plus</v>
          </cell>
          <cell r="K6217" t="str">
            <v>EALB</v>
          </cell>
          <cell r="M6217" t="str">
            <v>F</v>
          </cell>
          <cell r="AB6217" t="str">
            <v>serum</v>
          </cell>
          <cell r="AF6217">
            <v>1.5</v>
          </cell>
        </row>
        <row r="6218">
          <cell r="A6218" t="str">
            <v>IS_alqt_plus</v>
          </cell>
          <cell r="K6218" t="str">
            <v>EALB</v>
          </cell>
          <cell r="M6218" t="str">
            <v>F</v>
          </cell>
          <cell r="AB6218" t="str">
            <v>serum</v>
          </cell>
          <cell r="AF6218">
            <v>1.5</v>
          </cell>
        </row>
        <row r="6219">
          <cell r="A6219" t="str">
            <v>IS_alqt_plus</v>
          </cell>
          <cell r="K6219" t="str">
            <v>EALB</v>
          </cell>
          <cell r="M6219" t="str">
            <v>F</v>
          </cell>
          <cell r="AB6219" t="str">
            <v>serum</v>
          </cell>
          <cell r="AF6219">
            <v>1.5</v>
          </cell>
        </row>
        <row r="6220">
          <cell r="A6220" t="str">
            <v>IS_alqt_plus</v>
          </cell>
          <cell r="K6220" t="str">
            <v>EALB</v>
          </cell>
          <cell r="M6220" t="str">
            <v>F</v>
          </cell>
          <cell r="AB6220" t="str">
            <v>serum</v>
          </cell>
          <cell r="AF6220">
            <v>1.5</v>
          </cell>
        </row>
        <row r="6221">
          <cell r="A6221" t="str">
            <v>IS_alqt_plus</v>
          </cell>
          <cell r="K6221" t="str">
            <v>EALB</v>
          </cell>
          <cell r="M6221" t="str">
            <v>F</v>
          </cell>
          <cell r="AB6221" t="str">
            <v>serum</v>
          </cell>
          <cell r="AF6221">
            <v>1.5</v>
          </cell>
        </row>
        <row r="6222">
          <cell r="A6222" t="str">
            <v>IS_alqt_plus</v>
          </cell>
          <cell r="K6222" t="str">
            <v>EALB</v>
          </cell>
          <cell r="M6222" t="str">
            <v>F</v>
          </cell>
          <cell r="AB6222" t="str">
            <v>serum</v>
          </cell>
          <cell r="AF6222">
            <v>1.5</v>
          </cell>
        </row>
        <row r="6223">
          <cell r="A6223" t="str">
            <v>IS_alqt_plus</v>
          </cell>
          <cell r="K6223" t="str">
            <v>EALB</v>
          </cell>
          <cell r="M6223" t="str">
            <v>F</v>
          </cell>
          <cell r="AB6223" t="str">
            <v>serum</v>
          </cell>
          <cell r="AF6223">
            <v>1.5</v>
          </cell>
        </row>
        <row r="6224">
          <cell r="A6224" t="str">
            <v>IS_alqt_plus</v>
          </cell>
          <cell r="K6224" t="str">
            <v>EALB</v>
          </cell>
          <cell r="M6224" t="str">
            <v>F</v>
          </cell>
          <cell r="AB6224" t="str">
            <v>serum</v>
          </cell>
          <cell r="AF6224">
            <v>1.5</v>
          </cell>
        </row>
        <row r="6225">
          <cell r="A6225" t="str">
            <v>IS_alqt_plus</v>
          </cell>
          <cell r="K6225" t="str">
            <v>EALB</v>
          </cell>
          <cell r="M6225" t="str">
            <v>F</v>
          </cell>
          <cell r="AB6225" t="str">
            <v>serum</v>
          </cell>
          <cell r="AF6225">
            <v>1.5</v>
          </cell>
        </row>
        <row r="6226">
          <cell r="A6226" t="str">
            <v>IS_alqt_plus</v>
          </cell>
          <cell r="K6226" t="str">
            <v>EALB</v>
          </cell>
          <cell r="M6226" t="str">
            <v>F</v>
          </cell>
          <cell r="AB6226" t="str">
            <v>serum</v>
          </cell>
          <cell r="AF6226">
            <v>1.5</v>
          </cell>
        </row>
        <row r="6227">
          <cell r="A6227" t="str">
            <v>IS_alqt_plus</v>
          </cell>
          <cell r="K6227" t="str">
            <v>EALB</v>
          </cell>
          <cell r="M6227" t="str">
            <v>F</v>
          </cell>
          <cell r="AB6227" t="str">
            <v>serum</v>
          </cell>
          <cell r="AF6227">
            <v>1.5</v>
          </cell>
        </row>
        <row r="6228">
          <cell r="A6228" t="str">
            <v>IS_alqt_plus</v>
          </cell>
          <cell r="K6228" t="str">
            <v>EALB</v>
          </cell>
          <cell r="M6228" t="str">
            <v>F</v>
          </cell>
          <cell r="AB6228" t="str">
            <v>serum</v>
          </cell>
          <cell r="AF6228">
            <v>1.5</v>
          </cell>
        </row>
        <row r="6229">
          <cell r="A6229" t="str">
            <v>IS_alqt_plus</v>
          </cell>
          <cell r="K6229" t="str">
            <v>EALB</v>
          </cell>
          <cell r="M6229" t="str">
            <v>F</v>
          </cell>
          <cell r="AB6229" t="str">
            <v>serum</v>
          </cell>
          <cell r="AF6229">
            <v>1.5</v>
          </cell>
        </row>
        <row r="6230">
          <cell r="A6230" t="str">
            <v>IS_alqt_plus</v>
          </cell>
          <cell r="K6230" t="str">
            <v>EALB</v>
          </cell>
          <cell r="M6230" t="str">
            <v>F</v>
          </cell>
          <cell r="AB6230" t="str">
            <v>serum</v>
          </cell>
          <cell r="AF6230">
            <v>1.5</v>
          </cell>
        </row>
        <row r="6231">
          <cell r="A6231" t="str">
            <v>IS_alqt_plus</v>
          </cell>
          <cell r="K6231" t="str">
            <v>EALB</v>
          </cell>
          <cell r="M6231" t="str">
            <v>F</v>
          </cell>
          <cell r="AB6231" t="str">
            <v>serum</v>
          </cell>
          <cell r="AF6231">
            <v>1.5</v>
          </cell>
        </row>
        <row r="6232">
          <cell r="A6232" t="str">
            <v>IS_alqt_plus</v>
          </cell>
          <cell r="K6232" t="str">
            <v>EALB</v>
          </cell>
          <cell r="M6232" t="str">
            <v>F</v>
          </cell>
          <cell r="AB6232" t="str">
            <v>serum</v>
          </cell>
          <cell r="AF6232">
            <v>1.5</v>
          </cell>
        </row>
        <row r="6233">
          <cell r="A6233" t="str">
            <v>IS_alqt_plus</v>
          </cell>
          <cell r="K6233" t="str">
            <v>EFLA</v>
          </cell>
          <cell r="M6233" t="str">
            <v>M</v>
          </cell>
          <cell r="AB6233" t="str">
            <v>serum</v>
          </cell>
          <cell r="AF6233">
            <v>0.25</v>
          </cell>
        </row>
        <row r="6234">
          <cell r="A6234" t="str">
            <v>IS_alqt_plus</v>
          </cell>
          <cell r="K6234" t="str">
            <v>EFLA</v>
          </cell>
          <cell r="M6234" t="str">
            <v>M</v>
          </cell>
          <cell r="AB6234" t="str">
            <v>WB</v>
          </cell>
          <cell r="AF6234">
            <v>0.25</v>
          </cell>
        </row>
        <row r="6235">
          <cell r="A6235" t="str">
            <v>IS_alqt_plus</v>
          </cell>
          <cell r="K6235" t="str">
            <v>VRUB</v>
          </cell>
          <cell r="M6235" t="str">
            <v>M</v>
          </cell>
          <cell r="AB6235" t="str">
            <v>WB</v>
          </cell>
          <cell r="AF6235">
            <v>0.6</v>
          </cell>
        </row>
        <row r="6236">
          <cell r="A6236" t="str">
            <v>gone</v>
          </cell>
          <cell r="K6236" t="str">
            <v>LTAR</v>
          </cell>
          <cell r="M6236" t="str">
            <v>F</v>
          </cell>
          <cell r="AB6236" t="str">
            <v>WB</v>
          </cell>
          <cell r="AF6236">
            <v>0</v>
          </cell>
        </row>
        <row r="6237">
          <cell r="A6237" t="str">
            <v>IS_alqt_plus</v>
          </cell>
          <cell r="K6237" t="str">
            <v>LTAR</v>
          </cell>
          <cell r="M6237" t="str">
            <v>F</v>
          </cell>
          <cell r="AB6237" t="str">
            <v>serum</v>
          </cell>
          <cell r="AF6237">
            <v>1</v>
          </cell>
        </row>
        <row r="6238">
          <cell r="A6238" t="str">
            <v>IS_alqt_minus</v>
          </cell>
          <cell r="K6238" t="str">
            <v>LTAR</v>
          </cell>
          <cell r="M6238" t="str">
            <v>F</v>
          </cell>
          <cell r="AB6238" t="str">
            <v>serum</v>
          </cell>
          <cell r="AF6238">
            <v>0.1</v>
          </cell>
        </row>
        <row r="6239">
          <cell r="A6239" t="str">
            <v>IS_alqt_plus</v>
          </cell>
          <cell r="K6239" t="str">
            <v>LCAT</v>
          </cell>
          <cell r="M6239" t="str">
            <v>F</v>
          </cell>
          <cell r="AB6239" t="str">
            <v>serum</v>
          </cell>
          <cell r="AF6239">
            <v>0.75</v>
          </cell>
        </row>
        <row r="6240">
          <cell r="A6240" t="str">
            <v>IS_alqt_plus</v>
          </cell>
          <cell r="K6240" t="str">
            <v>NPYG</v>
          </cell>
          <cell r="M6240" t="str">
            <v>F</v>
          </cell>
          <cell r="AB6240" t="str">
            <v>WB</v>
          </cell>
          <cell r="AF6240">
            <v>0.35</v>
          </cell>
        </row>
        <row r="6241">
          <cell r="A6241" t="str">
            <v>IS_alqt_plus</v>
          </cell>
          <cell r="K6241" t="str">
            <v>DMAD</v>
          </cell>
          <cell r="M6241" t="str">
            <v>M</v>
          </cell>
          <cell r="AB6241" t="str">
            <v>serum</v>
          </cell>
          <cell r="AF6241">
            <v>0.3</v>
          </cell>
        </row>
        <row r="6242">
          <cell r="A6242" t="str">
            <v>IS_alqt_plus</v>
          </cell>
          <cell r="K6242" t="str">
            <v>DMAD</v>
          </cell>
          <cell r="M6242" t="str">
            <v>M</v>
          </cell>
          <cell r="AB6242" t="str">
            <v>WB</v>
          </cell>
          <cell r="AF6242">
            <v>0.4</v>
          </cell>
        </row>
        <row r="6243">
          <cell r="A6243" t="str">
            <v>IS_alqt_plus</v>
          </cell>
          <cell r="K6243" t="str">
            <v>ECOL</v>
          </cell>
          <cell r="M6243" t="str">
            <v>M</v>
          </cell>
          <cell r="AB6243" t="str">
            <v>serum</v>
          </cell>
          <cell r="AF6243">
            <v>1.5</v>
          </cell>
        </row>
        <row r="6244">
          <cell r="A6244" t="str">
            <v>IS_alqt_plus</v>
          </cell>
          <cell r="K6244" t="str">
            <v>ECOL</v>
          </cell>
          <cell r="M6244" t="str">
            <v>M</v>
          </cell>
          <cell r="AB6244" t="str">
            <v>serum</v>
          </cell>
          <cell r="AF6244">
            <v>1</v>
          </cell>
        </row>
        <row r="6245">
          <cell r="A6245" t="str">
            <v>IS_alqt_plus</v>
          </cell>
          <cell r="K6245" t="str">
            <v>ECOL</v>
          </cell>
          <cell r="M6245" t="str">
            <v>M</v>
          </cell>
          <cell r="AB6245" t="str">
            <v>WB</v>
          </cell>
          <cell r="AF6245">
            <v>0.5</v>
          </cell>
        </row>
        <row r="6246">
          <cell r="A6246" t="str">
            <v>gone</v>
          </cell>
          <cell r="K6246" t="str">
            <v>ECOL</v>
          </cell>
          <cell r="M6246" t="str">
            <v>M</v>
          </cell>
          <cell r="AB6246" t="str">
            <v>WB</v>
          </cell>
          <cell r="AF6246">
            <v>0</v>
          </cell>
        </row>
        <row r="6247">
          <cell r="A6247" t="str">
            <v>IS_alqt_plus</v>
          </cell>
          <cell r="K6247" t="str">
            <v>LCAT</v>
          </cell>
          <cell r="M6247" t="str">
            <v>F</v>
          </cell>
          <cell r="AB6247" t="str">
            <v>WB</v>
          </cell>
          <cell r="AF6247">
            <v>0.2</v>
          </cell>
        </row>
        <row r="6248">
          <cell r="A6248" t="str">
            <v>IS_alqt_plus</v>
          </cell>
          <cell r="K6248" t="str">
            <v>CMED</v>
          </cell>
          <cell r="M6248" t="str">
            <v>M</v>
          </cell>
          <cell r="AB6248" t="str">
            <v>serum</v>
          </cell>
          <cell r="AF6248">
            <v>0.5</v>
          </cell>
        </row>
        <row r="6249">
          <cell r="A6249" t="str">
            <v>IS_alqt_plus</v>
          </cell>
          <cell r="K6249" t="str">
            <v>CMED</v>
          </cell>
          <cell r="M6249" t="str">
            <v>M</v>
          </cell>
          <cell r="AB6249" t="str">
            <v>WB</v>
          </cell>
          <cell r="AF6249">
            <v>0.3</v>
          </cell>
        </row>
        <row r="6250">
          <cell r="A6250" t="str">
            <v>IS_alqt_plus</v>
          </cell>
          <cell r="K6250" t="str">
            <v>CMED</v>
          </cell>
          <cell r="M6250" t="str">
            <v>M</v>
          </cell>
          <cell r="AB6250" t="str">
            <v>WB</v>
          </cell>
          <cell r="AF6250">
            <v>0.4</v>
          </cell>
        </row>
        <row r="6251">
          <cell r="A6251" t="str">
            <v>IS_alqt_plus</v>
          </cell>
          <cell r="K6251" t="str">
            <v>CMED</v>
          </cell>
          <cell r="M6251" t="str">
            <v>M</v>
          </cell>
          <cell r="AB6251" t="str">
            <v>WB</v>
          </cell>
          <cell r="AF6251">
            <v>0.2</v>
          </cell>
        </row>
        <row r="6252">
          <cell r="A6252" t="str">
            <v>gone</v>
          </cell>
          <cell r="K6252" t="str">
            <v>CMED</v>
          </cell>
          <cell r="M6252" t="str">
            <v>M</v>
          </cell>
          <cell r="AB6252" t="str">
            <v>WB</v>
          </cell>
          <cell r="AF6252">
            <v>0</v>
          </cell>
        </row>
        <row r="6253">
          <cell r="A6253" t="str">
            <v>gone</v>
          </cell>
          <cell r="K6253" t="str">
            <v>CMED</v>
          </cell>
          <cell r="M6253" t="str">
            <v>M</v>
          </cell>
          <cell r="AB6253" t="str">
            <v>WB</v>
          </cell>
          <cell r="AF6253">
            <v>0</v>
          </cell>
        </row>
        <row r="6254">
          <cell r="A6254" t="str">
            <v>IS_alqt_plus</v>
          </cell>
          <cell r="K6254" t="str">
            <v>CMED</v>
          </cell>
          <cell r="M6254" t="str">
            <v>M</v>
          </cell>
          <cell r="AB6254" t="str">
            <v>WB</v>
          </cell>
          <cell r="AF6254">
            <v>0.4</v>
          </cell>
        </row>
        <row r="6255">
          <cell r="A6255" t="str">
            <v>gone</v>
          </cell>
          <cell r="K6255" t="str">
            <v>CMED</v>
          </cell>
          <cell r="M6255" t="str">
            <v>M</v>
          </cell>
          <cell r="AB6255" t="str">
            <v>WB</v>
          </cell>
          <cell r="AF6255">
            <v>0</v>
          </cell>
        </row>
        <row r="6256">
          <cell r="A6256" t="str">
            <v>gone</v>
          </cell>
          <cell r="K6256" t="str">
            <v>CMED</v>
          </cell>
          <cell r="M6256" t="str">
            <v>M</v>
          </cell>
          <cell r="AB6256" t="str">
            <v>WB</v>
          </cell>
          <cell r="AF6256">
            <v>0</v>
          </cell>
        </row>
        <row r="6257">
          <cell r="A6257" t="str">
            <v>gone</v>
          </cell>
          <cell r="K6257" t="str">
            <v>CMED</v>
          </cell>
          <cell r="M6257" t="str">
            <v>M</v>
          </cell>
          <cell r="AB6257" t="str">
            <v>WB</v>
          </cell>
          <cell r="AF6257">
            <v>0</v>
          </cell>
        </row>
        <row r="6258">
          <cell r="A6258" t="str">
            <v>IS_alqt_plus</v>
          </cell>
          <cell r="K6258" t="str">
            <v>LCAT</v>
          </cell>
          <cell r="M6258" t="str">
            <v>F</v>
          </cell>
          <cell r="AB6258" t="str">
            <v>WB</v>
          </cell>
          <cell r="AF6258">
            <v>0.2</v>
          </cell>
        </row>
        <row r="6259">
          <cell r="A6259" t="str">
            <v>IS_alqt_plus</v>
          </cell>
          <cell r="K6259" t="str">
            <v>LCAT</v>
          </cell>
          <cell r="M6259" t="str">
            <v>F</v>
          </cell>
          <cell r="AB6259" t="str">
            <v>serum</v>
          </cell>
          <cell r="AF6259">
            <v>0.9</v>
          </cell>
        </row>
        <row r="6260">
          <cell r="A6260" t="str">
            <v>IS_alqt_plus</v>
          </cell>
          <cell r="K6260" t="str">
            <v>DMAD</v>
          </cell>
          <cell r="M6260" t="str">
            <v>F</v>
          </cell>
          <cell r="AB6260" t="str">
            <v>serum</v>
          </cell>
          <cell r="AF6260">
            <v>0.25</v>
          </cell>
        </row>
        <row r="6261">
          <cell r="A6261" t="str">
            <v>IS_alqt_plus</v>
          </cell>
          <cell r="K6261" t="str">
            <v>DMAD</v>
          </cell>
          <cell r="M6261" t="str">
            <v>F</v>
          </cell>
          <cell r="AB6261" t="str">
            <v>WB</v>
          </cell>
          <cell r="AF6261">
            <v>0.8</v>
          </cell>
        </row>
        <row r="6262">
          <cell r="A6262" t="str">
            <v>IS_alqt_plus</v>
          </cell>
          <cell r="K6262" t="e">
            <v>#N/A</v>
          </cell>
          <cell r="M6262" t="e">
            <v>#N/A</v>
          </cell>
          <cell r="AB6262" t="str">
            <v>WB</v>
          </cell>
          <cell r="AF6262">
            <v>0.55000000000000004</v>
          </cell>
        </row>
        <row r="6263">
          <cell r="A6263" t="str">
            <v>IS_alqt_plus</v>
          </cell>
          <cell r="K6263" t="str">
            <v>LCAT</v>
          </cell>
          <cell r="M6263" t="str">
            <v>F</v>
          </cell>
          <cell r="AB6263" t="str">
            <v>WB</v>
          </cell>
          <cell r="AF6263">
            <v>0.2</v>
          </cell>
        </row>
        <row r="6264">
          <cell r="A6264" t="str">
            <v>on hold</v>
          </cell>
          <cell r="K6264" t="str">
            <v>LCAT</v>
          </cell>
          <cell r="M6264" t="str">
            <v>F</v>
          </cell>
          <cell r="AB6264" t="str">
            <v>WB</v>
          </cell>
          <cell r="AF6264">
            <v>0.5</v>
          </cell>
        </row>
        <row r="6265">
          <cell r="A6265" t="str">
            <v>IS_alqt_plus</v>
          </cell>
          <cell r="K6265" t="str">
            <v>PCOQ</v>
          </cell>
          <cell r="M6265" t="str">
            <v>F</v>
          </cell>
          <cell r="AB6265" t="str">
            <v>serum</v>
          </cell>
          <cell r="AF6265">
            <v>1.3</v>
          </cell>
        </row>
        <row r="6266">
          <cell r="A6266" t="str">
            <v>IS_alqt_plus</v>
          </cell>
          <cell r="K6266" t="str">
            <v>LCAT</v>
          </cell>
          <cell r="M6266" t="str">
            <v>F</v>
          </cell>
          <cell r="AB6266" t="str">
            <v>WB</v>
          </cell>
          <cell r="AF6266">
            <v>0.7</v>
          </cell>
        </row>
        <row r="6267">
          <cell r="A6267" t="str">
            <v>IS_alqt_plus</v>
          </cell>
          <cell r="K6267" t="str">
            <v>LCAT</v>
          </cell>
          <cell r="M6267" t="str">
            <v>F</v>
          </cell>
          <cell r="AB6267" t="str">
            <v>serum</v>
          </cell>
          <cell r="AF6267">
            <v>0.5</v>
          </cell>
        </row>
        <row r="6268">
          <cell r="A6268" t="str">
            <v>IS_alqt_plus</v>
          </cell>
          <cell r="K6268" t="str">
            <v>LCAT</v>
          </cell>
          <cell r="M6268" t="str">
            <v>F</v>
          </cell>
          <cell r="AB6268" t="str">
            <v>WB</v>
          </cell>
          <cell r="AF6268">
            <v>1.2</v>
          </cell>
        </row>
        <row r="6269">
          <cell r="A6269" t="str">
            <v>IS_alqt_plus</v>
          </cell>
          <cell r="K6269" t="str">
            <v>LCAT</v>
          </cell>
          <cell r="M6269" t="str">
            <v>M</v>
          </cell>
          <cell r="AB6269" t="str">
            <v>WB</v>
          </cell>
          <cell r="AF6269">
            <v>0.6</v>
          </cell>
        </row>
        <row r="6270">
          <cell r="A6270" t="str">
            <v>IS_alqt_plus</v>
          </cell>
          <cell r="K6270" t="str">
            <v>PCOQ</v>
          </cell>
          <cell r="M6270" t="str">
            <v>F</v>
          </cell>
          <cell r="AB6270" t="str">
            <v>serum</v>
          </cell>
          <cell r="AF6270">
            <v>0.35</v>
          </cell>
        </row>
        <row r="6271">
          <cell r="A6271" t="str">
            <v>IS_alqt_plus</v>
          </cell>
          <cell r="K6271" t="str">
            <v>PCOQ</v>
          </cell>
          <cell r="M6271" t="str">
            <v>F</v>
          </cell>
          <cell r="AB6271" t="str">
            <v>serum</v>
          </cell>
          <cell r="AF6271">
            <v>1.25</v>
          </cell>
        </row>
        <row r="6272">
          <cell r="A6272" t="str">
            <v>IS_alqt_plus</v>
          </cell>
          <cell r="K6272" t="str">
            <v>EMON</v>
          </cell>
          <cell r="M6272" t="str">
            <v>M</v>
          </cell>
          <cell r="AB6272" t="str">
            <v>WB</v>
          </cell>
          <cell r="AF6272">
            <v>1.25</v>
          </cell>
        </row>
        <row r="6273">
          <cell r="A6273" t="str">
            <v>IS_alqt_plus</v>
          </cell>
          <cell r="K6273" t="str">
            <v>LCAT</v>
          </cell>
          <cell r="M6273" t="str">
            <v>M</v>
          </cell>
          <cell r="AB6273" t="str">
            <v>WB</v>
          </cell>
          <cell r="AF6273">
            <v>0.6</v>
          </cell>
        </row>
        <row r="6274">
          <cell r="A6274" t="str">
            <v>IS_alqt_plus</v>
          </cell>
          <cell r="K6274" t="str">
            <v>LCAT</v>
          </cell>
          <cell r="M6274" t="str">
            <v>M</v>
          </cell>
          <cell r="AB6274" t="str">
            <v>WB</v>
          </cell>
          <cell r="AF6274">
            <v>0.8</v>
          </cell>
        </row>
        <row r="6275">
          <cell r="A6275" t="str">
            <v>IS_alqt_plus</v>
          </cell>
          <cell r="K6275" t="str">
            <v>LCAT</v>
          </cell>
          <cell r="M6275" t="str">
            <v>M</v>
          </cell>
          <cell r="AB6275" t="str">
            <v>serum</v>
          </cell>
          <cell r="AF6275">
            <v>1</v>
          </cell>
        </row>
        <row r="6276">
          <cell r="A6276" t="str">
            <v>IS_alqt_plus</v>
          </cell>
          <cell r="K6276" t="str">
            <v>LCAT</v>
          </cell>
          <cell r="M6276" t="str">
            <v>M</v>
          </cell>
          <cell r="AB6276" t="str">
            <v>serum</v>
          </cell>
          <cell r="AF6276">
            <v>1</v>
          </cell>
        </row>
        <row r="6277">
          <cell r="A6277" t="str">
            <v>IS_alqt_minus</v>
          </cell>
          <cell r="K6277" t="str">
            <v>MMUR</v>
          </cell>
          <cell r="M6277" t="str">
            <v>F</v>
          </cell>
          <cell r="AB6277" t="str">
            <v>WB</v>
          </cell>
          <cell r="AF6277">
            <v>0.01</v>
          </cell>
        </row>
        <row r="6278">
          <cell r="A6278" t="str">
            <v>gone</v>
          </cell>
          <cell r="K6278" t="str">
            <v>MMUR</v>
          </cell>
          <cell r="M6278" t="str">
            <v>F</v>
          </cell>
          <cell r="AB6278" t="str">
            <v>WB</v>
          </cell>
          <cell r="AF6278">
            <v>0</v>
          </cell>
        </row>
        <row r="6279">
          <cell r="A6279" t="str">
            <v>IS_alqt_plus</v>
          </cell>
          <cell r="K6279" t="str">
            <v>LCAT</v>
          </cell>
          <cell r="M6279" t="str">
            <v>M</v>
          </cell>
          <cell r="AB6279" t="str">
            <v>WB</v>
          </cell>
          <cell r="AF6279">
            <v>0.75</v>
          </cell>
        </row>
        <row r="6280">
          <cell r="A6280" t="str">
            <v>IS_alqt_plus</v>
          </cell>
          <cell r="K6280" t="str">
            <v>LCAT</v>
          </cell>
          <cell r="M6280" t="str">
            <v>M</v>
          </cell>
          <cell r="AB6280" t="str">
            <v>serum</v>
          </cell>
          <cell r="AF6280">
            <v>1.3</v>
          </cell>
        </row>
        <row r="6281">
          <cell r="A6281" t="str">
            <v>IS_alqt_minus</v>
          </cell>
          <cell r="K6281" t="str">
            <v>PCOQ</v>
          </cell>
          <cell r="M6281" t="str">
            <v>M</v>
          </cell>
          <cell r="AB6281" t="str">
            <v>serum</v>
          </cell>
          <cell r="AF6281">
            <v>0.1</v>
          </cell>
        </row>
        <row r="6282">
          <cell r="A6282" t="str">
            <v>IS_alqt_plus</v>
          </cell>
          <cell r="K6282" t="str">
            <v>ERUB</v>
          </cell>
          <cell r="M6282" t="str">
            <v>M</v>
          </cell>
          <cell r="AB6282" t="str">
            <v>WB</v>
          </cell>
          <cell r="AF6282">
            <v>1.2</v>
          </cell>
        </row>
        <row r="6283">
          <cell r="A6283" t="str">
            <v>unk</v>
          </cell>
          <cell r="K6283" t="str">
            <v>ERUB</v>
          </cell>
          <cell r="M6283" t="str">
            <v>M</v>
          </cell>
          <cell r="AB6283" t="str">
            <v>serum</v>
          </cell>
          <cell r="AF6283">
            <v>1.1000000000000001</v>
          </cell>
        </row>
        <row r="6284">
          <cell r="A6284" t="str">
            <v>IS_alqt_plus</v>
          </cell>
          <cell r="K6284" t="str">
            <v>LCAT</v>
          </cell>
          <cell r="M6284" t="str">
            <v>F</v>
          </cell>
          <cell r="AB6284" t="str">
            <v>WB</v>
          </cell>
          <cell r="AF6284">
            <v>1</v>
          </cell>
        </row>
        <row r="6285">
          <cell r="A6285" t="str">
            <v>gone</v>
          </cell>
          <cell r="K6285" t="str">
            <v>PCOQ</v>
          </cell>
          <cell r="M6285" t="str">
            <v>M</v>
          </cell>
          <cell r="AB6285" t="str">
            <v>serum</v>
          </cell>
          <cell r="AF6285">
            <v>0</v>
          </cell>
        </row>
        <row r="6286">
          <cell r="A6286" t="str">
            <v>IS_alqt_plus</v>
          </cell>
          <cell r="K6286" t="str">
            <v>NCOU</v>
          </cell>
          <cell r="M6286" t="str">
            <v>F</v>
          </cell>
          <cell r="AB6286" t="str">
            <v>WB</v>
          </cell>
          <cell r="AF6286">
            <v>0.5</v>
          </cell>
        </row>
        <row r="6287">
          <cell r="A6287" t="str">
            <v>IS_alqt_plus</v>
          </cell>
          <cell r="K6287" t="str">
            <v>LCAT</v>
          </cell>
          <cell r="M6287" t="str">
            <v>F</v>
          </cell>
          <cell r="AB6287" t="str">
            <v>WB</v>
          </cell>
          <cell r="AF6287">
            <v>0.5</v>
          </cell>
        </row>
        <row r="6288">
          <cell r="A6288" t="str">
            <v>IS_alqt_plus</v>
          </cell>
          <cell r="K6288" t="str">
            <v>LCAT</v>
          </cell>
          <cell r="M6288" t="str">
            <v>M</v>
          </cell>
          <cell r="AB6288" t="str">
            <v>WB</v>
          </cell>
          <cell r="AF6288">
            <v>0.6</v>
          </cell>
        </row>
        <row r="6289">
          <cell r="A6289" t="str">
            <v>IS_alqt_plus</v>
          </cell>
          <cell r="K6289" t="str">
            <v>PCOQ</v>
          </cell>
          <cell r="M6289" t="str">
            <v>M</v>
          </cell>
          <cell r="AB6289" t="str">
            <v>serum</v>
          </cell>
          <cell r="AF6289">
            <v>0.3</v>
          </cell>
        </row>
        <row r="6290">
          <cell r="A6290" t="str">
            <v>IS_alqt_plus</v>
          </cell>
          <cell r="K6290" t="str">
            <v>PCOQ</v>
          </cell>
          <cell r="M6290" t="str">
            <v>M</v>
          </cell>
          <cell r="AB6290" t="str">
            <v>serum</v>
          </cell>
          <cell r="AF6290">
            <v>0.65</v>
          </cell>
        </row>
        <row r="6291">
          <cell r="A6291" t="str">
            <v>IS_alqt_plus</v>
          </cell>
          <cell r="K6291" t="str">
            <v>CMED</v>
          </cell>
          <cell r="M6291" t="str">
            <v>F</v>
          </cell>
          <cell r="AB6291" t="str">
            <v>WB</v>
          </cell>
          <cell r="AF6291">
            <v>0.2</v>
          </cell>
        </row>
        <row r="6292">
          <cell r="A6292" t="str">
            <v>unk</v>
          </cell>
          <cell r="K6292" t="str">
            <v>CMED</v>
          </cell>
          <cell r="M6292" t="str">
            <v>M</v>
          </cell>
          <cell r="AB6292" t="str">
            <v>WB</v>
          </cell>
          <cell r="AF6292">
            <v>0.15</v>
          </cell>
        </row>
        <row r="6293">
          <cell r="A6293" t="str">
            <v>IS_alqt_plus</v>
          </cell>
          <cell r="K6293" t="str">
            <v>LCAT</v>
          </cell>
          <cell r="M6293" t="str">
            <v>F</v>
          </cell>
          <cell r="AB6293" t="str">
            <v>WB</v>
          </cell>
          <cell r="AF6293">
            <v>1.1000000000000001</v>
          </cell>
        </row>
        <row r="6294">
          <cell r="A6294" t="str">
            <v>gone</v>
          </cell>
          <cell r="K6294" t="str">
            <v>LCAT</v>
          </cell>
          <cell r="M6294" t="str">
            <v>M</v>
          </cell>
          <cell r="AB6294" t="str">
            <v>WB</v>
          </cell>
          <cell r="AF6294">
            <v>0</v>
          </cell>
        </row>
        <row r="6295">
          <cell r="A6295" t="str">
            <v>IS_alqt_plus</v>
          </cell>
          <cell r="K6295" t="str">
            <v>LCAT</v>
          </cell>
          <cell r="M6295" t="str">
            <v>F</v>
          </cell>
          <cell r="AB6295" t="str">
            <v>serum</v>
          </cell>
          <cell r="AF6295">
            <v>1.2</v>
          </cell>
        </row>
        <row r="6296">
          <cell r="A6296" t="str">
            <v>IS_alqt_plus</v>
          </cell>
          <cell r="K6296" t="str">
            <v>LCAT</v>
          </cell>
          <cell r="M6296" t="str">
            <v>F</v>
          </cell>
          <cell r="AB6296" t="str">
            <v>serum</v>
          </cell>
          <cell r="AF6296">
            <v>1.1000000000000001</v>
          </cell>
        </row>
        <row r="6297">
          <cell r="A6297" t="str">
            <v>IS_alqt_plus</v>
          </cell>
          <cell r="K6297" t="str">
            <v>EUL</v>
          </cell>
          <cell r="M6297" t="str">
            <v>M</v>
          </cell>
          <cell r="AB6297" t="str">
            <v>serum</v>
          </cell>
          <cell r="AF6297">
            <v>0.8</v>
          </cell>
        </row>
        <row r="6298">
          <cell r="A6298" t="str">
            <v>IS_alqt_plus</v>
          </cell>
          <cell r="K6298" t="str">
            <v>EUL</v>
          </cell>
          <cell r="M6298" t="str">
            <v>M</v>
          </cell>
          <cell r="AB6298" t="str">
            <v>serum</v>
          </cell>
          <cell r="AF6298">
            <v>1</v>
          </cell>
        </row>
        <row r="6299">
          <cell r="A6299" t="str">
            <v>IS_alqt_plus</v>
          </cell>
          <cell r="K6299" t="str">
            <v>EUL</v>
          </cell>
          <cell r="M6299" t="str">
            <v>M</v>
          </cell>
          <cell r="AB6299" t="str">
            <v>WB</v>
          </cell>
          <cell r="AF6299">
            <v>0.5</v>
          </cell>
        </row>
        <row r="6300">
          <cell r="A6300" t="str">
            <v>IS_alqt_plus</v>
          </cell>
          <cell r="K6300" t="str">
            <v>EUL</v>
          </cell>
          <cell r="M6300" t="str">
            <v>M</v>
          </cell>
          <cell r="AB6300" t="str">
            <v>WB</v>
          </cell>
          <cell r="AF6300">
            <v>0.75</v>
          </cell>
        </row>
        <row r="6301">
          <cell r="A6301" t="str">
            <v>IS_alqt_plus</v>
          </cell>
          <cell r="K6301" t="str">
            <v>EUL</v>
          </cell>
          <cell r="M6301" t="str">
            <v>M</v>
          </cell>
          <cell r="AB6301" t="str">
            <v>WB</v>
          </cell>
          <cell r="AF6301">
            <v>1</v>
          </cell>
        </row>
        <row r="6302">
          <cell r="A6302" t="str">
            <v>IS_alqt_plus</v>
          </cell>
          <cell r="K6302" t="str">
            <v>EUL</v>
          </cell>
          <cell r="M6302" t="str">
            <v>M</v>
          </cell>
          <cell r="AB6302" t="str">
            <v>WB</v>
          </cell>
          <cell r="AF6302">
            <v>0.75</v>
          </cell>
        </row>
        <row r="6303">
          <cell r="A6303" t="str">
            <v>IS_alqt_plus</v>
          </cell>
          <cell r="K6303" t="str">
            <v>EUL</v>
          </cell>
          <cell r="M6303" t="str">
            <v>M</v>
          </cell>
          <cell r="AB6303" t="str">
            <v>WB</v>
          </cell>
          <cell r="AF6303">
            <v>1.3</v>
          </cell>
        </row>
        <row r="6304">
          <cell r="A6304" t="str">
            <v>IS_alqt_plus</v>
          </cell>
          <cell r="K6304" t="str">
            <v>EUL</v>
          </cell>
          <cell r="M6304" t="str">
            <v>M</v>
          </cell>
          <cell r="AB6304" t="str">
            <v>WB</v>
          </cell>
          <cell r="AF6304">
            <v>1.3</v>
          </cell>
        </row>
        <row r="6305">
          <cell r="A6305" t="str">
            <v>IS_alqt_plus</v>
          </cell>
          <cell r="K6305" t="str">
            <v>EUL</v>
          </cell>
          <cell r="M6305" t="str">
            <v>M</v>
          </cell>
          <cell r="AB6305" t="str">
            <v>WB</v>
          </cell>
          <cell r="AF6305">
            <v>0.4</v>
          </cell>
        </row>
        <row r="6306">
          <cell r="A6306" t="str">
            <v>IS_alqt_plus</v>
          </cell>
          <cell r="K6306" t="str">
            <v>EUL</v>
          </cell>
          <cell r="M6306" t="str">
            <v>M</v>
          </cell>
          <cell r="AB6306" t="str">
            <v>WB</v>
          </cell>
          <cell r="AF6306">
            <v>1.3</v>
          </cell>
        </row>
        <row r="6307">
          <cell r="A6307" t="str">
            <v>IS_alqt_plus</v>
          </cell>
          <cell r="K6307" t="str">
            <v>EUL</v>
          </cell>
          <cell r="M6307" t="str">
            <v>M</v>
          </cell>
          <cell r="AB6307" t="str">
            <v>WB</v>
          </cell>
          <cell r="AF6307">
            <v>0.75</v>
          </cell>
        </row>
        <row r="6308">
          <cell r="A6308" t="str">
            <v>IS_alqt_plus</v>
          </cell>
          <cell r="K6308" t="str">
            <v>EUL</v>
          </cell>
          <cell r="M6308" t="str">
            <v>M</v>
          </cell>
          <cell r="AB6308" t="str">
            <v>WB</v>
          </cell>
          <cell r="AF6308">
            <v>0.75</v>
          </cell>
        </row>
        <row r="6309">
          <cell r="A6309" t="str">
            <v>IS_alqt_plus</v>
          </cell>
          <cell r="K6309" t="str">
            <v>EUL</v>
          </cell>
          <cell r="M6309" t="str">
            <v>M</v>
          </cell>
          <cell r="AB6309" t="str">
            <v>WB</v>
          </cell>
          <cell r="AF6309">
            <v>1.3</v>
          </cell>
        </row>
        <row r="6310">
          <cell r="A6310" t="str">
            <v>IS_alqt_plus</v>
          </cell>
          <cell r="K6310" t="str">
            <v>EUL</v>
          </cell>
          <cell r="M6310" t="str">
            <v>M</v>
          </cell>
          <cell r="AB6310" t="str">
            <v>serum</v>
          </cell>
          <cell r="AF6310">
            <v>1</v>
          </cell>
        </row>
        <row r="6311">
          <cell r="A6311" t="str">
            <v>IS_alqt_plus</v>
          </cell>
          <cell r="K6311" t="str">
            <v>EUL</v>
          </cell>
          <cell r="M6311" t="str">
            <v>M</v>
          </cell>
          <cell r="AB6311" t="str">
            <v>serum</v>
          </cell>
          <cell r="AF6311">
            <v>1.25</v>
          </cell>
        </row>
        <row r="6312">
          <cell r="A6312" t="str">
            <v>IS_alqt_plus</v>
          </cell>
          <cell r="K6312" t="str">
            <v>EUL</v>
          </cell>
          <cell r="M6312" t="str">
            <v>M</v>
          </cell>
          <cell r="AB6312" t="str">
            <v>serum</v>
          </cell>
          <cell r="AF6312">
            <v>1.25</v>
          </cell>
        </row>
        <row r="6313">
          <cell r="A6313" t="str">
            <v>IS_alqt_plus</v>
          </cell>
          <cell r="K6313" t="str">
            <v>EUL</v>
          </cell>
          <cell r="M6313" t="str">
            <v>M</v>
          </cell>
          <cell r="AB6313" t="str">
            <v>serum</v>
          </cell>
          <cell r="AF6313">
            <v>1.5</v>
          </cell>
        </row>
        <row r="6314">
          <cell r="A6314" t="str">
            <v>IS_alqt_plus</v>
          </cell>
          <cell r="K6314" t="str">
            <v>EUL</v>
          </cell>
          <cell r="M6314" t="str">
            <v>M</v>
          </cell>
          <cell r="AB6314" t="str">
            <v>serum</v>
          </cell>
          <cell r="AF6314">
            <v>1.25</v>
          </cell>
        </row>
        <row r="6315">
          <cell r="A6315" t="str">
            <v>IS_alqt_plus</v>
          </cell>
          <cell r="K6315" t="str">
            <v>EUL</v>
          </cell>
          <cell r="M6315" t="str">
            <v>M</v>
          </cell>
          <cell r="AB6315" t="str">
            <v>serum</v>
          </cell>
          <cell r="AF6315">
            <v>1.25</v>
          </cell>
        </row>
        <row r="6316">
          <cell r="A6316" t="str">
            <v>IS_alqt_plus</v>
          </cell>
          <cell r="K6316" t="str">
            <v>EUL</v>
          </cell>
          <cell r="M6316" t="str">
            <v>M</v>
          </cell>
          <cell r="AB6316" t="str">
            <v>serum</v>
          </cell>
          <cell r="AF6316">
            <v>1.25</v>
          </cell>
        </row>
        <row r="6317">
          <cell r="A6317" t="str">
            <v>IS_alqt_plus</v>
          </cell>
          <cell r="K6317" t="str">
            <v>VVV</v>
          </cell>
          <cell r="M6317" t="str">
            <v>M</v>
          </cell>
          <cell r="AB6317" t="str">
            <v>WB</v>
          </cell>
          <cell r="AF6317">
            <v>0.8</v>
          </cell>
        </row>
        <row r="6318">
          <cell r="A6318" t="str">
            <v>IS_alqt_plus</v>
          </cell>
          <cell r="K6318" t="str">
            <v>VVV</v>
          </cell>
          <cell r="M6318" t="str">
            <v>M</v>
          </cell>
          <cell r="AB6318" t="str">
            <v>serum</v>
          </cell>
          <cell r="AF6318">
            <v>1</v>
          </cell>
        </row>
        <row r="6319">
          <cell r="A6319" t="str">
            <v>gone</v>
          </cell>
          <cell r="K6319" t="str">
            <v>LCAT</v>
          </cell>
          <cell r="M6319" t="str">
            <v>M</v>
          </cell>
          <cell r="AB6319" t="str">
            <v>WB</v>
          </cell>
          <cell r="AF6319">
            <v>0</v>
          </cell>
        </row>
        <row r="6320">
          <cell r="A6320" t="str">
            <v>IS_alqt_plus</v>
          </cell>
          <cell r="K6320" t="str">
            <v>VRUB</v>
          </cell>
          <cell r="M6320" t="str">
            <v>M</v>
          </cell>
          <cell r="AB6320" t="str">
            <v>serum</v>
          </cell>
          <cell r="AF6320">
            <v>1</v>
          </cell>
        </row>
        <row r="6321">
          <cell r="A6321" t="str">
            <v>gone</v>
          </cell>
          <cell r="K6321" t="str">
            <v>LCAT</v>
          </cell>
          <cell r="M6321" t="str">
            <v>F</v>
          </cell>
          <cell r="AB6321" t="str">
            <v>serum</v>
          </cell>
          <cell r="AF6321">
            <v>0</v>
          </cell>
        </row>
        <row r="6322">
          <cell r="A6322" t="str">
            <v>gone</v>
          </cell>
          <cell r="K6322" t="str">
            <v>LCAT</v>
          </cell>
          <cell r="M6322" t="str">
            <v>F</v>
          </cell>
          <cell r="AB6322" t="str">
            <v>serum</v>
          </cell>
          <cell r="AF6322">
            <v>0</v>
          </cell>
        </row>
        <row r="6323">
          <cell r="A6323" t="str">
            <v>unk</v>
          </cell>
          <cell r="K6323" t="str">
            <v>LCAT</v>
          </cell>
          <cell r="M6323" t="str">
            <v>F</v>
          </cell>
          <cell r="AB6323" t="str">
            <v>serum</v>
          </cell>
          <cell r="AF6323">
            <v>1</v>
          </cell>
        </row>
        <row r="6324">
          <cell r="A6324" t="str">
            <v>IS_alqt_plus</v>
          </cell>
          <cell r="K6324" t="str">
            <v>EMON</v>
          </cell>
          <cell r="M6324" t="str">
            <v>M</v>
          </cell>
          <cell r="AB6324" t="str">
            <v>WB</v>
          </cell>
          <cell r="AF6324">
            <v>0.75</v>
          </cell>
        </row>
        <row r="6325">
          <cell r="A6325" t="str">
            <v>IS_alqt_plus</v>
          </cell>
          <cell r="K6325" t="str">
            <v>EMON</v>
          </cell>
          <cell r="M6325" t="str">
            <v>F</v>
          </cell>
          <cell r="AB6325" t="str">
            <v>WB</v>
          </cell>
          <cell r="AF6325">
            <v>0.3</v>
          </cell>
        </row>
        <row r="6326">
          <cell r="A6326" t="str">
            <v>IS_alqt_plus</v>
          </cell>
          <cell r="K6326" t="str">
            <v>LCAT</v>
          </cell>
          <cell r="M6326" t="str">
            <v>F</v>
          </cell>
          <cell r="AB6326" t="str">
            <v>WB</v>
          </cell>
          <cell r="AF6326">
            <v>0.25</v>
          </cell>
        </row>
        <row r="6327">
          <cell r="A6327" t="str">
            <v>IS_alqt_plus</v>
          </cell>
          <cell r="K6327" t="str">
            <v>PCOQ</v>
          </cell>
          <cell r="M6327" t="str">
            <v>M</v>
          </cell>
          <cell r="AB6327" t="str">
            <v>serum</v>
          </cell>
          <cell r="AF6327">
            <v>1.5</v>
          </cell>
        </row>
        <row r="6328">
          <cell r="A6328" t="str">
            <v>IS_alqt_plus</v>
          </cell>
          <cell r="K6328" t="str">
            <v>LCAT</v>
          </cell>
          <cell r="M6328" t="str">
            <v>F</v>
          </cell>
          <cell r="AB6328" t="str">
            <v>WB</v>
          </cell>
          <cell r="AF6328">
            <v>0.6</v>
          </cell>
        </row>
        <row r="6329">
          <cell r="A6329" t="str">
            <v>IS_alqt_plus</v>
          </cell>
          <cell r="K6329" t="str">
            <v>LCAT</v>
          </cell>
          <cell r="M6329" t="str">
            <v>M</v>
          </cell>
          <cell r="AB6329" t="str">
            <v>serum</v>
          </cell>
          <cell r="AF6329">
            <v>0.6</v>
          </cell>
        </row>
        <row r="6330">
          <cell r="A6330" t="str">
            <v>IS_alqt_plus</v>
          </cell>
          <cell r="K6330" t="str">
            <v>CMED</v>
          </cell>
          <cell r="M6330" t="str">
            <v>M</v>
          </cell>
          <cell r="AB6330" t="str">
            <v>WB</v>
          </cell>
          <cell r="AF6330">
            <v>0.25</v>
          </cell>
        </row>
        <row r="6331">
          <cell r="A6331" t="str">
            <v>IS_alqt_plus</v>
          </cell>
          <cell r="K6331" t="str">
            <v>VRUB</v>
          </cell>
          <cell r="M6331" t="str">
            <v>F</v>
          </cell>
          <cell r="AB6331" t="str">
            <v>WB</v>
          </cell>
          <cell r="AF6331">
            <v>0.8</v>
          </cell>
        </row>
        <row r="6332">
          <cell r="A6332" t="str">
            <v>unk</v>
          </cell>
          <cell r="K6332" t="str">
            <v>VRUB</v>
          </cell>
          <cell r="M6332" t="str">
            <v>F</v>
          </cell>
          <cell r="AB6332" t="str">
            <v>WB</v>
          </cell>
          <cell r="AF6332">
            <v>1.2</v>
          </cell>
        </row>
        <row r="6333">
          <cell r="A6333" t="str">
            <v>IS_alqt_plus</v>
          </cell>
          <cell r="K6333" t="str">
            <v>ECOL</v>
          </cell>
          <cell r="M6333" t="str">
            <v>F</v>
          </cell>
          <cell r="AB6333" t="str">
            <v>WB</v>
          </cell>
          <cell r="AF6333">
            <v>0.4</v>
          </cell>
        </row>
        <row r="6334">
          <cell r="A6334" t="str">
            <v>IS_alqt_plus</v>
          </cell>
          <cell r="K6334" t="str">
            <v>CMED</v>
          </cell>
          <cell r="M6334" t="str">
            <v>F</v>
          </cell>
          <cell r="AB6334" t="str">
            <v>WB</v>
          </cell>
          <cell r="AF6334">
            <v>0.4</v>
          </cell>
        </row>
        <row r="6335">
          <cell r="A6335" t="str">
            <v>IS_alqt_plus</v>
          </cell>
          <cell r="K6335" t="str">
            <v>CMED</v>
          </cell>
          <cell r="M6335" t="str">
            <v>F</v>
          </cell>
          <cell r="AB6335" t="str">
            <v>WB</v>
          </cell>
          <cell r="AF6335">
            <v>0.2</v>
          </cell>
        </row>
        <row r="6336">
          <cell r="A6336" t="str">
            <v>IS_alqt_plus</v>
          </cell>
          <cell r="K6336" t="str">
            <v>EMAC</v>
          </cell>
          <cell r="M6336" t="str">
            <v>F</v>
          </cell>
          <cell r="AB6336" t="str">
            <v>WB</v>
          </cell>
          <cell r="AF6336">
            <v>0.75</v>
          </cell>
        </row>
        <row r="6337">
          <cell r="A6337" t="str">
            <v>IS_alqt_plus</v>
          </cell>
          <cell r="K6337" t="str">
            <v>EMAC</v>
          </cell>
          <cell r="M6337" t="str">
            <v>F</v>
          </cell>
          <cell r="AB6337" t="str">
            <v>serum</v>
          </cell>
          <cell r="AF6337">
            <v>1.2</v>
          </cell>
        </row>
        <row r="6338">
          <cell r="A6338" t="str">
            <v>IS_alqt_plus</v>
          </cell>
          <cell r="K6338" t="str">
            <v>LCAT</v>
          </cell>
          <cell r="M6338" t="str">
            <v>F</v>
          </cell>
          <cell r="AB6338" t="str">
            <v>WB</v>
          </cell>
          <cell r="AF6338">
            <v>0.5</v>
          </cell>
        </row>
        <row r="6339">
          <cell r="A6339" t="str">
            <v>IS_alqt_plus</v>
          </cell>
          <cell r="K6339" t="str">
            <v>LCAT</v>
          </cell>
          <cell r="M6339" t="str">
            <v>F</v>
          </cell>
          <cell r="AB6339" t="str">
            <v>WB</v>
          </cell>
          <cell r="AF6339">
            <v>0.6</v>
          </cell>
        </row>
        <row r="6340">
          <cell r="A6340" t="str">
            <v>IS_alqt_plus</v>
          </cell>
          <cell r="K6340" t="str">
            <v>MMUR</v>
          </cell>
          <cell r="M6340" t="str">
            <v>F</v>
          </cell>
          <cell r="AB6340" t="str">
            <v>WB</v>
          </cell>
          <cell r="AF6340">
            <v>0.25</v>
          </cell>
        </row>
        <row r="6341">
          <cell r="A6341" t="str">
            <v>IS_alqt_plus</v>
          </cell>
          <cell r="K6341" t="str">
            <v>LCAT</v>
          </cell>
          <cell r="M6341" t="str">
            <v>F</v>
          </cell>
          <cell r="AB6341" t="str">
            <v>serum</v>
          </cell>
          <cell r="AF6341">
            <v>0.4</v>
          </cell>
        </row>
        <row r="6342">
          <cell r="A6342" t="str">
            <v>IS_alqt_plus</v>
          </cell>
          <cell r="K6342" t="str">
            <v>EFLA</v>
          </cell>
          <cell r="M6342" t="str">
            <v>F</v>
          </cell>
          <cell r="AB6342" t="str">
            <v>serum</v>
          </cell>
          <cell r="AF6342">
            <v>0.5</v>
          </cell>
        </row>
        <row r="6343">
          <cell r="A6343" t="str">
            <v>IS_alqt_plus</v>
          </cell>
          <cell r="K6343" t="str">
            <v>EFLA</v>
          </cell>
          <cell r="M6343" t="str">
            <v>F</v>
          </cell>
          <cell r="AB6343" t="str">
            <v>serum</v>
          </cell>
          <cell r="AF6343">
            <v>1</v>
          </cell>
        </row>
        <row r="6344">
          <cell r="A6344" t="str">
            <v>IS_alqt_plus</v>
          </cell>
          <cell r="K6344" t="str">
            <v>EFLA</v>
          </cell>
          <cell r="M6344" t="str">
            <v>F</v>
          </cell>
          <cell r="AB6344" t="str">
            <v>WB</v>
          </cell>
          <cell r="AF6344">
            <v>0.8</v>
          </cell>
        </row>
        <row r="6345">
          <cell r="A6345" t="str">
            <v>IS_alqt_plus</v>
          </cell>
          <cell r="K6345" t="str">
            <v>LCAT</v>
          </cell>
          <cell r="M6345" t="str">
            <v>F</v>
          </cell>
          <cell r="AB6345" t="str">
            <v>WB</v>
          </cell>
          <cell r="AF6345">
            <v>0.85</v>
          </cell>
        </row>
        <row r="6346">
          <cell r="A6346" t="str">
            <v>gone</v>
          </cell>
          <cell r="K6346" t="str">
            <v>EMAC</v>
          </cell>
          <cell r="M6346" t="str">
            <v>F</v>
          </cell>
          <cell r="AB6346" t="str">
            <v>WB</v>
          </cell>
          <cell r="AF6346">
            <v>0</v>
          </cell>
        </row>
        <row r="6347">
          <cell r="A6347" t="str">
            <v>IS_alqt_plus</v>
          </cell>
          <cell r="K6347" t="str">
            <v>EMAC</v>
          </cell>
          <cell r="M6347" t="str">
            <v>F</v>
          </cell>
          <cell r="AB6347" t="str">
            <v>serum</v>
          </cell>
          <cell r="AF6347">
            <v>0.6</v>
          </cell>
        </row>
        <row r="6348">
          <cell r="A6348" t="str">
            <v>IS_alqt_plus</v>
          </cell>
          <cell r="K6348" t="str">
            <v>EMON</v>
          </cell>
          <cell r="M6348" t="str">
            <v>F</v>
          </cell>
          <cell r="AB6348" t="str">
            <v>WB</v>
          </cell>
          <cell r="AF6348">
            <v>0.2</v>
          </cell>
        </row>
        <row r="6349">
          <cell r="A6349" t="str">
            <v>IS_alqt_plus</v>
          </cell>
          <cell r="K6349" t="str">
            <v>EMON</v>
          </cell>
          <cell r="M6349" t="str">
            <v>F</v>
          </cell>
          <cell r="AB6349" t="str">
            <v>WB</v>
          </cell>
          <cell r="AF6349">
            <v>0.7</v>
          </cell>
        </row>
        <row r="6350">
          <cell r="A6350" t="str">
            <v>unk</v>
          </cell>
          <cell r="K6350" t="str">
            <v>EMON</v>
          </cell>
          <cell r="M6350" t="str">
            <v>M</v>
          </cell>
          <cell r="AB6350" t="str">
            <v>serum</v>
          </cell>
          <cell r="AF6350">
            <v>0.4</v>
          </cell>
        </row>
        <row r="6351">
          <cell r="A6351" t="str">
            <v>IS_alqt_plus</v>
          </cell>
          <cell r="K6351" t="str">
            <v>EMON</v>
          </cell>
          <cell r="M6351" t="str">
            <v>F</v>
          </cell>
          <cell r="AB6351" t="str">
            <v>WB</v>
          </cell>
          <cell r="AF6351">
            <v>0.75</v>
          </cell>
        </row>
        <row r="6352">
          <cell r="A6352" t="str">
            <v>IS_alqt_plus</v>
          </cell>
          <cell r="K6352" t="str">
            <v>ECOL</v>
          </cell>
          <cell r="M6352" t="str">
            <v>M</v>
          </cell>
          <cell r="AB6352" t="str">
            <v>WB</v>
          </cell>
          <cell r="AF6352">
            <v>1</v>
          </cell>
        </row>
        <row r="6353">
          <cell r="A6353" t="str">
            <v>IS_alqt_plus</v>
          </cell>
          <cell r="K6353" t="str">
            <v>LCAT</v>
          </cell>
          <cell r="M6353" t="str">
            <v>M</v>
          </cell>
          <cell r="AB6353" t="str">
            <v>WB</v>
          </cell>
          <cell r="AF6353">
            <v>0.65</v>
          </cell>
        </row>
        <row r="6354">
          <cell r="A6354" t="str">
            <v>unk</v>
          </cell>
          <cell r="K6354" t="str">
            <v>VRUB</v>
          </cell>
          <cell r="M6354" t="str">
            <v>F</v>
          </cell>
          <cell r="AB6354" t="str">
            <v>WB</v>
          </cell>
          <cell r="AF6354">
            <v>5</v>
          </cell>
        </row>
        <row r="6355">
          <cell r="A6355" t="str">
            <v>IS_alqt_plus</v>
          </cell>
          <cell r="K6355" t="str">
            <v>LCAT</v>
          </cell>
          <cell r="M6355" t="str">
            <v>M</v>
          </cell>
          <cell r="AB6355" t="str">
            <v>serum</v>
          </cell>
          <cell r="AF6355">
            <v>1</v>
          </cell>
        </row>
        <row r="6356">
          <cell r="A6356" t="str">
            <v>gone</v>
          </cell>
          <cell r="K6356" t="str">
            <v>LCAT</v>
          </cell>
          <cell r="M6356" t="str">
            <v>F</v>
          </cell>
          <cell r="AB6356" t="str">
            <v>serum</v>
          </cell>
          <cell r="AF6356">
            <v>0</v>
          </cell>
        </row>
        <row r="6357">
          <cell r="A6357" t="str">
            <v>IS_alqt_plus</v>
          </cell>
          <cell r="K6357" t="str">
            <v>LCAT</v>
          </cell>
          <cell r="M6357" t="str">
            <v>F</v>
          </cell>
          <cell r="AB6357" t="str">
            <v>WB</v>
          </cell>
          <cell r="AF6357">
            <v>0.55000000000000004</v>
          </cell>
        </row>
        <row r="6358">
          <cell r="A6358" t="str">
            <v>IS_alqt_plus</v>
          </cell>
          <cell r="K6358" t="str">
            <v>PCOQ</v>
          </cell>
          <cell r="M6358" t="str">
            <v>M</v>
          </cell>
          <cell r="AB6358" t="str">
            <v>serum</v>
          </cell>
          <cell r="AF6358">
            <v>0.3</v>
          </cell>
        </row>
        <row r="6359">
          <cell r="A6359" t="str">
            <v>IS_alqt_plus</v>
          </cell>
          <cell r="K6359" t="str">
            <v>LCAT</v>
          </cell>
          <cell r="M6359" t="str">
            <v>F</v>
          </cell>
          <cell r="AB6359" t="str">
            <v>WB</v>
          </cell>
          <cell r="AF6359">
            <v>0.6</v>
          </cell>
        </row>
        <row r="6360">
          <cell r="A6360" t="str">
            <v>IS_alqt_plus</v>
          </cell>
          <cell r="K6360" t="str">
            <v>LCAT</v>
          </cell>
          <cell r="M6360" t="str">
            <v>M</v>
          </cell>
          <cell r="AB6360" t="str">
            <v>WB</v>
          </cell>
          <cell r="AF6360">
            <v>0.4</v>
          </cell>
        </row>
        <row r="6361">
          <cell r="A6361" t="str">
            <v>IS_alqt_plus</v>
          </cell>
          <cell r="K6361" t="str">
            <v>CMED</v>
          </cell>
          <cell r="M6361" t="str">
            <v>M</v>
          </cell>
          <cell r="AB6361" t="str">
            <v>WB</v>
          </cell>
          <cell r="AF6361">
            <v>0.25</v>
          </cell>
        </row>
        <row r="6362">
          <cell r="A6362" t="str">
            <v>unk</v>
          </cell>
          <cell r="K6362" t="str">
            <v>CMED</v>
          </cell>
          <cell r="M6362" t="str">
            <v>M</v>
          </cell>
          <cell r="AB6362" t="str">
            <v>WB</v>
          </cell>
          <cell r="AF6362">
            <v>0.25</v>
          </cell>
        </row>
        <row r="6363">
          <cell r="A6363" t="str">
            <v>IS_alqt_plus</v>
          </cell>
          <cell r="K6363" t="str">
            <v>LCAT</v>
          </cell>
          <cell r="M6363" t="str">
            <v>M</v>
          </cell>
          <cell r="AB6363" t="str">
            <v>WB</v>
          </cell>
          <cell r="AF6363">
            <v>0.75</v>
          </cell>
        </row>
        <row r="6364">
          <cell r="A6364" t="str">
            <v>IS_alqt_plus</v>
          </cell>
          <cell r="K6364" t="str">
            <v>LCAT</v>
          </cell>
          <cell r="M6364" t="str">
            <v>M</v>
          </cell>
          <cell r="AB6364" t="str">
            <v>WB</v>
          </cell>
          <cell r="AF6364">
            <v>0.5</v>
          </cell>
        </row>
        <row r="6365">
          <cell r="A6365" t="str">
            <v>IS_alqt_plus</v>
          </cell>
          <cell r="K6365" t="str">
            <v>LCAT</v>
          </cell>
          <cell r="M6365" t="str">
            <v>M</v>
          </cell>
          <cell r="AB6365" t="str">
            <v>WB</v>
          </cell>
          <cell r="AF6365">
            <v>1</v>
          </cell>
        </row>
        <row r="6366">
          <cell r="A6366" t="str">
            <v>IS_alqt_plus</v>
          </cell>
          <cell r="K6366" t="str">
            <v>LCAT</v>
          </cell>
          <cell r="M6366" t="str">
            <v>M</v>
          </cell>
          <cell r="AB6366" t="str">
            <v>WB</v>
          </cell>
          <cell r="AF6366">
            <v>0.2</v>
          </cell>
        </row>
        <row r="6367">
          <cell r="A6367" t="str">
            <v>IS_alqt_plus</v>
          </cell>
          <cell r="K6367" t="str">
            <v>LCAT</v>
          </cell>
          <cell r="M6367" t="str">
            <v>F</v>
          </cell>
          <cell r="AB6367" t="str">
            <v>WB</v>
          </cell>
          <cell r="AF6367">
            <v>0.75</v>
          </cell>
        </row>
        <row r="6368">
          <cell r="A6368" t="str">
            <v>IS_alqt_plus</v>
          </cell>
          <cell r="K6368" t="str">
            <v>LCAT</v>
          </cell>
          <cell r="M6368" t="str">
            <v>F</v>
          </cell>
          <cell r="AB6368" t="str">
            <v>WB</v>
          </cell>
          <cell r="AF6368">
            <v>0.75</v>
          </cell>
        </row>
        <row r="6369">
          <cell r="A6369" t="str">
            <v>IS_alqt_minus</v>
          </cell>
          <cell r="K6369" t="str">
            <v>LCAT</v>
          </cell>
          <cell r="M6369" t="str">
            <v>F</v>
          </cell>
          <cell r="AB6369" t="str">
            <v>WB</v>
          </cell>
          <cell r="AF6369">
            <v>0.1</v>
          </cell>
        </row>
        <row r="6370">
          <cell r="A6370" t="str">
            <v>IS_alqt_plus</v>
          </cell>
          <cell r="K6370" t="str">
            <v>LCAT</v>
          </cell>
          <cell r="M6370" t="str">
            <v>F</v>
          </cell>
          <cell r="AB6370" t="str">
            <v>WB</v>
          </cell>
          <cell r="AF6370">
            <v>1</v>
          </cell>
        </row>
        <row r="6371">
          <cell r="A6371" t="str">
            <v>gone</v>
          </cell>
          <cell r="K6371" t="str">
            <v>LCAT</v>
          </cell>
          <cell r="M6371" t="str">
            <v>F</v>
          </cell>
          <cell r="AB6371" t="str">
            <v>WB</v>
          </cell>
          <cell r="AF6371">
            <v>0</v>
          </cell>
        </row>
        <row r="6372">
          <cell r="A6372" t="str">
            <v>gone</v>
          </cell>
          <cell r="K6372" t="str">
            <v>LCAT</v>
          </cell>
          <cell r="M6372" t="str">
            <v>M</v>
          </cell>
          <cell r="AB6372" t="str">
            <v>WB</v>
          </cell>
          <cell r="AF6372">
            <v>0</v>
          </cell>
        </row>
        <row r="6373">
          <cell r="A6373" t="str">
            <v>IS_alqt_plus</v>
          </cell>
          <cell r="K6373" t="str">
            <v>LCAT</v>
          </cell>
          <cell r="M6373" t="str">
            <v>F</v>
          </cell>
          <cell r="AB6373" t="str">
            <v>WB</v>
          </cell>
          <cell r="AF6373">
            <v>0.5</v>
          </cell>
        </row>
        <row r="6374">
          <cell r="A6374" t="str">
            <v>IS_alqt_plus</v>
          </cell>
          <cell r="K6374" t="str">
            <v>LCAT</v>
          </cell>
          <cell r="M6374" t="str">
            <v>F</v>
          </cell>
          <cell r="AB6374" t="str">
            <v>WB</v>
          </cell>
          <cell r="AF6374">
            <v>1.2</v>
          </cell>
        </row>
        <row r="6375">
          <cell r="A6375" t="str">
            <v>IS_alqt_plus</v>
          </cell>
          <cell r="K6375" t="str">
            <v>LCAT</v>
          </cell>
          <cell r="M6375" t="str">
            <v>F</v>
          </cell>
          <cell r="AB6375" t="str">
            <v>WB</v>
          </cell>
          <cell r="AF6375">
            <v>1.1000000000000001</v>
          </cell>
        </row>
        <row r="6376">
          <cell r="A6376" t="str">
            <v>IS_alqt_plus</v>
          </cell>
          <cell r="K6376" t="str">
            <v>LCAT</v>
          </cell>
          <cell r="M6376" t="str">
            <v>F</v>
          </cell>
          <cell r="AB6376" t="str">
            <v>WB</v>
          </cell>
          <cell r="AF6376">
            <v>1.3</v>
          </cell>
        </row>
        <row r="6377">
          <cell r="A6377" t="str">
            <v>IS_alqt_plus</v>
          </cell>
          <cell r="K6377" t="str">
            <v>LCAT</v>
          </cell>
          <cell r="M6377" t="str">
            <v>F</v>
          </cell>
          <cell r="AB6377" t="str">
            <v>WB</v>
          </cell>
          <cell r="AF6377">
            <v>1.3</v>
          </cell>
        </row>
        <row r="6378">
          <cell r="A6378" t="str">
            <v>IS_alqt_plus</v>
          </cell>
          <cell r="K6378" t="str">
            <v>LCAT</v>
          </cell>
          <cell r="M6378" t="str">
            <v>F</v>
          </cell>
          <cell r="AB6378" t="str">
            <v>WB</v>
          </cell>
          <cell r="AF6378">
            <v>1.3</v>
          </cell>
        </row>
        <row r="6379">
          <cell r="A6379" t="str">
            <v>IS_alqt_plus</v>
          </cell>
          <cell r="K6379" t="str">
            <v>LCAT</v>
          </cell>
          <cell r="M6379" t="str">
            <v>F</v>
          </cell>
          <cell r="AB6379" t="str">
            <v>WB</v>
          </cell>
          <cell r="AF6379">
            <v>1.3</v>
          </cell>
        </row>
        <row r="6380">
          <cell r="A6380" t="str">
            <v>IS_alqt_plus</v>
          </cell>
          <cell r="K6380" t="str">
            <v>LCAT</v>
          </cell>
          <cell r="M6380" t="str">
            <v>F</v>
          </cell>
          <cell r="AB6380" t="str">
            <v>WB</v>
          </cell>
          <cell r="AF6380">
            <v>1</v>
          </cell>
        </row>
        <row r="6381">
          <cell r="A6381" t="str">
            <v>IS_alqt_plus</v>
          </cell>
          <cell r="K6381" t="str">
            <v>LCAT</v>
          </cell>
          <cell r="M6381" t="str">
            <v>F</v>
          </cell>
          <cell r="AB6381" t="str">
            <v>WB</v>
          </cell>
          <cell r="AF6381">
            <v>1.3</v>
          </cell>
        </row>
        <row r="6382">
          <cell r="A6382" t="str">
            <v>IS_alqt_plus</v>
          </cell>
          <cell r="K6382" t="str">
            <v>LCAT</v>
          </cell>
          <cell r="M6382" t="str">
            <v>F</v>
          </cell>
          <cell r="AB6382" t="str">
            <v>WB</v>
          </cell>
          <cell r="AF6382">
            <v>1</v>
          </cell>
        </row>
        <row r="6383">
          <cell r="A6383" t="str">
            <v>IS_alqt_plus</v>
          </cell>
          <cell r="K6383" t="str">
            <v>LCAT</v>
          </cell>
          <cell r="M6383" t="str">
            <v>F</v>
          </cell>
          <cell r="AB6383" t="str">
            <v>WB</v>
          </cell>
          <cell r="AF6383">
            <v>0.75</v>
          </cell>
        </row>
        <row r="6384">
          <cell r="A6384" t="str">
            <v>IS_alqt_plus</v>
          </cell>
          <cell r="K6384" t="str">
            <v>LCAT</v>
          </cell>
          <cell r="M6384" t="str">
            <v>F</v>
          </cell>
          <cell r="AB6384" t="str">
            <v>WB</v>
          </cell>
          <cell r="AF6384">
            <v>1.2</v>
          </cell>
        </row>
        <row r="6385">
          <cell r="A6385" t="str">
            <v>IS_alqt_plus</v>
          </cell>
          <cell r="K6385" t="str">
            <v>LCAT</v>
          </cell>
          <cell r="M6385" t="str">
            <v>F</v>
          </cell>
          <cell r="AB6385" t="str">
            <v>WB</v>
          </cell>
          <cell r="AF6385">
            <v>0.4</v>
          </cell>
        </row>
        <row r="6386">
          <cell r="A6386" t="str">
            <v>IS_alqt_plus</v>
          </cell>
          <cell r="K6386" t="str">
            <v>LCAT</v>
          </cell>
          <cell r="M6386" t="str">
            <v>F</v>
          </cell>
          <cell r="AB6386" t="str">
            <v>serum</v>
          </cell>
          <cell r="AF6386">
            <v>1.5</v>
          </cell>
        </row>
        <row r="6387">
          <cell r="A6387" t="str">
            <v>IS_alqt_plus</v>
          </cell>
          <cell r="K6387" t="str">
            <v>LCAT</v>
          </cell>
          <cell r="M6387" t="str">
            <v>F</v>
          </cell>
          <cell r="AB6387" t="str">
            <v>serum</v>
          </cell>
          <cell r="AF6387">
            <v>1.5</v>
          </cell>
        </row>
        <row r="6388">
          <cell r="A6388" t="str">
            <v>IS_alqt_plus</v>
          </cell>
          <cell r="K6388" t="str">
            <v>LCAT</v>
          </cell>
          <cell r="M6388" t="str">
            <v>F</v>
          </cell>
          <cell r="AB6388" t="str">
            <v>serum</v>
          </cell>
          <cell r="AF6388">
            <v>1</v>
          </cell>
        </row>
        <row r="6389">
          <cell r="A6389" t="str">
            <v>IS_alqt_plus</v>
          </cell>
          <cell r="K6389" t="str">
            <v>LCAT</v>
          </cell>
          <cell r="M6389" t="str">
            <v>F</v>
          </cell>
          <cell r="AB6389" t="str">
            <v>serum</v>
          </cell>
          <cell r="AF6389">
            <v>1.5</v>
          </cell>
        </row>
        <row r="6390">
          <cell r="A6390" t="str">
            <v>IS_alqt_plus</v>
          </cell>
          <cell r="K6390" t="str">
            <v>LCAT</v>
          </cell>
          <cell r="M6390" t="str">
            <v>F</v>
          </cell>
          <cell r="AB6390" t="str">
            <v>serum</v>
          </cell>
          <cell r="AF6390">
            <v>1.5</v>
          </cell>
        </row>
        <row r="6391">
          <cell r="A6391" t="str">
            <v>IS_alqt_plus</v>
          </cell>
          <cell r="K6391" t="str">
            <v>LCAT</v>
          </cell>
          <cell r="M6391" t="str">
            <v>F</v>
          </cell>
          <cell r="AB6391" t="str">
            <v>serum</v>
          </cell>
          <cell r="AF6391">
            <v>1.25</v>
          </cell>
        </row>
        <row r="6392">
          <cell r="A6392" t="str">
            <v>IS_alqt_plus</v>
          </cell>
          <cell r="K6392" t="str">
            <v>LCAT</v>
          </cell>
          <cell r="M6392" t="str">
            <v>F</v>
          </cell>
          <cell r="AB6392" t="str">
            <v>serum</v>
          </cell>
          <cell r="AF6392">
            <v>1.5</v>
          </cell>
        </row>
        <row r="6393">
          <cell r="A6393" t="str">
            <v>IS_alqt_plus</v>
          </cell>
          <cell r="K6393" t="str">
            <v>LCAT</v>
          </cell>
          <cell r="M6393" t="str">
            <v>F</v>
          </cell>
          <cell r="AB6393" t="str">
            <v>serum</v>
          </cell>
          <cell r="AF6393">
            <v>0.75</v>
          </cell>
        </row>
        <row r="6394">
          <cell r="A6394" t="str">
            <v>IS_alqt_plus</v>
          </cell>
          <cell r="K6394" t="str">
            <v>VRUB</v>
          </cell>
          <cell r="M6394" t="str">
            <v>F</v>
          </cell>
          <cell r="AB6394" t="str">
            <v>WB</v>
          </cell>
          <cell r="AF6394">
            <v>0.65</v>
          </cell>
        </row>
        <row r="6395">
          <cell r="A6395" t="str">
            <v>IS_alqt_plus</v>
          </cell>
          <cell r="K6395" t="str">
            <v>VRUB</v>
          </cell>
          <cell r="M6395" t="str">
            <v>F</v>
          </cell>
          <cell r="AB6395" t="str">
            <v>WB</v>
          </cell>
          <cell r="AF6395">
            <v>0.5</v>
          </cell>
        </row>
        <row r="6396">
          <cell r="A6396" t="str">
            <v>IS_alqt_plus</v>
          </cell>
          <cell r="K6396" t="str">
            <v>VRUB</v>
          </cell>
          <cell r="M6396" t="str">
            <v>F</v>
          </cell>
          <cell r="AB6396" t="str">
            <v>WB</v>
          </cell>
          <cell r="AF6396">
            <v>0.6</v>
          </cell>
        </row>
        <row r="6397">
          <cell r="A6397" t="str">
            <v>IS_alqt_plus</v>
          </cell>
          <cell r="K6397" t="str">
            <v>VRUB</v>
          </cell>
          <cell r="M6397" t="str">
            <v>F</v>
          </cell>
          <cell r="AB6397" t="str">
            <v>WB</v>
          </cell>
          <cell r="AF6397">
            <v>0.4</v>
          </cell>
        </row>
        <row r="6398">
          <cell r="A6398" t="str">
            <v>IS_alqt_plus</v>
          </cell>
          <cell r="K6398" t="str">
            <v>VVV</v>
          </cell>
          <cell r="M6398" t="str">
            <v>F</v>
          </cell>
          <cell r="AB6398" t="str">
            <v>WB</v>
          </cell>
          <cell r="AF6398">
            <v>0.65</v>
          </cell>
        </row>
        <row r="6399">
          <cell r="A6399" t="str">
            <v>IS_alqt_plus</v>
          </cell>
          <cell r="K6399" t="str">
            <v>VVV</v>
          </cell>
          <cell r="M6399" t="str">
            <v>F</v>
          </cell>
          <cell r="AB6399" t="str">
            <v>WB</v>
          </cell>
          <cell r="AF6399">
            <v>0.7</v>
          </cell>
        </row>
        <row r="6400">
          <cell r="A6400" t="str">
            <v>IS_alqt_plus</v>
          </cell>
          <cell r="K6400" t="str">
            <v>VVV</v>
          </cell>
          <cell r="M6400" t="str">
            <v>F</v>
          </cell>
          <cell r="AB6400" t="str">
            <v>WB</v>
          </cell>
          <cell r="AF6400">
            <v>0.6</v>
          </cell>
        </row>
        <row r="6401">
          <cell r="A6401" t="str">
            <v>IS_alqt_plus</v>
          </cell>
          <cell r="K6401" t="str">
            <v>VVV</v>
          </cell>
          <cell r="M6401" t="str">
            <v>F</v>
          </cell>
          <cell r="AB6401" t="str">
            <v>WB</v>
          </cell>
          <cell r="AF6401">
            <v>0.6</v>
          </cell>
        </row>
        <row r="6402">
          <cell r="A6402" t="str">
            <v>IS_alqt_plus</v>
          </cell>
          <cell r="K6402" t="str">
            <v>ERUB</v>
          </cell>
          <cell r="M6402" t="str">
            <v>F</v>
          </cell>
          <cell r="AB6402" t="str">
            <v>WB</v>
          </cell>
          <cell r="AF6402">
            <v>1.2</v>
          </cell>
        </row>
        <row r="6403">
          <cell r="A6403" t="str">
            <v>IS_alqt_plus</v>
          </cell>
          <cell r="K6403" t="str">
            <v>ERUB</v>
          </cell>
          <cell r="M6403" t="str">
            <v>F</v>
          </cell>
          <cell r="AB6403" t="str">
            <v>WB</v>
          </cell>
          <cell r="AF6403">
            <v>1.2</v>
          </cell>
        </row>
        <row r="6404">
          <cell r="A6404" t="str">
            <v>IS_alqt_plus</v>
          </cell>
          <cell r="K6404" t="str">
            <v>ERUB</v>
          </cell>
          <cell r="M6404" t="str">
            <v>F</v>
          </cell>
          <cell r="AB6404" t="str">
            <v>WB</v>
          </cell>
          <cell r="AF6404">
            <v>1.2</v>
          </cell>
        </row>
        <row r="6405">
          <cell r="A6405" t="str">
            <v>IS_alqt_plus</v>
          </cell>
          <cell r="K6405" t="str">
            <v>ERUB</v>
          </cell>
          <cell r="M6405" t="str">
            <v>F</v>
          </cell>
          <cell r="AB6405" t="str">
            <v>WB</v>
          </cell>
          <cell r="AF6405">
            <v>1.2</v>
          </cell>
        </row>
        <row r="6406">
          <cell r="A6406" t="str">
            <v>IS_alqt_plus</v>
          </cell>
          <cell r="K6406" t="str">
            <v>ERUB</v>
          </cell>
          <cell r="M6406" t="str">
            <v>F</v>
          </cell>
          <cell r="AB6406" t="str">
            <v>WB</v>
          </cell>
          <cell r="AF6406">
            <v>1.2</v>
          </cell>
        </row>
        <row r="6407">
          <cell r="A6407" t="str">
            <v>IS_alqt_plus</v>
          </cell>
          <cell r="K6407" t="str">
            <v>ERUB</v>
          </cell>
          <cell r="M6407" t="str">
            <v>F</v>
          </cell>
          <cell r="AB6407" t="str">
            <v>WB</v>
          </cell>
          <cell r="AF6407">
            <v>0.75</v>
          </cell>
        </row>
        <row r="6408">
          <cell r="A6408" t="str">
            <v>IS_alqt_plus</v>
          </cell>
          <cell r="K6408" t="str">
            <v>ERUB</v>
          </cell>
          <cell r="M6408" t="str">
            <v>F</v>
          </cell>
          <cell r="AB6408" t="str">
            <v>WB</v>
          </cell>
          <cell r="AF6408">
            <v>1.2</v>
          </cell>
        </row>
        <row r="6409">
          <cell r="A6409" t="str">
            <v>IS_alqt_plus</v>
          </cell>
          <cell r="K6409" t="str">
            <v>ERUB</v>
          </cell>
          <cell r="M6409" t="str">
            <v>F</v>
          </cell>
          <cell r="AB6409" t="str">
            <v>WB</v>
          </cell>
          <cell r="AF6409">
            <v>1.2</v>
          </cell>
        </row>
        <row r="6410">
          <cell r="A6410" t="str">
            <v>IS_alqt_plus</v>
          </cell>
          <cell r="K6410" t="str">
            <v>ERUB</v>
          </cell>
          <cell r="M6410" t="str">
            <v>F</v>
          </cell>
          <cell r="AB6410" t="str">
            <v>WB</v>
          </cell>
          <cell r="AF6410">
            <v>1.2</v>
          </cell>
        </row>
        <row r="6411">
          <cell r="A6411" t="str">
            <v>IS_alqt_plus</v>
          </cell>
          <cell r="K6411" t="str">
            <v>ERUB</v>
          </cell>
          <cell r="M6411" t="str">
            <v>F</v>
          </cell>
          <cell r="AB6411" t="str">
            <v>WB</v>
          </cell>
          <cell r="AF6411">
            <v>1.25</v>
          </cell>
        </row>
        <row r="6412">
          <cell r="A6412" t="str">
            <v>IS_alqt_plus</v>
          </cell>
          <cell r="K6412" t="str">
            <v>ERUB</v>
          </cell>
          <cell r="M6412" t="str">
            <v>F</v>
          </cell>
          <cell r="AB6412" t="str">
            <v>WB</v>
          </cell>
          <cell r="AF6412">
            <v>1.25</v>
          </cell>
        </row>
        <row r="6413">
          <cell r="A6413" t="str">
            <v>gone</v>
          </cell>
          <cell r="K6413" t="str">
            <v>ERUB</v>
          </cell>
          <cell r="M6413" t="str">
            <v>F</v>
          </cell>
          <cell r="AB6413" t="str">
            <v>WB</v>
          </cell>
          <cell r="AF6413">
            <v>0</v>
          </cell>
        </row>
        <row r="6414">
          <cell r="A6414" t="str">
            <v>IS_alqt_plus</v>
          </cell>
          <cell r="K6414" t="str">
            <v>ERUB</v>
          </cell>
          <cell r="M6414" t="str">
            <v>F</v>
          </cell>
          <cell r="AB6414" t="str">
            <v>WB</v>
          </cell>
          <cell r="AF6414">
            <v>1.3</v>
          </cell>
        </row>
        <row r="6415">
          <cell r="A6415" t="str">
            <v>IS_alqt_plus</v>
          </cell>
          <cell r="K6415" t="str">
            <v>ERUB</v>
          </cell>
          <cell r="M6415" t="str">
            <v>F</v>
          </cell>
          <cell r="AB6415" t="str">
            <v>WB</v>
          </cell>
          <cell r="AF6415">
            <v>1.2</v>
          </cell>
        </row>
        <row r="6416">
          <cell r="A6416" t="str">
            <v>IS_alqt_plus</v>
          </cell>
          <cell r="K6416" t="str">
            <v>ESAN</v>
          </cell>
          <cell r="M6416" t="str">
            <v>F</v>
          </cell>
          <cell r="AB6416" t="str">
            <v>serum</v>
          </cell>
          <cell r="AF6416">
            <v>1</v>
          </cell>
        </row>
        <row r="6417">
          <cell r="A6417" t="str">
            <v>IS_alqt_plus</v>
          </cell>
          <cell r="K6417" t="str">
            <v>ESAN</v>
          </cell>
          <cell r="M6417" t="str">
            <v>F</v>
          </cell>
          <cell r="AB6417" t="str">
            <v>serum</v>
          </cell>
          <cell r="AF6417">
            <v>1</v>
          </cell>
        </row>
        <row r="6418">
          <cell r="A6418" t="str">
            <v>IS_alqt_plus</v>
          </cell>
          <cell r="K6418" t="str">
            <v>ERUB</v>
          </cell>
          <cell r="M6418" t="str">
            <v>F</v>
          </cell>
          <cell r="AB6418" t="str">
            <v>serum</v>
          </cell>
          <cell r="AF6418">
            <v>1.2</v>
          </cell>
        </row>
        <row r="6419">
          <cell r="A6419" t="str">
            <v>IS_alqt_plus</v>
          </cell>
          <cell r="K6419" t="str">
            <v>ERUB</v>
          </cell>
          <cell r="M6419" t="str">
            <v>F</v>
          </cell>
          <cell r="AB6419" t="str">
            <v>serum</v>
          </cell>
          <cell r="AF6419">
            <v>1</v>
          </cell>
        </row>
        <row r="6420">
          <cell r="A6420" t="str">
            <v>IS_alqt_plus</v>
          </cell>
          <cell r="K6420" t="str">
            <v>ERUB</v>
          </cell>
          <cell r="M6420" t="str">
            <v>F</v>
          </cell>
          <cell r="AB6420" t="str">
            <v>serum</v>
          </cell>
          <cell r="AF6420">
            <v>1.25</v>
          </cell>
        </row>
        <row r="6421">
          <cell r="A6421" t="str">
            <v>IS_alqt_plus</v>
          </cell>
          <cell r="K6421" t="str">
            <v>ERUB</v>
          </cell>
          <cell r="M6421" t="str">
            <v>F</v>
          </cell>
          <cell r="AB6421" t="str">
            <v>serum</v>
          </cell>
          <cell r="AF6421">
            <v>1</v>
          </cell>
        </row>
        <row r="6422">
          <cell r="A6422" t="str">
            <v>IS_alqt_plus</v>
          </cell>
          <cell r="K6422" t="str">
            <v>ERUB</v>
          </cell>
          <cell r="M6422" t="str">
            <v>F</v>
          </cell>
          <cell r="AB6422" t="str">
            <v>serum</v>
          </cell>
          <cell r="AF6422">
            <v>1.2</v>
          </cell>
        </row>
        <row r="6423">
          <cell r="A6423" t="str">
            <v>IS_alqt_plus</v>
          </cell>
          <cell r="K6423" t="str">
            <v>ERUB</v>
          </cell>
          <cell r="M6423" t="str">
            <v>F</v>
          </cell>
          <cell r="AB6423" t="str">
            <v>serum</v>
          </cell>
          <cell r="AF6423">
            <v>1.2</v>
          </cell>
        </row>
        <row r="6424">
          <cell r="A6424" t="str">
            <v>IS_alqt_plus</v>
          </cell>
          <cell r="K6424" t="str">
            <v>ERUB</v>
          </cell>
          <cell r="M6424" t="str">
            <v>F</v>
          </cell>
          <cell r="AB6424" t="str">
            <v>serum</v>
          </cell>
          <cell r="AF6424">
            <v>1</v>
          </cell>
        </row>
        <row r="6425">
          <cell r="A6425" t="str">
            <v>IS_alqt_plus</v>
          </cell>
          <cell r="K6425" t="str">
            <v>ERUB</v>
          </cell>
          <cell r="M6425" t="str">
            <v>F</v>
          </cell>
          <cell r="AB6425" t="str">
            <v>serum</v>
          </cell>
          <cell r="AF6425">
            <v>1</v>
          </cell>
        </row>
        <row r="6426">
          <cell r="A6426" t="str">
            <v>IS_alqt_plus</v>
          </cell>
          <cell r="K6426" t="str">
            <v>ERUB</v>
          </cell>
          <cell r="M6426" t="str">
            <v>F</v>
          </cell>
          <cell r="AB6426" t="str">
            <v>serum</v>
          </cell>
          <cell r="AF6426">
            <v>1</v>
          </cell>
        </row>
        <row r="6427">
          <cell r="A6427" t="str">
            <v>IS_alqt_plus</v>
          </cell>
          <cell r="K6427" t="str">
            <v>ERUB</v>
          </cell>
          <cell r="M6427" t="str">
            <v>F</v>
          </cell>
          <cell r="AB6427" t="str">
            <v>serum</v>
          </cell>
          <cell r="AF6427">
            <v>1</v>
          </cell>
        </row>
        <row r="6428">
          <cell r="A6428" t="str">
            <v>IS_alqt_plus</v>
          </cell>
          <cell r="K6428" t="str">
            <v>ERUB</v>
          </cell>
          <cell r="M6428" t="str">
            <v>F</v>
          </cell>
          <cell r="AB6428" t="str">
            <v>serum</v>
          </cell>
          <cell r="AF6428">
            <v>1</v>
          </cell>
        </row>
        <row r="6429">
          <cell r="A6429" t="str">
            <v>IS_alqt_plus</v>
          </cell>
          <cell r="K6429" t="str">
            <v>ERUB</v>
          </cell>
          <cell r="M6429" t="str">
            <v>F</v>
          </cell>
          <cell r="AB6429" t="str">
            <v>serum</v>
          </cell>
          <cell r="AF6429">
            <v>1</v>
          </cell>
        </row>
        <row r="6430">
          <cell r="A6430" t="str">
            <v>IS_alqt_plus</v>
          </cell>
          <cell r="K6430" t="str">
            <v>ERUB</v>
          </cell>
          <cell r="M6430" t="str">
            <v>F</v>
          </cell>
          <cell r="AB6430" t="str">
            <v>serum</v>
          </cell>
          <cell r="AF6430">
            <v>1</v>
          </cell>
        </row>
        <row r="6431">
          <cell r="A6431" t="str">
            <v>IS_alqt_plus</v>
          </cell>
          <cell r="K6431" t="str">
            <v>ERUB</v>
          </cell>
          <cell r="M6431" t="str">
            <v>F</v>
          </cell>
          <cell r="AB6431" t="str">
            <v>serum</v>
          </cell>
          <cell r="AF6431">
            <v>1</v>
          </cell>
        </row>
        <row r="6432">
          <cell r="A6432" t="str">
            <v>IS_alqt_plus</v>
          </cell>
          <cell r="K6432" t="str">
            <v>ERUB</v>
          </cell>
          <cell r="M6432" t="str">
            <v>F</v>
          </cell>
          <cell r="AB6432" t="str">
            <v>serum</v>
          </cell>
          <cell r="AF6432">
            <v>1</v>
          </cell>
        </row>
        <row r="6433">
          <cell r="A6433" t="str">
            <v>IS_alqt_plus</v>
          </cell>
          <cell r="K6433" t="str">
            <v>ERUB</v>
          </cell>
          <cell r="M6433" t="str">
            <v>F</v>
          </cell>
          <cell r="AB6433" t="str">
            <v>serum</v>
          </cell>
          <cell r="AF6433">
            <v>1</v>
          </cell>
        </row>
        <row r="6434">
          <cell r="A6434" t="str">
            <v>IS_alqt_plus</v>
          </cell>
          <cell r="K6434" t="str">
            <v>ERUB</v>
          </cell>
          <cell r="M6434" t="str">
            <v>F</v>
          </cell>
          <cell r="AB6434" t="str">
            <v>serum</v>
          </cell>
          <cell r="AF6434">
            <v>1</v>
          </cell>
        </row>
        <row r="6435">
          <cell r="A6435" t="str">
            <v>IS_alqt_plus</v>
          </cell>
          <cell r="K6435" t="str">
            <v>ERUB</v>
          </cell>
          <cell r="M6435" t="str">
            <v>F</v>
          </cell>
          <cell r="AB6435" t="str">
            <v>serum</v>
          </cell>
          <cell r="AF6435">
            <v>1.25</v>
          </cell>
        </row>
        <row r="6436">
          <cell r="A6436" t="str">
            <v>IS_alqt_plus</v>
          </cell>
          <cell r="K6436" t="str">
            <v>ERUB</v>
          </cell>
          <cell r="M6436" t="str">
            <v>F</v>
          </cell>
          <cell r="AB6436" t="str">
            <v>serum</v>
          </cell>
          <cell r="AF6436">
            <v>1</v>
          </cell>
        </row>
        <row r="6437">
          <cell r="A6437" t="str">
            <v>IS_alqt_plus</v>
          </cell>
          <cell r="K6437" t="str">
            <v>ERUB</v>
          </cell>
          <cell r="M6437" t="str">
            <v>F</v>
          </cell>
          <cell r="AB6437" t="str">
            <v>serum</v>
          </cell>
          <cell r="AF6437">
            <v>1</v>
          </cell>
        </row>
        <row r="6438">
          <cell r="A6438" t="str">
            <v>IS_alqt_plus</v>
          </cell>
          <cell r="K6438" t="str">
            <v>ERUB</v>
          </cell>
          <cell r="M6438" t="str">
            <v>F</v>
          </cell>
          <cell r="AB6438" t="str">
            <v>serum</v>
          </cell>
          <cell r="AF6438">
            <v>1</v>
          </cell>
        </row>
        <row r="6439">
          <cell r="A6439" t="str">
            <v>IS_alqt_plus</v>
          </cell>
          <cell r="K6439" t="str">
            <v>ERUB</v>
          </cell>
          <cell r="M6439" t="str">
            <v>F</v>
          </cell>
          <cell r="AB6439" t="str">
            <v>serum</v>
          </cell>
          <cell r="AF6439">
            <v>1</v>
          </cell>
        </row>
        <row r="6440">
          <cell r="A6440" t="str">
            <v>IS_alqt_plus</v>
          </cell>
          <cell r="K6440" t="str">
            <v>ERUB</v>
          </cell>
          <cell r="M6440" t="str">
            <v>F</v>
          </cell>
          <cell r="AB6440" t="str">
            <v>serum</v>
          </cell>
          <cell r="AF6440">
            <v>1</v>
          </cell>
        </row>
        <row r="6441">
          <cell r="A6441" t="str">
            <v>IS_alqt_plus</v>
          </cell>
          <cell r="K6441" t="str">
            <v>ERUB</v>
          </cell>
          <cell r="M6441" t="str">
            <v>F</v>
          </cell>
          <cell r="AB6441" t="str">
            <v>serum</v>
          </cell>
          <cell r="AF6441">
            <v>1</v>
          </cell>
        </row>
        <row r="6442">
          <cell r="A6442" t="str">
            <v>IS_alqt_plus</v>
          </cell>
          <cell r="K6442" t="str">
            <v>ERUB</v>
          </cell>
          <cell r="M6442" t="str">
            <v>F</v>
          </cell>
          <cell r="AB6442" t="str">
            <v>serum</v>
          </cell>
          <cell r="AF6442">
            <v>1</v>
          </cell>
        </row>
        <row r="6443">
          <cell r="A6443" t="str">
            <v>IS_alqt_plus</v>
          </cell>
          <cell r="K6443" t="str">
            <v>ERUB</v>
          </cell>
          <cell r="M6443" t="str">
            <v>F</v>
          </cell>
          <cell r="AB6443" t="str">
            <v>serum</v>
          </cell>
          <cell r="AF6443">
            <v>1</v>
          </cell>
        </row>
        <row r="6444">
          <cell r="A6444" t="str">
            <v>IS_alqt_plus</v>
          </cell>
          <cell r="K6444" t="str">
            <v>ERUB</v>
          </cell>
          <cell r="M6444" t="str">
            <v>F</v>
          </cell>
          <cell r="AB6444" t="str">
            <v>serum</v>
          </cell>
          <cell r="AF6444">
            <v>1</v>
          </cell>
        </row>
        <row r="6445">
          <cell r="A6445" t="str">
            <v>IS_alqt_plus</v>
          </cell>
          <cell r="K6445" t="str">
            <v>ERUB</v>
          </cell>
          <cell r="M6445" t="str">
            <v>F</v>
          </cell>
          <cell r="AB6445" t="str">
            <v>serum</v>
          </cell>
          <cell r="AF6445">
            <v>1</v>
          </cell>
        </row>
        <row r="6446">
          <cell r="A6446" t="str">
            <v>unk</v>
          </cell>
          <cell r="K6446" t="str">
            <v>ERUB</v>
          </cell>
          <cell r="M6446" t="str">
            <v>F</v>
          </cell>
          <cell r="AB6446" t="str">
            <v>serum</v>
          </cell>
          <cell r="AF6446">
            <v>1</v>
          </cell>
        </row>
        <row r="6447">
          <cell r="A6447" t="str">
            <v>IS_alqt_plus</v>
          </cell>
          <cell r="K6447" t="str">
            <v>NPYG</v>
          </cell>
          <cell r="M6447" t="str">
            <v>M</v>
          </cell>
          <cell r="AB6447" t="str">
            <v>WB</v>
          </cell>
          <cell r="AF6447">
            <v>1.3</v>
          </cell>
        </row>
        <row r="6448">
          <cell r="A6448" t="str">
            <v>IS_alqt_plus</v>
          </cell>
          <cell r="K6448" t="str">
            <v>NPYG</v>
          </cell>
          <cell r="M6448" t="str">
            <v>M</v>
          </cell>
          <cell r="AB6448" t="str">
            <v>WB</v>
          </cell>
          <cell r="AF6448">
            <v>1.5</v>
          </cell>
        </row>
        <row r="6449">
          <cell r="A6449" t="str">
            <v>IS_alqt_plus</v>
          </cell>
          <cell r="K6449" t="str">
            <v>NPYG</v>
          </cell>
          <cell r="M6449" t="str">
            <v>M</v>
          </cell>
          <cell r="AB6449" t="str">
            <v>WB</v>
          </cell>
          <cell r="AF6449">
            <v>1.4</v>
          </cell>
        </row>
        <row r="6450">
          <cell r="A6450" t="str">
            <v>IS_alqt_plus</v>
          </cell>
          <cell r="K6450" t="str">
            <v>NPYG</v>
          </cell>
          <cell r="M6450" t="str">
            <v>M</v>
          </cell>
          <cell r="AB6450" t="str">
            <v>WB</v>
          </cell>
          <cell r="AF6450">
            <v>1.6</v>
          </cell>
        </row>
        <row r="6451">
          <cell r="A6451" t="str">
            <v>IS_alqt_plus</v>
          </cell>
          <cell r="K6451" t="str">
            <v>NPYG</v>
          </cell>
          <cell r="M6451" t="str">
            <v>M</v>
          </cell>
          <cell r="AB6451" t="str">
            <v>WB</v>
          </cell>
          <cell r="AF6451">
            <v>1.5</v>
          </cell>
        </row>
        <row r="6452">
          <cell r="A6452" t="str">
            <v>IS_alqt_plus</v>
          </cell>
          <cell r="K6452" t="str">
            <v>NPYG</v>
          </cell>
          <cell r="M6452" t="str">
            <v>M</v>
          </cell>
          <cell r="AB6452" t="str">
            <v>WB</v>
          </cell>
          <cell r="AF6452">
            <v>1.3</v>
          </cell>
        </row>
        <row r="6453">
          <cell r="A6453" t="str">
            <v>IS_alqt_plus</v>
          </cell>
          <cell r="K6453" t="str">
            <v>NPYG</v>
          </cell>
          <cell r="M6453" t="str">
            <v>M</v>
          </cell>
          <cell r="AB6453" t="str">
            <v>WB</v>
          </cell>
          <cell r="AF6453">
            <v>1.3</v>
          </cell>
        </row>
        <row r="6454">
          <cell r="A6454" t="str">
            <v>IS_alqt_plus</v>
          </cell>
          <cell r="K6454" t="str">
            <v>NPYG</v>
          </cell>
          <cell r="M6454" t="str">
            <v>M</v>
          </cell>
          <cell r="AB6454" t="str">
            <v>WB</v>
          </cell>
          <cell r="AF6454">
            <v>1.3</v>
          </cell>
        </row>
        <row r="6455">
          <cell r="A6455" t="str">
            <v>IS_alqt_plus</v>
          </cell>
          <cell r="K6455" t="str">
            <v>NPYG</v>
          </cell>
          <cell r="M6455" t="str">
            <v>M</v>
          </cell>
          <cell r="AB6455" t="str">
            <v>WB</v>
          </cell>
          <cell r="AF6455">
            <v>1.3</v>
          </cell>
        </row>
        <row r="6456">
          <cell r="A6456" t="str">
            <v>IS_alqt_plus</v>
          </cell>
          <cell r="K6456" t="str">
            <v>NPYG</v>
          </cell>
          <cell r="M6456" t="str">
            <v>M</v>
          </cell>
          <cell r="AB6456" t="str">
            <v>serum</v>
          </cell>
          <cell r="AF6456">
            <v>1</v>
          </cell>
        </row>
        <row r="6457">
          <cell r="A6457" t="str">
            <v>IS_alqt_plus</v>
          </cell>
          <cell r="K6457" t="str">
            <v>NPYG</v>
          </cell>
          <cell r="M6457" t="str">
            <v>M</v>
          </cell>
          <cell r="AB6457" t="str">
            <v>serum</v>
          </cell>
          <cell r="AF6457">
            <v>1</v>
          </cell>
        </row>
        <row r="6458">
          <cell r="A6458" t="str">
            <v>IS_alqt_plus</v>
          </cell>
          <cell r="K6458" t="str">
            <v>NPYG</v>
          </cell>
          <cell r="M6458" t="str">
            <v>M</v>
          </cell>
          <cell r="AB6458" t="str">
            <v>serum</v>
          </cell>
          <cell r="AF6458">
            <v>1</v>
          </cell>
        </row>
        <row r="6459">
          <cell r="A6459" t="str">
            <v>unk</v>
          </cell>
          <cell r="K6459" t="str">
            <v>NPYG</v>
          </cell>
          <cell r="M6459" t="str">
            <v>M</v>
          </cell>
          <cell r="AB6459" t="str">
            <v>serum</v>
          </cell>
          <cell r="AF6459">
            <v>1</v>
          </cell>
        </row>
        <row r="6460">
          <cell r="A6460" t="str">
            <v>unk</v>
          </cell>
          <cell r="K6460" t="str">
            <v>NPYG</v>
          </cell>
          <cell r="M6460" t="str">
            <v>M</v>
          </cell>
          <cell r="AB6460" t="str">
            <v>serum</v>
          </cell>
          <cell r="AF6460">
            <v>0.5</v>
          </cell>
        </row>
        <row r="6461">
          <cell r="A6461" t="str">
            <v>unk</v>
          </cell>
          <cell r="K6461" t="str">
            <v>NPYG</v>
          </cell>
          <cell r="M6461" t="str">
            <v>M</v>
          </cell>
          <cell r="AB6461" t="str">
            <v>serum</v>
          </cell>
          <cell r="AF6461">
            <v>0.5</v>
          </cell>
        </row>
        <row r="6462">
          <cell r="A6462" t="str">
            <v>unk</v>
          </cell>
          <cell r="K6462" t="str">
            <v>NPYG</v>
          </cell>
          <cell r="M6462" t="str">
            <v>M</v>
          </cell>
          <cell r="AB6462" t="str">
            <v>serum</v>
          </cell>
          <cell r="AF6462">
            <v>0.5</v>
          </cell>
        </row>
        <row r="6463">
          <cell r="A6463" t="str">
            <v>IS_alqt_plus</v>
          </cell>
          <cell r="K6463" t="str">
            <v>EFLA</v>
          </cell>
          <cell r="M6463" t="str">
            <v>M</v>
          </cell>
          <cell r="AB6463" t="str">
            <v>serum</v>
          </cell>
          <cell r="AF6463">
            <v>0.3</v>
          </cell>
        </row>
        <row r="6464">
          <cell r="A6464" t="str">
            <v>IS_alqt_plus</v>
          </cell>
          <cell r="K6464" t="str">
            <v>PCOQ</v>
          </cell>
          <cell r="M6464" t="str">
            <v>F</v>
          </cell>
          <cell r="AB6464" t="str">
            <v>serum</v>
          </cell>
          <cell r="AF6464">
            <v>0.8</v>
          </cell>
        </row>
        <row r="6465">
          <cell r="A6465" t="str">
            <v>IS_alqt_plus</v>
          </cell>
          <cell r="K6465" t="str">
            <v>ECOL</v>
          </cell>
          <cell r="M6465" t="str">
            <v>F</v>
          </cell>
          <cell r="AB6465" t="str">
            <v>serum</v>
          </cell>
          <cell r="AF6465">
            <v>1.4</v>
          </cell>
        </row>
        <row r="6466">
          <cell r="A6466" t="str">
            <v>IS_alqt_plus</v>
          </cell>
          <cell r="K6466" t="str">
            <v>ECOL</v>
          </cell>
          <cell r="M6466" t="str">
            <v>F</v>
          </cell>
          <cell r="AB6466" t="str">
            <v>serum</v>
          </cell>
          <cell r="AF6466">
            <v>1.4</v>
          </cell>
        </row>
        <row r="6467">
          <cell r="A6467" t="str">
            <v>unk</v>
          </cell>
          <cell r="K6467" t="str">
            <v>ECOL</v>
          </cell>
          <cell r="M6467" t="str">
            <v>M</v>
          </cell>
          <cell r="AB6467" t="str">
            <v>serum</v>
          </cell>
          <cell r="AF6467">
            <v>1.3</v>
          </cell>
        </row>
        <row r="6468">
          <cell r="A6468" t="str">
            <v>IS_alqt_plus</v>
          </cell>
          <cell r="K6468" t="str">
            <v>ECOL</v>
          </cell>
          <cell r="M6468" t="str">
            <v>M</v>
          </cell>
          <cell r="AB6468" t="str">
            <v>WB</v>
          </cell>
          <cell r="AF6468">
            <v>0.8</v>
          </cell>
        </row>
        <row r="6469">
          <cell r="A6469" t="str">
            <v>IS_alqt_plus</v>
          </cell>
          <cell r="K6469" t="str">
            <v>VRUB</v>
          </cell>
          <cell r="M6469" t="str">
            <v>M</v>
          </cell>
          <cell r="AB6469" t="str">
            <v>WB</v>
          </cell>
          <cell r="AF6469">
            <v>0.7</v>
          </cell>
        </row>
        <row r="6470">
          <cell r="A6470" t="str">
            <v>gone</v>
          </cell>
          <cell r="K6470" t="str">
            <v>VRUB</v>
          </cell>
          <cell r="M6470" t="str">
            <v>M</v>
          </cell>
          <cell r="AB6470" t="str">
            <v>WB</v>
          </cell>
          <cell r="AF6470">
            <v>0</v>
          </cell>
        </row>
        <row r="6471">
          <cell r="A6471" t="str">
            <v>IS_alqt_plus</v>
          </cell>
          <cell r="K6471" t="str">
            <v>PCOQ</v>
          </cell>
          <cell r="M6471" t="str">
            <v>M</v>
          </cell>
          <cell r="AB6471" t="str">
            <v>serum</v>
          </cell>
          <cell r="AF6471">
            <v>1.3</v>
          </cell>
        </row>
        <row r="6472">
          <cell r="A6472" t="str">
            <v>IS_alqt_plus</v>
          </cell>
          <cell r="K6472" t="str">
            <v>VRUB</v>
          </cell>
          <cell r="M6472" t="str">
            <v>M</v>
          </cell>
          <cell r="AB6472" t="str">
            <v>serum</v>
          </cell>
          <cell r="AF6472">
            <v>0.7</v>
          </cell>
        </row>
        <row r="6473">
          <cell r="A6473" t="str">
            <v>gone</v>
          </cell>
          <cell r="K6473" t="str">
            <v>EMON</v>
          </cell>
          <cell r="M6473" t="str">
            <v>F</v>
          </cell>
          <cell r="AB6473" t="str">
            <v>WB</v>
          </cell>
          <cell r="AF6473">
            <v>0</v>
          </cell>
        </row>
        <row r="6474">
          <cell r="A6474" t="str">
            <v>IS_alqt_plus</v>
          </cell>
          <cell r="K6474" t="str">
            <v>EMON</v>
          </cell>
          <cell r="M6474" t="str">
            <v>M</v>
          </cell>
          <cell r="AB6474" t="str">
            <v>WB</v>
          </cell>
          <cell r="AF6474">
            <v>0.5</v>
          </cell>
        </row>
        <row r="6475">
          <cell r="A6475" t="str">
            <v>IS_alqt_plus</v>
          </cell>
          <cell r="K6475" t="str">
            <v>EMON</v>
          </cell>
          <cell r="M6475" t="str">
            <v>F</v>
          </cell>
          <cell r="AB6475" t="str">
            <v>WB</v>
          </cell>
          <cell r="AF6475">
            <v>0.5</v>
          </cell>
        </row>
        <row r="6476">
          <cell r="A6476" t="str">
            <v>IS_alqt_plus</v>
          </cell>
          <cell r="K6476" t="str">
            <v>EMON</v>
          </cell>
          <cell r="M6476" t="str">
            <v>M</v>
          </cell>
          <cell r="AB6476" t="str">
            <v>WB</v>
          </cell>
          <cell r="AF6476">
            <v>0.4</v>
          </cell>
        </row>
        <row r="6477">
          <cell r="A6477" t="str">
            <v>IS_alqt_plus</v>
          </cell>
          <cell r="K6477" t="str">
            <v>ECOL</v>
          </cell>
          <cell r="M6477" t="str">
            <v>F</v>
          </cell>
          <cell r="AB6477" t="str">
            <v>serum</v>
          </cell>
          <cell r="AF6477">
            <v>1.5</v>
          </cell>
        </row>
        <row r="6478">
          <cell r="A6478" t="str">
            <v>IS_alqt_plus</v>
          </cell>
          <cell r="K6478" t="str">
            <v>ECOL</v>
          </cell>
          <cell r="M6478" t="str">
            <v>M</v>
          </cell>
          <cell r="AB6478" t="str">
            <v>serum</v>
          </cell>
          <cell r="AF6478">
            <v>1.5</v>
          </cell>
        </row>
        <row r="6479">
          <cell r="A6479" t="str">
            <v>gone</v>
          </cell>
          <cell r="K6479" t="str">
            <v>ECOL</v>
          </cell>
          <cell r="M6479" t="str">
            <v>F</v>
          </cell>
          <cell r="AB6479" t="str">
            <v>WB</v>
          </cell>
          <cell r="AF6479">
            <v>0</v>
          </cell>
        </row>
        <row r="6480">
          <cell r="A6480" t="str">
            <v>IS_alqt_plus</v>
          </cell>
          <cell r="K6480" t="str">
            <v>ECOL</v>
          </cell>
          <cell r="M6480" t="str">
            <v>M</v>
          </cell>
          <cell r="AB6480" t="str">
            <v>WB</v>
          </cell>
          <cell r="AF6480">
            <v>1</v>
          </cell>
        </row>
        <row r="6481">
          <cell r="A6481" t="str">
            <v>IS_alqt_plus</v>
          </cell>
          <cell r="K6481" t="str">
            <v>CMED</v>
          </cell>
          <cell r="M6481" t="str">
            <v>M</v>
          </cell>
          <cell r="AB6481" t="str">
            <v>WB</v>
          </cell>
          <cell r="AF6481">
            <v>0.2</v>
          </cell>
        </row>
        <row r="6482">
          <cell r="A6482" t="str">
            <v>gone</v>
          </cell>
          <cell r="K6482" t="str">
            <v>MMUR</v>
          </cell>
          <cell r="M6482" t="str">
            <v>M</v>
          </cell>
          <cell r="AB6482" t="str">
            <v>WB</v>
          </cell>
          <cell r="AF6482">
            <v>0</v>
          </cell>
        </row>
        <row r="6483">
          <cell r="A6483" t="str">
            <v>gone</v>
          </cell>
          <cell r="K6483" t="str">
            <v>VRUB</v>
          </cell>
          <cell r="M6483" t="str">
            <v>F</v>
          </cell>
          <cell r="AB6483" t="str">
            <v>serum</v>
          </cell>
          <cell r="AF6483">
            <v>0</v>
          </cell>
        </row>
        <row r="6484">
          <cell r="A6484" t="str">
            <v>unk</v>
          </cell>
          <cell r="K6484" t="str">
            <v>ERUB</v>
          </cell>
          <cell r="M6484" t="str">
            <v>M</v>
          </cell>
          <cell r="AB6484" t="str">
            <v>WB</v>
          </cell>
          <cell r="AF6484">
            <v>1.3</v>
          </cell>
        </row>
        <row r="6485">
          <cell r="A6485" t="str">
            <v>IS_alqt_plus</v>
          </cell>
          <cell r="K6485" t="str">
            <v>ERUB</v>
          </cell>
          <cell r="M6485" t="str">
            <v>M</v>
          </cell>
          <cell r="AB6485" t="str">
            <v>PRBC</v>
          </cell>
          <cell r="AF6485">
            <v>1.3</v>
          </cell>
        </row>
        <row r="6486">
          <cell r="A6486" t="str">
            <v>IS_alqt_plus</v>
          </cell>
          <cell r="K6486" t="str">
            <v>ERUB</v>
          </cell>
          <cell r="M6486" t="str">
            <v>M</v>
          </cell>
          <cell r="AB6486" t="str">
            <v>PRBC</v>
          </cell>
          <cell r="AF6486">
            <v>1.5</v>
          </cell>
        </row>
        <row r="6487">
          <cell r="A6487" t="str">
            <v>IS_alqt_plus</v>
          </cell>
          <cell r="K6487" t="str">
            <v>ERUB</v>
          </cell>
          <cell r="M6487" t="str">
            <v>M</v>
          </cell>
          <cell r="AB6487" t="str">
            <v>PRBC</v>
          </cell>
          <cell r="AF6487">
            <v>1.3</v>
          </cell>
        </row>
        <row r="6488">
          <cell r="A6488" t="str">
            <v>IS_alqt_plus</v>
          </cell>
          <cell r="K6488" t="str">
            <v>ERUB</v>
          </cell>
          <cell r="M6488" t="str">
            <v>M</v>
          </cell>
          <cell r="AB6488" t="str">
            <v>PRBC</v>
          </cell>
          <cell r="AF6488">
            <v>0.3</v>
          </cell>
        </row>
        <row r="6489">
          <cell r="A6489" t="str">
            <v>unk</v>
          </cell>
          <cell r="K6489" t="str">
            <v>CMED</v>
          </cell>
          <cell r="M6489" t="str">
            <v>F</v>
          </cell>
          <cell r="AB6489" t="str">
            <v>Fluid- abdominal</v>
          </cell>
          <cell r="AF6489">
            <v>0.5</v>
          </cell>
        </row>
        <row r="6490">
          <cell r="A6490" t="str">
            <v>IS_alqt_plus</v>
          </cell>
          <cell r="K6490" t="str">
            <v>ERUB</v>
          </cell>
          <cell r="M6490" t="str">
            <v>M</v>
          </cell>
          <cell r="AB6490" t="str">
            <v>serum</v>
          </cell>
          <cell r="AF6490">
            <v>1</v>
          </cell>
        </row>
        <row r="6491">
          <cell r="A6491" t="str">
            <v>IS_alqt_plus</v>
          </cell>
          <cell r="K6491" t="str">
            <v>ERUB</v>
          </cell>
          <cell r="M6491" t="str">
            <v>M</v>
          </cell>
          <cell r="AB6491" t="str">
            <v>serum</v>
          </cell>
          <cell r="AF6491">
            <v>1</v>
          </cell>
        </row>
        <row r="6492">
          <cell r="A6492" t="str">
            <v>IS_alqt_plus</v>
          </cell>
          <cell r="K6492" t="str">
            <v>ERUB</v>
          </cell>
          <cell r="M6492" t="str">
            <v>M</v>
          </cell>
          <cell r="AB6492" t="str">
            <v>serum</v>
          </cell>
          <cell r="AF6492">
            <v>1.5</v>
          </cell>
        </row>
        <row r="6493">
          <cell r="A6493" t="str">
            <v>IS_alqt_plus</v>
          </cell>
          <cell r="K6493" t="str">
            <v>DMAD</v>
          </cell>
          <cell r="M6493" t="str">
            <v>F</v>
          </cell>
          <cell r="AB6493" t="str">
            <v>WB</v>
          </cell>
          <cell r="AF6493">
            <v>0.4</v>
          </cell>
        </row>
        <row r="6494">
          <cell r="A6494" t="str">
            <v>IS_alqt_plus</v>
          </cell>
          <cell r="K6494" t="str">
            <v>ERUB</v>
          </cell>
          <cell r="M6494" t="str">
            <v>F</v>
          </cell>
          <cell r="AB6494" t="str">
            <v>WB</v>
          </cell>
          <cell r="AF6494">
            <v>0.2</v>
          </cell>
        </row>
        <row r="6495">
          <cell r="A6495" t="str">
            <v>IS_alqt_plus</v>
          </cell>
          <cell r="K6495" t="str">
            <v>ERUB</v>
          </cell>
          <cell r="M6495" t="str">
            <v>F</v>
          </cell>
          <cell r="AB6495" t="str">
            <v>WB</v>
          </cell>
          <cell r="AF6495">
            <v>0.5</v>
          </cell>
        </row>
        <row r="6496">
          <cell r="A6496" t="str">
            <v>IS_alqt_plus</v>
          </cell>
          <cell r="K6496" t="str">
            <v>ESAN</v>
          </cell>
          <cell r="M6496" t="str">
            <v>F</v>
          </cell>
          <cell r="AB6496" t="str">
            <v>WB</v>
          </cell>
          <cell r="AF6496">
            <v>0.6</v>
          </cell>
        </row>
        <row r="6497">
          <cell r="A6497" t="str">
            <v>IS_alqt_plus</v>
          </cell>
          <cell r="K6497" t="str">
            <v>LCAT</v>
          </cell>
          <cell r="M6497" t="str">
            <v>F</v>
          </cell>
          <cell r="AB6497" t="str">
            <v>WB</v>
          </cell>
          <cell r="AF6497">
            <v>0.5</v>
          </cell>
        </row>
        <row r="6498">
          <cell r="A6498" t="str">
            <v>IS_alqt_plus</v>
          </cell>
          <cell r="K6498" t="str">
            <v>LCAT</v>
          </cell>
          <cell r="M6498" t="str">
            <v>F</v>
          </cell>
          <cell r="AB6498" t="str">
            <v>WB</v>
          </cell>
          <cell r="AF6498">
            <v>1</v>
          </cell>
        </row>
        <row r="6499">
          <cell r="A6499" t="str">
            <v>IS_alqt_plus</v>
          </cell>
          <cell r="K6499" t="str">
            <v>LCAT</v>
          </cell>
          <cell r="M6499" t="str">
            <v>F</v>
          </cell>
          <cell r="AB6499" t="str">
            <v>serum</v>
          </cell>
          <cell r="AF6499">
            <v>0.4</v>
          </cell>
        </row>
        <row r="6500">
          <cell r="A6500" t="str">
            <v>IS_alqt_plus</v>
          </cell>
          <cell r="K6500" t="str">
            <v>LCAT</v>
          </cell>
          <cell r="M6500" t="str">
            <v>F</v>
          </cell>
          <cell r="AB6500" t="str">
            <v>serum</v>
          </cell>
          <cell r="AF6500">
            <v>0.5</v>
          </cell>
        </row>
        <row r="6501">
          <cell r="A6501" t="str">
            <v>IS_alqt_plus</v>
          </cell>
          <cell r="K6501" t="str">
            <v>VRUB</v>
          </cell>
          <cell r="M6501" t="str">
            <v>M</v>
          </cell>
          <cell r="AB6501" t="str">
            <v>WB</v>
          </cell>
          <cell r="AF6501">
            <v>0.75</v>
          </cell>
        </row>
        <row r="6502">
          <cell r="A6502" t="str">
            <v>IS_alqt_plus</v>
          </cell>
          <cell r="K6502" t="str">
            <v>VRUB</v>
          </cell>
          <cell r="M6502" t="str">
            <v>F</v>
          </cell>
          <cell r="AB6502" t="str">
            <v>WB</v>
          </cell>
          <cell r="AF6502">
            <v>1.2</v>
          </cell>
        </row>
        <row r="6503">
          <cell r="A6503" t="str">
            <v>IS_alqt_plus</v>
          </cell>
          <cell r="K6503" t="str">
            <v>VRUB</v>
          </cell>
          <cell r="M6503" t="str">
            <v>M</v>
          </cell>
          <cell r="AB6503" t="str">
            <v>serum</v>
          </cell>
          <cell r="AF6503">
            <v>1</v>
          </cell>
        </row>
        <row r="6504">
          <cell r="A6504" t="str">
            <v>IS_alqt_plus</v>
          </cell>
          <cell r="K6504" t="str">
            <v>VRUB</v>
          </cell>
          <cell r="M6504" t="str">
            <v>F</v>
          </cell>
          <cell r="AB6504" t="str">
            <v>serum</v>
          </cell>
          <cell r="AF6504">
            <v>1</v>
          </cell>
        </row>
        <row r="6505">
          <cell r="A6505" t="str">
            <v>IS_alqt_plus</v>
          </cell>
          <cell r="K6505" t="str">
            <v>ESAN</v>
          </cell>
          <cell r="M6505" t="str">
            <v>F</v>
          </cell>
          <cell r="AB6505" t="str">
            <v>serum</v>
          </cell>
          <cell r="AF6505">
            <v>1</v>
          </cell>
        </row>
        <row r="6506">
          <cell r="A6506" t="str">
            <v>IS_alqt_plus</v>
          </cell>
          <cell r="K6506" t="str">
            <v>DMAD</v>
          </cell>
          <cell r="M6506" t="str">
            <v>M</v>
          </cell>
          <cell r="AB6506" t="str">
            <v>WB</v>
          </cell>
          <cell r="AF6506">
            <v>0.75</v>
          </cell>
        </row>
        <row r="6507">
          <cell r="A6507" t="str">
            <v>IS_alqt_plus</v>
          </cell>
          <cell r="K6507" t="str">
            <v>EMON</v>
          </cell>
          <cell r="M6507" t="str">
            <v>F</v>
          </cell>
          <cell r="AB6507" t="str">
            <v>WB</v>
          </cell>
          <cell r="AF6507">
            <v>0.9</v>
          </cell>
        </row>
        <row r="6508">
          <cell r="A6508" t="str">
            <v>IS_alqt_plus</v>
          </cell>
          <cell r="K6508" t="str">
            <v>ERUB</v>
          </cell>
          <cell r="M6508" t="str">
            <v>F</v>
          </cell>
          <cell r="AB6508" t="str">
            <v>WB</v>
          </cell>
          <cell r="AF6508">
            <v>0.5</v>
          </cell>
        </row>
        <row r="6509">
          <cell r="A6509" t="str">
            <v>IS_alqt_plus</v>
          </cell>
          <cell r="K6509" t="str">
            <v>ERUB</v>
          </cell>
          <cell r="M6509" t="str">
            <v>F</v>
          </cell>
          <cell r="AB6509" t="str">
            <v>WB</v>
          </cell>
          <cell r="AF6509">
            <v>1.25</v>
          </cell>
        </row>
        <row r="6510">
          <cell r="A6510" t="str">
            <v>gone</v>
          </cell>
          <cell r="K6510" t="str">
            <v>ERUB</v>
          </cell>
          <cell r="M6510" t="str">
            <v>F</v>
          </cell>
          <cell r="AB6510" t="str">
            <v>WB</v>
          </cell>
          <cell r="AF6510">
            <v>0</v>
          </cell>
        </row>
        <row r="6511">
          <cell r="A6511" t="str">
            <v>IS_alqt_plus</v>
          </cell>
          <cell r="K6511" t="str">
            <v>ERUB</v>
          </cell>
          <cell r="M6511" t="str">
            <v>F</v>
          </cell>
          <cell r="AB6511" t="str">
            <v>WB</v>
          </cell>
          <cell r="AF6511">
            <v>1.1000000000000001</v>
          </cell>
        </row>
        <row r="6512">
          <cell r="A6512" t="str">
            <v>gone</v>
          </cell>
          <cell r="K6512" t="str">
            <v>ERUB</v>
          </cell>
          <cell r="M6512" t="str">
            <v>F</v>
          </cell>
          <cell r="AB6512" t="str">
            <v>WB</v>
          </cell>
          <cell r="AF6512">
            <v>0</v>
          </cell>
        </row>
        <row r="6513">
          <cell r="A6513" t="str">
            <v>IS_alqt_plus</v>
          </cell>
          <cell r="K6513" t="str">
            <v>ERUB</v>
          </cell>
          <cell r="M6513" t="str">
            <v>F</v>
          </cell>
          <cell r="AB6513" t="str">
            <v>WB</v>
          </cell>
          <cell r="AF6513">
            <v>1</v>
          </cell>
        </row>
        <row r="6514">
          <cell r="A6514" t="str">
            <v>IS_alqt_plus</v>
          </cell>
          <cell r="K6514" t="str">
            <v>ERUB</v>
          </cell>
          <cell r="M6514" t="str">
            <v>F</v>
          </cell>
          <cell r="AB6514" t="str">
            <v>WB</v>
          </cell>
          <cell r="AF6514">
            <v>1.1000000000000001</v>
          </cell>
        </row>
        <row r="6515">
          <cell r="A6515" t="str">
            <v>IS_alqt_plus</v>
          </cell>
          <cell r="K6515" t="str">
            <v>ERUB</v>
          </cell>
          <cell r="M6515" t="str">
            <v>F</v>
          </cell>
          <cell r="AB6515" t="str">
            <v>WB</v>
          </cell>
          <cell r="AF6515">
            <v>1</v>
          </cell>
        </row>
        <row r="6516">
          <cell r="A6516" t="str">
            <v>IS_alqt_plus</v>
          </cell>
          <cell r="K6516" t="str">
            <v>ERUB</v>
          </cell>
          <cell r="M6516" t="str">
            <v>F</v>
          </cell>
          <cell r="AB6516" t="str">
            <v>WB</v>
          </cell>
          <cell r="AF6516">
            <v>1</v>
          </cell>
        </row>
        <row r="6517">
          <cell r="A6517" t="str">
            <v>IS_alqt_plus</v>
          </cell>
          <cell r="K6517" t="str">
            <v>ERUB</v>
          </cell>
          <cell r="M6517" t="str">
            <v>F</v>
          </cell>
          <cell r="AB6517" t="str">
            <v>WB</v>
          </cell>
          <cell r="AF6517">
            <v>1</v>
          </cell>
        </row>
        <row r="6518">
          <cell r="A6518" t="str">
            <v>IS_alqt_plus</v>
          </cell>
          <cell r="K6518" t="str">
            <v>ERUB</v>
          </cell>
          <cell r="M6518" t="str">
            <v>F</v>
          </cell>
          <cell r="AB6518" t="str">
            <v>WB</v>
          </cell>
          <cell r="AF6518">
            <v>1</v>
          </cell>
        </row>
        <row r="6519">
          <cell r="A6519" t="str">
            <v>IS_alqt_plus</v>
          </cell>
          <cell r="K6519" t="str">
            <v>ERUB</v>
          </cell>
          <cell r="M6519" t="str">
            <v>F</v>
          </cell>
          <cell r="AB6519" t="str">
            <v>WB</v>
          </cell>
          <cell r="AF6519">
            <v>1.1000000000000001</v>
          </cell>
        </row>
        <row r="6520">
          <cell r="A6520" t="str">
            <v>IS_alqt_plus</v>
          </cell>
          <cell r="K6520" t="str">
            <v>ERUB</v>
          </cell>
          <cell r="M6520" t="str">
            <v>F</v>
          </cell>
          <cell r="AB6520" t="str">
            <v>WB</v>
          </cell>
          <cell r="AF6520">
            <v>1</v>
          </cell>
        </row>
        <row r="6521">
          <cell r="A6521" t="str">
            <v>IS_alqt_plus</v>
          </cell>
          <cell r="K6521" t="str">
            <v>ERUB</v>
          </cell>
          <cell r="M6521" t="str">
            <v>F</v>
          </cell>
          <cell r="AB6521" t="str">
            <v>WB</v>
          </cell>
          <cell r="AF6521">
            <v>1</v>
          </cell>
        </row>
        <row r="6522">
          <cell r="A6522" t="str">
            <v>IS_alqt_plus</v>
          </cell>
          <cell r="K6522" t="str">
            <v>ERUB</v>
          </cell>
          <cell r="M6522" t="str">
            <v>F</v>
          </cell>
          <cell r="AB6522" t="str">
            <v>WB</v>
          </cell>
          <cell r="AF6522">
            <v>1</v>
          </cell>
        </row>
        <row r="6523">
          <cell r="A6523" t="str">
            <v>IS_alqt_plus</v>
          </cell>
          <cell r="K6523" t="str">
            <v>ERUB</v>
          </cell>
          <cell r="M6523" t="str">
            <v>F</v>
          </cell>
          <cell r="AB6523" t="str">
            <v>WB</v>
          </cell>
          <cell r="AF6523">
            <v>1</v>
          </cell>
        </row>
        <row r="6524">
          <cell r="A6524" t="str">
            <v>IS_alqt_plus</v>
          </cell>
          <cell r="K6524" t="str">
            <v>ERUB</v>
          </cell>
          <cell r="M6524" t="str">
            <v>F</v>
          </cell>
          <cell r="AB6524" t="str">
            <v>WB</v>
          </cell>
          <cell r="AF6524">
            <v>1.2</v>
          </cell>
        </row>
        <row r="6525">
          <cell r="A6525" t="str">
            <v>IS_alqt_plus</v>
          </cell>
          <cell r="K6525" t="str">
            <v>ERUB</v>
          </cell>
          <cell r="M6525" t="str">
            <v>F</v>
          </cell>
          <cell r="AB6525" t="str">
            <v>WB</v>
          </cell>
          <cell r="AF6525">
            <v>1.2</v>
          </cell>
        </row>
        <row r="6526">
          <cell r="A6526" t="str">
            <v>IS_alqt_plus</v>
          </cell>
          <cell r="K6526" t="str">
            <v>ERUB</v>
          </cell>
          <cell r="M6526" t="str">
            <v>F</v>
          </cell>
          <cell r="AB6526" t="str">
            <v>WB</v>
          </cell>
          <cell r="AF6526">
            <v>1</v>
          </cell>
        </row>
        <row r="6527">
          <cell r="A6527" t="str">
            <v>IS_alqt_plus</v>
          </cell>
          <cell r="K6527" t="str">
            <v>ERUB</v>
          </cell>
          <cell r="M6527" t="str">
            <v>F</v>
          </cell>
          <cell r="AB6527" t="str">
            <v>WB</v>
          </cell>
          <cell r="AF6527">
            <v>1</v>
          </cell>
        </row>
        <row r="6528">
          <cell r="A6528" t="str">
            <v>IS_alqt_plus</v>
          </cell>
          <cell r="K6528" t="str">
            <v>ERUB</v>
          </cell>
          <cell r="M6528" t="str">
            <v>F</v>
          </cell>
          <cell r="AB6528" t="str">
            <v>WB</v>
          </cell>
          <cell r="AF6528">
            <v>1</v>
          </cell>
        </row>
        <row r="6529">
          <cell r="A6529" t="str">
            <v>IS_alqt_plus</v>
          </cell>
          <cell r="K6529" t="str">
            <v>ERUB</v>
          </cell>
          <cell r="M6529" t="str">
            <v>F</v>
          </cell>
          <cell r="AB6529" t="str">
            <v>WB</v>
          </cell>
          <cell r="AF6529">
            <v>1</v>
          </cell>
        </row>
        <row r="6530">
          <cell r="A6530" t="str">
            <v>IS_alqt_plus</v>
          </cell>
          <cell r="K6530" t="str">
            <v>ERUB</v>
          </cell>
          <cell r="M6530" t="str">
            <v>F</v>
          </cell>
          <cell r="AB6530" t="str">
            <v>WB</v>
          </cell>
          <cell r="AF6530">
            <v>1</v>
          </cell>
        </row>
        <row r="6531">
          <cell r="A6531" t="str">
            <v>IS_alqt_plus</v>
          </cell>
          <cell r="K6531" t="str">
            <v>ERUB</v>
          </cell>
          <cell r="M6531" t="str">
            <v>F</v>
          </cell>
          <cell r="AB6531" t="str">
            <v>WB</v>
          </cell>
          <cell r="AF6531">
            <v>0.9</v>
          </cell>
        </row>
        <row r="6532">
          <cell r="A6532" t="str">
            <v>IS_alqt_plus</v>
          </cell>
          <cell r="K6532" t="str">
            <v>ERUB</v>
          </cell>
          <cell r="M6532" t="str">
            <v>F</v>
          </cell>
          <cell r="AB6532" t="str">
            <v>WB</v>
          </cell>
          <cell r="AF6532">
            <v>0.8</v>
          </cell>
        </row>
        <row r="6533">
          <cell r="A6533" t="str">
            <v>IS_alqt_plus</v>
          </cell>
          <cell r="K6533" t="str">
            <v>ERUB</v>
          </cell>
          <cell r="M6533" t="str">
            <v>F</v>
          </cell>
          <cell r="AB6533" t="str">
            <v>WB</v>
          </cell>
          <cell r="AF6533">
            <v>0.5</v>
          </cell>
        </row>
        <row r="6534">
          <cell r="A6534" t="str">
            <v>IS_alqt_plus</v>
          </cell>
          <cell r="K6534" t="str">
            <v>ERUB</v>
          </cell>
          <cell r="M6534" t="str">
            <v>F</v>
          </cell>
          <cell r="AB6534" t="str">
            <v>WB</v>
          </cell>
          <cell r="AF6534">
            <v>1</v>
          </cell>
        </row>
        <row r="6535">
          <cell r="A6535" t="str">
            <v>IS_alqt_plus</v>
          </cell>
          <cell r="K6535" t="str">
            <v>ERUB</v>
          </cell>
          <cell r="M6535" t="str">
            <v>F</v>
          </cell>
          <cell r="AB6535" t="str">
            <v>WB</v>
          </cell>
          <cell r="AF6535">
            <v>0.8</v>
          </cell>
        </row>
        <row r="6536">
          <cell r="A6536" t="str">
            <v>IS_alqt_plus</v>
          </cell>
          <cell r="K6536" t="str">
            <v>ERUB</v>
          </cell>
          <cell r="M6536" t="str">
            <v>F</v>
          </cell>
          <cell r="AB6536" t="str">
            <v>WB</v>
          </cell>
          <cell r="AF6536">
            <v>1</v>
          </cell>
        </row>
        <row r="6537">
          <cell r="A6537" t="str">
            <v>IS_alqt_plus</v>
          </cell>
          <cell r="K6537" t="str">
            <v>ERUB</v>
          </cell>
          <cell r="M6537" t="str">
            <v>F</v>
          </cell>
          <cell r="AB6537" t="str">
            <v>WB</v>
          </cell>
          <cell r="AF6537">
            <v>1</v>
          </cell>
        </row>
        <row r="6538">
          <cell r="A6538" t="str">
            <v>IS_alqt_plus</v>
          </cell>
          <cell r="K6538" t="str">
            <v>ESAN</v>
          </cell>
          <cell r="M6538" t="str">
            <v>F</v>
          </cell>
          <cell r="AB6538" t="str">
            <v>serum</v>
          </cell>
          <cell r="AF6538">
            <v>1</v>
          </cell>
        </row>
        <row r="6539">
          <cell r="A6539" t="str">
            <v>IS_alqt_plus</v>
          </cell>
          <cell r="K6539" t="str">
            <v>ESAN</v>
          </cell>
          <cell r="M6539" t="str">
            <v>F</v>
          </cell>
          <cell r="AB6539" t="str">
            <v>serum</v>
          </cell>
          <cell r="AF6539">
            <v>1</v>
          </cell>
        </row>
        <row r="6540">
          <cell r="A6540" t="str">
            <v>IS_alqt_plus</v>
          </cell>
          <cell r="K6540" t="str">
            <v>ECOL</v>
          </cell>
          <cell r="M6540" t="str">
            <v>M</v>
          </cell>
          <cell r="AB6540" t="str">
            <v>serum</v>
          </cell>
          <cell r="AF6540">
            <v>1</v>
          </cell>
        </row>
        <row r="6541">
          <cell r="A6541" t="str">
            <v>IS_alqt_plus</v>
          </cell>
          <cell r="K6541" t="str">
            <v>ECOL</v>
          </cell>
          <cell r="M6541" t="str">
            <v>M</v>
          </cell>
          <cell r="AB6541" t="str">
            <v>serum</v>
          </cell>
          <cell r="AF6541">
            <v>1</v>
          </cell>
        </row>
        <row r="6542">
          <cell r="A6542" t="str">
            <v>IS_alqt_plus</v>
          </cell>
          <cell r="K6542" t="str">
            <v>ECOL</v>
          </cell>
          <cell r="M6542" t="str">
            <v>M</v>
          </cell>
          <cell r="AB6542" t="str">
            <v>serum</v>
          </cell>
          <cell r="AF6542">
            <v>1</v>
          </cell>
        </row>
        <row r="6543">
          <cell r="A6543" t="str">
            <v>IS_alqt_plus</v>
          </cell>
          <cell r="K6543" t="str">
            <v>ESAN</v>
          </cell>
          <cell r="M6543" t="str">
            <v>F</v>
          </cell>
          <cell r="AB6543" t="str">
            <v>serum</v>
          </cell>
          <cell r="AF6543">
            <v>1</v>
          </cell>
        </row>
        <row r="6544">
          <cell r="A6544" t="str">
            <v>IS_alqt_plus</v>
          </cell>
          <cell r="K6544" t="str">
            <v>ESAN</v>
          </cell>
          <cell r="M6544" t="str">
            <v>F</v>
          </cell>
          <cell r="AB6544" t="str">
            <v>serum</v>
          </cell>
          <cell r="AF6544">
            <v>1</v>
          </cell>
        </row>
        <row r="6545">
          <cell r="A6545" t="str">
            <v>IS_alqt_plus</v>
          </cell>
          <cell r="K6545" t="str">
            <v>ESAN</v>
          </cell>
          <cell r="M6545" t="str">
            <v>F</v>
          </cell>
          <cell r="AB6545" t="str">
            <v>serum</v>
          </cell>
          <cell r="AF6545">
            <v>1</v>
          </cell>
        </row>
        <row r="6546">
          <cell r="A6546" t="str">
            <v>IS_alqt_plus</v>
          </cell>
          <cell r="K6546" t="str">
            <v>ESAN</v>
          </cell>
          <cell r="M6546" t="str">
            <v>F</v>
          </cell>
          <cell r="AB6546" t="str">
            <v>serum</v>
          </cell>
          <cell r="AF6546">
            <v>1</v>
          </cell>
        </row>
        <row r="6547">
          <cell r="A6547" t="str">
            <v>IS_alqt_plus</v>
          </cell>
          <cell r="K6547" t="str">
            <v>ESAN</v>
          </cell>
          <cell r="M6547" t="str">
            <v>F</v>
          </cell>
          <cell r="AB6547" t="str">
            <v>serum</v>
          </cell>
          <cell r="AF6547">
            <v>1</v>
          </cell>
        </row>
        <row r="6548">
          <cell r="A6548" t="str">
            <v>IS_alqt_plus</v>
          </cell>
          <cell r="K6548" t="str">
            <v>ESAN</v>
          </cell>
          <cell r="M6548" t="str">
            <v>F</v>
          </cell>
          <cell r="AB6548" t="str">
            <v>serum</v>
          </cell>
          <cell r="AF6548">
            <v>1</v>
          </cell>
        </row>
        <row r="6549">
          <cell r="A6549" t="str">
            <v>IS_alqt_plus</v>
          </cell>
          <cell r="K6549" t="str">
            <v>ERUB</v>
          </cell>
          <cell r="M6549" t="str">
            <v>F</v>
          </cell>
          <cell r="AB6549" t="str">
            <v>serum</v>
          </cell>
          <cell r="AF6549">
            <v>1</v>
          </cell>
        </row>
        <row r="6550">
          <cell r="A6550" t="str">
            <v>IS_alqt_plus</v>
          </cell>
          <cell r="K6550" t="str">
            <v>ERUB</v>
          </cell>
          <cell r="M6550" t="str">
            <v>F</v>
          </cell>
          <cell r="AB6550" t="str">
            <v>serum</v>
          </cell>
          <cell r="AF6550">
            <v>1</v>
          </cell>
        </row>
        <row r="6551">
          <cell r="A6551" t="str">
            <v>IS_alqt_plus</v>
          </cell>
          <cell r="K6551" t="str">
            <v>ERUB</v>
          </cell>
          <cell r="M6551" t="str">
            <v>F</v>
          </cell>
          <cell r="AB6551" t="str">
            <v>serum</v>
          </cell>
          <cell r="AF6551">
            <v>1</v>
          </cell>
        </row>
        <row r="6552">
          <cell r="A6552" t="str">
            <v>IS_alqt_plus</v>
          </cell>
          <cell r="K6552" t="str">
            <v>ERUB</v>
          </cell>
          <cell r="M6552" t="str">
            <v>F</v>
          </cell>
          <cell r="AB6552" t="str">
            <v>serum</v>
          </cell>
          <cell r="AF6552">
            <v>1</v>
          </cell>
        </row>
        <row r="6553">
          <cell r="A6553" t="str">
            <v>IS_alqt_plus</v>
          </cell>
          <cell r="K6553" t="str">
            <v>ERUB</v>
          </cell>
          <cell r="M6553" t="str">
            <v>F</v>
          </cell>
          <cell r="AB6553" t="str">
            <v>serum</v>
          </cell>
          <cell r="AF6553">
            <v>1</v>
          </cell>
        </row>
        <row r="6554">
          <cell r="A6554" t="str">
            <v>IS_alqt_plus</v>
          </cell>
          <cell r="K6554" t="str">
            <v>DMAD</v>
          </cell>
          <cell r="M6554" t="str">
            <v>M</v>
          </cell>
          <cell r="AB6554" t="str">
            <v>serum</v>
          </cell>
          <cell r="AF6554">
            <v>0.4</v>
          </cell>
        </row>
        <row r="6555">
          <cell r="A6555" t="str">
            <v>IS_alqt_plus</v>
          </cell>
          <cell r="K6555" t="str">
            <v>DMAD</v>
          </cell>
          <cell r="M6555" t="str">
            <v>M</v>
          </cell>
          <cell r="AB6555" t="str">
            <v>WB</v>
          </cell>
          <cell r="AF6555">
            <v>0.75</v>
          </cell>
        </row>
        <row r="6556">
          <cell r="A6556" t="str">
            <v>IS_alqt_plus</v>
          </cell>
          <cell r="K6556" t="str">
            <v>LCAT</v>
          </cell>
          <cell r="M6556" t="str">
            <v>F</v>
          </cell>
          <cell r="AB6556" t="str">
            <v>WB</v>
          </cell>
          <cell r="AF6556">
            <v>1</v>
          </cell>
        </row>
        <row r="6557">
          <cell r="A6557" t="str">
            <v>IS_alqt_plus</v>
          </cell>
          <cell r="K6557" t="str">
            <v>LCAT</v>
          </cell>
          <cell r="M6557" t="str">
            <v>F</v>
          </cell>
          <cell r="AB6557" t="str">
            <v>WB</v>
          </cell>
          <cell r="AF6557">
            <v>0.75</v>
          </cell>
        </row>
        <row r="6558">
          <cell r="A6558" t="str">
            <v>gone</v>
          </cell>
          <cell r="K6558" t="str">
            <v>PCOQ</v>
          </cell>
          <cell r="M6558" t="str">
            <v>F</v>
          </cell>
          <cell r="AB6558" t="str">
            <v>serum</v>
          </cell>
          <cell r="AF6558">
            <v>0</v>
          </cell>
        </row>
        <row r="6559">
          <cell r="A6559" t="str">
            <v>gone</v>
          </cell>
          <cell r="K6559" t="str">
            <v>PCOQ</v>
          </cell>
          <cell r="M6559" t="str">
            <v>M</v>
          </cell>
          <cell r="AB6559" t="str">
            <v>serum</v>
          </cell>
          <cell r="AF6559">
            <v>0</v>
          </cell>
        </row>
        <row r="6560">
          <cell r="A6560" t="str">
            <v>IS_alqt_plus</v>
          </cell>
          <cell r="K6560" t="str">
            <v>ESAN</v>
          </cell>
          <cell r="M6560" t="str">
            <v>F</v>
          </cell>
          <cell r="AB6560" t="str">
            <v>WB</v>
          </cell>
          <cell r="AF6560">
            <v>1.3</v>
          </cell>
        </row>
        <row r="6561">
          <cell r="A6561" t="str">
            <v>IS_alqt_plus</v>
          </cell>
          <cell r="K6561" t="str">
            <v>ESAN</v>
          </cell>
          <cell r="M6561" t="str">
            <v>F</v>
          </cell>
          <cell r="AB6561" t="str">
            <v>WB</v>
          </cell>
          <cell r="AF6561">
            <v>1.3</v>
          </cell>
        </row>
        <row r="6562">
          <cell r="A6562" t="str">
            <v>IS_alqt_plus</v>
          </cell>
          <cell r="K6562" t="str">
            <v>ESAN</v>
          </cell>
          <cell r="M6562" t="str">
            <v>F</v>
          </cell>
          <cell r="AB6562" t="str">
            <v>WB</v>
          </cell>
          <cell r="AF6562">
            <v>1.1000000000000001</v>
          </cell>
        </row>
        <row r="6563">
          <cell r="A6563" t="str">
            <v>IS_alqt_plus</v>
          </cell>
          <cell r="K6563" t="str">
            <v>ESAN</v>
          </cell>
          <cell r="M6563" t="str">
            <v>F</v>
          </cell>
          <cell r="AB6563" t="str">
            <v>WB</v>
          </cell>
          <cell r="AF6563">
            <v>1</v>
          </cell>
        </row>
        <row r="6564">
          <cell r="A6564" t="str">
            <v>IS_alqt_plus</v>
          </cell>
          <cell r="K6564" t="str">
            <v>ESAN</v>
          </cell>
          <cell r="M6564" t="str">
            <v>F</v>
          </cell>
          <cell r="AB6564" t="str">
            <v>WB</v>
          </cell>
          <cell r="AF6564">
            <v>1.2</v>
          </cell>
        </row>
        <row r="6565">
          <cell r="A6565" t="str">
            <v>IS_alqt_plus</v>
          </cell>
          <cell r="K6565" t="str">
            <v>ESAN</v>
          </cell>
          <cell r="M6565" t="str">
            <v>F</v>
          </cell>
          <cell r="AB6565" t="str">
            <v>WB</v>
          </cell>
          <cell r="AF6565">
            <v>0.75</v>
          </cell>
        </row>
        <row r="6566">
          <cell r="A6566" t="str">
            <v>IS_alqt_plus</v>
          </cell>
          <cell r="K6566" t="str">
            <v>ESAN</v>
          </cell>
          <cell r="M6566" t="str">
            <v>F</v>
          </cell>
          <cell r="AB6566" t="str">
            <v>WB</v>
          </cell>
          <cell r="AF6566">
            <v>1.3</v>
          </cell>
        </row>
        <row r="6567">
          <cell r="A6567" t="str">
            <v>IS_alqt_plus</v>
          </cell>
          <cell r="K6567" t="str">
            <v>ESAN</v>
          </cell>
          <cell r="M6567" t="str">
            <v>F</v>
          </cell>
          <cell r="AB6567" t="str">
            <v>WB</v>
          </cell>
          <cell r="AF6567">
            <v>1.3</v>
          </cell>
        </row>
        <row r="6568">
          <cell r="A6568" t="str">
            <v>IS_alqt_plus</v>
          </cell>
          <cell r="K6568" t="str">
            <v>ESAN</v>
          </cell>
          <cell r="M6568" t="str">
            <v>F</v>
          </cell>
          <cell r="AB6568" t="str">
            <v>WB</v>
          </cell>
          <cell r="AF6568">
            <v>0.8</v>
          </cell>
        </row>
        <row r="6569">
          <cell r="A6569" t="str">
            <v>IS_alqt_plus</v>
          </cell>
          <cell r="K6569" t="str">
            <v>ESAN</v>
          </cell>
          <cell r="M6569" t="str">
            <v>F</v>
          </cell>
          <cell r="AB6569" t="str">
            <v>WB</v>
          </cell>
          <cell r="AF6569">
            <v>0.75</v>
          </cell>
        </row>
        <row r="6570">
          <cell r="A6570" t="str">
            <v>IS_alqt_plus</v>
          </cell>
          <cell r="K6570" t="str">
            <v>ESAN</v>
          </cell>
          <cell r="M6570" t="str">
            <v>F</v>
          </cell>
          <cell r="AB6570" t="str">
            <v>WB</v>
          </cell>
          <cell r="AF6570">
            <v>0.6</v>
          </cell>
        </row>
        <row r="6571">
          <cell r="A6571" t="str">
            <v>IS_alqt_plus</v>
          </cell>
          <cell r="K6571" t="str">
            <v>ESAN</v>
          </cell>
          <cell r="M6571" t="str">
            <v>F</v>
          </cell>
          <cell r="AB6571" t="str">
            <v>WB</v>
          </cell>
          <cell r="AF6571">
            <v>0.4</v>
          </cell>
        </row>
        <row r="6572">
          <cell r="A6572" t="str">
            <v>IS_alqt_plus</v>
          </cell>
          <cell r="K6572" t="str">
            <v>ESAN</v>
          </cell>
          <cell r="M6572" t="str">
            <v>F</v>
          </cell>
          <cell r="AB6572" t="str">
            <v>WB</v>
          </cell>
          <cell r="AF6572">
            <v>1.3</v>
          </cell>
        </row>
        <row r="6573">
          <cell r="A6573" t="str">
            <v>IS_alqt_plus</v>
          </cell>
          <cell r="K6573" t="str">
            <v>ESAN</v>
          </cell>
          <cell r="M6573" t="str">
            <v>F</v>
          </cell>
          <cell r="AB6573" t="str">
            <v>WB</v>
          </cell>
          <cell r="AF6573">
            <v>1.3</v>
          </cell>
        </row>
        <row r="6574">
          <cell r="A6574" t="str">
            <v>IS_alqt_plus</v>
          </cell>
          <cell r="K6574" t="str">
            <v>ESAN</v>
          </cell>
          <cell r="M6574" t="str">
            <v>F</v>
          </cell>
          <cell r="AB6574" t="str">
            <v>WB</v>
          </cell>
          <cell r="AF6574">
            <v>1.3</v>
          </cell>
        </row>
        <row r="6575">
          <cell r="A6575" t="str">
            <v>IS_alqt_plus</v>
          </cell>
          <cell r="K6575" t="str">
            <v>ESAN</v>
          </cell>
          <cell r="M6575" t="str">
            <v>F</v>
          </cell>
          <cell r="AB6575" t="str">
            <v>WB</v>
          </cell>
          <cell r="AF6575">
            <v>0.4</v>
          </cell>
        </row>
        <row r="6576">
          <cell r="A6576" t="str">
            <v>IS_alqt_plus</v>
          </cell>
          <cell r="K6576" t="str">
            <v>ESAN</v>
          </cell>
          <cell r="M6576" t="str">
            <v>F</v>
          </cell>
          <cell r="AB6576" t="str">
            <v>WB</v>
          </cell>
          <cell r="AF6576">
            <v>0.5</v>
          </cell>
        </row>
        <row r="6577">
          <cell r="A6577" t="str">
            <v>IS_alqt_plus</v>
          </cell>
          <cell r="K6577" t="str">
            <v>ESAN</v>
          </cell>
          <cell r="M6577" t="str">
            <v>F</v>
          </cell>
          <cell r="AB6577" t="str">
            <v>WB</v>
          </cell>
          <cell r="AF6577">
            <v>0.5</v>
          </cell>
        </row>
        <row r="6578">
          <cell r="A6578" t="str">
            <v>IS_alqt_plus</v>
          </cell>
          <cell r="K6578" t="str">
            <v>ESAN</v>
          </cell>
          <cell r="M6578" t="str">
            <v>F</v>
          </cell>
          <cell r="AB6578" t="str">
            <v>WB</v>
          </cell>
          <cell r="AF6578">
            <v>0.75</v>
          </cell>
        </row>
        <row r="6579">
          <cell r="A6579" t="str">
            <v>IS_alqt_plus</v>
          </cell>
          <cell r="K6579" t="str">
            <v>ESAN</v>
          </cell>
          <cell r="M6579" t="str">
            <v>F</v>
          </cell>
          <cell r="AB6579" t="str">
            <v>WB</v>
          </cell>
          <cell r="AF6579">
            <v>1.3</v>
          </cell>
        </row>
        <row r="6580">
          <cell r="A6580" t="str">
            <v>IS_alqt_plus</v>
          </cell>
          <cell r="K6580" t="str">
            <v>ESAN</v>
          </cell>
          <cell r="M6580" t="str">
            <v>F</v>
          </cell>
          <cell r="AB6580" t="str">
            <v>WB</v>
          </cell>
          <cell r="AF6580">
            <v>0.75</v>
          </cell>
        </row>
        <row r="6581">
          <cell r="A6581" t="str">
            <v>IS_alqt_plus</v>
          </cell>
          <cell r="K6581" t="str">
            <v>ESAN</v>
          </cell>
          <cell r="M6581" t="str">
            <v>F</v>
          </cell>
          <cell r="AB6581" t="str">
            <v>WB</v>
          </cell>
          <cell r="AF6581">
            <v>1.3</v>
          </cell>
        </row>
        <row r="6582">
          <cell r="A6582" t="str">
            <v>IS_alqt_plus</v>
          </cell>
          <cell r="K6582" t="str">
            <v>ESAN</v>
          </cell>
          <cell r="M6582" t="str">
            <v>F</v>
          </cell>
          <cell r="AB6582" t="str">
            <v>WB</v>
          </cell>
          <cell r="AF6582">
            <v>0.75</v>
          </cell>
        </row>
        <row r="6583">
          <cell r="A6583" t="str">
            <v>IS_alqt_plus</v>
          </cell>
          <cell r="K6583" t="str">
            <v>ESAN</v>
          </cell>
          <cell r="M6583" t="str">
            <v>F</v>
          </cell>
          <cell r="AB6583" t="str">
            <v>WB</v>
          </cell>
          <cell r="AF6583">
            <v>1.3</v>
          </cell>
        </row>
        <row r="6584">
          <cell r="A6584" t="str">
            <v>IS_alqt_plus</v>
          </cell>
          <cell r="K6584" t="str">
            <v>ESAN</v>
          </cell>
          <cell r="M6584" t="str">
            <v>F</v>
          </cell>
          <cell r="AB6584" t="str">
            <v>WB</v>
          </cell>
          <cell r="AF6584">
            <v>0.2</v>
          </cell>
        </row>
        <row r="6585">
          <cell r="A6585" t="str">
            <v>IS_alqt_plus</v>
          </cell>
          <cell r="K6585" t="str">
            <v>ESAN</v>
          </cell>
          <cell r="M6585" t="str">
            <v>F</v>
          </cell>
          <cell r="AB6585" t="str">
            <v>serum</v>
          </cell>
          <cell r="AF6585">
            <v>1</v>
          </cell>
        </row>
        <row r="6586">
          <cell r="A6586" t="str">
            <v>IS_alqt_plus</v>
          </cell>
          <cell r="K6586" t="str">
            <v>ESAN</v>
          </cell>
          <cell r="M6586" t="str">
            <v>F</v>
          </cell>
          <cell r="AB6586" t="str">
            <v>serum</v>
          </cell>
          <cell r="AF6586">
            <v>1</v>
          </cell>
        </row>
        <row r="6587">
          <cell r="A6587" t="str">
            <v>IS_alqt_plus</v>
          </cell>
          <cell r="K6587" t="str">
            <v>ESAN</v>
          </cell>
          <cell r="M6587" t="str">
            <v>F</v>
          </cell>
          <cell r="AB6587" t="str">
            <v>serum</v>
          </cell>
          <cell r="AF6587">
            <v>1</v>
          </cell>
        </row>
        <row r="6588">
          <cell r="A6588" t="str">
            <v>IS_alqt_plus</v>
          </cell>
          <cell r="K6588" t="str">
            <v>ECOL</v>
          </cell>
          <cell r="M6588" t="str">
            <v>M</v>
          </cell>
          <cell r="AB6588" t="str">
            <v>serum</v>
          </cell>
          <cell r="AF6588">
            <v>1</v>
          </cell>
        </row>
        <row r="6589">
          <cell r="A6589" t="str">
            <v>IS_alqt_plus</v>
          </cell>
          <cell r="K6589" t="str">
            <v>ERUB</v>
          </cell>
          <cell r="M6589" t="str">
            <v>F</v>
          </cell>
          <cell r="AB6589" t="str">
            <v>serum</v>
          </cell>
          <cell r="AF6589">
            <v>0.9</v>
          </cell>
        </row>
        <row r="6590">
          <cell r="A6590" t="str">
            <v>IS_alqt_plus</v>
          </cell>
          <cell r="K6590" t="str">
            <v>ERUB</v>
          </cell>
          <cell r="M6590" t="str">
            <v>F</v>
          </cell>
          <cell r="AB6590" t="str">
            <v>serum</v>
          </cell>
          <cell r="AF6590">
            <v>1</v>
          </cell>
        </row>
        <row r="6591">
          <cell r="A6591" t="str">
            <v>IS_alqt_plus</v>
          </cell>
          <cell r="K6591" t="str">
            <v>DMAD</v>
          </cell>
          <cell r="M6591" t="str">
            <v>M</v>
          </cell>
          <cell r="AB6591" t="str">
            <v>serum</v>
          </cell>
          <cell r="AF6591">
            <v>1</v>
          </cell>
        </row>
        <row r="6592">
          <cell r="A6592" t="str">
            <v>IS_alqt_plus</v>
          </cell>
          <cell r="K6592" t="str">
            <v>ERUB</v>
          </cell>
          <cell r="M6592" t="str">
            <v>F</v>
          </cell>
          <cell r="AB6592" t="str">
            <v>serum</v>
          </cell>
          <cell r="AF6592">
            <v>1</v>
          </cell>
        </row>
        <row r="6593">
          <cell r="A6593" t="str">
            <v>IS_alqt_plus</v>
          </cell>
          <cell r="K6593" t="str">
            <v>VRUB</v>
          </cell>
          <cell r="M6593" t="str">
            <v>M</v>
          </cell>
          <cell r="AB6593" t="str">
            <v>WB</v>
          </cell>
          <cell r="AF6593">
            <v>0.9</v>
          </cell>
        </row>
        <row r="6594">
          <cell r="A6594" t="str">
            <v>IS_alqt_plus</v>
          </cell>
          <cell r="K6594" t="str">
            <v>VRUB</v>
          </cell>
          <cell r="M6594" t="str">
            <v>M</v>
          </cell>
          <cell r="AB6594" t="str">
            <v>serum</v>
          </cell>
          <cell r="AF6594">
            <v>1.5</v>
          </cell>
        </row>
        <row r="6595">
          <cell r="A6595" t="str">
            <v>IS_alqt_plus</v>
          </cell>
          <cell r="K6595" t="str">
            <v>ECOL</v>
          </cell>
          <cell r="M6595" t="str">
            <v>M</v>
          </cell>
          <cell r="AB6595" t="str">
            <v>serum</v>
          </cell>
          <cell r="AF6595">
            <v>1</v>
          </cell>
        </row>
        <row r="6596">
          <cell r="A6596" t="str">
            <v>IS_alqt_plus</v>
          </cell>
          <cell r="K6596" t="str">
            <v>ECOL</v>
          </cell>
          <cell r="M6596" t="str">
            <v>M</v>
          </cell>
          <cell r="AB6596" t="str">
            <v>serum</v>
          </cell>
          <cell r="AF6596">
            <v>1</v>
          </cell>
        </row>
        <row r="6597">
          <cell r="A6597" t="str">
            <v>IS_alqt_plus</v>
          </cell>
          <cell r="K6597" t="str">
            <v>EMON</v>
          </cell>
          <cell r="M6597" t="str">
            <v>F</v>
          </cell>
          <cell r="AB6597" t="str">
            <v>WB</v>
          </cell>
          <cell r="AF6597">
            <v>0.3</v>
          </cell>
        </row>
        <row r="6598">
          <cell r="A6598" t="str">
            <v>IS_alqt_plus</v>
          </cell>
          <cell r="K6598" t="str">
            <v>ERUB</v>
          </cell>
          <cell r="M6598" t="str">
            <v>F</v>
          </cell>
          <cell r="AB6598" t="str">
            <v>serum</v>
          </cell>
          <cell r="AF6598">
            <v>0.75</v>
          </cell>
        </row>
        <row r="6599">
          <cell r="A6599" t="str">
            <v>IS_alqt_plus</v>
          </cell>
          <cell r="K6599" t="str">
            <v>ERUB</v>
          </cell>
          <cell r="M6599" t="str">
            <v>F</v>
          </cell>
          <cell r="AB6599" t="str">
            <v>serum</v>
          </cell>
          <cell r="AF6599">
            <v>1</v>
          </cell>
        </row>
        <row r="6600">
          <cell r="A6600" t="str">
            <v>IS_alqt_plus</v>
          </cell>
          <cell r="K6600" t="str">
            <v>EUL</v>
          </cell>
          <cell r="M6600" t="str">
            <v>M</v>
          </cell>
          <cell r="AB6600" t="str">
            <v>serum</v>
          </cell>
          <cell r="AF6600">
            <v>1</v>
          </cell>
        </row>
        <row r="6601">
          <cell r="A6601" t="str">
            <v>IS_alqt_plus</v>
          </cell>
          <cell r="K6601" t="str">
            <v>EUL</v>
          </cell>
          <cell r="M6601" t="str">
            <v>M</v>
          </cell>
          <cell r="AB6601" t="str">
            <v>serum</v>
          </cell>
          <cell r="AF6601">
            <v>1</v>
          </cell>
        </row>
        <row r="6602">
          <cell r="A6602" t="str">
            <v>IS_alqt_plus</v>
          </cell>
          <cell r="K6602" t="str">
            <v>EUL</v>
          </cell>
          <cell r="M6602" t="str">
            <v>M</v>
          </cell>
          <cell r="AB6602" t="str">
            <v>serum</v>
          </cell>
          <cell r="AF6602">
            <v>1</v>
          </cell>
        </row>
        <row r="6603">
          <cell r="A6603" t="str">
            <v>IS_alqt_plus</v>
          </cell>
          <cell r="K6603" t="str">
            <v>EUL</v>
          </cell>
          <cell r="M6603" t="str">
            <v>M</v>
          </cell>
          <cell r="AB6603" t="str">
            <v>serum</v>
          </cell>
          <cell r="AF6603">
            <v>1</v>
          </cell>
        </row>
        <row r="6604">
          <cell r="A6604" t="str">
            <v>IS_alqt_plus</v>
          </cell>
          <cell r="K6604" t="str">
            <v>EUL</v>
          </cell>
          <cell r="M6604" t="str">
            <v>M</v>
          </cell>
          <cell r="AB6604" t="str">
            <v>serum</v>
          </cell>
          <cell r="AF6604">
            <v>1</v>
          </cell>
        </row>
        <row r="6605">
          <cell r="A6605" t="str">
            <v>IS_alqt_plus</v>
          </cell>
          <cell r="K6605" t="str">
            <v>EUL</v>
          </cell>
          <cell r="M6605" t="str">
            <v>M</v>
          </cell>
          <cell r="AB6605" t="str">
            <v>serum</v>
          </cell>
          <cell r="AF6605">
            <v>1</v>
          </cell>
        </row>
        <row r="6606">
          <cell r="A6606" t="str">
            <v>IS_alqt_plus</v>
          </cell>
          <cell r="K6606" t="str">
            <v>EUL</v>
          </cell>
          <cell r="M6606" t="str">
            <v>M</v>
          </cell>
          <cell r="AB6606" t="str">
            <v>serum</v>
          </cell>
          <cell r="AF6606">
            <v>1</v>
          </cell>
        </row>
        <row r="6607">
          <cell r="A6607" t="str">
            <v>IS_alqt_plus</v>
          </cell>
          <cell r="K6607" t="str">
            <v>EUL</v>
          </cell>
          <cell r="M6607" t="str">
            <v>M</v>
          </cell>
          <cell r="AB6607" t="str">
            <v>serum</v>
          </cell>
          <cell r="AF6607">
            <v>1</v>
          </cell>
        </row>
        <row r="6608">
          <cell r="A6608" t="str">
            <v>IS_alqt_plus</v>
          </cell>
          <cell r="K6608" t="str">
            <v>EUL</v>
          </cell>
          <cell r="M6608" t="str">
            <v>M</v>
          </cell>
          <cell r="AB6608" t="str">
            <v>serum</v>
          </cell>
          <cell r="AF6608">
            <v>1</v>
          </cell>
        </row>
        <row r="6609">
          <cell r="A6609" t="str">
            <v>IS_alqt_plus</v>
          </cell>
          <cell r="K6609" t="str">
            <v>EUL</v>
          </cell>
          <cell r="M6609" t="str">
            <v>M</v>
          </cell>
          <cell r="AB6609" t="str">
            <v>serum</v>
          </cell>
          <cell r="AF6609">
            <v>1</v>
          </cell>
        </row>
        <row r="6610">
          <cell r="A6610" t="str">
            <v>IS_alqt_plus</v>
          </cell>
          <cell r="K6610" t="str">
            <v>EUL</v>
          </cell>
          <cell r="M6610" t="str">
            <v>M</v>
          </cell>
          <cell r="AB6610" t="str">
            <v>serum</v>
          </cell>
          <cell r="AF6610">
            <v>1</v>
          </cell>
        </row>
        <row r="6611">
          <cell r="A6611" t="str">
            <v>IS_alqt_plus</v>
          </cell>
          <cell r="K6611" t="str">
            <v>EUL</v>
          </cell>
          <cell r="M6611" t="str">
            <v>M</v>
          </cell>
          <cell r="AB6611" t="str">
            <v>serum</v>
          </cell>
          <cell r="AF6611">
            <v>1</v>
          </cell>
        </row>
        <row r="6612">
          <cell r="A6612" t="str">
            <v>IS_alqt_plus</v>
          </cell>
          <cell r="K6612" t="str">
            <v>EUL</v>
          </cell>
          <cell r="M6612" t="str">
            <v>M</v>
          </cell>
          <cell r="AB6612" t="str">
            <v>serum</v>
          </cell>
          <cell r="AF6612">
            <v>1</v>
          </cell>
        </row>
        <row r="6613">
          <cell r="A6613" t="str">
            <v>IS_alqt_plus</v>
          </cell>
          <cell r="K6613" t="str">
            <v>EUL</v>
          </cell>
          <cell r="M6613" t="str">
            <v>M</v>
          </cell>
          <cell r="AB6613" t="str">
            <v>serum</v>
          </cell>
          <cell r="AF6613">
            <v>1</v>
          </cell>
        </row>
        <row r="6614">
          <cell r="A6614" t="str">
            <v>IS_alqt_plus</v>
          </cell>
          <cell r="K6614" t="str">
            <v>EUL</v>
          </cell>
          <cell r="M6614" t="str">
            <v>M</v>
          </cell>
          <cell r="AB6614" t="str">
            <v>serum</v>
          </cell>
          <cell r="AF6614">
            <v>1</v>
          </cell>
        </row>
        <row r="6615">
          <cell r="A6615" t="str">
            <v>IS_alqt_plus</v>
          </cell>
          <cell r="K6615" t="str">
            <v>EUL</v>
          </cell>
          <cell r="M6615" t="str">
            <v>M</v>
          </cell>
          <cell r="AB6615" t="str">
            <v>serum</v>
          </cell>
          <cell r="AF6615">
            <v>1</v>
          </cell>
        </row>
        <row r="6616">
          <cell r="A6616" t="str">
            <v>IS_alqt_plus</v>
          </cell>
          <cell r="K6616" t="str">
            <v>EUL</v>
          </cell>
          <cell r="M6616" t="str">
            <v>M</v>
          </cell>
          <cell r="AB6616" t="str">
            <v>serum</v>
          </cell>
          <cell r="AF6616">
            <v>1</v>
          </cell>
        </row>
        <row r="6617">
          <cell r="A6617" t="str">
            <v>IS_alqt_plus</v>
          </cell>
          <cell r="K6617" t="str">
            <v>EUL</v>
          </cell>
          <cell r="M6617" t="str">
            <v>M</v>
          </cell>
          <cell r="AB6617" t="str">
            <v>serum</v>
          </cell>
          <cell r="AF6617">
            <v>1.3</v>
          </cell>
        </row>
        <row r="6618">
          <cell r="A6618" t="str">
            <v>IS_alqt_plus</v>
          </cell>
          <cell r="K6618" t="str">
            <v>EUL</v>
          </cell>
          <cell r="M6618" t="str">
            <v>M</v>
          </cell>
          <cell r="AB6618" t="str">
            <v>serum</v>
          </cell>
          <cell r="AF6618">
            <v>1</v>
          </cell>
        </row>
        <row r="6619">
          <cell r="A6619" t="str">
            <v>IS_alqt_plus</v>
          </cell>
          <cell r="K6619" t="str">
            <v>EUL</v>
          </cell>
          <cell r="M6619" t="str">
            <v>M</v>
          </cell>
          <cell r="AB6619" t="str">
            <v>serum</v>
          </cell>
          <cell r="AF6619">
            <v>1</v>
          </cell>
        </row>
        <row r="6620">
          <cell r="A6620" t="str">
            <v>IS_alqt_plus</v>
          </cell>
          <cell r="K6620" t="str">
            <v>EUL</v>
          </cell>
          <cell r="M6620" t="str">
            <v>M</v>
          </cell>
          <cell r="AB6620" t="str">
            <v>serum</v>
          </cell>
          <cell r="AF6620">
            <v>1</v>
          </cell>
        </row>
        <row r="6621">
          <cell r="A6621" t="str">
            <v>IS_alqt_plus</v>
          </cell>
          <cell r="K6621" t="str">
            <v>EUL</v>
          </cell>
          <cell r="M6621" t="str">
            <v>M</v>
          </cell>
          <cell r="AB6621" t="str">
            <v>serum</v>
          </cell>
          <cell r="AF6621">
            <v>1</v>
          </cell>
        </row>
        <row r="6622">
          <cell r="A6622" t="str">
            <v>IS_alqt_plus</v>
          </cell>
          <cell r="K6622" t="str">
            <v>EUL</v>
          </cell>
          <cell r="M6622" t="str">
            <v>M</v>
          </cell>
          <cell r="AB6622" t="str">
            <v>serum</v>
          </cell>
          <cell r="AF6622">
            <v>1</v>
          </cell>
        </row>
        <row r="6623">
          <cell r="A6623" t="str">
            <v>IS_alqt_plus</v>
          </cell>
          <cell r="K6623" t="str">
            <v>EUL</v>
          </cell>
          <cell r="M6623" t="str">
            <v>M</v>
          </cell>
          <cell r="AB6623" t="str">
            <v>serum</v>
          </cell>
          <cell r="AF6623">
            <v>1</v>
          </cell>
        </row>
        <row r="6624">
          <cell r="A6624" t="str">
            <v>IS_alqt_plus</v>
          </cell>
          <cell r="K6624" t="str">
            <v>EUL</v>
          </cell>
          <cell r="M6624" t="str">
            <v>M</v>
          </cell>
          <cell r="AB6624" t="str">
            <v>serum</v>
          </cell>
          <cell r="AF6624">
            <v>1</v>
          </cell>
        </row>
        <row r="6625">
          <cell r="A6625" t="str">
            <v>IS_alqt_plus</v>
          </cell>
          <cell r="K6625" t="str">
            <v>EUL</v>
          </cell>
          <cell r="M6625" t="str">
            <v>M</v>
          </cell>
          <cell r="AB6625" t="str">
            <v>serum</v>
          </cell>
          <cell r="AF6625">
            <v>1</v>
          </cell>
        </row>
        <row r="6626">
          <cell r="A6626" t="str">
            <v>IS_alqt_plus</v>
          </cell>
          <cell r="K6626" t="str">
            <v>EUL</v>
          </cell>
          <cell r="M6626" t="str">
            <v>M</v>
          </cell>
          <cell r="AB6626" t="str">
            <v>serum</v>
          </cell>
          <cell r="AF6626">
            <v>1</v>
          </cell>
        </row>
        <row r="6627">
          <cell r="A6627" t="str">
            <v>IS_alqt_plus</v>
          </cell>
          <cell r="K6627" t="str">
            <v>EUL</v>
          </cell>
          <cell r="M6627" t="str">
            <v>M</v>
          </cell>
          <cell r="AB6627" t="str">
            <v>serum</v>
          </cell>
          <cell r="AF6627">
            <v>1</v>
          </cell>
        </row>
        <row r="6628">
          <cell r="A6628" t="str">
            <v>IS_alqt_plus</v>
          </cell>
          <cell r="K6628" t="str">
            <v>EUL</v>
          </cell>
          <cell r="M6628" t="str">
            <v>M</v>
          </cell>
          <cell r="AB6628" t="str">
            <v>serum</v>
          </cell>
          <cell r="AF6628">
            <v>1</v>
          </cell>
        </row>
        <row r="6629">
          <cell r="A6629" t="str">
            <v>IS_alqt_plus</v>
          </cell>
          <cell r="K6629" t="str">
            <v>EUL</v>
          </cell>
          <cell r="M6629" t="str">
            <v>M</v>
          </cell>
          <cell r="AB6629" t="str">
            <v>serum</v>
          </cell>
          <cell r="AF6629">
            <v>1</v>
          </cell>
        </row>
        <row r="6630">
          <cell r="A6630" t="str">
            <v>IS_alqt_plus</v>
          </cell>
          <cell r="K6630" t="str">
            <v>EUL</v>
          </cell>
          <cell r="M6630" t="str">
            <v>M</v>
          </cell>
          <cell r="AB6630" t="str">
            <v>serum</v>
          </cell>
          <cell r="AF6630">
            <v>1</v>
          </cell>
        </row>
        <row r="6631">
          <cell r="A6631" t="str">
            <v>IS_alqt_plus</v>
          </cell>
          <cell r="K6631" t="str">
            <v>EUL</v>
          </cell>
          <cell r="M6631" t="str">
            <v>M</v>
          </cell>
          <cell r="AB6631" t="str">
            <v>serum</v>
          </cell>
          <cell r="AF6631">
            <v>1</v>
          </cell>
        </row>
        <row r="6632">
          <cell r="A6632" t="str">
            <v>IS_alqt_plus</v>
          </cell>
          <cell r="K6632" t="str">
            <v>EUL</v>
          </cell>
          <cell r="M6632" t="str">
            <v>M</v>
          </cell>
          <cell r="AB6632" t="str">
            <v>WB</v>
          </cell>
          <cell r="AF6632">
            <v>1</v>
          </cell>
        </row>
        <row r="6633">
          <cell r="A6633" t="str">
            <v>IS_alqt_plus</v>
          </cell>
          <cell r="K6633" t="str">
            <v>EUL</v>
          </cell>
          <cell r="M6633" t="str">
            <v>M</v>
          </cell>
          <cell r="AB6633" t="str">
            <v>WB</v>
          </cell>
          <cell r="AF6633">
            <v>1</v>
          </cell>
        </row>
        <row r="6634">
          <cell r="A6634" t="str">
            <v>IS_alqt_plus</v>
          </cell>
          <cell r="K6634" t="str">
            <v>EUL</v>
          </cell>
          <cell r="M6634" t="str">
            <v>M</v>
          </cell>
          <cell r="AB6634" t="str">
            <v>WB</v>
          </cell>
          <cell r="AF6634">
            <v>1</v>
          </cell>
        </row>
        <row r="6635">
          <cell r="A6635" t="str">
            <v>IS_alqt_plus</v>
          </cell>
          <cell r="K6635" t="str">
            <v>EUL</v>
          </cell>
          <cell r="M6635" t="str">
            <v>M</v>
          </cell>
          <cell r="AB6635" t="str">
            <v>WB</v>
          </cell>
          <cell r="AF6635">
            <v>1</v>
          </cell>
        </row>
        <row r="6636">
          <cell r="A6636" t="str">
            <v>IS_alqt_plus</v>
          </cell>
          <cell r="K6636" t="str">
            <v>EUL</v>
          </cell>
          <cell r="M6636" t="str">
            <v>M</v>
          </cell>
          <cell r="AB6636" t="str">
            <v>WB</v>
          </cell>
          <cell r="AF6636">
            <v>1</v>
          </cell>
        </row>
        <row r="6637">
          <cell r="A6637" t="str">
            <v>IS_alqt_plus</v>
          </cell>
          <cell r="K6637" t="str">
            <v>EUL</v>
          </cell>
          <cell r="M6637" t="str">
            <v>M</v>
          </cell>
          <cell r="AB6637" t="str">
            <v>WB</v>
          </cell>
          <cell r="AF6637">
            <v>1</v>
          </cell>
        </row>
        <row r="6638">
          <cell r="A6638" t="str">
            <v>IS_alqt_plus</v>
          </cell>
          <cell r="K6638" t="str">
            <v>EUL</v>
          </cell>
          <cell r="M6638" t="str">
            <v>M</v>
          </cell>
          <cell r="AB6638" t="str">
            <v>WB</v>
          </cell>
          <cell r="AF6638">
            <v>1</v>
          </cell>
        </row>
        <row r="6639">
          <cell r="A6639" t="str">
            <v>IS_alqt_plus</v>
          </cell>
          <cell r="K6639" t="str">
            <v>EUL</v>
          </cell>
          <cell r="M6639" t="str">
            <v>M</v>
          </cell>
          <cell r="AB6639" t="str">
            <v>WB</v>
          </cell>
          <cell r="AF6639">
            <v>1</v>
          </cell>
        </row>
        <row r="6640">
          <cell r="A6640" t="str">
            <v>IS_alqt_plus</v>
          </cell>
          <cell r="K6640" t="str">
            <v>EUL</v>
          </cell>
          <cell r="M6640" t="str">
            <v>M</v>
          </cell>
          <cell r="AB6640" t="str">
            <v>WB</v>
          </cell>
          <cell r="AF6640">
            <v>1</v>
          </cell>
        </row>
        <row r="6641">
          <cell r="A6641" t="str">
            <v>IS_alqt_plus</v>
          </cell>
          <cell r="K6641" t="str">
            <v>EUL</v>
          </cell>
          <cell r="M6641" t="str">
            <v>M</v>
          </cell>
          <cell r="AB6641" t="str">
            <v>WB</v>
          </cell>
          <cell r="AF6641">
            <v>1</v>
          </cell>
        </row>
        <row r="6642">
          <cell r="A6642" t="str">
            <v>IS_alqt_plus</v>
          </cell>
          <cell r="K6642" t="str">
            <v>EUL</v>
          </cell>
          <cell r="M6642" t="str">
            <v>M</v>
          </cell>
          <cell r="AB6642" t="str">
            <v>WB</v>
          </cell>
          <cell r="AF6642">
            <v>1</v>
          </cell>
        </row>
        <row r="6643">
          <cell r="A6643" t="str">
            <v>IS_alqt_plus</v>
          </cell>
          <cell r="K6643" t="str">
            <v>EUL</v>
          </cell>
          <cell r="M6643" t="str">
            <v>M</v>
          </cell>
          <cell r="AB6643" t="str">
            <v>WB</v>
          </cell>
          <cell r="AF6643">
            <v>1</v>
          </cell>
        </row>
        <row r="6644">
          <cell r="A6644" t="str">
            <v>IS_alqt_plus</v>
          </cell>
          <cell r="K6644" t="str">
            <v>EUL</v>
          </cell>
          <cell r="M6644" t="str">
            <v>M</v>
          </cell>
          <cell r="AB6644" t="str">
            <v>WB</v>
          </cell>
          <cell r="AF6644">
            <v>1</v>
          </cell>
        </row>
        <row r="6645">
          <cell r="A6645" t="str">
            <v>IS_alqt_plus</v>
          </cell>
          <cell r="K6645" t="str">
            <v>EUL</v>
          </cell>
          <cell r="M6645" t="str">
            <v>M</v>
          </cell>
          <cell r="AB6645" t="str">
            <v>WB</v>
          </cell>
          <cell r="AF6645">
            <v>1</v>
          </cell>
        </row>
        <row r="6646">
          <cell r="A6646" t="str">
            <v>IS_alqt_plus</v>
          </cell>
          <cell r="K6646" t="str">
            <v>EUL</v>
          </cell>
          <cell r="M6646" t="str">
            <v>M</v>
          </cell>
          <cell r="AB6646" t="str">
            <v>WB</v>
          </cell>
          <cell r="AF6646">
            <v>1</v>
          </cell>
        </row>
        <row r="6647">
          <cell r="A6647" t="str">
            <v>IS_alqt_plus</v>
          </cell>
          <cell r="K6647" t="str">
            <v>EUL</v>
          </cell>
          <cell r="M6647" t="str">
            <v>M</v>
          </cell>
          <cell r="AB6647" t="str">
            <v>WB</v>
          </cell>
          <cell r="AF6647">
            <v>0.8</v>
          </cell>
        </row>
        <row r="6648">
          <cell r="A6648" t="str">
            <v>IS_alqt_plus</v>
          </cell>
          <cell r="K6648" t="str">
            <v>EUL</v>
          </cell>
          <cell r="M6648" t="str">
            <v>M</v>
          </cell>
          <cell r="AB6648" t="str">
            <v>WB</v>
          </cell>
          <cell r="AF6648">
            <v>1</v>
          </cell>
        </row>
        <row r="6649">
          <cell r="A6649" t="str">
            <v>IS_alqt_plus</v>
          </cell>
          <cell r="K6649" t="str">
            <v>EUL</v>
          </cell>
          <cell r="M6649" t="str">
            <v>M</v>
          </cell>
          <cell r="AB6649" t="str">
            <v>WB</v>
          </cell>
          <cell r="AF6649">
            <v>0.9</v>
          </cell>
        </row>
        <row r="6650">
          <cell r="A6650" t="str">
            <v>IS_alqt_plus</v>
          </cell>
          <cell r="K6650" t="str">
            <v>EUL</v>
          </cell>
          <cell r="M6650" t="str">
            <v>M</v>
          </cell>
          <cell r="AB6650" t="str">
            <v>WB</v>
          </cell>
          <cell r="AF6650">
            <v>1</v>
          </cell>
        </row>
        <row r="6651">
          <cell r="A6651" t="str">
            <v>IS_alqt_plus</v>
          </cell>
          <cell r="K6651" t="str">
            <v>EUL</v>
          </cell>
          <cell r="M6651" t="str">
            <v>M</v>
          </cell>
          <cell r="AB6651" t="str">
            <v>WB</v>
          </cell>
          <cell r="AF6651">
            <v>1</v>
          </cell>
        </row>
        <row r="6652">
          <cell r="A6652" t="str">
            <v>IS_alqt_plus</v>
          </cell>
          <cell r="K6652" t="str">
            <v>EUL</v>
          </cell>
          <cell r="M6652" t="str">
            <v>M</v>
          </cell>
          <cell r="AB6652" t="str">
            <v>WB</v>
          </cell>
          <cell r="AF6652">
            <v>1</v>
          </cell>
        </row>
        <row r="6653">
          <cell r="A6653" t="str">
            <v>IS_alqt_plus</v>
          </cell>
          <cell r="K6653" t="str">
            <v>EUL</v>
          </cell>
          <cell r="M6653" t="str">
            <v>M</v>
          </cell>
          <cell r="AB6653" t="str">
            <v>WB</v>
          </cell>
          <cell r="AF6653">
            <v>1</v>
          </cell>
        </row>
        <row r="6654">
          <cell r="A6654" t="str">
            <v>IS_alqt_plus</v>
          </cell>
          <cell r="K6654" t="str">
            <v>EUL</v>
          </cell>
          <cell r="M6654" t="str">
            <v>M</v>
          </cell>
          <cell r="AB6654" t="str">
            <v>WB</v>
          </cell>
          <cell r="AF6654">
            <v>1</v>
          </cell>
        </row>
        <row r="6655">
          <cell r="A6655" t="str">
            <v>IS_alqt_plus</v>
          </cell>
          <cell r="K6655" t="str">
            <v>EUL</v>
          </cell>
          <cell r="M6655" t="str">
            <v>M</v>
          </cell>
          <cell r="AB6655" t="str">
            <v>WB</v>
          </cell>
          <cell r="AF6655">
            <v>1</v>
          </cell>
        </row>
        <row r="6656">
          <cell r="A6656" t="str">
            <v>IS_alqt_plus</v>
          </cell>
          <cell r="K6656" t="str">
            <v>EUL</v>
          </cell>
          <cell r="M6656" t="str">
            <v>M</v>
          </cell>
          <cell r="AB6656" t="str">
            <v>WB</v>
          </cell>
          <cell r="AF6656">
            <v>1</v>
          </cell>
        </row>
        <row r="6657">
          <cell r="A6657" t="str">
            <v>IS_alqt_plus</v>
          </cell>
          <cell r="K6657" t="str">
            <v>EUL</v>
          </cell>
          <cell r="M6657" t="str">
            <v>M</v>
          </cell>
          <cell r="AB6657" t="str">
            <v>WB</v>
          </cell>
          <cell r="AF6657">
            <v>1</v>
          </cell>
        </row>
        <row r="6658">
          <cell r="A6658" t="str">
            <v>IS_alqt_plus</v>
          </cell>
          <cell r="K6658" t="str">
            <v>EUL</v>
          </cell>
          <cell r="M6658" t="str">
            <v>M</v>
          </cell>
          <cell r="AB6658" t="str">
            <v>WB</v>
          </cell>
          <cell r="AF6658">
            <v>1</v>
          </cell>
        </row>
        <row r="6659">
          <cell r="A6659" t="str">
            <v>IS_alqt_plus</v>
          </cell>
          <cell r="K6659" t="str">
            <v>EUL</v>
          </cell>
          <cell r="M6659" t="str">
            <v>M</v>
          </cell>
          <cell r="AB6659" t="str">
            <v>WB</v>
          </cell>
          <cell r="AF6659">
            <v>0.5</v>
          </cell>
        </row>
        <row r="6660">
          <cell r="A6660" t="str">
            <v>IS_alqt_plus</v>
          </cell>
          <cell r="K6660" t="str">
            <v>EUL</v>
          </cell>
          <cell r="M6660" t="str">
            <v>M</v>
          </cell>
          <cell r="AB6660" t="str">
            <v>WB</v>
          </cell>
          <cell r="AF6660">
            <v>0.75</v>
          </cell>
        </row>
        <row r="6661">
          <cell r="A6661" t="str">
            <v>IS_alqt_plus</v>
          </cell>
          <cell r="K6661" t="str">
            <v>EUL</v>
          </cell>
          <cell r="M6661" t="str">
            <v>M</v>
          </cell>
          <cell r="AB6661" t="str">
            <v>WB</v>
          </cell>
          <cell r="AF6661">
            <v>1</v>
          </cell>
        </row>
        <row r="6662">
          <cell r="A6662" t="str">
            <v>IS_alqt_plus</v>
          </cell>
          <cell r="K6662" t="str">
            <v>LCAT</v>
          </cell>
          <cell r="M6662" t="str">
            <v>F</v>
          </cell>
          <cell r="AB6662" t="str">
            <v>WB</v>
          </cell>
          <cell r="AF6662">
            <v>0.5</v>
          </cell>
        </row>
        <row r="6663">
          <cell r="A6663" t="str">
            <v>IS_alqt_plus</v>
          </cell>
          <cell r="K6663" t="str">
            <v>LCAT</v>
          </cell>
          <cell r="M6663" t="str">
            <v>M</v>
          </cell>
          <cell r="AB6663" t="str">
            <v>WB</v>
          </cell>
          <cell r="AF6663">
            <v>1</v>
          </cell>
        </row>
        <row r="6664">
          <cell r="A6664" t="str">
            <v>IS_alqt_plus</v>
          </cell>
          <cell r="K6664" t="str">
            <v>PCOQ</v>
          </cell>
          <cell r="M6664" t="str">
            <v>M</v>
          </cell>
          <cell r="AB6664" t="str">
            <v>serum</v>
          </cell>
          <cell r="AF6664">
            <v>1.3</v>
          </cell>
        </row>
        <row r="6665">
          <cell r="A6665" t="str">
            <v>IS_alqt_plus</v>
          </cell>
          <cell r="K6665" t="str">
            <v>LCAT</v>
          </cell>
          <cell r="M6665" t="str">
            <v>F</v>
          </cell>
          <cell r="AB6665" t="str">
            <v>WB</v>
          </cell>
          <cell r="AF6665">
            <v>0.75</v>
          </cell>
        </row>
        <row r="6666">
          <cell r="A6666" t="str">
            <v>IS_alqt_plus</v>
          </cell>
          <cell r="K6666" t="str">
            <v>LCAT</v>
          </cell>
          <cell r="M6666" t="str">
            <v>M</v>
          </cell>
          <cell r="AB6666" t="str">
            <v>serum</v>
          </cell>
          <cell r="AF6666">
            <v>1.1000000000000001</v>
          </cell>
        </row>
        <row r="6667">
          <cell r="A6667" t="str">
            <v>IS_alqt_plus</v>
          </cell>
          <cell r="K6667" t="str">
            <v>LCAT</v>
          </cell>
          <cell r="M6667" t="str">
            <v>F</v>
          </cell>
          <cell r="AB6667" t="str">
            <v>WB</v>
          </cell>
          <cell r="AF6667">
            <v>0.6</v>
          </cell>
        </row>
        <row r="6668">
          <cell r="A6668" t="str">
            <v>IS_alqt_plus</v>
          </cell>
          <cell r="K6668" t="str">
            <v>LCAT</v>
          </cell>
          <cell r="M6668" t="str">
            <v>F</v>
          </cell>
          <cell r="AB6668" t="str">
            <v>serum</v>
          </cell>
          <cell r="AF6668">
            <v>1</v>
          </cell>
        </row>
        <row r="6669">
          <cell r="A6669" t="str">
            <v>IS_alqt_plus</v>
          </cell>
          <cell r="K6669" t="str">
            <v>PCOQ</v>
          </cell>
          <cell r="M6669" t="str">
            <v>M</v>
          </cell>
          <cell r="AB6669" t="str">
            <v>serum</v>
          </cell>
          <cell r="AF6669">
            <v>0.3</v>
          </cell>
        </row>
        <row r="6670">
          <cell r="A6670" t="str">
            <v>IS_alqt_plus</v>
          </cell>
          <cell r="K6670" t="str">
            <v>EFLA</v>
          </cell>
          <cell r="M6670" t="str">
            <v>M</v>
          </cell>
          <cell r="AB6670" t="str">
            <v>serum</v>
          </cell>
          <cell r="AF6670">
            <v>0.5</v>
          </cell>
        </row>
        <row r="6671">
          <cell r="A6671" t="str">
            <v>IS_alqt_plus</v>
          </cell>
          <cell r="K6671" t="str">
            <v>EFLA</v>
          </cell>
          <cell r="M6671" t="str">
            <v>M</v>
          </cell>
          <cell r="AB6671" t="str">
            <v>serum</v>
          </cell>
          <cell r="AF6671">
            <v>1</v>
          </cell>
        </row>
        <row r="6672">
          <cell r="A6672" t="str">
            <v>IS_alqt_plus</v>
          </cell>
          <cell r="K6672" t="str">
            <v>EFLA</v>
          </cell>
          <cell r="M6672" t="str">
            <v>M</v>
          </cell>
          <cell r="AB6672" t="str">
            <v>serum</v>
          </cell>
          <cell r="AF6672">
            <v>0.2</v>
          </cell>
        </row>
        <row r="6673">
          <cell r="A6673" t="str">
            <v>IS_alqt_plus</v>
          </cell>
          <cell r="K6673" t="str">
            <v>EFLA</v>
          </cell>
          <cell r="M6673" t="str">
            <v>M</v>
          </cell>
          <cell r="AB6673" t="str">
            <v>serum</v>
          </cell>
          <cell r="AF6673">
            <v>0.2</v>
          </cell>
        </row>
        <row r="6674">
          <cell r="A6674" t="str">
            <v>IS_alqt_plus</v>
          </cell>
          <cell r="K6674" t="str">
            <v>EFLA</v>
          </cell>
          <cell r="M6674" t="str">
            <v>M</v>
          </cell>
          <cell r="AB6674" t="str">
            <v>serum</v>
          </cell>
          <cell r="AF6674">
            <v>0.2</v>
          </cell>
        </row>
        <row r="6675">
          <cell r="A6675" t="str">
            <v>IS_alqt_plus</v>
          </cell>
          <cell r="K6675" t="str">
            <v>EFLA</v>
          </cell>
          <cell r="M6675" t="str">
            <v>M</v>
          </cell>
          <cell r="AB6675" t="str">
            <v>serum</v>
          </cell>
          <cell r="AF6675">
            <v>0.2</v>
          </cell>
        </row>
        <row r="6676">
          <cell r="A6676" t="str">
            <v>IS_alqt_plus</v>
          </cell>
          <cell r="K6676" t="str">
            <v>EFLA</v>
          </cell>
          <cell r="M6676" t="str">
            <v>M</v>
          </cell>
          <cell r="AB6676" t="str">
            <v>serum</v>
          </cell>
          <cell r="AF6676">
            <v>0.2</v>
          </cell>
        </row>
        <row r="6677">
          <cell r="A6677" t="str">
            <v>gone</v>
          </cell>
          <cell r="K6677" t="str">
            <v>EFLA</v>
          </cell>
          <cell r="M6677" t="str">
            <v>M</v>
          </cell>
          <cell r="AB6677" t="str">
            <v>WB</v>
          </cell>
          <cell r="AF6677">
            <v>0</v>
          </cell>
        </row>
        <row r="6678">
          <cell r="A6678" t="str">
            <v>IS_alqt_plus</v>
          </cell>
          <cell r="K6678" t="str">
            <v>EFLA</v>
          </cell>
          <cell r="M6678" t="str">
            <v>M</v>
          </cell>
          <cell r="AB6678" t="str">
            <v>WB</v>
          </cell>
          <cell r="AF6678">
            <v>0.45</v>
          </cell>
        </row>
        <row r="6679">
          <cell r="A6679" t="str">
            <v>IS_alqt_plus</v>
          </cell>
          <cell r="K6679" t="str">
            <v>LCAT</v>
          </cell>
          <cell r="M6679" t="str">
            <v>M</v>
          </cell>
          <cell r="AB6679" t="str">
            <v>WB</v>
          </cell>
          <cell r="AF6679">
            <v>0.75</v>
          </cell>
        </row>
        <row r="6680">
          <cell r="A6680" t="str">
            <v>gone</v>
          </cell>
          <cell r="K6680" t="str">
            <v>PCOQ</v>
          </cell>
          <cell r="M6680" t="str">
            <v>M</v>
          </cell>
          <cell r="AB6680" t="str">
            <v>serum</v>
          </cell>
          <cell r="AF6680">
            <v>0</v>
          </cell>
        </row>
        <row r="6681">
          <cell r="A6681" t="str">
            <v>IS_alqt_plus</v>
          </cell>
          <cell r="K6681" t="str">
            <v>EFLA</v>
          </cell>
          <cell r="M6681" t="str">
            <v>M</v>
          </cell>
          <cell r="AB6681" t="str">
            <v>serum</v>
          </cell>
          <cell r="AF6681">
            <v>0.45</v>
          </cell>
        </row>
        <row r="6682">
          <cell r="A6682" t="str">
            <v>IS_alqt_plus</v>
          </cell>
          <cell r="K6682" t="str">
            <v>EFLA</v>
          </cell>
          <cell r="M6682" t="str">
            <v>M</v>
          </cell>
          <cell r="AB6682" t="str">
            <v>serum</v>
          </cell>
          <cell r="AF6682">
            <v>1.5</v>
          </cell>
        </row>
        <row r="6683">
          <cell r="A6683" t="str">
            <v>IS_alqt_plus</v>
          </cell>
          <cell r="K6683" t="str">
            <v>EFLA</v>
          </cell>
          <cell r="M6683" t="str">
            <v>M</v>
          </cell>
          <cell r="AB6683" t="str">
            <v>WB</v>
          </cell>
          <cell r="AF6683">
            <v>0.75</v>
          </cell>
        </row>
        <row r="6684">
          <cell r="A6684" t="str">
            <v>IS_alqt_plus</v>
          </cell>
          <cell r="K6684" t="str">
            <v>ERUB</v>
          </cell>
          <cell r="M6684" t="str">
            <v>F</v>
          </cell>
          <cell r="AB6684" t="str">
            <v>serum</v>
          </cell>
          <cell r="AF6684">
            <v>1</v>
          </cell>
        </row>
        <row r="6685">
          <cell r="A6685" t="str">
            <v>IS_alqt_plus</v>
          </cell>
          <cell r="K6685" t="str">
            <v>VRUB</v>
          </cell>
          <cell r="M6685" t="str">
            <v>M</v>
          </cell>
          <cell r="AB6685" t="str">
            <v>WB</v>
          </cell>
          <cell r="AF6685">
            <v>0.2</v>
          </cell>
        </row>
        <row r="6686">
          <cell r="A6686" t="str">
            <v>IS_alqt_plus</v>
          </cell>
          <cell r="K6686" t="str">
            <v>VRUB</v>
          </cell>
          <cell r="M6686" t="str">
            <v>M</v>
          </cell>
          <cell r="AB6686" t="str">
            <v>WB</v>
          </cell>
          <cell r="AF6686">
            <v>0.2</v>
          </cell>
        </row>
        <row r="6687">
          <cell r="A6687" t="str">
            <v>IS_alqt_plus</v>
          </cell>
          <cell r="K6687" t="str">
            <v>VRUB</v>
          </cell>
          <cell r="M6687" t="str">
            <v>M</v>
          </cell>
          <cell r="AB6687" t="str">
            <v>WB</v>
          </cell>
          <cell r="AF6687">
            <v>0.2</v>
          </cell>
        </row>
        <row r="6688">
          <cell r="A6688" t="str">
            <v>gone</v>
          </cell>
          <cell r="K6688" t="str">
            <v>MMUR</v>
          </cell>
          <cell r="M6688" t="str">
            <v>M</v>
          </cell>
          <cell r="AB6688" t="str">
            <v>WB</v>
          </cell>
          <cell r="AF6688">
            <v>0</v>
          </cell>
        </row>
        <row r="6689">
          <cell r="A6689" t="str">
            <v>gone</v>
          </cell>
          <cell r="K6689" t="str">
            <v>MMUR</v>
          </cell>
          <cell r="M6689" t="str">
            <v>M</v>
          </cell>
          <cell r="AB6689" t="str">
            <v>WB</v>
          </cell>
          <cell r="AF6689">
            <v>0</v>
          </cell>
        </row>
        <row r="6690">
          <cell r="A6690" t="str">
            <v>IS_alqt_plus</v>
          </cell>
          <cell r="K6690" t="str">
            <v>MMUR</v>
          </cell>
          <cell r="M6690" t="str">
            <v>M</v>
          </cell>
          <cell r="AB6690" t="str">
            <v>WB</v>
          </cell>
          <cell r="AF6690">
            <v>0.2</v>
          </cell>
        </row>
        <row r="6691">
          <cell r="A6691" t="str">
            <v>IS_alqt_minus</v>
          </cell>
          <cell r="K6691" t="str">
            <v>MMUR</v>
          </cell>
          <cell r="M6691" t="str">
            <v>F</v>
          </cell>
          <cell r="AB6691" t="str">
            <v>WB</v>
          </cell>
          <cell r="AF6691">
            <v>0.05</v>
          </cell>
        </row>
        <row r="6692">
          <cell r="A6692" t="str">
            <v>IS_alqt_plus</v>
          </cell>
          <cell r="K6692" t="str">
            <v>MMUR</v>
          </cell>
          <cell r="M6692" t="str">
            <v>F</v>
          </cell>
          <cell r="AB6692" t="str">
            <v>WB</v>
          </cell>
          <cell r="AF6692">
            <v>0.25</v>
          </cell>
        </row>
        <row r="6693">
          <cell r="A6693" t="str">
            <v>IS_alqt_plus</v>
          </cell>
          <cell r="K6693" t="str">
            <v>ECOL</v>
          </cell>
          <cell r="M6693" t="str">
            <v>M</v>
          </cell>
          <cell r="AB6693" t="str">
            <v>serum</v>
          </cell>
          <cell r="AF6693">
            <v>1</v>
          </cell>
        </row>
        <row r="6694">
          <cell r="A6694" t="str">
            <v>IS_alqt_plus</v>
          </cell>
          <cell r="K6694" t="str">
            <v>ECOL</v>
          </cell>
          <cell r="M6694" t="str">
            <v>M</v>
          </cell>
          <cell r="AB6694" t="str">
            <v>serum</v>
          </cell>
          <cell r="AF6694">
            <v>1</v>
          </cell>
        </row>
        <row r="6695">
          <cell r="A6695" t="str">
            <v>IS_alqt_plus</v>
          </cell>
          <cell r="K6695" t="str">
            <v>ECOL</v>
          </cell>
          <cell r="M6695" t="str">
            <v>M</v>
          </cell>
          <cell r="AB6695" t="str">
            <v>serum</v>
          </cell>
          <cell r="AF6695">
            <v>1.1000000000000001</v>
          </cell>
        </row>
        <row r="6696">
          <cell r="A6696" t="str">
            <v>IS_alqt_plus</v>
          </cell>
          <cell r="K6696" t="str">
            <v>ECOL</v>
          </cell>
          <cell r="M6696" t="str">
            <v>M</v>
          </cell>
          <cell r="AB6696" t="str">
            <v>serum</v>
          </cell>
          <cell r="AF6696">
            <v>1</v>
          </cell>
        </row>
        <row r="6697">
          <cell r="A6697" t="str">
            <v>IS_alqt_plus</v>
          </cell>
          <cell r="K6697" t="str">
            <v>ECOL</v>
          </cell>
          <cell r="M6697" t="str">
            <v>M</v>
          </cell>
          <cell r="AB6697" t="str">
            <v>serum</v>
          </cell>
          <cell r="AF6697">
            <v>1</v>
          </cell>
        </row>
        <row r="6698">
          <cell r="A6698" t="str">
            <v>IS_alqt_plus</v>
          </cell>
          <cell r="K6698" t="str">
            <v>ECOL</v>
          </cell>
          <cell r="M6698" t="str">
            <v>M</v>
          </cell>
          <cell r="AB6698" t="str">
            <v>serum</v>
          </cell>
          <cell r="AF6698">
            <v>1</v>
          </cell>
        </row>
        <row r="6699">
          <cell r="A6699" t="str">
            <v>IS_alqt_plus</v>
          </cell>
          <cell r="K6699" t="str">
            <v>ECOL</v>
          </cell>
          <cell r="M6699" t="str">
            <v>M</v>
          </cell>
          <cell r="AB6699" t="str">
            <v>serum</v>
          </cell>
          <cell r="AF6699">
            <v>1</v>
          </cell>
        </row>
        <row r="6700">
          <cell r="A6700" t="str">
            <v>IS_alqt_plus</v>
          </cell>
          <cell r="K6700" t="str">
            <v>ECOL</v>
          </cell>
          <cell r="M6700" t="str">
            <v>M</v>
          </cell>
          <cell r="AB6700" t="str">
            <v>serum</v>
          </cell>
          <cell r="AF6700">
            <v>1</v>
          </cell>
        </row>
        <row r="6701">
          <cell r="A6701" t="str">
            <v>IS_alqt_plus</v>
          </cell>
          <cell r="K6701" t="str">
            <v>ECOL</v>
          </cell>
          <cell r="M6701" t="str">
            <v>M</v>
          </cell>
          <cell r="AB6701" t="str">
            <v>serum</v>
          </cell>
          <cell r="AF6701">
            <v>1</v>
          </cell>
        </row>
        <row r="6702">
          <cell r="A6702" t="str">
            <v>IS_alqt_plus</v>
          </cell>
          <cell r="K6702" t="str">
            <v>ECOL</v>
          </cell>
          <cell r="M6702" t="str">
            <v>M</v>
          </cell>
          <cell r="AB6702" t="str">
            <v>serum</v>
          </cell>
          <cell r="AF6702">
            <v>1</v>
          </cell>
        </row>
        <row r="6703">
          <cell r="A6703" t="str">
            <v>IS_alqt_plus</v>
          </cell>
          <cell r="K6703" t="str">
            <v>ECOL</v>
          </cell>
          <cell r="M6703" t="str">
            <v>M</v>
          </cell>
          <cell r="AB6703" t="str">
            <v>serum</v>
          </cell>
          <cell r="AF6703">
            <v>1</v>
          </cell>
        </row>
        <row r="6704">
          <cell r="A6704" t="str">
            <v>IS_alqt_plus</v>
          </cell>
          <cell r="K6704" t="str">
            <v>ECOL</v>
          </cell>
          <cell r="M6704" t="str">
            <v>M</v>
          </cell>
          <cell r="AB6704" t="str">
            <v>serum</v>
          </cell>
          <cell r="AF6704">
            <v>1</v>
          </cell>
        </row>
        <row r="6705">
          <cell r="A6705" t="str">
            <v>IS_alqt_plus</v>
          </cell>
          <cell r="K6705" t="str">
            <v>ECOL</v>
          </cell>
          <cell r="M6705" t="str">
            <v>M</v>
          </cell>
          <cell r="AB6705" t="str">
            <v>serum</v>
          </cell>
          <cell r="AF6705">
            <v>1</v>
          </cell>
        </row>
        <row r="6706">
          <cell r="A6706" t="str">
            <v>IS_alqt_plus</v>
          </cell>
          <cell r="K6706" t="str">
            <v>ECOL</v>
          </cell>
          <cell r="M6706" t="str">
            <v>M</v>
          </cell>
          <cell r="AB6706" t="str">
            <v>serum</v>
          </cell>
          <cell r="AF6706">
            <v>1</v>
          </cell>
        </row>
        <row r="6707">
          <cell r="A6707" t="str">
            <v>IS_alqt_plus</v>
          </cell>
          <cell r="K6707" t="str">
            <v>ECOL</v>
          </cell>
          <cell r="M6707" t="str">
            <v>M</v>
          </cell>
          <cell r="AB6707" t="str">
            <v>serum</v>
          </cell>
          <cell r="AF6707">
            <v>1</v>
          </cell>
        </row>
        <row r="6708">
          <cell r="A6708" t="str">
            <v>IS_alqt_plus</v>
          </cell>
          <cell r="K6708" t="str">
            <v>ECOL</v>
          </cell>
          <cell r="M6708" t="str">
            <v>M</v>
          </cell>
          <cell r="AB6708" t="str">
            <v>serum</v>
          </cell>
          <cell r="AF6708">
            <v>1</v>
          </cell>
        </row>
        <row r="6709">
          <cell r="A6709" t="str">
            <v>IS_alqt_plus</v>
          </cell>
          <cell r="K6709" t="str">
            <v>ECOL</v>
          </cell>
          <cell r="M6709" t="str">
            <v>M</v>
          </cell>
          <cell r="AB6709" t="str">
            <v>serum</v>
          </cell>
          <cell r="AF6709">
            <v>1</v>
          </cell>
        </row>
        <row r="6710">
          <cell r="A6710" t="str">
            <v>IS_alqt_plus</v>
          </cell>
          <cell r="K6710" t="str">
            <v>ECOL</v>
          </cell>
          <cell r="M6710" t="str">
            <v>M</v>
          </cell>
          <cell r="AB6710" t="str">
            <v>serum</v>
          </cell>
          <cell r="AF6710">
            <v>1</v>
          </cell>
        </row>
        <row r="6711">
          <cell r="A6711" t="str">
            <v>IS_alqt_plus</v>
          </cell>
          <cell r="K6711" t="str">
            <v>ECOL</v>
          </cell>
          <cell r="M6711" t="str">
            <v>M</v>
          </cell>
          <cell r="AB6711" t="str">
            <v>serum</v>
          </cell>
          <cell r="AF6711">
            <v>1</v>
          </cell>
        </row>
        <row r="6712">
          <cell r="A6712" t="str">
            <v>IS_alqt_plus</v>
          </cell>
          <cell r="K6712" t="str">
            <v>ECOL</v>
          </cell>
          <cell r="M6712" t="str">
            <v>M</v>
          </cell>
          <cell r="AB6712" t="str">
            <v>serum</v>
          </cell>
          <cell r="AF6712">
            <v>1</v>
          </cell>
        </row>
        <row r="6713">
          <cell r="A6713" t="str">
            <v>IS_alqt_plus</v>
          </cell>
          <cell r="K6713" t="str">
            <v>ECOL</v>
          </cell>
          <cell r="M6713" t="str">
            <v>M</v>
          </cell>
          <cell r="AB6713" t="str">
            <v>serum</v>
          </cell>
          <cell r="AF6713">
            <v>1</v>
          </cell>
        </row>
        <row r="6714">
          <cell r="A6714" t="str">
            <v>IS_alqt_plus</v>
          </cell>
          <cell r="K6714" t="str">
            <v>ECOL</v>
          </cell>
          <cell r="M6714" t="str">
            <v>M</v>
          </cell>
          <cell r="AB6714" t="str">
            <v>serum</v>
          </cell>
          <cell r="AF6714">
            <v>1</v>
          </cell>
        </row>
        <row r="6715">
          <cell r="A6715" t="str">
            <v>IS_alqt_plus</v>
          </cell>
          <cell r="K6715" t="str">
            <v>ECOL</v>
          </cell>
          <cell r="M6715" t="str">
            <v>M</v>
          </cell>
          <cell r="AB6715" t="str">
            <v>serum</v>
          </cell>
          <cell r="AF6715">
            <v>1</v>
          </cell>
        </row>
        <row r="6716">
          <cell r="A6716" t="str">
            <v>IS_alqt_plus</v>
          </cell>
          <cell r="K6716" t="str">
            <v>ECOL</v>
          </cell>
          <cell r="M6716" t="str">
            <v>M</v>
          </cell>
          <cell r="AB6716" t="str">
            <v>serum</v>
          </cell>
          <cell r="AF6716">
            <v>1</v>
          </cell>
        </row>
        <row r="6717">
          <cell r="A6717" t="str">
            <v>IS_alqt_plus</v>
          </cell>
          <cell r="K6717" t="str">
            <v>ECOL</v>
          </cell>
          <cell r="M6717" t="str">
            <v>M</v>
          </cell>
          <cell r="AB6717" t="str">
            <v>serum</v>
          </cell>
          <cell r="AF6717">
            <v>1</v>
          </cell>
        </row>
        <row r="6718">
          <cell r="A6718" t="str">
            <v>IS_alqt_plus</v>
          </cell>
          <cell r="K6718" t="str">
            <v>ECOL</v>
          </cell>
          <cell r="M6718" t="str">
            <v>M</v>
          </cell>
          <cell r="AB6718" t="str">
            <v>serum</v>
          </cell>
          <cell r="AF6718">
            <v>1</v>
          </cell>
        </row>
        <row r="6719">
          <cell r="A6719" t="str">
            <v>IS_alqt_plus</v>
          </cell>
          <cell r="K6719" t="str">
            <v>ECOL</v>
          </cell>
          <cell r="M6719" t="str">
            <v>M</v>
          </cell>
          <cell r="AB6719" t="str">
            <v>serum</v>
          </cell>
          <cell r="AF6719">
            <v>1</v>
          </cell>
        </row>
        <row r="6720">
          <cell r="A6720" t="str">
            <v>IS_alqt_plus</v>
          </cell>
          <cell r="K6720" t="str">
            <v>ECOL</v>
          </cell>
          <cell r="M6720" t="str">
            <v>M</v>
          </cell>
          <cell r="AB6720" t="str">
            <v>serum</v>
          </cell>
          <cell r="AF6720">
            <v>1</v>
          </cell>
        </row>
        <row r="6721">
          <cell r="A6721" t="str">
            <v>IS_alqt_plus</v>
          </cell>
          <cell r="K6721" t="str">
            <v>ECOL</v>
          </cell>
          <cell r="M6721" t="str">
            <v>M</v>
          </cell>
          <cell r="AB6721" t="str">
            <v>serum</v>
          </cell>
          <cell r="AF6721">
            <v>1</v>
          </cell>
        </row>
        <row r="6722">
          <cell r="A6722" t="str">
            <v>IS_alqt_plus</v>
          </cell>
          <cell r="K6722" t="str">
            <v>ECOL</v>
          </cell>
          <cell r="M6722" t="str">
            <v>M</v>
          </cell>
          <cell r="AB6722" t="str">
            <v>serum</v>
          </cell>
          <cell r="AF6722">
            <v>1</v>
          </cell>
        </row>
        <row r="6723">
          <cell r="A6723" t="str">
            <v>IS_alqt_plus</v>
          </cell>
          <cell r="K6723" t="str">
            <v>ECOL</v>
          </cell>
          <cell r="M6723" t="str">
            <v>M</v>
          </cell>
          <cell r="AB6723" t="str">
            <v>serum</v>
          </cell>
          <cell r="AF6723">
            <v>1</v>
          </cell>
        </row>
        <row r="6724">
          <cell r="A6724" t="str">
            <v>IS_alqt_plus</v>
          </cell>
          <cell r="K6724" t="str">
            <v>ECOL</v>
          </cell>
          <cell r="M6724" t="str">
            <v>M</v>
          </cell>
          <cell r="AB6724" t="str">
            <v>serum</v>
          </cell>
          <cell r="AF6724">
            <v>1</v>
          </cell>
        </row>
        <row r="6725">
          <cell r="A6725" t="str">
            <v>IS_alqt_plus</v>
          </cell>
          <cell r="K6725" t="str">
            <v>ECOL</v>
          </cell>
          <cell r="M6725" t="str">
            <v>M</v>
          </cell>
          <cell r="AB6725" t="str">
            <v>serum</v>
          </cell>
          <cell r="AF6725">
            <v>1</v>
          </cell>
        </row>
        <row r="6726">
          <cell r="A6726" t="str">
            <v>IS_alqt_plus</v>
          </cell>
          <cell r="K6726" t="str">
            <v>ECOL</v>
          </cell>
          <cell r="M6726" t="str">
            <v>M</v>
          </cell>
          <cell r="AB6726" t="str">
            <v>serum</v>
          </cell>
          <cell r="AF6726">
            <v>1</v>
          </cell>
        </row>
        <row r="6727">
          <cell r="A6727" t="str">
            <v>IS_alqt_plus</v>
          </cell>
          <cell r="K6727" t="str">
            <v>ECOL</v>
          </cell>
          <cell r="M6727" t="str">
            <v>M</v>
          </cell>
          <cell r="AB6727" t="str">
            <v>serum</v>
          </cell>
          <cell r="AF6727">
            <v>0.9</v>
          </cell>
        </row>
        <row r="6728">
          <cell r="A6728" t="str">
            <v>IS_alqt_plus</v>
          </cell>
          <cell r="K6728" t="str">
            <v>ECOL</v>
          </cell>
          <cell r="M6728" t="str">
            <v>M</v>
          </cell>
          <cell r="AB6728" t="str">
            <v>serum</v>
          </cell>
          <cell r="AF6728">
            <v>1</v>
          </cell>
        </row>
        <row r="6729">
          <cell r="A6729" t="str">
            <v>IS_alqt_plus</v>
          </cell>
          <cell r="K6729" t="str">
            <v>ECOL</v>
          </cell>
          <cell r="M6729" t="str">
            <v>M</v>
          </cell>
          <cell r="AB6729" t="str">
            <v>serum</v>
          </cell>
          <cell r="AF6729">
            <v>1</v>
          </cell>
        </row>
        <row r="6730">
          <cell r="A6730" t="str">
            <v>IS_alqt_plus</v>
          </cell>
          <cell r="K6730" t="str">
            <v>ECOL</v>
          </cell>
          <cell r="M6730" t="str">
            <v>M</v>
          </cell>
          <cell r="AB6730" t="str">
            <v>serum</v>
          </cell>
          <cell r="AF6730">
            <v>1</v>
          </cell>
        </row>
        <row r="6731">
          <cell r="A6731" t="str">
            <v>IS_alqt_plus</v>
          </cell>
          <cell r="K6731" t="str">
            <v>ECOL</v>
          </cell>
          <cell r="M6731" t="str">
            <v>M</v>
          </cell>
          <cell r="AB6731" t="str">
            <v>serum</v>
          </cell>
          <cell r="AF6731">
            <v>1</v>
          </cell>
        </row>
        <row r="6732">
          <cell r="A6732" t="str">
            <v>IS_alqt_plus</v>
          </cell>
          <cell r="K6732" t="str">
            <v>ECOL</v>
          </cell>
          <cell r="M6732" t="str">
            <v>M</v>
          </cell>
          <cell r="AB6732" t="str">
            <v>serum</v>
          </cell>
          <cell r="AF6732">
            <v>1</v>
          </cell>
        </row>
        <row r="6733">
          <cell r="A6733" t="str">
            <v>IS_alqt_plus</v>
          </cell>
          <cell r="K6733" t="str">
            <v>ECOL</v>
          </cell>
          <cell r="M6733" t="str">
            <v>M</v>
          </cell>
          <cell r="AB6733" t="str">
            <v>serum</v>
          </cell>
          <cell r="AF6733">
            <v>1</v>
          </cell>
        </row>
        <row r="6734">
          <cell r="A6734" t="str">
            <v>IS_alqt_plus</v>
          </cell>
          <cell r="K6734" t="str">
            <v>ECOL</v>
          </cell>
          <cell r="M6734" t="str">
            <v>M</v>
          </cell>
          <cell r="AB6734" t="str">
            <v>serum</v>
          </cell>
          <cell r="AF6734">
            <v>1</v>
          </cell>
        </row>
        <row r="6735">
          <cell r="A6735" t="str">
            <v>IS_alqt_plus</v>
          </cell>
          <cell r="K6735" t="str">
            <v>ECOL</v>
          </cell>
          <cell r="M6735" t="str">
            <v>M</v>
          </cell>
          <cell r="AB6735" t="str">
            <v>serum</v>
          </cell>
          <cell r="AF6735">
            <v>1</v>
          </cell>
        </row>
        <row r="6736">
          <cell r="A6736" t="str">
            <v>IS_alqt_plus</v>
          </cell>
          <cell r="K6736" t="str">
            <v>ECOL</v>
          </cell>
          <cell r="M6736" t="str">
            <v>M</v>
          </cell>
          <cell r="AB6736" t="str">
            <v>serum</v>
          </cell>
          <cell r="AF6736">
            <v>1</v>
          </cell>
        </row>
        <row r="6737">
          <cell r="A6737" t="str">
            <v>IS_alqt_plus</v>
          </cell>
          <cell r="K6737" t="str">
            <v>ECOL</v>
          </cell>
          <cell r="M6737" t="str">
            <v>M</v>
          </cell>
          <cell r="AB6737" t="str">
            <v>serum</v>
          </cell>
          <cell r="AF6737">
            <v>1</v>
          </cell>
        </row>
        <row r="6738">
          <cell r="A6738" t="str">
            <v>IS_alqt_plus</v>
          </cell>
          <cell r="K6738" t="str">
            <v>ECOL</v>
          </cell>
          <cell r="M6738" t="str">
            <v>M</v>
          </cell>
          <cell r="AB6738" t="str">
            <v>serum</v>
          </cell>
          <cell r="AF6738">
            <v>1</v>
          </cell>
        </row>
        <row r="6739">
          <cell r="A6739" t="str">
            <v>IS_alqt_plus</v>
          </cell>
          <cell r="K6739" t="str">
            <v>ECOL</v>
          </cell>
          <cell r="M6739" t="str">
            <v>M</v>
          </cell>
          <cell r="AB6739" t="str">
            <v>serum</v>
          </cell>
          <cell r="AF6739">
            <v>1</v>
          </cell>
        </row>
        <row r="6740">
          <cell r="A6740" t="str">
            <v>IS_alqt_plus</v>
          </cell>
          <cell r="K6740" t="str">
            <v>ECOL</v>
          </cell>
          <cell r="M6740" t="str">
            <v>M</v>
          </cell>
          <cell r="AB6740" t="str">
            <v>serum</v>
          </cell>
          <cell r="AF6740">
            <v>1</v>
          </cell>
        </row>
        <row r="6741">
          <cell r="A6741" t="str">
            <v>IS_alqt_plus</v>
          </cell>
          <cell r="K6741" t="str">
            <v>ECOL</v>
          </cell>
          <cell r="M6741" t="str">
            <v>M</v>
          </cell>
          <cell r="AB6741" t="str">
            <v>serum</v>
          </cell>
          <cell r="AF6741">
            <v>1</v>
          </cell>
        </row>
        <row r="6742">
          <cell r="A6742" t="str">
            <v>IS_alqt_plus</v>
          </cell>
          <cell r="K6742" t="str">
            <v>ECOL</v>
          </cell>
          <cell r="M6742" t="str">
            <v>M</v>
          </cell>
          <cell r="AB6742" t="str">
            <v>serum</v>
          </cell>
          <cell r="AF6742">
            <v>1</v>
          </cell>
        </row>
        <row r="6743">
          <cell r="A6743" t="str">
            <v>IS_alqt_plus</v>
          </cell>
          <cell r="K6743" t="str">
            <v>ERUB</v>
          </cell>
          <cell r="M6743" t="str">
            <v>F</v>
          </cell>
          <cell r="AB6743" t="str">
            <v>serum</v>
          </cell>
          <cell r="AF6743">
            <v>1</v>
          </cell>
        </row>
        <row r="6744">
          <cell r="A6744" t="str">
            <v>IS_alqt_plus</v>
          </cell>
          <cell r="K6744" t="str">
            <v>ERUB</v>
          </cell>
          <cell r="M6744" t="str">
            <v>F</v>
          </cell>
          <cell r="AB6744" t="str">
            <v>serum</v>
          </cell>
          <cell r="AF6744">
            <v>1</v>
          </cell>
        </row>
        <row r="6745">
          <cell r="A6745" t="str">
            <v>IS_alqt_plus</v>
          </cell>
          <cell r="K6745" t="str">
            <v>ERUB</v>
          </cell>
          <cell r="M6745" t="str">
            <v>F</v>
          </cell>
          <cell r="AB6745" t="str">
            <v>serum</v>
          </cell>
          <cell r="AF6745">
            <v>1</v>
          </cell>
        </row>
        <row r="6746">
          <cell r="A6746" t="str">
            <v>IS_alqt_plus</v>
          </cell>
          <cell r="K6746" t="str">
            <v>ERUB</v>
          </cell>
          <cell r="M6746" t="str">
            <v>F</v>
          </cell>
          <cell r="AB6746" t="str">
            <v>serum</v>
          </cell>
          <cell r="AF6746">
            <v>1</v>
          </cell>
        </row>
        <row r="6747">
          <cell r="A6747" t="str">
            <v>IS_alqt_plus</v>
          </cell>
          <cell r="K6747" t="str">
            <v>ERUB</v>
          </cell>
          <cell r="M6747" t="str">
            <v>F</v>
          </cell>
          <cell r="AB6747" t="str">
            <v>serum</v>
          </cell>
          <cell r="AF6747">
            <v>1</v>
          </cell>
        </row>
        <row r="6748">
          <cell r="A6748" t="str">
            <v>unk</v>
          </cell>
          <cell r="K6748" t="str">
            <v>VVV</v>
          </cell>
          <cell r="M6748" t="str">
            <v>M</v>
          </cell>
          <cell r="AB6748" t="str">
            <v>WB</v>
          </cell>
          <cell r="AF6748">
            <v>0.1</v>
          </cell>
        </row>
        <row r="6749">
          <cell r="A6749" t="str">
            <v>unk</v>
          </cell>
          <cell r="K6749" t="str">
            <v>ECOL</v>
          </cell>
          <cell r="M6749" t="str">
            <v>M</v>
          </cell>
          <cell r="AB6749" t="str">
            <v>serum</v>
          </cell>
          <cell r="AF6749">
            <v>1</v>
          </cell>
        </row>
        <row r="6750">
          <cell r="A6750" t="str">
            <v>IS_alqt_plus</v>
          </cell>
          <cell r="K6750" t="str">
            <v>ECOL</v>
          </cell>
          <cell r="M6750" t="str">
            <v>M</v>
          </cell>
          <cell r="AB6750" t="str">
            <v>WB</v>
          </cell>
          <cell r="AF6750">
            <v>0.3</v>
          </cell>
        </row>
        <row r="6751">
          <cell r="A6751" t="str">
            <v>IS_alqt_plus</v>
          </cell>
          <cell r="K6751" t="str">
            <v>ECOL</v>
          </cell>
          <cell r="M6751" t="str">
            <v>M</v>
          </cell>
          <cell r="AB6751" t="str">
            <v>WB</v>
          </cell>
          <cell r="AF6751">
            <v>1</v>
          </cell>
        </row>
        <row r="6752">
          <cell r="A6752" t="str">
            <v>IS_alqt_plus</v>
          </cell>
          <cell r="K6752" t="str">
            <v>ECOL</v>
          </cell>
          <cell r="M6752" t="str">
            <v>M</v>
          </cell>
          <cell r="AB6752" t="str">
            <v>WB</v>
          </cell>
          <cell r="AF6752">
            <v>1</v>
          </cell>
        </row>
        <row r="6753">
          <cell r="A6753" t="str">
            <v>IS_alqt_plus</v>
          </cell>
          <cell r="K6753" t="str">
            <v>ECOL</v>
          </cell>
          <cell r="M6753" t="str">
            <v>M</v>
          </cell>
          <cell r="AB6753" t="str">
            <v>WB</v>
          </cell>
          <cell r="AF6753">
            <v>1</v>
          </cell>
        </row>
        <row r="6754">
          <cell r="A6754" t="str">
            <v>IS_alqt_plus</v>
          </cell>
          <cell r="K6754" t="str">
            <v>ECOL</v>
          </cell>
          <cell r="M6754" t="str">
            <v>M</v>
          </cell>
          <cell r="AB6754" t="str">
            <v>WB</v>
          </cell>
          <cell r="AF6754">
            <v>1</v>
          </cell>
        </row>
        <row r="6755">
          <cell r="A6755" t="str">
            <v>IS_alqt_plus</v>
          </cell>
          <cell r="K6755" t="str">
            <v>ECOL</v>
          </cell>
          <cell r="M6755" t="str">
            <v>M</v>
          </cell>
          <cell r="AB6755" t="str">
            <v>WB</v>
          </cell>
          <cell r="AF6755">
            <v>1</v>
          </cell>
        </row>
        <row r="6756">
          <cell r="A6756" t="str">
            <v>IS_alqt_plus</v>
          </cell>
          <cell r="K6756" t="str">
            <v>ECOL</v>
          </cell>
          <cell r="M6756" t="str">
            <v>M</v>
          </cell>
          <cell r="AB6756" t="str">
            <v>WB</v>
          </cell>
          <cell r="AF6756">
            <v>1</v>
          </cell>
        </row>
        <row r="6757">
          <cell r="A6757" t="str">
            <v>IS_alqt_plus</v>
          </cell>
          <cell r="K6757" t="str">
            <v>ECOL</v>
          </cell>
          <cell r="M6757" t="str">
            <v>M</v>
          </cell>
          <cell r="AB6757" t="str">
            <v>WB</v>
          </cell>
          <cell r="AF6757">
            <v>1</v>
          </cell>
        </row>
        <row r="6758">
          <cell r="A6758" t="str">
            <v>IS_alqt_plus</v>
          </cell>
          <cell r="K6758" t="str">
            <v>ECOL</v>
          </cell>
          <cell r="M6758" t="str">
            <v>M</v>
          </cell>
          <cell r="AB6758" t="str">
            <v>WB</v>
          </cell>
          <cell r="AF6758">
            <v>1</v>
          </cell>
        </row>
        <row r="6759">
          <cell r="A6759" t="str">
            <v>IS_alqt_plus</v>
          </cell>
          <cell r="K6759" t="str">
            <v>ECOL</v>
          </cell>
          <cell r="M6759" t="str">
            <v>M</v>
          </cell>
          <cell r="AB6759" t="str">
            <v>WB</v>
          </cell>
          <cell r="AF6759">
            <v>0.5</v>
          </cell>
        </row>
        <row r="6760">
          <cell r="A6760" t="str">
            <v>IS_alqt_plus</v>
          </cell>
          <cell r="K6760" t="str">
            <v>ECOL</v>
          </cell>
          <cell r="M6760" t="str">
            <v>M</v>
          </cell>
          <cell r="AB6760" t="str">
            <v>WB</v>
          </cell>
          <cell r="AF6760">
            <v>1.2</v>
          </cell>
        </row>
        <row r="6761">
          <cell r="A6761" t="str">
            <v>IS_alqt_plus</v>
          </cell>
          <cell r="K6761" t="str">
            <v>ECOL</v>
          </cell>
          <cell r="M6761" t="str">
            <v>M</v>
          </cell>
          <cell r="AB6761" t="str">
            <v>WB</v>
          </cell>
          <cell r="AF6761">
            <v>1</v>
          </cell>
        </row>
        <row r="6762">
          <cell r="A6762" t="str">
            <v>IS_alqt_plus</v>
          </cell>
          <cell r="K6762" t="str">
            <v>ECOL</v>
          </cell>
          <cell r="M6762" t="str">
            <v>M</v>
          </cell>
          <cell r="AB6762" t="str">
            <v>WB</v>
          </cell>
          <cell r="AF6762">
            <v>1</v>
          </cell>
        </row>
        <row r="6763">
          <cell r="A6763" t="str">
            <v>IS_alqt_plus</v>
          </cell>
          <cell r="K6763" t="str">
            <v>ECOL</v>
          </cell>
          <cell r="M6763" t="str">
            <v>M</v>
          </cell>
          <cell r="AB6763" t="str">
            <v>WB</v>
          </cell>
          <cell r="AF6763">
            <v>1</v>
          </cell>
        </row>
        <row r="6764">
          <cell r="A6764" t="str">
            <v>IS_alqt_plus</v>
          </cell>
          <cell r="K6764" t="str">
            <v>ECOL</v>
          </cell>
          <cell r="M6764" t="str">
            <v>M</v>
          </cell>
          <cell r="AB6764" t="str">
            <v>WB</v>
          </cell>
          <cell r="AF6764">
            <v>1</v>
          </cell>
        </row>
        <row r="6765">
          <cell r="A6765" t="str">
            <v>IS_alqt_plus</v>
          </cell>
          <cell r="K6765" t="str">
            <v>ECOL</v>
          </cell>
          <cell r="M6765" t="str">
            <v>M</v>
          </cell>
          <cell r="AB6765" t="str">
            <v>WB</v>
          </cell>
          <cell r="AF6765">
            <v>1</v>
          </cell>
        </row>
        <row r="6766">
          <cell r="A6766" t="str">
            <v>IS_alqt_plus</v>
          </cell>
          <cell r="K6766" t="str">
            <v>ECOL</v>
          </cell>
          <cell r="M6766" t="str">
            <v>M</v>
          </cell>
          <cell r="AB6766" t="str">
            <v>WB</v>
          </cell>
          <cell r="AF6766">
            <v>0.8</v>
          </cell>
        </row>
        <row r="6767">
          <cell r="A6767" t="str">
            <v>IS_alqt_plus</v>
          </cell>
          <cell r="K6767" t="str">
            <v>ECOL</v>
          </cell>
          <cell r="M6767" t="str">
            <v>M</v>
          </cell>
          <cell r="AB6767" t="str">
            <v>WB</v>
          </cell>
          <cell r="AF6767">
            <v>1</v>
          </cell>
        </row>
        <row r="6768">
          <cell r="A6768" t="str">
            <v>IS_alqt_plus</v>
          </cell>
          <cell r="K6768" t="str">
            <v>ECOL</v>
          </cell>
          <cell r="M6768" t="str">
            <v>M</v>
          </cell>
          <cell r="AB6768" t="str">
            <v>WB</v>
          </cell>
          <cell r="AF6768">
            <v>1</v>
          </cell>
        </row>
        <row r="6769">
          <cell r="A6769" t="str">
            <v>IS_alqt_plus</v>
          </cell>
          <cell r="K6769" t="str">
            <v>ECOL</v>
          </cell>
          <cell r="M6769" t="str">
            <v>M</v>
          </cell>
          <cell r="AB6769" t="str">
            <v>WB</v>
          </cell>
          <cell r="AF6769">
            <v>1</v>
          </cell>
        </row>
        <row r="6770">
          <cell r="A6770" t="str">
            <v>IS_alqt_plus</v>
          </cell>
          <cell r="K6770" t="str">
            <v>ECOL</v>
          </cell>
          <cell r="M6770" t="str">
            <v>M</v>
          </cell>
          <cell r="AB6770" t="str">
            <v>WB</v>
          </cell>
          <cell r="AF6770">
            <v>1.2</v>
          </cell>
        </row>
        <row r="6771">
          <cell r="A6771" t="str">
            <v>IS_alqt_plus</v>
          </cell>
          <cell r="K6771" t="str">
            <v>ECOL</v>
          </cell>
          <cell r="M6771" t="str">
            <v>M</v>
          </cell>
          <cell r="AB6771" t="str">
            <v>WB</v>
          </cell>
          <cell r="AF6771">
            <v>1.2</v>
          </cell>
        </row>
        <row r="6772">
          <cell r="A6772" t="str">
            <v>IS_alqt_plus</v>
          </cell>
          <cell r="K6772" t="str">
            <v>ECOL</v>
          </cell>
          <cell r="M6772" t="str">
            <v>M</v>
          </cell>
          <cell r="AB6772" t="str">
            <v>WB</v>
          </cell>
          <cell r="AF6772">
            <v>1</v>
          </cell>
        </row>
        <row r="6773">
          <cell r="A6773" t="str">
            <v>IS_alqt_plus</v>
          </cell>
          <cell r="K6773" t="str">
            <v>ECOL</v>
          </cell>
          <cell r="M6773" t="str">
            <v>M</v>
          </cell>
          <cell r="AB6773" t="str">
            <v>WB</v>
          </cell>
          <cell r="AF6773">
            <v>1.1000000000000001</v>
          </cell>
        </row>
        <row r="6774">
          <cell r="A6774" t="str">
            <v>IS_alqt_plus</v>
          </cell>
          <cell r="K6774" t="str">
            <v>ECOL</v>
          </cell>
          <cell r="M6774" t="str">
            <v>M</v>
          </cell>
          <cell r="AB6774" t="str">
            <v>WB</v>
          </cell>
          <cell r="AF6774">
            <v>1.2</v>
          </cell>
        </row>
        <row r="6775">
          <cell r="A6775" t="str">
            <v>IS_alqt_plus</v>
          </cell>
          <cell r="K6775" t="str">
            <v>ECOL</v>
          </cell>
          <cell r="M6775" t="str">
            <v>M</v>
          </cell>
          <cell r="AB6775" t="str">
            <v>WB</v>
          </cell>
          <cell r="AF6775">
            <v>1</v>
          </cell>
        </row>
        <row r="6776">
          <cell r="A6776" t="str">
            <v>IS_alqt_plus</v>
          </cell>
          <cell r="K6776" t="str">
            <v>ECOL</v>
          </cell>
          <cell r="M6776" t="str">
            <v>M</v>
          </cell>
          <cell r="AB6776" t="str">
            <v>WB</v>
          </cell>
          <cell r="AF6776">
            <v>1.2</v>
          </cell>
        </row>
        <row r="6777">
          <cell r="A6777" t="str">
            <v>IS_alqt_plus</v>
          </cell>
          <cell r="K6777" t="str">
            <v>ECOL</v>
          </cell>
          <cell r="M6777" t="str">
            <v>M</v>
          </cell>
          <cell r="AB6777" t="str">
            <v>WB</v>
          </cell>
          <cell r="AF6777">
            <v>1</v>
          </cell>
        </row>
        <row r="6778">
          <cell r="A6778" t="str">
            <v>IS_alqt_plus</v>
          </cell>
          <cell r="K6778" t="str">
            <v>ECOL</v>
          </cell>
          <cell r="M6778" t="str">
            <v>M</v>
          </cell>
          <cell r="AB6778" t="str">
            <v>WB</v>
          </cell>
          <cell r="AF6778">
            <v>1</v>
          </cell>
        </row>
        <row r="6779">
          <cell r="A6779" t="str">
            <v>IS_alqt_plus</v>
          </cell>
          <cell r="K6779" t="str">
            <v>ECOL</v>
          </cell>
          <cell r="M6779" t="str">
            <v>M</v>
          </cell>
          <cell r="AB6779" t="str">
            <v>WB</v>
          </cell>
          <cell r="AF6779">
            <v>1.2</v>
          </cell>
        </row>
        <row r="6780">
          <cell r="A6780" t="str">
            <v>IS_alqt_plus</v>
          </cell>
          <cell r="K6780" t="str">
            <v>ECOL</v>
          </cell>
          <cell r="M6780" t="str">
            <v>M</v>
          </cell>
          <cell r="AB6780" t="str">
            <v>WB</v>
          </cell>
          <cell r="AF6780">
            <v>1.1000000000000001</v>
          </cell>
        </row>
        <row r="6781">
          <cell r="A6781" t="str">
            <v>IS_alqt_plus</v>
          </cell>
          <cell r="K6781" t="str">
            <v>ECOL</v>
          </cell>
          <cell r="M6781" t="str">
            <v>M</v>
          </cell>
          <cell r="AB6781" t="str">
            <v>WB</v>
          </cell>
          <cell r="AF6781">
            <v>0.8</v>
          </cell>
        </row>
        <row r="6782">
          <cell r="A6782" t="str">
            <v>IS_alqt_plus</v>
          </cell>
          <cell r="K6782" t="str">
            <v>ECOL</v>
          </cell>
          <cell r="M6782" t="str">
            <v>M</v>
          </cell>
          <cell r="AB6782" t="str">
            <v>WB</v>
          </cell>
          <cell r="AF6782">
            <v>1.25</v>
          </cell>
        </row>
        <row r="6783">
          <cell r="A6783" t="str">
            <v>IS_alqt_plus</v>
          </cell>
          <cell r="K6783" t="str">
            <v>ECOL</v>
          </cell>
          <cell r="M6783" t="str">
            <v>M</v>
          </cell>
          <cell r="AB6783" t="str">
            <v>WB</v>
          </cell>
          <cell r="AF6783">
            <v>1.2</v>
          </cell>
        </row>
        <row r="6784">
          <cell r="A6784" t="str">
            <v>IS_alqt_plus</v>
          </cell>
          <cell r="K6784" t="str">
            <v>ECOL</v>
          </cell>
          <cell r="M6784" t="str">
            <v>M</v>
          </cell>
          <cell r="AB6784" t="str">
            <v>WB</v>
          </cell>
          <cell r="AF6784">
            <v>1.2</v>
          </cell>
        </row>
        <row r="6785">
          <cell r="A6785" t="str">
            <v>IS_alqt_plus</v>
          </cell>
          <cell r="K6785" t="str">
            <v>ECOL</v>
          </cell>
          <cell r="M6785" t="str">
            <v>M</v>
          </cell>
          <cell r="AB6785" t="str">
            <v>WB</v>
          </cell>
          <cell r="AF6785">
            <v>1.2</v>
          </cell>
        </row>
        <row r="6786">
          <cell r="A6786" t="str">
            <v>IS_alqt_plus</v>
          </cell>
          <cell r="K6786" t="str">
            <v>ECOL</v>
          </cell>
          <cell r="M6786" t="str">
            <v>M</v>
          </cell>
          <cell r="AB6786" t="str">
            <v>WB</v>
          </cell>
          <cell r="AF6786">
            <v>1.2</v>
          </cell>
        </row>
        <row r="6787">
          <cell r="A6787" t="str">
            <v>IS_alqt_plus</v>
          </cell>
          <cell r="K6787" t="str">
            <v>ECOL</v>
          </cell>
          <cell r="M6787" t="str">
            <v>M</v>
          </cell>
          <cell r="AB6787" t="str">
            <v>WB</v>
          </cell>
          <cell r="AF6787">
            <v>1.2</v>
          </cell>
        </row>
        <row r="6788">
          <cell r="A6788" t="str">
            <v>IS_alqt_plus</v>
          </cell>
          <cell r="K6788" t="str">
            <v>ECOL</v>
          </cell>
          <cell r="M6788" t="str">
            <v>M</v>
          </cell>
          <cell r="AB6788" t="str">
            <v>WB</v>
          </cell>
          <cell r="AF6788">
            <v>1</v>
          </cell>
        </row>
        <row r="6789">
          <cell r="A6789" t="str">
            <v>IS_alqt_plus</v>
          </cell>
          <cell r="K6789" t="str">
            <v>ECOL</v>
          </cell>
          <cell r="M6789" t="str">
            <v>M</v>
          </cell>
          <cell r="AB6789" t="str">
            <v>WB</v>
          </cell>
          <cell r="AF6789">
            <v>0.8</v>
          </cell>
        </row>
        <row r="6790">
          <cell r="A6790" t="str">
            <v>gone</v>
          </cell>
          <cell r="K6790" t="str">
            <v>ECOL</v>
          </cell>
          <cell r="M6790" t="str">
            <v>M</v>
          </cell>
          <cell r="AB6790" t="str">
            <v>WB</v>
          </cell>
          <cell r="AF6790">
            <v>0</v>
          </cell>
        </row>
        <row r="6791">
          <cell r="A6791" t="str">
            <v>IS_alqt_plus</v>
          </cell>
          <cell r="K6791" t="str">
            <v>ECOL</v>
          </cell>
          <cell r="M6791" t="str">
            <v>M</v>
          </cell>
          <cell r="AB6791" t="str">
            <v>WB</v>
          </cell>
          <cell r="AF6791">
            <v>0.6</v>
          </cell>
        </row>
        <row r="6792">
          <cell r="A6792" t="str">
            <v>IS_alqt_plus</v>
          </cell>
          <cell r="K6792" t="str">
            <v>ECOL</v>
          </cell>
          <cell r="M6792" t="str">
            <v>M</v>
          </cell>
          <cell r="AB6792" t="str">
            <v>WB</v>
          </cell>
          <cell r="AF6792">
            <v>1.1000000000000001</v>
          </cell>
        </row>
        <row r="6793">
          <cell r="A6793" t="str">
            <v>IS_alqt_plus</v>
          </cell>
          <cell r="K6793" t="str">
            <v>ECOL</v>
          </cell>
          <cell r="M6793" t="str">
            <v>M</v>
          </cell>
          <cell r="AB6793" t="str">
            <v>WB</v>
          </cell>
          <cell r="AF6793">
            <v>0.75</v>
          </cell>
        </row>
        <row r="6794">
          <cell r="A6794" t="str">
            <v>IS_alqt_plus</v>
          </cell>
          <cell r="K6794" t="str">
            <v>ECOL</v>
          </cell>
          <cell r="M6794" t="str">
            <v>M</v>
          </cell>
          <cell r="AB6794" t="str">
            <v>WB</v>
          </cell>
          <cell r="AF6794">
            <v>1.2</v>
          </cell>
        </row>
        <row r="6795">
          <cell r="A6795" t="str">
            <v>IS_alqt_plus</v>
          </cell>
          <cell r="K6795" t="str">
            <v>ECOL</v>
          </cell>
          <cell r="M6795" t="str">
            <v>M</v>
          </cell>
          <cell r="AB6795" t="str">
            <v>WB</v>
          </cell>
          <cell r="AF6795">
            <v>1.25</v>
          </cell>
        </row>
        <row r="6796">
          <cell r="A6796" t="str">
            <v>unk</v>
          </cell>
          <cell r="K6796" t="str">
            <v>ECOL</v>
          </cell>
          <cell r="M6796" t="str">
            <v>M</v>
          </cell>
          <cell r="AB6796" t="str">
            <v>WB</v>
          </cell>
          <cell r="AF6796">
            <v>0.5</v>
          </cell>
        </row>
        <row r="6797">
          <cell r="A6797" t="str">
            <v>unk</v>
          </cell>
          <cell r="K6797" t="str">
            <v>ECOL</v>
          </cell>
          <cell r="M6797" t="str">
            <v>M</v>
          </cell>
          <cell r="AB6797" t="str">
            <v>WB</v>
          </cell>
          <cell r="AF6797">
            <v>0.5</v>
          </cell>
        </row>
        <row r="6798">
          <cell r="A6798" t="str">
            <v>IS_alqt_plus</v>
          </cell>
          <cell r="K6798" t="str">
            <v>LCAT</v>
          </cell>
          <cell r="M6798" t="str">
            <v>M</v>
          </cell>
          <cell r="AB6798" t="str">
            <v>WB</v>
          </cell>
          <cell r="AF6798">
            <v>0.5</v>
          </cell>
        </row>
        <row r="6799">
          <cell r="A6799" t="str">
            <v>IS_alqt_plus</v>
          </cell>
          <cell r="K6799" t="str">
            <v>LCAT</v>
          </cell>
          <cell r="M6799" t="str">
            <v>F</v>
          </cell>
          <cell r="AB6799" t="str">
            <v>serum</v>
          </cell>
          <cell r="AF6799">
            <v>0.2</v>
          </cell>
        </row>
        <row r="6800">
          <cell r="A6800" t="str">
            <v>IS_alqt_plus</v>
          </cell>
          <cell r="K6800" t="str">
            <v>LCAT</v>
          </cell>
          <cell r="M6800" t="str">
            <v>M</v>
          </cell>
          <cell r="AB6800" t="str">
            <v>serum</v>
          </cell>
          <cell r="AF6800">
            <v>0.8</v>
          </cell>
        </row>
        <row r="6801">
          <cell r="A6801" t="str">
            <v>IS_alqt_minus</v>
          </cell>
          <cell r="K6801" t="str">
            <v>LCAT</v>
          </cell>
          <cell r="M6801" t="str">
            <v>F</v>
          </cell>
          <cell r="AB6801" t="str">
            <v>serum</v>
          </cell>
          <cell r="AF6801">
            <v>0.15</v>
          </cell>
        </row>
        <row r="6802">
          <cell r="A6802" t="str">
            <v>IS_alqt_plus</v>
          </cell>
          <cell r="K6802" t="str">
            <v>EMAC</v>
          </cell>
          <cell r="M6802" t="str">
            <v>F</v>
          </cell>
          <cell r="AB6802" t="str">
            <v>serum</v>
          </cell>
          <cell r="AF6802">
            <v>1</v>
          </cell>
        </row>
        <row r="6803">
          <cell r="A6803" t="str">
            <v>gone</v>
          </cell>
          <cell r="K6803" t="str">
            <v>EMAC</v>
          </cell>
          <cell r="M6803" t="str">
            <v>F</v>
          </cell>
          <cell r="AB6803" t="str">
            <v>WB</v>
          </cell>
          <cell r="AF6803">
            <v>0</v>
          </cell>
        </row>
        <row r="6804">
          <cell r="A6804" t="str">
            <v>IS_alqt_plus</v>
          </cell>
          <cell r="K6804" t="str">
            <v>LCAT</v>
          </cell>
          <cell r="M6804" t="str">
            <v>M</v>
          </cell>
          <cell r="AB6804" t="str">
            <v>WB</v>
          </cell>
          <cell r="AF6804">
            <v>0.7</v>
          </cell>
        </row>
        <row r="6805">
          <cell r="A6805" t="str">
            <v>IS_alqt_plus</v>
          </cell>
          <cell r="K6805" t="str">
            <v>PCOQ</v>
          </cell>
          <cell r="M6805" t="str">
            <v>M</v>
          </cell>
          <cell r="AB6805" t="str">
            <v>serum</v>
          </cell>
          <cell r="AF6805">
            <v>1</v>
          </cell>
        </row>
        <row r="6806">
          <cell r="A6806" t="str">
            <v>IS_alqt_plus</v>
          </cell>
          <cell r="K6806" t="str">
            <v>LCAT</v>
          </cell>
          <cell r="M6806" t="str">
            <v>M</v>
          </cell>
          <cell r="AB6806" t="str">
            <v>WB</v>
          </cell>
          <cell r="AF6806">
            <v>1.25</v>
          </cell>
        </row>
        <row r="6807">
          <cell r="A6807" t="str">
            <v>IS_alqt_plus</v>
          </cell>
          <cell r="K6807" t="str">
            <v>LCAT</v>
          </cell>
          <cell r="M6807" t="str">
            <v>F</v>
          </cell>
          <cell r="AB6807" t="str">
            <v>serum</v>
          </cell>
          <cell r="AF6807">
            <v>1</v>
          </cell>
        </row>
        <row r="6808">
          <cell r="A6808" t="str">
            <v>IS_alqt_plus</v>
          </cell>
          <cell r="K6808" t="str">
            <v>VRUB</v>
          </cell>
          <cell r="M6808" t="str">
            <v>M</v>
          </cell>
          <cell r="AB6808" t="str">
            <v>WB</v>
          </cell>
          <cell r="AF6808">
            <v>1</v>
          </cell>
        </row>
        <row r="6809">
          <cell r="A6809" t="str">
            <v>IS_alqt_plus</v>
          </cell>
          <cell r="K6809" t="str">
            <v>VRUB</v>
          </cell>
          <cell r="M6809" t="str">
            <v>M</v>
          </cell>
          <cell r="AB6809" t="str">
            <v>WB</v>
          </cell>
          <cell r="AF6809">
            <v>0.4</v>
          </cell>
        </row>
        <row r="6810">
          <cell r="A6810" t="str">
            <v>IS_alqt_plus</v>
          </cell>
          <cell r="K6810" t="str">
            <v>VRUB</v>
          </cell>
          <cell r="M6810" t="str">
            <v>M</v>
          </cell>
          <cell r="AB6810" t="str">
            <v>serum</v>
          </cell>
          <cell r="AF6810">
            <v>0.5</v>
          </cell>
        </row>
        <row r="6811">
          <cell r="A6811" t="str">
            <v>IS_alqt_plus</v>
          </cell>
          <cell r="K6811" t="str">
            <v>DMAD</v>
          </cell>
          <cell r="M6811" t="str">
            <v>F</v>
          </cell>
          <cell r="AB6811" t="str">
            <v>serum</v>
          </cell>
          <cell r="AF6811">
            <v>1.25</v>
          </cell>
        </row>
        <row r="6812">
          <cell r="A6812" t="str">
            <v>IS_alqt_plus</v>
          </cell>
          <cell r="K6812" t="str">
            <v>DMAD</v>
          </cell>
          <cell r="M6812" t="str">
            <v>F</v>
          </cell>
          <cell r="AB6812" t="str">
            <v>WB</v>
          </cell>
          <cell r="AF6812">
            <v>0.5</v>
          </cell>
        </row>
        <row r="6813">
          <cell r="A6813" t="str">
            <v>IS_alqt_plus</v>
          </cell>
          <cell r="K6813" t="str">
            <v>ECOR</v>
          </cell>
          <cell r="M6813" t="str">
            <v>F</v>
          </cell>
          <cell r="AB6813" t="str">
            <v>serum</v>
          </cell>
          <cell r="AF6813">
            <v>1</v>
          </cell>
        </row>
        <row r="6814">
          <cell r="A6814" t="str">
            <v>IS_alqt_plus</v>
          </cell>
          <cell r="K6814" t="str">
            <v>ECOR</v>
          </cell>
          <cell r="M6814" t="str">
            <v>M</v>
          </cell>
          <cell r="AB6814" t="str">
            <v>serum</v>
          </cell>
          <cell r="AF6814">
            <v>1</v>
          </cell>
        </row>
        <row r="6815">
          <cell r="A6815" t="str">
            <v>IS_alqt_plus</v>
          </cell>
          <cell r="K6815" t="str">
            <v>ECOR</v>
          </cell>
          <cell r="M6815" t="str">
            <v>F</v>
          </cell>
          <cell r="AB6815" t="str">
            <v>WB</v>
          </cell>
          <cell r="AF6815">
            <v>1.25</v>
          </cell>
        </row>
        <row r="6816">
          <cell r="A6816" t="str">
            <v>IS_alqt_plus</v>
          </cell>
          <cell r="K6816" t="str">
            <v>ECOR</v>
          </cell>
          <cell r="M6816" t="str">
            <v>M</v>
          </cell>
          <cell r="AB6816" t="str">
            <v>WB</v>
          </cell>
          <cell r="AF6816">
            <v>1</v>
          </cell>
        </row>
        <row r="6817">
          <cell r="A6817" t="str">
            <v>IS_alqt_plus</v>
          </cell>
          <cell r="K6817" t="str">
            <v>LCAT</v>
          </cell>
          <cell r="M6817" t="str">
            <v>F</v>
          </cell>
          <cell r="AB6817" t="str">
            <v>WB</v>
          </cell>
          <cell r="AF6817">
            <v>1</v>
          </cell>
        </row>
        <row r="6818">
          <cell r="A6818" t="str">
            <v>IS_alqt_plus</v>
          </cell>
          <cell r="K6818" t="str">
            <v>LCAT</v>
          </cell>
          <cell r="M6818" t="str">
            <v>F</v>
          </cell>
          <cell r="AB6818" t="str">
            <v>WB</v>
          </cell>
          <cell r="AF6818">
            <v>1</v>
          </cell>
        </row>
        <row r="6819">
          <cell r="A6819" t="str">
            <v>gone</v>
          </cell>
          <cell r="K6819" t="str">
            <v>LCAT</v>
          </cell>
          <cell r="M6819" t="str">
            <v>M</v>
          </cell>
          <cell r="AB6819" t="str">
            <v>WB</v>
          </cell>
          <cell r="AF6819">
            <v>0</v>
          </cell>
        </row>
        <row r="6820">
          <cell r="A6820" t="str">
            <v>IS_alqt_plus</v>
          </cell>
          <cell r="K6820" t="str">
            <v>LCAT</v>
          </cell>
          <cell r="M6820" t="str">
            <v>F</v>
          </cell>
          <cell r="AB6820" t="str">
            <v>serum</v>
          </cell>
          <cell r="AF6820">
            <v>1</v>
          </cell>
        </row>
        <row r="6821">
          <cell r="A6821" t="str">
            <v>IS_alqt_plus</v>
          </cell>
          <cell r="K6821" t="str">
            <v>PCOQ</v>
          </cell>
          <cell r="M6821" t="str">
            <v>F</v>
          </cell>
          <cell r="AB6821" t="str">
            <v>serum</v>
          </cell>
          <cell r="AF6821">
            <v>0.7</v>
          </cell>
        </row>
        <row r="6822">
          <cell r="A6822" t="str">
            <v>IS_alqt_plus</v>
          </cell>
          <cell r="K6822" t="str">
            <v>ECOR</v>
          </cell>
          <cell r="M6822" t="str">
            <v>M</v>
          </cell>
          <cell r="AB6822" t="str">
            <v>serum</v>
          </cell>
          <cell r="AF6822">
            <v>0.7</v>
          </cell>
        </row>
        <row r="6823">
          <cell r="A6823" t="str">
            <v>IS_alqt_plus</v>
          </cell>
          <cell r="K6823" t="str">
            <v>ECOR</v>
          </cell>
          <cell r="M6823" t="str">
            <v>M</v>
          </cell>
          <cell r="AB6823" t="str">
            <v>serum</v>
          </cell>
          <cell r="AF6823">
            <v>1.25</v>
          </cell>
        </row>
        <row r="6824">
          <cell r="A6824" t="str">
            <v>IS_alqt_plus</v>
          </cell>
          <cell r="K6824" t="str">
            <v>ECOR</v>
          </cell>
          <cell r="M6824" t="str">
            <v>M</v>
          </cell>
          <cell r="AB6824" t="str">
            <v>WB</v>
          </cell>
          <cell r="AF6824">
            <v>1</v>
          </cell>
        </row>
        <row r="6825">
          <cell r="A6825" t="str">
            <v>gone</v>
          </cell>
          <cell r="K6825" t="str">
            <v>ECOR</v>
          </cell>
          <cell r="M6825" t="str">
            <v>M</v>
          </cell>
          <cell r="AB6825" t="str">
            <v>WB</v>
          </cell>
          <cell r="AF6825">
            <v>0</v>
          </cell>
        </row>
        <row r="6826">
          <cell r="A6826" t="str">
            <v>IS_alqt_plus</v>
          </cell>
          <cell r="K6826" t="str">
            <v>LCAT</v>
          </cell>
          <cell r="M6826" t="str">
            <v>M</v>
          </cell>
          <cell r="AB6826" t="str">
            <v>WB</v>
          </cell>
          <cell r="AF6826">
            <v>0.2</v>
          </cell>
        </row>
        <row r="6827">
          <cell r="A6827" t="str">
            <v>IS_alqt_plus</v>
          </cell>
          <cell r="K6827" t="str">
            <v>PCOQ</v>
          </cell>
          <cell r="M6827" t="str">
            <v>F</v>
          </cell>
          <cell r="AB6827" t="str">
            <v>serum</v>
          </cell>
          <cell r="AF6827">
            <v>0.6</v>
          </cell>
        </row>
        <row r="6828">
          <cell r="A6828" t="str">
            <v>IS_alqt_plus</v>
          </cell>
          <cell r="K6828" t="str">
            <v>DMAD</v>
          </cell>
          <cell r="M6828" t="str">
            <v>F</v>
          </cell>
          <cell r="AB6828" t="str">
            <v>serum</v>
          </cell>
          <cell r="AF6828">
            <v>0.85</v>
          </cell>
        </row>
        <row r="6829">
          <cell r="A6829" t="str">
            <v>IS_alqt_plus</v>
          </cell>
          <cell r="K6829" t="str">
            <v>DMAD</v>
          </cell>
          <cell r="M6829" t="str">
            <v>F</v>
          </cell>
          <cell r="AB6829" t="str">
            <v>WB</v>
          </cell>
          <cell r="AF6829">
            <v>0.85</v>
          </cell>
        </row>
        <row r="6830">
          <cell r="A6830" t="str">
            <v>IS_alqt_plus</v>
          </cell>
          <cell r="K6830" t="str">
            <v>LCAT</v>
          </cell>
          <cell r="M6830" t="str">
            <v>M</v>
          </cell>
          <cell r="AB6830" t="str">
            <v>WB</v>
          </cell>
          <cell r="AF6830">
            <v>0.3</v>
          </cell>
        </row>
        <row r="6831">
          <cell r="A6831" t="str">
            <v>IS_alqt_plus</v>
          </cell>
          <cell r="K6831" t="str">
            <v>PCOQ</v>
          </cell>
          <cell r="M6831" t="str">
            <v>F</v>
          </cell>
          <cell r="AB6831" t="str">
            <v>serum</v>
          </cell>
          <cell r="AF6831">
            <v>0.8</v>
          </cell>
        </row>
        <row r="6832">
          <cell r="A6832" t="str">
            <v>IS_alqt_minus</v>
          </cell>
          <cell r="K6832" t="str">
            <v>MMUR</v>
          </cell>
          <cell r="M6832" t="str">
            <v>M</v>
          </cell>
          <cell r="AB6832" t="str">
            <v>WB</v>
          </cell>
          <cell r="AF6832">
            <v>0.1</v>
          </cell>
        </row>
        <row r="6833">
          <cell r="A6833" t="str">
            <v>IS_alqt_plus</v>
          </cell>
          <cell r="K6833" t="str">
            <v>ECOR</v>
          </cell>
          <cell r="M6833" t="str">
            <v>F</v>
          </cell>
          <cell r="AB6833" t="str">
            <v>serum</v>
          </cell>
          <cell r="AF6833">
            <v>1</v>
          </cell>
        </row>
        <row r="6834">
          <cell r="A6834" t="str">
            <v>IS_alqt_plus</v>
          </cell>
          <cell r="K6834" t="str">
            <v>ECOR</v>
          </cell>
          <cell r="M6834" t="str">
            <v>F</v>
          </cell>
          <cell r="AB6834" t="str">
            <v>WB</v>
          </cell>
          <cell r="AF6834">
            <v>0.8</v>
          </cell>
        </row>
        <row r="6835">
          <cell r="A6835" t="str">
            <v>IS_alqt_plus</v>
          </cell>
          <cell r="K6835" t="str">
            <v>ERUB</v>
          </cell>
          <cell r="M6835" t="str">
            <v>F</v>
          </cell>
          <cell r="AB6835" t="str">
            <v>serum</v>
          </cell>
          <cell r="AF6835">
            <v>1</v>
          </cell>
        </row>
        <row r="6836">
          <cell r="A6836" t="str">
            <v>IS_alqt_plus</v>
          </cell>
          <cell r="K6836" t="str">
            <v>EUL</v>
          </cell>
          <cell r="M6836" t="str">
            <v>F</v>
          </cell>
          <cell r="AB6836" t="str">
            <v>serum</v>
          </cell>
          <cell r="AF6836">
            <v>1</v>
          </cell>
        </row>
        <row r="6837">
          <cell r="A6837" t="str">
            <v>IS_alqt_plus</v>
          </cell>
          <cell r="K6837" t="str">
            <v>EUL</v>
          </cell>
          <cell r="M6837" t="str">
            <v>F</v>
          </cell>
          <cell r="AB6837" t="str">
            <v>serum</v>
          </cell>
          <cell r="AF6837">
            <v>1</v>
          </cell>
        </row>
        <row r="6838">
          <cell r="A6838" t="str">
            <v>IS_alqt_plus</v>
          </cell>
          <cell r="K6838" t="str">
            <v>EUL</v>
          </cell>
          <cell r="M6838" t="str">
            <v>M</v>
          </cell>
          <cell r="AB6838" t="str">
            <v>WB</v>
          </cell>
          <cell r="AF6838">
            <v>1</v>
          </cell>
        </row>
        <row r="6839">
          <cell r="A6839" t="str">
            <v>IS_alqt_plus</v>
          </cell>
          <cell r="K6839" t="str">
            <v>EUL</v>
          </cell>
          <cell r="M6839" t="str">
            <v>M</v>
          </cell>
          <cell r="AB6839" t="str">
            <v>WB</v>
          </cell>
          <cell r="AF6839">
            <v>1</v>
          </cell>
        </row>
        <row r="6840">
          <cell r="A6840" t="str">
            <v>IS_alqt_plus</v>
          </cell>
          <cell r="K6840" t="str">
            <v>EUL</v>
          </cell>
          <cell r="M6840" t="str">
            <v>M</v>
          </cell>
          <cell r="AB6840" t="str">
            <v>WB</v>
          </cell>
          <cell r="AF6840">
            <v>1</v>
          </cell>
        </row>
        <row r="6841">
          <cell r="A6841" t="str">
            <v>IS_alqt_plus</v>
          </cell>
          <cell r="K6841" t="str">
            <v>EUL</v>
          </cell>
          <cell r="M6841" t="str">
            <v>M</v>
          </cell>
          <cell r="AB6841" t="str">
            <v>WB</v>
          </cell>
          <cell r="AF6841">
            <v>1</v>
          </cell>
        </row>
        <row r="6842">
          <cell r="A6842" t="str">
            <v>IS_alqt_plus</v>
          </cell>
          <cell r="K6842" t="str">
            <v>EUL</v>
          </cell>
          <cell r="M6842" t="str">
            <v>M</v>
          </cell>
          <cell r="AB6842" t="str">
            <v>WB</v>
          </cell>
          <cell r="AF6842">
            <v>1</v>
          </cell>
        </row>
        <row r="6843">
          <cell r="A6843" t="str">
            <v>IS_alqt_plus</v>
          </cell>
          <cell r="K6843" t="str">
            <v>EUL</v>
          </cell>
          <cell r="M6843" t="str">
            <v>M</v>
          </cell>
          <cell r="AB6843" t="str">
            <v>WB</v>
          </cell>
          <cell r="AF6843">
            <v>1</v>
          </cell>
        </row>
        <row r="6844">
          <cell r="A6844" t="str">
            <v>IS_alqt_plus</v>
          </cell>
          <cell r="K6844" t="str">
            <v>EUL</v>
          </cell>
          <cell r="M6844" t="str">
            <v>M</v>
          </cell>
          <cell r="AB6844" t="str">
            <v>WB</v>
          </cell>
          <cell r="AF6844">
            <v>1</v>
          </cell>
        </row>
        <row r="6845">
          <cell r="A6845" t="str">
            <v>IS_alqt_plus</v>
          </cell>
          <cell r="K6845" t="str">
            <v>EUL</v>
          </cell>
          <cell r="M6845" t="str">
            <v>F</v>
          </cell>
          <cell r="AB6845" t="str">
            <v>serum</v>
          </cell>
          <cell r="AF6845">
            <v>1</v>
          </cell>
        </row>
        <row r="6846">
          <cell r="A6846" t="str">
            <v>IS_alqt_plus</v>
          </cell>
          <cell r="K6846" t="str">
            <v>EUL</v>
          </cell>
          <cell r="M6846" t="str">
            <v>F</v>
          </cell>
          <cell r="AB6846" t="str">
            <v>serum</v>
          </cell>
          <cell r="AF6846">
            <v>1</v>
          </cell>
        </row>
        <row r="6847">
          <cell r="A6847" t="str">
            <v>IS_alqt_plus</v>
          </cell>
          <cell r="K6847" t="str">
            <v>EUL</v>
          </cell>
          <cell r="M6847" t="str">
            <v>F</v>
          </cell>
          <cell r="AB6847" t="str">
            <v>serum</v>
          </cell>
          <cell r="AF6847">
            <v>1</v>
          </cell>
        </row>
        <row r="6848">
          <cell r="A6848" t="str">
            <v>IS_alqt_plus</v>
          </cell>
          <cell r="K6848" t="str">
            <v>EUL</v>
          </cell>
          <cell r="M6848" t="str">
            <v>F</v>
          </cell>
          <cell r="AB6848" t="str">
            <v>serum</v>
          </cell>
          <cell r="AF6848">
            <v>1</v>
          </cell>
        </row>
        <row r="6849">
          <cell r="A6849" t="str">
            <v>IS_alqt_plus</v>
          </cell>
          <cell r="K6849" t="str">
            <v>EUL</v>
          </cell>
          <cell r="M6849" t="str">
            <v>F</v>
          </cell>
          <cell r="AB6849" t="str">
            <v>serum</v>
          </cell>
          <cell r="AF6849">
            <v>1</v>
          </cell>
        </row>
        <row r="6850">
          <cell r="A6850" t="str">
            <v>IS_alqt_plus</v>
          </cell>
          <cell r="K6850" t="str">
            <v>EUL</v>
          </cell>
          <cell r="M6850" t="str">
            <v>F</v>
          </cell>
          <cell r="AB6850" t="str">
            <v>serum</v>
          </cell>
          <cell r="AF6850">
            <v>1</v>
          </cell>
        </row>
        <row r="6851">
          <cell r="A6851" t="str">
            <v>IS_alqt_plus</v>
          </cell>
          <cell r="K6851" t="str">
            <v>EUL</v>
          </cell>
          <cell r="M6851" t="str">
            <v>F</v>
          </cell>
          <cell r="AB6851" t="str">
            <v>serum</v>
          </cell>
          <cell r="AF6851">
            <v>1</v>
          </cell>
        </row>
        <row r="6852">
          <cell r="A6852" t="str">
            <v>IS_alqt_plus</v>
          </cell>
          <cell r="K6852" t="str">
            <v>EUL</v>
          </cell>
          <cell r="M6852" t="str">
            <v>F</v>
          </cell>
          <cell r="AB6852" t="str">
            <v>serum</v>
          </cell>
          <cell r="AF6852">
            <v>1</v>
          </cell>
        </row>
        <row r="6853">
          <cell r="A6853" t="str">
            <v>IS_alqt_plus</v>
          </cell>
          <cell r="K6853" t="str">
            <v>EUL</v>
          </cell>
          <cell r="M6853" t="str">
            <v>F</v>
          </cell>
          <cell r="AB6853" t="str">
            <v>serum</v>
          </cell>
          <cell r="AF6853">
            <v>1</v>
          </cell>
        </row>
        <row r="6854">
          <cell r="A6854" t="str">
            <v>IS_alqt_plus</v>
          </cell>
          <cell r="K6854" t="str">
            <v>EUL</v>
          </cell>
          <cell r="M6854" t="str">
            <v>F</v>
          </cell>
          <cell r="AB6854" t="str">
            <v>serum</v>
          </cell>
          <cell r="AF6854">
            <v>1</v>
          </cell>
        </row>
        <row r="6855">
          <cell r="A6855" t="str">
            <v>IS_alqt_plus</v>
          </cell>
          <cell r="K6855" t="str">
            <v>EUL</v>
          </cell>
          <cell r="M6855" t="str">
            <v>F</v>
          </cell>
          <cell r="AB6855" t="str">
            <v>serum</v>
          </cell>
          <cell r="AF6855">
            <v>1</v>
          </cell>
        </row>
        <row r="6856">
          <cell r="A6856" t="str">
            <v>IS_alqt_plus</v>
          </cell>
          <cell r="K6856" t="str">
            <v>EUL</v>
          </cell>
          <cell r="M6856" t="str">
            <v>M</v>
          </cell>
          <cell r="AB6856" t="str">
            <v>serum</v>
          </cell>
          <cell r="AF6856">
            <v>1</v>
          </cell>
        </row>
        <row r="6857">
          <cell r="A6857" t="str">
            <v>IS_alqt_plus</v>
          </cell>
          <cell r="K6857" t="str">
            <v>EUL</v>
          </cell>
          <cell r="M6857" t="str">
            <v>M</v>
          </cell>
          <cell r="AB6857" t="str">
            <v>serum</v>
          </cell>
          <cell r="AF6857">
            <v>1</v>
          </cell>
        </row>
        <row r="6858">
          <cell r="A6858" t="str">
            <v>IS_alqt_plus</v>
          </cell>
          <cell r="K6858" t="str">
            <v>EUL</v>
          </cell>
          <cell r="M6858" t="str">
            <v>M</v>
          </cell>
          <cell r="AB6858" t="str">
            <v>serum</v>
          </cell>
          <cell r="AF6858">
            <v>1</v>
          </cell>
        </row>
        <row r="6859">
          <cell r="A6859" t="str">
            <v>IS_alqt_plus</v>
          </cell>
          <cell r="K6859" t="str">
            <v>EUL</v>
          </cell>
          <cell r="M6859" t="str">
            <v>M</v>
          </cell>
          <cell r="AB6859" t="str">
            <v>serum</v>
          </cell>
          <cell r="AF6859">
            <v>1</v>
          </cell>
        </row>
        <row r="6860">
          <cell r="A6860" t="str">
            <v>IS_alqt_plus</v>
          </cell>
          <cell r="K6860" t="str">
            <v>EUL</v>
          </cell>
          <cell r="M6860" t="str">
            <v>M</v>
          </cell>
          <cell r="AB6860" t="str">
            <v>serum</v>
          </cell>
          <cell r="AF6860">
            <v>1</v>
          </cell>
        </row>
        <row r="6861">
          <cell r="A6861" t="str">
            <v>IS_alqt_plus</v>
          </cell>
          <cell r="K6861" t="str">
            <v>EUL</v>
          </cell>
          <cell r="M6861" t="str">
            <v>M</v>
          </cell>
          <cell r="AB6861" t="str">
            <v>serum</v>
          </cell>
          <cell r="AF6861">
            <v>1</v>
          </cell>
        </row>
        <row r="6862">
          <cell r="A6862" t="str">
            <v>IS_alqt_plus</v>
          </cell>
          <cell r="K6862" t="str">
            <v>EUL</v>
          </cell>
          <cell r="M6862" t="str">
            <v>M</v>
          </cell>
          <cell r="AB6862" t="str">
            <v>serum</v>
          </cell>
          <cell r="AF6862">
            <v>1</v>
          </cell>
        </row>
        <row r="6863">
          <cell r="A6863" t="str">
            <v>IS_alqt_plus</v>
          </cell>
          <cell r="K6863" t="str">
            <v>EUL</v>
          </cell>
          <cell r="M6863" t="str">
            <v>M</v>
          </cell>
          <cell r="AB6863" t="str">
            <v>serum</v>
          </cell>
          <cell r="AF6863">
            <v>1</v>
          </cell>
        </row>
        <row r="6864">
          <cell r="A6864" t="str">
            <v>IS_alqt_plus</v>
          </cell>
          <cell r="K6864" t="str">
            <v>EUL</v>
          </cell>
          <cell r="M6864" t="str">
            <v>F</v>
          </cell>
          <cell r="AB6864" t="str">
            <v>serum</v>
          </cell>
          <cell r="AF6864">
            <v>1</v>
          </cell>
        </row>
        <row r="6865">
          <cell r="A6865" t="str">
            <v>IS_alqt_plus</v>
          </cell>
          <cell r="K6865" t="str">
            <v>EUL</v>
          </cell>
          <cell r="M6865" t="str">
            <v>F</v>
          </cell>
          <cell r="AB6865" t="str">
            <v>serum</v>
          </cell>
          <cell r="AF6865">
            <v>1</v>
          </cell>
        </row>
        <row r="6866">
          <cell r="A6866" t="str">
            <v>IS_alqt_plus</v>
          </cell>
          <cell r="K6866" t="str">
            <v>EUL</v>
          </cell>
          <cell r="M6866" t="str">
            <v>F</v>
          </cell>
          <cell r="AB6866" t="str">
            <v>serum</v>
          </cell>
          <cell r="AF6866">
            <v>1</v>
          </cell>
        </row>
        <row r="6867">
          <cell r="A6867" t="str">
            <v>IS_alqt_plus</v>
          </cell>
          <cell r="K6867" t="str">
            <v>EUL</v>
          </cell>
          <cell r="M6867" t="str">
            <v>F</v>
          </cell>
          <cell r="AB6867" t="str">
            <v>WB</v>
          </cell>
          <cell r="AF6867">
            <v>1</v>
          </cell>
        </row>
        <row r="6868">
          <cell r="A6868" t="str">
            <v>IS_alqt_plus</v>
          </cell>
          <cell r="K6868" t="str">
            <v>EUL</v>
          </cell>
          <cell r="M6868" t="str">
            <v>F</v>
          </cell>
          <cell r="AB6868" t="str">
            <v>WB</v>
          </cell>
          <cell r="AF6868">
            <v>0.5</v>
          </cell>
        </row>
        <row r="6869">
          <cell r="A6869" t="str">
            <v>IS_alqt_plus</v>
          </cell>
          <cell r="K6869" t="str">
            <v>EUL</v>
          </cell>
          <cell r="M6869" t="str">
            <v>F</v>
          </cell>
          <cell r="AB6869" t="str">
            <v>WB</v>
          </cell>
          <cell r="AF6869">
            <v>1</v>
          </cell>
        </row>
        <row r="6870">
          <cell r="A6870" t="str">
            <v>IS_alqt_plus</v>
          </cell>
          <cell r="K6870" t="str">
            <v>EUL</v>
          </cell>
          <cell r="M6870" t="str">
            <v>F</v>
          </cell>
          <cell r="AB6870" t="str">
            <v>WB</v>
          </cell>
          <cell r="AF6870">
            <v>1</v>
          </cell>
        </row>
        <row r="6871">
          <cell r="A6871" t="str">
            <v>IS_alqt_plus</v>
          </cell>
          <cell r="K6871" t="str">
            <v>EUL</v>
          </cell>
          <cell r="M6871" t="str">
            <v>F</v>
          </cell>
          <cell r="AB6871" t="str">
            <v>WB</v>
          </cell>
          <cell r="AF6871">
            <v>1</v>
          </cell>
        </row>
        <row r="6872">
          <cell r="A6872" t="str">
            <v>IS_alqt_plus</v>
          </cell>
          <cell r="K6872" t="str">
            <v>EUL</v>
          </cell>
          <cell r="M6872" t="str">
            <v>F</v>
          </cell>
          <cell r="AB6872" t="str">
            <v>WB</v>
          </cell>
          <cell r="AF6872">
            <v>1</v>
          </cell>
        </row>
        <row r="6873">
          <cell r="A6873" t="str">
            <v>IS_alqt_plus</v>
          </cell>
          <cell r="K6873" t="str">
            <v>EUL</v>
          </cell>
          <cell r="M6873" t="str">
            <v>F</v>
          </cell>
          <cell r="AB6873" t="str">
            <v>WB</v>
          </cell>
          <cell r="AF6873">
            <v>1.5</v>
          </cell>
        </row>
        <row r="6874">
          <cell r="A6874" t="str">
            <v>IS_alqt_plus</v>
          </cell>
          <cell r="K6874" t="str">
            <v>EUL</v>
          </cell>
          <cell r="M6874" t="str">
            <v>F</v>
          </cell>
          <cell r="AB6874" t="str">
            <v>WB</v>
          </cell>
          <cell r="AF6874">
            <v>1.2</v>
          </cell>
        </row>
        <row r="6875">
          <cell r="A6875" t="str">
            <v>IS_alqt_plus</v>
          </cell>
          <cell r="K6875" t="str">
            <v>LCAT</v>
          </cell>
          <cell r="M6875" t="str">
            <v>M</v>
          </cell>
          <cell r="AB6875" t="str">
            <v>WB</v>
          </cell>
          <cell r="AF6875">
            <v>1</v>
          </cell>
        </row>
        <row r="6876">
          <cell r="A6876" t="str">
            <v>IS_alqt_plus</v>
          </cell>
          <cell r="K6876" t="str">
            <v>EUL</v>
          </cell>
          <cell r="M6876" t="str">
            <v>F</v>
          </cell>
          <cell r="AB6876" t="str">
            <v>serum</v>
          </cell>
          <cell r="AF6876">
            <v>1</v>
          </cell>
        </row>
        <row r="6877">
          <cell r="A6877" t="str">
            <v>IS_alqt_plus</v>
          </cell>
          <cell r="K6877" t="str">
            <v>EUL</v>
          </cell>
          <cell r="M6877" t="str">
            <v>F</v>
          </cell>
          <cell r="AB6877" t="str">
            <v>serum</v>
          </cell>
          <cell r="AF6877">
            <v>1</v>
          </cell>
        </row>
        <row r="6878">
          <cell r="A6878" t="str">
            <v>IS_alqt_plus</v>
          </cell>
          <cell r="K6878" t="str">
            <v>EUL</v>
          </cell>
          <cell r="M6878" t="str">
            <v>M</v>
          </cell>
          <cell r="AB6878" t="str">
            <v>serum</v>
          </cell>
          <cell r="AF6878">
            <v>1</v>
          </cell>
        </row>
        <row r="6879">
          <cell r="A6879" t="str">
            <v>IS_alqt_plus</v>
          </cell>
          <cell r="K6879" t="str">
            <v>EUL</v>
          </cell>
          <cell r="M6879" t="str">
            <v>M</v>
          </cell>
          <cell r="AB6879" t="str">
            <v>serum</v>
          </cell>
          <cell r="AF6879">
            <v>1</v>
          </cell>
        </row>
        <row r="6880">
          <cell r="A6880" t="str">
            <v>IS_alqt_plus</v>
          </cell>
          <cell r="K6880" t="str">
            <v>EUL</v>
          </cell>
          <cell r="M6880" t="str">
            <v>M</v>
          </cell>
          <cell r="AB6880" t="str">
            <v>serum</v>
          </cell>
          <cell r="AF6880">
            <v>1</v>
          </cell>
        </row>
        <row r="6881">
          <cell r="A6881" t="str">
            <v>IS_alqt_plus</v>
          </cell>
          <cell r="K6881" t="str">
            <v>EUL</v>
          </cell>
          <cell r="M6881" t="str">
            <v>M</v>
          </cell>
          <cell r="AB6881" t="str">
            <v>serum</v>
          </cell>
          <cell r="AF6881">
            <v>1</v>
          </cell>
        </row>
        <row r="6882">
          <cell r="A6882" t="str">
            <v>IS_alqt_plus</v>
          </cell>
          <cell r="K6882" t="str">
            <v>EUL</v>
          </cell>
          <cell r="M6882" t="str">
            <v>M</v>
          </cell>
          <cell r="AB6882" t="str">
            <v>serum</v>
          </cell>
          <cell r="AF6882">
            <v>1</v>
          </cell>
        </row>
        <row r="6883">
          <cell r="A6883" t="str">
            <v>IS_alqt_plus</v>
          </cell>
          <cell r="K6883" t="str">
            <v>EUL</v>
          </cell>
          <cell r="M6883" t="str">
            <v>F</v>
          </cell>
          <cell r="AB6883" t="str">
            <v>WB</v>
          </cell>
          <cell r="AF6883">
            <v>1</v>
          </cell>
        </row>
        <row r="6884">
          <cell r="A6884" t="str">
            <v>IS_alqt_plus</v>
          </cell>
          <cell r="K6884" t="str">
            <v>EUL</v>
          </cell>
          <cell r="M6884" t="str">
            <v>F</v>
          </cell>
          <cell r="AB6884" t="str">
            <v>WB</v>
          </cell>
          <cell r="AF6884">
            <v>0.9</v>
          </cell>
        </row>
        <row r="6885">
          <cell r="A6885" t="str">
            <v>IS_alqt_plus</v>
          </cell>
          <cell r="K6885" t="str">
            <v>EUL</v>
          </cell>
          <cell r="M6885" t="str">
            <v>F</v>
          </cell>
          <cell r="AB6885" t="str">
            <v>WB</v>
          </cell>
          <cell r="AF6885">
            <v>1.2</v>
          </cell>
        </row>
        <row r="6886">
          <cell r="A6886" t="str">
            <v>IS_alqt_plus</v>
          </cell>
          <cell r="K6886" t="str">
            <v>EUL</v>
          </cell>
          <cell r="M6886" t="str">
            <v>F</v>
          </cell>
          <cell r="AB6886" t="str">
            <v>WB</v>
          </cell>
          <cell r="AF6886">
            <v>1</v>
          </cell>
        </row>
        <row r="6887">
          <cell r="A6887" t="str">
            <v>IS_alqt_plus</v>
          </cell>
          <cell r="K6887" t="str">
            <v>EUL</v>
          </cell>
          <cell r="M6887" t="str">
            <v>M</v>
          </cell>
          <cell r="AB6887" t="str">
            <v>serum</v>
          </cell>
          <cell r="AF6887">
            <v>1</v>
          </cell>
        </row>
        <row r="6888">
          <cell r="A6888" t="str">
            <v>IS_alqt_plus</v>
          </cell>
          <cell r="K6888" t="str">
            <v>EUL</v>
          </cell>
          <cell r="M6888" t="str">
            <v>M</v>
          </cell>
          <cell r="AB6888" t="str">
            <v>serum</v>
          </cell>
          <cell r="AF6888">
            <v>1</v>
          </cell>
        </row>
        <row r="6889">
          <cell r="A6889" t="str">
            <v>IS_alqt_plus</v>
          </cell>
          <cell r="K6889" t="str">
            <v>EUL</v>
          </cell>
          <cell r="M6889" t="str">
            <v>M</v>
          </cell>
          <cell r="AB6889" t="str">
            <v>serum</v>
          </cell>
          <cell r="AF6889">
            <v>1</v>
          </cell>
        </row>
        <row r="6890">
          <cell r="A6890" t="str">
            <v>IS_alqt_plus</v>
          </cell>
          <cell r="K6890" t="str">
            <v>EUL</v>
          </cell>
          <cell r="M6890" t="str">
            <v>M</v>
          </cell>
          <cell r="AB6890" t="str">
            <v>serum</v>
          </cell>
          <cell r="AF6890">
            <v>1</v>
          </cell>
        </row>
        <row r="6891">
          <cell r="A6891" t="str">
            <v>IS_alqt_plus</v>
          </cell>
          <cell r="K6891" t="str">
            <v>EUL</v>
          </cell>
          <cell r="M6891" t="str">
            <v>M</v>
          </cell>
          <cell r="AB6891" t="str">
            <v>serum</v>
          </cell>
          <cell r="AF6891">
            <v>1</v>
          </cell>
        </row>
        <row r="6892">
          <cell r="A6892" t="str">
            <v>IS_alqt_plus</v>
          </cell>
          <cell r="K6892" t="str">
            <v>EUL</v>
          </cell>
          <cell r="M6892" t="str">
            <v>M</v>
          </cell>
          <cell r="AB6892" t="str">
            <v>serum</v>
          </cell>
          <cell r="AF6892">
            <v>1</v>
          </cell>
        </row>
        <row r="6893">
          <cell r="A6893" t="str">
            <v>IS_alqt_plus</v>
          </cell>
          <cell r="K6893" t="str">
            <v>EUL</v>
          </cell>
          <cell r="M6893" t="str">
            <v>M</v>
          </cell>
          <cell r="AB6893" t="str">
            <v>serum</v>
          </cell>
          <cell r="AF6893">
            <v>1</v>
          </cell>
        </row>
        <row r="6894">
          <cell r="A6894" t="str">
            <v>IS_alqt_plus</v>
          </cell>
          <cell r="K6894" t="str">
            <v>EUL</v>
          </cell>
          <cell r="M6894" t="str">
            <v>M</v>
          </cell>
          <cell r="AB6894" t="str">
            <v>serum</v>
          </cell>
          <cell r="AF6894">
            <v>1</v>
          </cell>
        </row>
        <row r="6895">
          <cell r="A6895" t="str">
            <v>IS_alqt_plus</v>
          </cell>
          <cell r="K6895" t="str">
            <v>DMAD</v>
          </cell>
          <cell r="M6895" t="str">
            <v>F</v>
          </cell>
          <cell r="AB6895" t="str">
            <v>WB</v>
          </cell>
          <cell r="AF6895">
            <v>1</v>
          </cell>
        </row>
        <row r="6896">
          <cell r="A6896" t="str">
            <v>IS_alqt_plus</v>
          </cell>
          <cell r="K6896" t="str">
            <v>DMAD</v>
          </cell>
          <cell r="M6896" t="str">
            <v>F</v>
          </cell>
          <cell r="AB6896" t="str">
            <v>WB</v>
          </cell>
          <cell r="AF6896">
            <v>0.75</v>
          </cell>
        </row>
        <row r="6897">
          <cell r="A6897" t="str">
            <v>IS_alqt_plus</v>
          </cell>
          <cell r="K6897" t="str">
            <v>EMON</v>
          </cell>
          <cell r="M6897" t="str">
            <v>F</v>
          </cell>
          <cell r="AB6897" t="str">
            <v>WB</v>
          </cell>
          <cell r="AF6897">
            <v>0.6</v>
          </cell>
        </row>
        <row r="6898">
          <cell r="A6898" t="str">
            <v>IS_alqt_plus</v>
          </cell>
          <cell r="K6898" t="str">
            <v>EMON</v>
          </cell>
          <cell r="M6898" t="str">
            <v>M</v>
          </cell>
          <cell r="AB6898" t="str">
            <v>WB</v>
          </cell>
          <cell r="AF6898">
            <v>0.7</v>
          </cell>
        </row>
        <row r="6899">
          <cell r="A6899" t="str">
            <v>IS_alqt_plus</v>
          </cell>
          <cell r="K6899" t="str">
            <v>EMON</v>
          </cell>
          <cell r="M6899" t="str">
            <v>M</v>
          </cell>
          <cell r="AB6899" t="str">
            <v>WB</v>
          </cell>
          <cell r="AF6899">
            <v>0.85</v>
          </cell>
        </row>
        <row r="6900">
          <cell r="A6900" t="str">
            <v>IS_alqt_plus</v>
          </cell>
          <cell r="K6900" t="str">
            <v>EMON</v>
          </cell>
          <cell r="M6900" t="str">
            <v>F</v>
          </cell>
          <cell r="AB6900" t="str">
            <v>WB</v>
          </cell>
          <cell r="AF6900">
            <v>0.7</v>
          </cell>
        </row>
        <row r="6901">
          <cell r="A6901" t="str">
            <v>IS_alqt_plus</v>
          </cell>
          <cell r="K6901" t="str">
            <v>EMON</v>
          </cell>
          <cell r="M6901" t="str">
            <v>F</v>
          </cell>
          <cell r="AB6901" t="str">
            <v>WB</v>
          </cell>
          <cell r="AF6901">
            <v>0.3</v>
          </cell>
        </row>
        <row r="6902">
          <cell r="A6902" t="str">
            <v>IS_alqt_plus</v>
          </cell>
          <cell r="K6902" t="str">
            <v>EMON</v>
          </cell>
          <cell r="M6902" t="str">
            <v>F</v>
          </cell>
          <cell r="AB6902" t="str">
            <v>WB</v>
          </cell>
          <cell r="AF6902">
            <v>0.5</v>
          </cell>
        </row>
        <row r="6903">
          <cell r="A6903" t="str">
            <v>gone</v>
          </cell>
          <cell r="K6903" t="str">
            <v>EMON</v>
          </cell>
          <cell r="M6903" t="str">
            <v>F</v>
          </cell>
          <cell r="AB6903" t="str">
            <v>WB</v>
          </cell>
          <cell r="AF6903">
            <v>0</v>
          </cell>
        </row>
        <row r="6904">
          <cell r="A6904" t="str">
            <v>IS_alqt_plus</v>
          </cell>
          <cell r="K6904" t="str">
            <v>EMON</v>
          </cell>
          <cell r="M6904" t="str">
            <v>M</v>
          </cell>
          <cell r="AB6904" t="str">
            <v>WB</v>
          </cell>
          <cell r="AF6904">
            <v>0.5</v>
          </cell>
        </row>
        <row r="6905">
          <cell r="A6905" t="str">
            <v>IS_alqt_plus</v>
          </cell>
          <cell r="K6905" t="str">
            <v>EMON</v>
          </cell>
          <cell r="M6905" t="str">
            <v>M</v>
          </cell>
          <cell r="AB6905" t="str">
            <v>WB</v>
          </cell>
          <cell r="AF6905">
            <v>0.5</v>
          </cell>
        </row>
        <row r="6906">
          <cell r="A6906" t="str">
            <v>IS_alqt_plus</v>
          </cell>
          <cell r="K6906" t="str">
            <v>EMON</v>
          </cell>
          <cell r="M6906" t="str">
            <v>M</v>
          </cell>
          <cell r="AB6906" t="str">
            <v>WB</v>
          </cell>
          <cell r="AF6906">
            <v>1.1000000000000001</v>
          </cell>
        </row>
        <row r="6907">
          <cell r="A6907" t="str">
            <v>IS_alqt_plus</v>
          </cell>
          <cell r="K6907" t="str">
            <v>EMON</v>
          </cell>
          <cell r="M6907" t="str">
            <v>M</v>
          </cell>
          <cell r="AB6907" t="str">
            <v>WB</v>
          </cell>
          <cell r="AF6907">
            <v>1</v>
          </cell>
        </row>
        <row r="6908">
          <cell r="A6908" t="str">
            <v>gone</v>
          </cell>
          <cell r="K6908" t="str">
            <v>EMON</v>
          </cell>
          <cell r="M6908" t="str">
            <v>M</v>
          </cell>
          <cell r="AB6908" t="str">
            <v>WB</v>
          </cell>
          <cell r="AF6908">
            <v>0</v>
          </cell>
        </row>
        <row r="6909">
          <cell r="A6909" t="str">
            <v>IS_alqt_plus</v>
          </cell>
          <cell r="K6909" t="str">
            <v>EMON</v>
          </cell>
          <cell r="M6909" t="str">
            <v>M</v>
          </cell>
          <cell r="AB6909" t="str">
            <v>WB</v>
          </cell>
          <cell r="AF6909">
            <v>0.6</v>
          </cell>
        </row>
        <row r="6910">
          <cell r="A6910" t="str">
            <v>gone</v>
          </cell>
          <cell r="K6910" t="str">
            <v>EMON</v>
          </cell>
          <cell r="M6910" t="str">
            <v>F</v>
          </cell>
          <cell r="AB6910" t="str">
            <v>WB</v>
          </cell>
          <cell r="AF6910">
            <v>0</v>
          </cell>
        </row>
        <row r="6911">
          <cell r="A6911" t="str">
            <v>IS_alqt_plus</v>
          </cell>
          <cell r="K6911" t="str">
            <v>EMON</v>
          </cell>
          <cell r="M6911" t="str">
            <v>M</v>
          </cell>
          <cell r="AB6911" t="str">
            <v>WB</v>
          </cell>
          <cell r="AF6911">
            <v>0.55000000000000004</v>
          </cell>
        </row>
        <row r="6912">
          <cell r="A6912" t="str">
            <v>IS_alqt_minus</v>
          </cell>
          <cell r="K6912" t="str">
            <v>EMON</v>
          </cell>
          <cell r="M6912" t="str">
            <v>F</v>
          </cell>
          <cell r="AB6912" t="str">
            <v>WB</v>
          </cell>
          <cell r="AF6912">
            <v>0.15</v>
          </cell>
        </row>
        <row r="6913">
          <cell r="A6913" t="str">
            <v>IS_alqt_plus</v>
          </cell>
          <cell r="K6913" t="str">
            <v>EMON</v>
          </cell>
          <cell r="M6913" t="str">
            <v>F</v>
          </cell>
          <cell r="AB6913" t="str">
            <v>WB</v>
          </cell>
          <cell r="AF6913">
            <v>0.5</v>
          </cell>
        </row>
        <row r="6914">
          <cell r="A6914" t="str">
            <v>IS_alqt_plus</v>
          </cell>
          <cell r="K6914" t="str">
            <v>EMON</v>
          </cell>
          <cell r="M6914" t="str">
            <v>M</v>
          </cell>
          <cell r="AB6914" t="str">
            <v>WB</v>
          </cell>
          <cell r="AF6914">
            <v>0.6</v>
          </cell>
        </row>
        <row r="6915">
          <cell r="A6915" t="str">
            <v>gone</v>
          </cell>
          <cell r="K6915" t="str">
            <v>EMON</v>
          </cell>
          <cell r="M6915" t="str">
            <v>F</v>
          </cell>
          <cell r="AB6915" t="str">
            <v>WB</v>
          </cell>
          <cell r="AF6915">
            <v>0</v>
          </cell>
        </row>
        <row r="6916">
          <cell r="A6916" t="str">
            <v>IS_alqt_plus</v>
          </cell>
          <cell r="K6916" t="str">
            <v>EMON</v>
          </cell>
          <cell r="M6916" t="str">
            <v>M</v>
          </cell>
          <cell r="AB6916" t="str">
            <v>WB</v>
          </cell>
          <cell r="AF6916">
            <v>0.6</v>
          </cell>
        </row>
        <row r="6917">
          <cell r="A6917" t="str">
            <v>gone</v>
          </cell>
          <cell r="K6917" t="str">
            <v>EMON</v>
          </cell>
          <cell r="M6917" t="str">
            <v>F</v>
          </cell>
          <cell r="AB6917" t="str">
            <v>WB</v>
          </cell>
          <cell r="AF6917">
            <v>0</v>
          </cell>
        </row>
        <row r="6918">
          <cell r="A6918" t="str">
            <v>IS_alqt_plus</v>
          </cell>
          <cell r="K6918" t="str">
            <v>EMON</v>
          </cell>
          <cell r="M6918" t="str">
            <v>M</v>
          </cell>
          <cell r="AB6918" t="str">
            <v>WB</v>
          </cell>
          <cell r="AF6918">
            <v>0.65</v>
          </cell>
        </row>
        <row r="6919">
          <cell r="A6919" t="str">
            <v>IS_alqt_plus</v>
          </cell>
          <cell r="K6919" t="str">
            <v>EMON</v>
          </cell>
          <cell r="M6919" t="str">
            <v>F</v>
          </cell>
          <cell r="AB6919" t="str">
            <v>WB</v>
          </cell>
          <cell r="AF6919">
            <v>0.2</v>
          </cell>
        </row>
        <row r="6920">
          <cell r="A6920" t="str">
            <v>IS_alqt_plus</v>
          </cell>
          <cell r="K6920" t="str">
            <v>EMON</v>
          </cell>
          <cell r="M6920" t="str">
            <v>F</v>
          </cell>
          <cell r="AB6920" t="str">
            <v>WB</v>
          </cell>
          <cell r="AF6920">
            <v>0.75</v>
          </cell>
        </row>
        <row r="6921">
          <cell r="A6921" t="str">
            <v>IS_alqt_plus</v>
          </cell>
          <cell r="K6921" t="str">
            <v>EMON</v>
          </cell>
          <cell r="M6921" t="str">
            <v>F</v>
          </cell>
          <cell r="AB6921" t="str">
            <v>WB</v>
          </cell>
          <cell r="AF6921">
            <v>0.5</v>
          </cell>
        </row>
        <row r="6922">
          <cell r="A6922" t="str">
            <v>gone</v>
          </cell>
          <cell r="K6922" t="str">
            <v>EMON</v>
          </cell>
          <cell r="M6922" t="str">
            <v>F</v>
          </cell>
          <cell r="AB6922" t="str">
            <v>WB</v>
          </cell>
          <cell r="AF6922">
            <v>0</v>
          </cell>
        </row>
        <row r="6923">
          <cell r="A6923" t="str">
            <v>IS_alqt_plus</v>
          </cell>
          <cell r="K6923" t="str">
            <v>EMON</v>
          </cell>
          <cell r="M6923" t="str">
            <v>F</v>
          </cell>
          <cell r="AB6923" t="str">
            <v>WB</v>
          </cell>
          <cell r="AF6923">
            <v>1.3</v>
          </cell>
        </row>
        <row r="6924">
          <cell r="A6924" t="str">
            <v>IS_alqt_plus</v>
          </cell>
          <cell r="K6924" t="str">
            <v>EMON</v>
          </cell>
          <cell r="M6924" t="str">
            <v>F</v>
          </cell>
          <cell r="AB6924" t="str">
            <v>WB</v>
          </cell>
          <cell r="AF6924">
            <v>1.3</v>
          </cell>
        </row>
        <row r="6925">
          <cell r="A6925" t="str">
            <v>IS_alqt_plus</v>
          </cell>
          <cell r="K6925" t="str">
            <v>EMON</v>
          </cell>
          <cell r="M6925" t="str">
            <v>F</v>
          </cell>
          <cell r="AB6925" t="str">
            <v>WB</v>
          </cell>
          <cell r="AF6925">
            <v>1.3</v>
          </cell>
        </row>
        <row r="6926">
          <cell r="A6926" t="str">
            <v>IS_alqt_plus</v>
          </cell>
          <cell r="K6926" t="str">
            <v>EMON</v>
          </cell>
          <cell r="M6926" t="str">
            <v>F</v>
          </cell>
          <cell r="AB6926" t="str">
            <v>WB</v>
          </cell>
          <cell r="AF6926">
            <v>1.2</v>
          </cell>
        </row>
        <row r="6927">
          <cell r="A6927" t="str">
            <v>unk</v>
          </cell>
          <cell r="K6927" t="str">
            <v>EMON</v>
          </cell>
          <cell r="M6927" t="str">
            <v>F</v>
          </cell>
          <cell r="AB6927" t="str">
            <v>serum</v>
          </cell>
          <cell r="AF6927">
            <v>1</v>
          </cell>
        </row>
        <row r="6928">
          <cell r="A6928" t="str">
            <v>unk</v>
          </cell>
          <cell r="K6928" t="str">
            <v>EMON</v>
          </cell>
          <cell r="M6928" t="str">
            <v>F</v>
          </cell>
          <cell r="AB6928" t="str">
            <v>serum</v>
          </cell>
          <cell r="AF6928">
            <v>1</v>
          </cell>
        </row>
        <row r="6929">
          <cell r="A6929" t="str">
            <v>IS_alqt_plus</v>
          </cell>
          <cell r="K6929" t="str">
            <v>EMON</v>
          </cell>
          <cell r="M6929" t="str">
            <v>F</v>
          </cell>
          <cell r="AB6929" t="str">
            <v>WB</v>
          </cell>
          <cell r="AF6929">
            <v>1.3</v>
          </cell>
        </row>
        <row r="6930">
          <cell r="A6930" t="str">
            <v>IS_alqt_plus</v>
          </cell>
          <cell r="K6930" t="str">
            <v>EMON</v>
          </cell>
          <cell r="M6930" t="str">
            <v>F</v>
          </cell>
          <cell r="AB6930" t="str">
            <v>WB</v>
          </cell>
          <cell r="AF6930">
            <v>1.3</v>
          </cell>
        </row>
        <row r="6931">
          <cell r="A6931" t="str">
            <v>IS_alqt_plus</v>
          </cell>
          <cell r="K6931" t="str">
            <v>EMON</v>
          </cell>
          <cell r="M6931" t="str">
            <v>F</v>
          </cell>
          <cell r="AB6931" t="str">
            <v>WB</v>
          </cell>
          <cell r="AF6931">
            <v>1.3</v>
          </cell>
        </row>
        <row r="6932">
          <cell r="A6932" t="str">
            <v>IS_alqt_plus</v>
          </cell>
          <cell r="K6932" t="str">
            <v>EMON</v>
          </cell>
          <cell r="M6932" t="str">
            <v>F</v>
          </cell>
          <cell r="AB6932" t="str">
            <v>WB</v>
          </cell>
          <cell r="AF6932">
            <v>1.3</v>
          </cell>
        </row>
        <row r="6933">
          <cell r="A6933" t="str">
            <v>IS_alqt_plus</v>
          </cell>
          <cell r="K6933" t="str">
            <v>EMON</v>
          </cell>
          <cell r="M6933" t="str">
            <v>F</v>
          </cell>
          <cell r="AB6933" t="str">
            <v>WB</v>
          </cell>
          <cell r="AF6933">
            <v>1.3</v>
          </cell>
        </row>
        <row r="6934">
          <cell r="A6934" t="str">
            <v>IS_alqt_plus</v>
          </cell>
          <cell r="K6934" t="str">
            <v>EMON</v>
          </cell>
          <cell r="M6934" t="str">
            <v>F</v>
          </cell>
          <cell r="AB6934" t="str">
            <v>WB</v>
          </cell>
          <cell r="AF6934">
            <v>1.3</v>
          </cell>
        </row>
        <row r="6935">
          <cell r="A6935" t="str">
            <v>IS_alqt_plus</v>
          </cell>
          <cell r="K6935" t="str">
            <v>EMON</v>
          </cell>
          <cell r="M6935" t="str">
            <v>F</v>
          </cell>
          <cell r="AB6935" t="str">
            <v>WB</v>
          </cell>
          <cell r="AF6935">
            <v>1.3</v>
          </cell>
        </row>
        <row r="6936">
          <cell r="A6936" t="str">
            <v>IS_alqt_plus</v>
          </cell>
          <cell r="K6936" t="str">
            <v>EMON</v>
          </cell>
          <cell r="M6936" t="str">
            <v>F</v>
          </cell>
          <cell r="AB6936" t="str">
            <v>WB</v>
          </cell>
          <cell r="AF6936">
            <v>1.3</v>
          </cell>
        </row>
        <row r="6937">
          <cell r="A6937" t="str">
            <v>IS_alqt_plus</v>
          </cell>
          <cell r="K6937" t="str">
            <v>EMON</v>
          </cell>
          <cell r="M6937" t="str">
            <v>F</v>
          </cell>
          <cell r="AB6937" t="str">
            <v>WB</v>
          </cell>
          <cell r="AF6937">
            <v>1.3</v>
          </cell>
        </row>
        <row r="6938">
          <cell r="A6938" t="str">
            <v>IS_alqt_plus</v>
          </cell>
          <cell r="K6938" t="str">
            <v>EMON</v>
          </cell>
          <cell r="M6938" t="str">
            <v>F</v>
          </cell>
          <cell r="AB6938" t="str">
            <v>WB</v>
          </cell>
          <cell r="AF6938">
            <v>1.3</v>
          </cell>
        </row>
        <row r="6939">
          <cell r="A6939" t="str">
            <v>IS_alqt_plus</v>
          </cell>
          <cell r="K6939" t="str">
            <v>EMON</v>
          </cell>
          <cell r="M6939" t="str">
            <v>F</v>
          </cell>
          <cell r="AB6939" t="str">
            <v>WB</v>
          </cell>
          <cell r="AF6939">
            <v>1.3</v>
          </cell>
        </row>
        <row r="6940">
          <cell r="A6940" t="str">
            <v>IS_alqt_plus</v>
          </cell>
          <cell r="K6940" t="str">
            <v>EMON</v>
          </cell>
          <cell r="M6940" t="str">
            <v>F</v>
          </cell>
          <cell r="AB6940" t="str">
            <v>WB</v>
          </cell>
          <cell r="AF6940">
            <v>1.3</v>
          </cell>
        </row>
        <row r="6941">
          <cell r="A6941" t="str">
            <v>IS_alqt_plus</v>
          </cell>
          <cell r="K6941" t="str">
            <v>EMON</v>
          </cell>
          <cell r="M6941" t="str">
            <v>F</v>
          </cell>
          <cell r="AB6941" t="str">
            <v>WB</v>
          </cell>
          <cell r="AF6941">
            <v>1.3</v>
          </cell>
        </row>
        <row r="6942">
          <cell r="A6942" t="str">
            <v>IS_alqt_plus</v>
          </cell>
          <cell r="K6942" t="str">
            <v>EMON</v>
          </cell>
          <cell r="M6942" t="str">
            <v>F</v>
          </cell>
          <cell r="AB6942" t="str">
            <v>WB</v>
          </cell>
          <cell r="AF6942">
            <v>1.3</v>
          </cell>
        </row>
        <row r="6943">
          <cell r="A6943" t="str">
            <v>IS_alqt_plus</v>
          </cell>
          <cell r="K6943" t="str">
            <v>EMON</v>
          </cell>
          <cell r="M6943" t="str">
            <v>F</v>
          </cell>
          <cell r="AB6943" t="str">
            <v>WB</v>
          </cell>
          <cell r="AF6943">
            <v>1.3</v>
          </cell>
        </row>
        <row r="6944">
          <cell r="A6944" t="str">
            <v>IS_alqt_plus</v>
          </cell>
          <cell r="K6944" t="str">
            <v>EMON</v>
          </cell>
          <cell r="M6944" t="str">
            <v>F</v>
          </cell>
          <cell r="AB6944" t="str">
            <v>WB</v>
          </cell>
          <cell r="AF6944">
            <v>1</v>
          </cell>
        </row>
        <row r="6945">
          <cell r="A6945" t="str">
            <v>IS_alqt_plus</v>
          </cell>
          <cell r="K6945" t="str">
            <v>EMON</v>
          </cell>
          <cell r="M6945" t="str">
            <v>F</v>
          </cell>
          <cell r="AB6945" t="str">
            <v>WB</v>
          </cell>
          <cell r="AF6945">
            <v>1.3</v>
          </cell>
        </row>
        <row r="6946">
          <cell r="A6946" t="str">
            <v>IS_alqt_plus</v>
          </cell>
          <cell r="K6946" t="str">
            <v>EMON</v>
          </cell>
          <cell r="M6946" t="str">
            <v>F</v>
          </cell>
          <cell r="AB6946" t="str">
            <v>WB</v>
          </cell>
          <cell r="AF6946">
            <v>1.3</v>
          </cell>
        </row>
        <row r="6947">
          <cell r="A6947" t="str">
            <v>IS_alqt_plus</v>
          </cell>
          <cell r="K6947" t="str">
            <v>EMON</v>
          </cell>
          <cell r="M6947" t="str">
            <v>F</v>
          </cell>
          <cell r="AB6947" t="str">
            <v>WB</v>
          </cell>
          <cell r="AF6947">
            <v>1.3</v>
          </cell>
        </row>
        <row r="6948">
          <cell r="A6948" t="str">
            <v>IS_alqt_plus</v>
          </cell>
          <cell r="K6948" t="str">
            <v>EMON</v>
          </cell>
          <cell r="M6948" t="str">
            <v>F</v>
          </cell>
          <cell r="AB6948" t="str">
            <v>WB</v>
          </cell>
          <cell r="AF6948">
            <v>1.3</v>
          </cell>
        </row>
        <row r="6949">
          <cell r="A6949" t="str">
            <v>IS_alqt_plus</v>
          </cell>
          <cell r="K6949" t="str">
            <v>EMON</v>
          </cell>
          <cell r="M6949" t="str">
            <v>F</v>
          </cell>
          <cell r="AB6949" t="str">
            <v>WB</v>
          </cell>
          <cell r="AF6949">
            <v>1.3</v>
          </cell>
        </row>
        <row r="6950">
          <cell r="A6950" t="str">
            <v>IS_alqt_plus</v>
          </cell>
          <cell r="K6950" t="str">
            <v>EMON</v>
          </cell>
          <cell r="M6950" t="str">
            <v>F</v>
          </cell>
          <cell r="AB6950" t="str">
            <v>WB</v>
          </cell>
          <cell r="AF6950">
            <v>1.3</v>
          </cell>
        </row>
        <row r="6951">
          <cell r="A6951" t="str">
            <v>IS_alqt_plus</v>
          </cell>
          <cell r="K6951" t="str">
            <v>EMON</v>
          </cell>
          <cell r="M6951" t="str">
            <v>F</v>
          </cell>
          <cell r="AB6951" t="str">
            <v>WB</v>
          </cell>
          <cell r="AF6951">
            <v>1.3</v>
          </cell>
        </row>
        <row r="6952">
          <cell r="A6952" t="str">
            <v>IS_alqt_plus</v>
          </cell>
          <cell r="K6952" t="str">
            <v>EMON</v>
          </cell>
          <cell r="M6952" t="str">
            <v>F</v>
          </cell>
          <cell r="AB6952" t="str">
            <v>WB</v>
          </cell>
          <cell r="AF6952">
            <v>1.3</v>
          </cell>
        </row>
        <row r="6953">
          <cell r="A6953" t="str">
            <v>IS_alqt_plus</v>
          </cell>
          <cell r="K6953" t="str">
            <v>EMON</v>
          </cell>
          <cell r="M6953" t="str">
            <v>F</v>
          </cell>
          <cell r="AB6953" t="str">
            <v>WB</v>
          </cell>
          <cell r="AF6953">
            <v>1.3</v>
          </cell>
        </row>
        <row r="6954">
          <cell r="A6954" t="str">
            <v>IS_alqt_plus</v>
          </cell>
          <cell r="K6954" t="str">
            <v>EMON</v>
          </cell>
          <cell r="M6954" t="str">
            <v>F</v>
          </cell>
          <cell r="AB6954" t="str">
            <v>WB</v>
          </cell>
          <cell r="AF6954">
            <v>1.3</v>
          </cell>
        </row>
        <row r="6955">
          <cell r="A6955" t="str">
            <v>IS_alqt_plus</v>
          </cell>
          <cell r="K6955" t="str">
            <v>LCAT</v>
          </cell>
          <cell r="M6955" t="str">
            <v>F</v>
          </cell>
          <cell r="AB6955" t="str">
            <v>WB</v>
          </cell>
          <cell r="AF6955">
            <v>1.3460000000000001</v>
          </cell>
        </row>
        <row r="6956">
          <cell r="A6956" t="str">
            <v>IS_alqt_plus</v>
          </cell>
          <cell r="K6956" t="str">
            <v>LCAT</v>
          </cell>
          <cell r="M6956" t="str">
            <v>F</v>
          </cell>
          <cell r="AB6956" t="str">
            <v>WB</v>
          </cell>
          <cell r="AF6956">
            <v>1.3</v>
          </cell>
        </row>
        <row r="6957">
          <cell r="A6957" t="str">
            <v>IS_alqt_plus</v>
          </cell>
          <cell r="K6957" t="str">
            <v>PCOQ</v>
          </cell>
          <cell r="M6957" t="str">
            <v>F</v>
          </cell>
          <cell r="AB6957" t="str">
            <v>serum</v>
          </cell>
          <cell r="AF6957">
            <v>0.5</v>
          </cell>
        </row>
        <row r="6958">
          <cell r="A6958" t="str">
            <v>gone</v>
          </cell>
          <cell r="K6958" t="str">
            <v>CMED</v>
          </cell>
          <cell r="M6958" t="str">
            <v>F</v>
          </cell>
          <cell r="AB6958" t="str">
            <v>WB</v>
          </cell>
          <cell r="AF6958">
            <v>0</v>
          </cell>
        </row>
        <row r="6959">
          <cell r="A6959" t="str">
            <v>gone</v>
          </cell>
          <cell r="K6959" t="str">
            <v>CMED</v>
          </cell>
          <cell r="M6959" t="str">
            <v>F</v>
          </cell>
          <cell r="AB6959" t="str">
            <v>WB</v>
          </cell>
          <cell r="AF6959">
            <v>0</v>
          </cell>
        </row>
        <row r="6960">
          <cell r="A6960" t="str">
            <v>gone</v>
          </cell>
          <cell r="K6960" t="str">
            <v>CMED</v>
          </cell>
          <cell r="M6960" t="str">
            <v>F</v>
          </cell>
          <cell r="AB6960" t="str">
            <v>WB</v>
          </cell>
          <cell r="AF6960">
            <v>0</v>
          </cell>
        </row>
        <row r="6961">
          <cell r="A6961" t="str">
            <v>IS_alqt_plus</v>
          </cell>
          <cell r="K6961" t="str">
            <v>OCRA</v>
          </cell>
          <cell r="M6961" t="str">
            <v>F</v>
          </cell>
          <cell r="AB6961" t="str">
            <v>WB</v>
          </cell>
          <cell r="AF6961">
            <v>0.45</v>
          </cell>
        </row>
        <row r="6962">
          <cell r="A6962" t="str">
            <v>IS_alqt_plus</v>
          </cell>
          <cell r="K6962" t="str">
            <v>OCRA</v>
          </cell>
          <cell r="M6962" t="str">
            <v>F</v>
          </cell>
          <cell r="AB6962" t="str">
            <v>WB</v>
          </cell>
          <cell r="AF6962">
            <v>0.2</v>
          </cell>
        </row>
        <row r="6963">
          <cell r="A6963" t="str">
            <v>unk</v>
          </cell>
          <cell r="K6963" t="str">
            <v>ECOR</v>
          </cell>
          <cell r="M6963" t="str">
            <v>F</v>
          </cell>
          <cell r="AB6963" t="str">
            <v>WB</v>
          </cell>
          <cell r="AF6963">
            <v>0.2</v>
          </cell>
        </row>
        <row r="6964">
          <cell r="A6964" t="str">
            <v>unk</v>
          </cell>
          <cell r="K6964" t="str">
            <v>ECOR</v>
          </cell>
          <cell r="M6964" t="str">
            <v>F</v>
          </cell>
          <cell r="AB6964" t="str">
            <v>WB</v>
          </cell>
          <cell r="AF6964">
            <v>0.45</v>
          </cell>
        </row>
        <row r="6965">
          <cell r="A6965" t="str">
            <v>IS_alqt_plus</v>
          </cell>
          <cell r="K6965" t="str">
            <v>ERUF</v>
          </cell>
          <cell r="M6965" t="str">
            <v>M</v>
          </cell>
          <cell r="AB6965" t="str">
            <v>WB</v>
          </cell>
          <cell r="AF6965">
            <v>0.2</v>
          </cell>
        </row>
        <row r="6966">
          <cell r="A6966" t="str">
            <v>IS_alqt_plus</v>
          </cell>
          <cell r="K6966" t="str">
            <v>ERUF</v>
          </cell>
          <cell r="M6966" t="str">
            <v>M</v>
          </cell>
          <cell r="AB6966" t="str">
            <v>WB</v>
          </cell>
          <cell r="AF6966">
            <v>0.2</v>
          </cell>
        </row>
        <row r="6967">
          <cell r="A6967" t="str">
            <v>IS_alqt_plus</v>
          </cell>
          <cell r="K6967" t="str">
            <v>ERUF</v>
          </cell>
          <cell r="M6967" t="str">
            <v>M</v>
          </cell>
          <cell r="AB6967" t="str">
            <v>WB</v>
          </cell>
          <cell r="AF6967">
            <v>0.2</v>
          </cell>
        </row>
        <row r="6968">
          <cell r="A6968" t="str">
            <v>IS_alqt_plus</v>
          </cell>
          <cell r="K6968" t="str">
            <v>ERUF</v>
          </cell>
          <cell r="M6968" t="str">
            <v>M</v>
          </cell>
          <cell r="AB6968" t="str">
            <v>WB</v>
          </cell>
          <cell r="AF6968">
            <v>0.45</v>
          </cell>
        </row>
        <row r="6969">
          <cell r="A6969" t="str">
            <v>IS_alqt_plus</v>
          </cell>
          <cell r="K6969" t="str">
            <v>ESAN</v>
          </cell>
          <cell r="M6969" t="str">
            <v>F</v>
          </cell>
          <cell r="AB6969" t="str">
            <v>WB</v>
          </cell>
          <cell r="AF6969">
            <v>0.2</v>
          </cell>
        </row>
        <row r="6970">
          <cell r="A6970" t="str">
            <v>IS_alqt_plus</v>
          </cell>
          <cell r="K6970" t="str">
            <v>ESAN</v>
          </cell>
          <cell r="M6970" t="str">
            <v>F</v>
          </cell>
          <cell r="AB6970" t="str">
            <v>WB</v>
          </cell>
          <cell r="AF6970">
            <v>0.2</v>
          </cell>
        </row>
        <row r="6971">
          <cell r="A6971" t="str">
            <v>IS_alqt_plus</v>
          </cell>
          <cell r="K6971" t="str">
            <v>NPYG</v>
          </cell>
          <cell r="M6971" t="str">
            <v>M</v>
          </cell>
          <cell r="AB6971" t="str">
            <v>WB</v>
          </cell>
          <cell r="AF6971">
            <v>0.3</v>
          </cell>
        </row>
        <row r="6972">
          <cell r="A6972" t="str">
            <v>IS_alqt_plus</v>
          </cell>
          <cell r="K6972" t="str">
            <v>EMON</v>
          </cell>
          <cell r="M6972" t="str">
            <v>F</v>
          </cell>
          <cell r="AB6972" t="str">
            <v>WB</v>
          </cell>
          <cell r="AF6972">
            <v>1.3</v>
          </cell>
        </row>
        <row r="6973">
          <cell r="A6973" t="str">
            <v>IS_alqt_plus</v>
          </cell>
          <cell r="K6973" t="str">
            <v>EMON</v>
          </cell>
          <cell r="M6973" t="str">
            <v>F</v>
          </cell>
          <cell r="AB6973" t="str">
            <v>WB</v>
          </cell>
          <cell r="AF6973">
            <v>1.3</v>
          </cell>
        </row>
        <row r="6974">
          <cell r="A6974" t="str">
            <v>IS_alqt_plus</v>
          </cell>
          <cell r="K6974" t="str">
            <v>LCAT</v>
          </cell>
          <cell r="M6974" t="str">
            <v>F</v>
          </cell>
          <cell r="AB6974" t="str">
            <v>WB</v>
          </cell>
          <cell r="AF6974">
            <v>1.3</v>
          </cell>
        </row>
        <row r="6975">
          <cell r="A6975" t="str">
            <v>IS_alqt_plus</v>
          </cell>
          <cell r="K6975" t="str">
            <v>PCOQ</v>
          </cell>
          <cell r="M6975" t="str">
            <v>F</v>
          </cell>
          <cell r="AB6975" t="str">
            <v>serum</v>
          </cell>
          <cell r="AF6975">
            <v>0.4</v>
          </cell>
        </row>
        <row r="6976">
          <cell r="A6976" t="str">
            <v>IS_alqt_plus</v>
          </cell>
          <cell r="K6976" t="str">
            <v>LCAT</v>
          </cell>
          <cell r="M6976" t="str">
            <v>F</v>
          </cell>
          <cell r="AB6976" t="str">
            <v>WB</v>
          </cell>
          <cell r="AF6976">
            <v>1.3</v>
          </cell>
        </row>
        <row r="6977">
          <cell r="A6977" t="str">
            <v>IS_alqt_plus</v>
          </cell>
          <cell r="K6977" t="str">
            <v>LCAT</v>
          </cell>
          <cell r="M6977" t="str">
            <v>F</v>
          </cell>
          <cell r="AB6977" t="str">
            <v>WB</v>
          </cell>
          <cell r="AF6977">
            <v>1.3</v>
          </cell>
        </row>
        <row r="6978">
          <cell r="A6978" t="str">
            <v>IS_alqt_plus</v>
          </cell>
          <cell r="K6978" t="str">
            <v>LCAT</v>
          </cell>
          <cell r="M6978" t="str">
            <v>F</v>
          </cell>
          <cell r="AB6978" t="str">
            <v>WB</v>
          </cell>
          <cell r="AF6978">
            <v>1.3</v>
          </cell>
        </row>
        <row r="6979">
          <cell r="A6979" t="str">
            <v>IS_alqt_plus</v>
          </cell>
          <cell r="K6979" t="str">
            <v>PCOQ</v>
          </cell>
          <cell r="M6979" t="str">
            <v>F</v>
          </cell>
          <cell r="AB6979" t="str">
            <v>serum</v>
          </cell>
          <cell r="AF6979">
            <v>1</v>
          </cell>
        </row>
        <row r="6980">
          <cell r="A6980" t="str">
            <v>IS_alqt_plus</v>
          </cell>
          <cell r="K6980" t="str">
            <v>PCOQ</v>
          </cell>
          <cell r="M6980" t="str">
            <v>F</v>
          </cell>
          <cell r="AB6980" t="str">
            <v>serum</v>
          </cell>
          <cell r="AF6980">
            <v>1.3</v>
          </cell>
        </row>
        <row r="6981">
          <cell r="A6981" t="str">
            <v>IS_alqt_plus</v>
          </cell>
          <cell r="K6981" t="str">
            <v>ECOR</v>
          </cell>
          <cell r="M6981" t="str">
            <v>M</v>
          </cell>
          <cell r="AB6981" t="str">
            <v>serum</v>
          </cell>
          <cell r="AF6981">
            <v>0.2</v>
          </cell>
        </row>
        <row r="6982">
          <cell r="A6982" t="str">
            <v>IS_alqt_plus</v>
          </cell>
          <cell r="K6982" t="str">
            <v>ECOR</v>
          </cell>
          <cell r="M6982" t="str">
            <v>M</v>
          </cell>
          <cell r="AB6982" t="str">
            <v>WB</v>
          </cell>
          <cell r="AF6982">
            <v>0.7</v>
          </cell>
        </row>
        <row r="6983">
          <cell r="A6983" t="str">
            <v>IS_alqt_plus</v>
          </cell>
          <cell r="K6983" t="str">
            <v>LCAT</v>
          </cell>
          <cell r="M6983" t="str">
            <v>F</v>
          </cell>
          <cell r="AB6983" t="str">
            <v>WB</v>
          </cell>
          <cell r="AF6983">
            <v>1.3</v>
          </cell>
        </row>
        <row r="6984">
          <cell r="A6984" t="str">
            <v>IS_alqt_plus</v>
          </cell>
          <cell r="K6984" t="str">
            <v>VRUB</v>
          </cell>
          <cell r="M6984" t="str">
            <v>F</v>
          </cell>
          <cell r="AB6984" t="str">
            <v>WB</v>
          </cell>
          <cell r="AF6984">
            <v>0.8</v>
          </cell>
        </row>
        <row r="6985">
          <cell r="A6985" t="str">
            <v>IS_alqt_plus</v>
          </cell>
          <cell r="K6985" t="str">
            <v>VRUB</v>
          </cell>
          <cell r="M6985" t="str">
            <v>M</v>
          </cell>
          <cell r="AB6985" t="str">
            <v>WB</v>
          </cell>
          <cell r="AF6985">
            <v>1</v>
          </cell>
        </row>
        <row r="6986">
          <cell r="A6986" t="str">
            <v>IS_alqt_plus</v>
          </cell>
          <cell r="K6986" t="str">
            <v>VRUB</v>
          </cell>
          <cell r="M6986" t="str">
            <v>F</v>
          </cell>
          <cell r="AB6986" t="str">
            <v>serum</v>
          </cell>
          <cell r="AF6986">
            <v>1</v>
          </cell>
        </row>
        <row r="6987">
          <cell r="A6987" t="str">
            <v>IS_alqt_plus</v>
          </cell>
          <cell r="K6987" t="str">
            <v>VRUB</v>
          </cell>
          <cell r="M6987" t="str">
            <v>M</v>
          </cell>
          <cell r="AB6987" t="str">
            <v>serum</v>
          </cell>
          <cell r="AF6987">
            <v>1</v>
          </cell>
        </row>
        <row r="6988">
          <cell r="A6988" t="str">
            <v>IS_alqt_plus</v>
          </cell>
          <cell r="K6988" t="str">
            <v>LCAT</v>
          </cell>
          <cell r="M6988" t="str">
            <v>F</v>
          </cell>
          <cell r="AB6988" t="str">
            <v>WB</v>
          </cell>
          <cell r="AF6988">
            <v>1.3</v>
          </cell>
        </row>
        <row r="6989">
          <cell r="A6989" t="str">
            <v>IS_alqt_plus</v>
          </cell>
          <cell r="K6989" t="str">
            <v>LCAT</v>
          </cell>
          <cell r="M6989" t="str">
            <v>F</v>
          </cell>
          <cell r="AB6989" t="str">
            <v>WB</v>
          </cell>
          <cell r="AF6989">
            <v>1.3</v>
          </cell>
        </row>
        <row r="6990">
          <cell r="A6990" t="str">
            <v>IS_alqt_plus</v>
          </cell>
          <cell r="K6990" t="str">
            <v>LCAT</v>
          </cell>
          <cell r="M6990" t="str">
            <v>F</v>
          </cell>
          <cell r="AB6990" t="str">
            <v>WB</v>
          </cell>
          <cell r="AF6990">
            <v>1.3</v>
          </cell>
        </row>
        <row r="6991">
          <cell r="A6991" t="str">
            <v>IS_alqt_plus</v>
          </cell>
          <cell r="K6991" t="str">
            <v>LCAT</v>
          </cell>
          <cell r="M6991" t="str">
            <v>F</v>
          </cell>
          <cell r="AB6991" t="str">
            <v>WB</v>
          </cell>
          <cell r="AF6991">
            <v>1.3</v>
          </cell>
        </row>
        <row r="6992">
          <cell r="A6992" t="str">
            <v>IS_alqt_plus</v>
          </cell>
          <cell r="K6992" t="str">
            <v>LCAT</v>
          </cell>
          <cell r="M6992" t="str">
            <v>F</v>
          </cell>
          <cell r="AB6992" t="str">
            <v>WB</v>
          </cell>
          <cell r="AF6992">
            <v>0.3</v>
          </cell>
        </row>
        <row r="6993">
          <cell r="A6993" t="str">
            <v>IS_alqt_plus</v>
          </cell>
          <cell r="K6993" t="str">
            <v>LCAT</v>
          </cell>
          <cell r="M6993" t="str">
            <v>F</v>
          </cell>
          <cell r="AB6993" t="str">
            <v>WB</v>
          </cell>
          <cell r="AF6993">
            <v>0.3</v>
          </cell>
        </row>
        <row r="6994">
          <cell r="A6994" t="str">
            <v>IS_alqt_plus</v>
          </cell>
          <cell r="K6994" t="str">
            <v>LCAT</v>
          </cell>
          <cell r="M6994" t="str">
            <v>F</v>
          </cell>
          <cell r="AB6994" t="str">
            <v>WB</v>
          </cell>
          <cell r="AF6994">
            <v>0.5</v>
          </cell>
        </row>
        <row r="6995">
          <cell r="A6995" t="str">
            <v>unk</v>
          </cell>
          <cell r="K6995" t="str">
            <v>LCAT</v>
          </cell>
          <cell r="M6995" t="str">
            <v>F</v>
          </cell>
          <cell r="AB6995" t="str">
            <v>WB</v>
          </cell>
          <cell r="AF6995">
            <v>0.5</v>
          </cell>
        </row>
        <row r="6996">
          <cell r="A6996" t="str">
            <v>IS_alqt_plus</v>
          </cell>
          <cell r="K6996" t="str">
            <v>LCAT</v>
          </cell>
          <cell r="M6996" t="str">
            <v>M</v>
          </cell>
          <cell r="AB6996" t="str">
            <v>WB</v>
          </cell>
          <cell r="AF6996">
            <v>0.75</v>
          </cell>
        </row>
        <row r="6997">
          <cell r="A6997" t="str">
            <v>IS_alqt_plus</v>
          </cell>
          <cell r="K6997" t="str">
            <v>LCAT</v>
          </cell>
          <cell r="M6997" t="str">
            <v>M</v>
          </cell>
          <cell r="AB6997" t="str">
            <v>WB</v>
          </cell>
          <cell r="AF6997">
            <v>0.9</v>
          </cell>
        </row>
        <row r="6998">
          <cell r="A6998" t="str">
            <v>gone</v>
          </cell>
          <cell r="K6998" t="str">
            <v>LCAT</v>
          </cell>
          <cell r="M6998" t="str">
            <v>M</v>
          </cell>
          <cell r="AB6998" t="str">
            <v>WB</v>
          </cell>
          <cell r="AF6998">
            <v>0</v>
          </cell>
        </row>
        <row r="6999">
          <cell r="A6999" t="str">
            <v>IS_alqt_plus</v>
          </cell>
          <cell r="K6999" t="str">
            <v>LCAT</v>
          </cell>
          <cell r="M6999" t="str">
            <v>M</v>
          </cell>
          <cell r="AB6999" t="str">
            <v>WB</v>
          </cell>
          <cell r="AF6999">
            <v>1.25</v>
          </cell>
        </row>
        <row r="7000">
          <cell r="A7000" t="str">
            <v>IS_alqt_plus</v>
          </cell>
          <cell r="K7000" t="str">
            <v>LCAT</v>
          </cell>
          <cell r="M7000" t="str">
            <v>M</v>
          </cell>
          <cell r="AB7000" t="str">
            <v>WB</v>
          </cell>
          <cell r="AF7000">
            <v>1.3</v>
          </cell>
        </row>
        <row r="7001">
          <cell r="A7001" t="str">
            <v>IS_alqt_plus</v>
          </cell>
          <cell r="K7001" t="str">
            <v>LCAT</v>
          </cell>
          <cell r="M7001" t="str">
            <v>M</v>
          </cell>
          <cell r="AB7001" t="str">
            <v>WB</v>
          </cell>
          <cell r="AF7001">
            <v>1.3</v>
          </cell>
        </row>
        <row r="7002">
          <cell r="A7002" t="str">
            <v>IS_alqt_plus</v>
          </cell>
          <cell r="K7002" t="str">
            <v>LCAT</v>
          </cell>
          <cell r="M7002" t="str">
            <v>M</v>
          </cell>
          <cell r="AB7002" t="str">
            <v>WB</v>
          </cell>
          <cell r="AF7002">
            <v>1.3</v>
          </cell>
        </row>
        <row r="7003">
          <cell r="A7003" t="str">
            <v>IS_alqt_plus</v>
          </cell>
          <cell r="K7003" t="str">
            <v>LCAT</v>
          </cell>
          <cell r="M7003" t="str">
            <v>M</v>
          </cell>
          <cell r="AB7003" t="str">
            <v>WB</v>
          </cell>
          <cell r="AF7003">
            <v>1.3</v>
          </cell>
        </row>
        <row r="7004">
          <cell r="A7004" t="str">
            <v>IS_alqt_plus</v>
          </cell>
          <cell r="K7004" t="str">
            <v>LCAT</v>
          </cell>
          <cell r="M7004" t="str">
            <v>M</v>
          </cell>
          <cell r="AB7004" t="str">
            <v>WB</v>
          </cell>
          <cell r="AF7004">
            <v>1.3</v>
          </cell>
        </row>
        <row r="7005">
          <cell r="A7005" t="str">
            <v>IS_alqt_plus</v>
          </cell>
          <cell r="K7005" t="str">
            <v>LCAT</v>
          </cell>
          <cell r="M7005" t="str">
            <v>M</v>
          </cell>
          <cell r="AB7005" t="str">
            <v>WB</v>
          </cell>
          <cell r="AF7005">
            <v>1.3</v>
          </cell>
        </row>
        <row r="7006">
          <cell r="A7006" t="str">
            <v>IS_alqt_plus</v>
          </cell>
          <cell r="K7006" t="str">
            <v>LCAT</v>
          </cell>
          <cell r="M7006" t="str">
            <v>M</v>
          </cell>
          <cell r="AB7006" t="str">
            <v>WB</v>
          </cell>
          <cell r="AF7006">
            <v>1.3</v>
          </cell>
        </row>
        <row r="7007">
          <cell r="A7007" t="str">
            <v>IS_alqt_plus</v>
          </cell>
          <cell r="K7007" t="str">
            <v>LCAT</v>
          </cell>
          <cell r="M7007" t="str">
            <v>M</v>
          </cell>
          <cell r="AB7007" t="str">
            <v>WB</v>
          </cell>
          <cell r="AF7007">
            <v>1.3</v>
          </cell>
        </row>
        <row r="7008">
          <cell r="A7008" t="str">
            <v>IS_alqt_plus</v>
          </cell>
          <cell r="K7008" t="str">
            <v>LCAT</v>
          </cell>
          <cell r="M7008" t="str">
            <v>M</v>
          </cell>
          <cell r="AB7008" t="str">
            <v>WB</v>
          </cell>
          <cell r="AF7008">
            <v>1.3</v>
          </cell>
        </row>
        <row r="7009">
          <cell r="A7009" t="str">
            <v>IS_alqt_plus</v>
          </cell>
          <cell r="K7009" t="str">
            <v>LCAT</v>
          </cell>
          <cell r="M7009" t="str">
            <v>M</v>
          </cell>
          <cell r="AB7009" t="str">
            <v>WB</v>
          </cell>
          <cell r="AF7009">
            <v>1.3</v>
          </cell>
        </row>
        <row r="7010">
          <cell r="A7010" t="str">
            <v>IS_alqt_plus</v>
          </cell>
          <cell r="K7010" t="str">
            <v>LCAT</v>
          </cell>
          <cell r="M7010" t="str">
            <v>M</v>
          </cell>
          <cell r="AB7010" t="str">
            <v>WB</v>
          </cell>
          <cell r="AF7010">
            <v>1.3</v>
          </cell>
        </row>
        <row r="7011">
          <cell r="A7011" t="str">
            <v>IS_alqt_plus</v>
          </cell>
          <cell r="K7011" t="str">
            <v>LCAT</v>
          </cell>
          <cell r="M7011" t="str">
            <v>M</v>
          </cell>
          <cell r="AB7011" t="str">
            <v>WB</v>
          </cell>
          <cell r="AF7011">
            <v>1.3</v>
          </cell>
        </row>
        <row r="7012">
          <cell r="A7012" t="str">
            <v>IS_alqt_plus</v>
          </cell>
          <cell r="K7012" t="str">
            <v>LCAT</v>
          </cell>
          <cell r="M7012" t="str">
            <v>M</v>
          </cell>
          <cell r="AB7012" t="str">
            <v>WB</v>
          </cell>
          <cell r="AF7012">
            <v>1.3</v>
          </cell>
        </row>
        <row r="7013">
          <cell r="A7013" t="str">
            <v>IS_alqt_plus</v>
          </cell>
          <cell r="K7013" t="str">
            <v>LCAT</v>
          </cell>
          <cell r="M7013" t="str">
            <v>M</v>
          </cell>
          <cell r="AB7013" t="str">
            <v>WB</v>
          </cell>
          <cell r="AF7013">
            <v>1.3</v>
          </cell>
        </row>
        <row r="7014">
          <cell r="A7014" t="str">
            <v>IS_alqt_plus</v>
          </cell>
          <cell r="K7014" t="str">
            <v>LCAT</v>
          </cell>
          <cell r="M7014" t="str">
            <v>M</v>
          </cell>
          <cell r="AB7014" t="str">
            <v>WB</v>
          </cell>
          <cell r="AF7014">
            <v>1.3</v>
          </cell>
        </row>
        <row r="7015">
          <cell r="A7015" t="str">
            <v>IS_alqt_plus</v>
          </cell>
          <cell r="K7015" t="str">
            <v>LCAT</v>
          </cell>
          <cell r="M7015" t="str">
            <v>M</v>
          </cell>
          <cell r="AB7015" t="str">
            <v>WB</v>
          </cell>
          <cell r="AF7015">
            <v>1.3</v>
          </cell>
        </row>
        <row r="7016">
          <cell r="A7016" t="str">
            <v>IS_alqt_plus</v>
          </cell>
          <cell r="K7016" t="str">
            <v>LCAT</v>
          </cell>
          <cell r="M7016" t="str">
            <v>M</v>
          </cell>
          <cell r="AB7016" t="str">
            <v>WB</v>
          </cell>
          <cell r="AF7016">
            <v>1.3</v>
          </cell>
        </row>
        <row r="7017">
          <cell r="A7017" t="str">
            <v>IS_alqt_plus</v>
          </cell>
          <cell r="K7017" t="str">
            <v>LCAT</v>
          </cell>
          <cell r="M7017" t="str">
            <v>M</v>
          </cell>
          <cell r="AB7017" t="str">
            <v>WB</v>
          </cell>
          <cell r="AF7017">
            <v>1.3</v>
          </cell>
        </row>
        <row r="7018">
          <cell r="A7018" t="str">
            <v>IS_alqt_plus</v>
          </cell>
          <cell r="K7018" t="str">
            <v>LCAT</v>
          </cell>
          <cell r="M7018" t="str">
            <v>M</v>
          </cell>
          <cell r="AB7018" t="str">
            <v>WB</v>
          </cell>
          <cell r="AF7018">
            <v>1.3</v>
          </cell>
        </row>
        <row r="7019">
          <cell r="A7019" t="str">
            <v>IS_alqt_plus</v>
          </cell>
          <cell r="K7019" t="str">
            <v>LCAT</v>
          </cell>
          <cell r="M7019" t="str">
            <v>M</v>
          </cell>
          <cell r="AB7019" t="str">
            <v>WB</v>
          </cell>
          <cell r="AF7019">
            <v>1.3</v>
          </cell>
        </row>
        <row r="7020">
          <cell r="A7020" t="str">
            <v>IS_alqt_plus</v>
          </cell>
          <cell r="K7020" t="str">
            <v>LCAT</v>
          </cell>
          <cell r="M7020" t="str">
            <v>M</v>
          </cell>
          <cell r="AB7020" t="str">
            <v>WB</v>
          </cell>
          <cell r="AF7020">
            <v>1.3</v>
          </cell>
        </row>
        <row r="7021">
          <cell r="A7021" t="str">
            <v>IS_alqt_plus</v>
          </cell>
          <cell r="K7021" t="str">
            <v>LCAT</v>
          </cell>
          <cell r="M7021" t="str">
            <v>M</v>
          </cell>
          <cell r="AB7021" t="str">
            <v>WB</v>
          </cell>
          <cell r="AF7021">
            <v>1.3</v>
          </cell>
        </row>
        <row r="7022">
          <cell r="A7022" t="str">
            <v>IS_alqt_plus</v>
          </cell>
          <cell r="K7022" t="str">
            <v>LCAT</v>
          </cell>
          <cell r="M7022" t="str">
            <v>M</v>
          </cell>
          <cell r="AB7022" t="str">
            <v>WB</v>
          </cell>
          <cell r="AF7022">
            <v>1.3</v>
          </cell>
        </row>
        <row r="7023">
          <cell r="A7023" t="str">
            <v>IS_alqt_plus</v>
          </cell>
          <cell r="K7023" t="str">
            <v>LCAT</v>
          </cell>
          <cell r="M7023" t="str">
            <v>M</v>
          </cell>
          <cell r="AB7023" t="str">
            <v>WB</v>
          </cell>
          <cell r="AF7023">
            <v>1</v>
          </cell>
        </row>
        <row r="7024">
          <cell r="A7024" t="str">
            <v>IS_alqt_plus</v>
          </cell>
          <cell r="K7024" t="str">
            <v>LCAT</v>
          </cell>
          <cell r="M7024" t="str">
            <v>M</v>
          </cell>
          <cell r="AB7024" t="str">
            <v>WB</v>
          </cell>
          <cell r="AF7024">
            <v>1</v>
          </cell>
        </row>
        <row r="7025">
          <cell r="A7025" t="str">
            <v>IS_alqt_plus</v>
          </cell>
          <cell r="K7025" t="str">
            <v>LCAT</v>
          </cell>
          <cell r="M7025" t="str">
            <v>M</v>
          </cell>
          <cell r="AB7025" t="str">
            <v>serum</v>
          </cell>
          <cell r="AF7025">
            <v>1</v>
          </cell>
        </row>
        <row r="7026">
          <cell r="A7026" t="str">
            <v>IS_alqt_plus</v>
          </cell>
          <cell r="K7026" t="str">
            <v>LCAT</v>
          </cell>
          <cell r="M7026" t="str">
            <v>M</v>
          </cell>
          <cell r="AB7026" t="str">
            <v>serum</v>
          </cell>
          <cell r="AF7026">
            <v>1</v>
          </cell>
        </row>
        <row r="7027">
          <cell r="A7027" t="str">
            <v>IS_alqt_plus</v>
          </cell>
          <cell r="K7027" t="str">
            <v>LCAT</v>
          </cell>
          <cell r="M7027" t="str">
            <v>M</v>
          </cell>
          <cell r="AB7027" t="str">
            <v>serum</v>
          </cell>
          <cell r="AF7027">
            <v>0.9</v>
          </cell>
        </row>
        <row r="7028">
          <cell r="A7028" t="str">
            <v>IS_alqt_plus</v>
          </cell>
          <cell r="K7028" t="str">
            <v>LCAT</v>
          </cell>
          <cell r="M7028" t="str">
            <v>M</v>
          </cell>
          <cell r="AB7028" t="str">
            <v>serum</v>
          </cell>
          <cell r="AF7028">
            <v>1.1000000000000001</v>
          </cell>
        </row>
        <row r="7029">
          <cell r="A7029" t="str">
            <v>IS_alqt_plus</v>
          </cell>
          <cell r="K7029" t="str">
            <v>LCAT</v>
          </cell>
          <cell r="M7029" t="str">
            <v>M</v>
          </cell>
          <cell r="AB7029" t="str">
            <v>serum</v>
          </cell>
          <cell r="AF7029">
            <v>1</v>
          </cell>
        </row>
        <row r="7030">
          <cell r="A7030" t="str">
            <v>IS_alqt_plus</v>
          </cell>
          <cell r="K7030" t="str">
            <v>LCAT</v>
          </cell>
          <cell r="M7030" t="str">
            <v>M</v>
          </cell>
          <cell r="AB7030" t="str">
            <v>serum</v>
          </cell>
          <cell r="AF7030">
            <v>1.2</v>
          </cell>
        </row>
        <row r="7031">
          <cell r="A7031" t="str">
            <v>IS_alqt_plus</v>
          </cell>
          <cell r="K7031" t="str">
            <v>LCAT</v>
          </cell>
          <cell r="M7031" t="str">
            <v>M</v>
          </cell>
          <cell r="AB7031" t="str">
            <v>serum</v>
          </cell>
          <cell r="AF7031">
            <v>1.1000000000000001</v>
          </cell>
        </row>
        <row r="7032">
          <cell r="A7032" t="str">
            <v>IS_alqt_plus</v>
          </cell>
          <cell r="K7032" t="str">
            <v>LCAT</v>
          </cell>
          <cell r="M7032" t="str">
            <v>M</v>
          </cell>
          <cell r="AB7032" t="str">
            <v>serum</v>
          </cell>
          <cell r="AF7032">
            <v>1.2</v>
          </cell>
        </row>
        <row r="7033">
          <cell r="A7033" t="str">
            <v>IS_alqt_plus</v>
          </cell>
          <cell r="K7033" t="str">
            <v>LCAT</v>
          </cell>
          <cell r="M7033" t="str">
            <v>M</v>
          </cell>
          <cell r="AB7033" t="str">
            <v>serum</v>
          </cell>
          <cell r="AF7033">
            <v>1.1000000000000001</v>
          </cell>
        </row>
        <row r="7034">
          <cell r="A7034" t="str">
            <v>IS_alqt_plus</v>
          </cell>
          <cell r="K7034" t="str">
            <v>LCAT</v>
          </cell>
          <cell r="M7034" t="str">
            <v>M</v>
          </cell>
          <cell r="AB7034" t="str">
            <v>serum</v>
          </cell>
          <cell r="AF7034">
            <v>1.1000000000000001</v>
          </cell>
        </row>
        <row r="7035">
          <cell r="A7035" t="str">
            <v>IS_alqt_plus</v>
          </cell>
          <cell r="K7035" t="str">
            <v>LCAT</v>
          </cell>
          <cell r="M7035" t="str">
            <v>M</v>
          </cell>
          <cell r="AB7035" t="str">
            <v>serum</v>
          </cell>
          <cell r="AF7035">
            <v>1.2</v>
          </cell>
        </row>
        <row r="7036">
          <cell r="A7036" t="str">
            <v>IS_alqt_plus</v>
          </cell>
          <cell r="K7036" t="str">
            <v>LCAT</v>
          </cell>
          <cell r="M7036" t="str">
            <v>M</v>
          </cell>
          <cell r="AB7036" t="str">
            <v>serum</v>
          </cell>
          <cell r="AF7036">
            <v>1</v>
          </cell>
        </row>
        <row r="7037">
          <cell r="A7037" t="str">
            <v>IS_alqt_plus</v>
          </cell>
          <cell r="K7037" t="str">
            <v>LCAT</v>
          </cell>
          <cell r="M7037" t="str">
            <v>M</v>
          </cell>
          <cell r="AB7037" t="str">
            <v>serum</v>
          </cell>
          <cell r="AF7037">
            <v>1</v>
          </cell>
        </row>
        <row r="7038">
          <cell r="A7038" t="str">
            <v>IS_alqt_plus</v>
          </cell>
          <cell r="K7038" t="str">
            <v>LCAT</v>
          </cell>
          <cell r="M7038" t="str">
            <v>M</v>
          </cell>
          <cell r="AB7038" t="str">
            <v>serum</v>
          </cell>
          <cell r="AF7038">
            <v>1</v>
          </cell>
        </row>
        <row r="7039">
          <cell r="A7039" t="str">
            <v>IS_alqt_plus</v>
          </cell>
          <cell r="K7039" t="str">
            <v>LCAT</v>
          </cell>
          <cell r="M7039" t="str">
            <v>M</v>
          </cell>
          <cell r="AB7039" t="str">
            <v>serum</v>
          </cell>
          <cell r="AF7039">
            <v>1</v>
          </cell>
        </row>
        <row r="7040">
          <cell r="A7040" t="str">
            <v>IS_alqt_plus</v>
          </cell>
          <cell r="K7040" t="str">
            <v>LCAT</v>
          </cell>
          <cell r="M7040" t="str">
            <v>M</v>
          </cell>
          <cell r="AB7040" t="str">
            <v>serum</v>
          </cell>
          <cell r="AF7040">
            <v>1.1000000000000001</v>
          </cell>
        </row>
        <row r="7041">
          <cell r="A7041" t="str">
            <v>IS_alqt_plus</v>
          </cell>
          <cell r="K7041" t="str">
            <v>LCAT</v>
          </cell>
          <cell r="M7041" t="str">
            <v>M</v>
          </cell>
          <cell r="AB7041" t="str">
            <v>serum</v>
          </cell>
          <cell r="AF7041">
            <v>1.1000000000000001</v>
          </cell>
        </row>
        <row r="7042">
          <cell r="A7042" t="str">
            <v>IS_alqt_plus</v>
          </cell>
          <cell r="K7042" t="str">
            <v>LCAT</v>
          </cell>
          <cell r="M7042" t="str">
            <v>M</v>
          </cell>
          <cell r="AB7042" t="str">
            <v>serum</v>
          </cell>
          <cell r="AF7042">
            <v>1</v>
          </cell>
        </row>
        <row r="7043">
          <cell r="A7043" t="str">
            <v>IS_alqt_plus</v>
          </cell>
          <cell r="K7043" t="str">
            <v>LCAT</v>
          </cell>
          <cell r="M7043" t="str">
            <v>M</v>
          </cell>
          <cell r="AB7043" t="str">
            <v>serum</v>
          </cell>
          <cell r="AF7043">
            <v>1.1000000000000001</v>
          </cell>
        </row>
        <row r="7044">
          <cell r="A7044" t="str">
            <v>IS_alqt_plus</v>
          </cell>
          <cell r="K7044" t="str">
            <v>LCAT</v>
          </cell>
          <cell r="M7044" t="str">
            <v>M</v>
          </cell>
          <cell r="AB7044" t="str">
            <v>serum</v>
          </cell>
          <cell r="AF7044">
            <v>1</v>
          </cell>
        </row>
        <row r="7045">
          <cell r="A7045" t="str">
            <v>IS_alqt_plus</v>
          </cell>
          <cell r="K7045" t="str">
            <v>LCAT</v>
          </cell>
          <cell r="M7045" t="str">
            <v>M</v>
          </cell>
          <cell r="AB7045" t="str">
            <v>serum</v>
          </cell>
          <cell r="AF7045">
            <v>1</v>
          </cell>
        </row>
        <row r="7046">
          <cell r="A7046" t="str">
            <v>IS_alqt_plus</v>
          </cell>
          <cell r="K7046" t="str">
            <v>LCAT</v>
          </cell>
          <cell r="M7046" t="str">
            <v>M</v>
          </cell>
          <cell r="AB7046" t="str">
            <v>WB</v>
          </cell>
          <cell r="AF7046">
            <v>0.75</v>
          </cell>
        </row>
        <row r="7047">
          <cell r="A7047" t="str">
            <v>IS_alqt_plus</v>
          </cell>
          <cell r="K7047" t="str">
            <v>LCAT</v>
          </cell>
          <cell r="M7047" t="str">
            <v>M</v>
          </cell>
          <cell r="AB7047" t="str">
            <v>WB</v>
          </cell>
          <cell r="AF7047">
            <v>1</v>
          </cell>
        </row>
        <row r="7048">
          <cell r="A7048" t="str">
            <v>gone</v>
          </cell>
          <cell r="K7048" t="str">
            <v>PCOQ</v>
          </cell>
          <cell r="M7048" t="str">
            <v>F</v>
          </cell>
          <cell r="AB7048" t="str">
            <v>serum</v>
          </cell>
          <cell r="AF7048">
            <v>0</v>
          </cell>
        </row>
        <row r="7049">
          <cell r="A7049" t="str">
            <v>IS_alqt_plus</v>
          </cell>
          <cell r="K7049" t="str">
            <v>VVV</v>
          </cell>
          <cell r="M7049" t="str">
            <v>F</v>
          </cell>
          <cell r="AB7049" t="str">
            <v>serum</v>
          </cell>
          <cell r="AF7049">
            <v>1</v>
          </cell>
        </row>
        <row r="7050">
          <cell r="A7050" t="str">
            <v>IS_alqt_plus</v>
          </cell>
          <cell r="K7050" t="str">
            <v>LCAT</v>
          </cell>
          <cell r="M7050" t="str">
            <v>F</v>
          </cell>
          <cell r="AB7050" t="str">
            <v>WB</v>
          </cell>
          <cell r="AF7050">
            <v>0.75</v>
          </cell>
        </row>
        <row r="7051">
          <cell r="A7051" t="str">
            <v>IS_alqt_plus</v>
          </cell>
          <cell r="K7051" t="str">
            <v>ERUB</v>
          </cell>
          <cell r="M7051" t="str">
            <v>F</v>
          </cell>
          <cell r="AB7051" t="str">
            <v>WB</v>
          </cell>
          <cell r="AF7051">
            <v>0.4</v>
          </cell>
        </row>
        <row r="7052">
          <cell r="A7052" t="str">
            <v>IS_alqt_plus</v>
          </cell>
          <cell r="K7052" t="str">
            <v>LCAT</v>
          </cell>
          <cell r="M7052" t="str">
            <v>F</v>
          </cell>
          <cell r="AB7052" t="str">
            <v>serum</v>
          </cell>
          <cell r="AF7052">
            <v>0.7</v>
          </cell>
        </row>
        <row r="7053">
          <cell r="A7053" t="str">
            <v>IS_alqt_plus</v>
          </cell>
          <cell r="K7053" t="str">
            <v>ERUB</v>
          </cell>
          <cell r="M7053" t="str">
            <v>F</v>
          </cell>
          <cell r="AB7053" t="str">
            <v>serum</v>
          </cell>
          <cell r="AF7053">
            <v>0.8</v>
          </cell>
        </row>
        <row r="7054">
          <cell r="A7054" t="str">
            <v>IS_alqt_plus</v>
          </cell>
          <cell r="K7054" t="str">
            <v>ECOR</v>
          </cell>
          <cell r="M7054" t="str">
            <v>M</v>
          </cell>
          <cell r="AB7054" t="str">
            <v>serum</v>
          </cell>
          <cell r="AF7054">
            <v>1.1000000000000001</v>
          </cell>
        </row>
        <row r="7055">
          <cell r="A7055" t="str">
            <v>IS_alqt_plus</v>
          </cell>
          <cell r="K7055" t="str">
            <v>ECOR</v>
          </cell>
          <cell r="M7055" t="str">
            <v>F</v>
          </cell>
          <cell r="AB7055" t="str">
            <v>serum</v>
          </cell>
          <cell r="AF7055">
            <v>1.1000000000000001</v>
          </cell>
        </row>
        <row r="7056">
          <cell r="A7056" t="str">
            <v>IS_alqt_plus</v>
          </cell>
          <cell r="K7056" t="str">
            <v>ECOR</v>
          </cell>
          <cell r="M7056" t="str">
            <v>M</v>
          </cell>
          <cell r="AB7056" t="str">
            <v>WB</v>
          </cell>
          <cell r="AF7056">
            <v>0.8</v>
          </cell>
        </row>
        <row r="7057">
          <cell r="A7057" t="str">
            <v>IS_alqt_plus</v>
          </cell>
          <cell r="K7057" t="str">
            <v>ECOR</v>
          </cell>
          <cell r="M7057" t="str">
            <v>F</v>
          </cell>
          <cell r="AB7057" t="str">
            <v>WB</v>
          </cell>
          <cell r="AF7057">
            <v>0.5</v>
          </cell>
        </row>
        <row r="7058">
          <cell r="A7058" t="str">
            <v>IS_alqt_plus</v>
          </cell>
          <cell r="K7058" t="str">
            <v>DMAD</v>
          </cell>
          <cell r="M7058" t="str">
            <v>M</v>
          </cell>
          <cell r="AB7058" t="str">
            <v>WB</v>
          </cell>
          <cell r="AF7058">
            <v>0.5</v>
          </cell>
        </row>
        <row r="7059">
          <cell r="A7059" t="str">
            <v>IS_alqt_plus</v>
          </cell>
          <cell r="K7059" t="str">
            <v>DMAD</v>
          </cell>
          <cell r="M7059" t="str">
            <v>F</v>
          </cell>
          <cell r="AB7059" t="str">
            <v>serum</v>
          </cell>
          <cell r="AF7059">
            <v>0.7</v>
          </cell>
        </row>
        <row r="7060">
          <cell r="A7060" t="str">
            <v>IS_alqt_plus</v>
          </cell>
          <cell r="K7060" t="str">
            <v>DMAD</v>
          </cell>
          <cell r="M7060" t="str">
            <v>F</v>
          </cell>
          <cell r="AB7060" t="str">
            <v>WB</v>
          </cell>
          <cell r="AF7060">
            <v>0.7</v>
          </cell>
        </row>
        <row r="7061">
          <cell r="A7061" t="str">
            <v>IS_alqt_plus</v>
          </cell>
          <cell r="K7061" t="str">
            <v>LCAT</v>
          </cell>
          <cell r="M7061" t="str">
            <v>F</v>
          </cell>
          <cell r="AB7061" t="str">
            <v>WB</v>
          </cell>
          <cell r="AF7061">
            <v>0.8</v>
          </cell>
        </row>
        <row r="7062">
          <cell r="A7062" t="str">
            <v>IS_alqt_plus</v>
          </cell>
          <cell r="K7062" t="str">
            <v>LCAT</v>
          </cell>
          <cell r="M7062" t="str">
            <v>F</v>
          </cell>
          <cell r="AB7062" t="str">
            <v>serum</v>
          </cell>
          <cell r="AF7062">
            <v>0.5</v>
          </cell>
        </row>
        <row r="7063">
          <cell r="A7063" t="str">
            <v>IS_alqt_plus</v>
          </cell>
          <cell r="K7063" t="str">
            <v>LCAT</v>
          </cell>
          <cell r="M7063" t="str">
            <v>F</v>
          </cell>
          <cell r="AB7063" t="str">
            <v>serum</v>
          </cell>
          <cell r="AF7063">
            <v>0.5</v>
          </cell>
        </row>
        <row r="7064">
          <cell r="A7064" t="str">
            <v>IS_alqt_plus</v>
          </cell>
          <cell r="K7064" t="str">
            <v>LCAT</v>
          </cell>
          <cell r="M7064" t="str">
            <v>M</v>
          </cell>
          <cell r="AB7064" t="str">
            <v>WB</v>
          </cell>
          <cell r="AF7064">
            <v>0.8</v>
          </cell>
        </row>
        <row r="7065">
          <cell r="A7065" t="str">
            <v>IS_alqt_plus</v>
          </cell>
          <cell r="K7065" t="str">
            <v>LCAT</v>
          </cell>
          <cell r="M7065" t="str">
            <v>M</v>
          </cell>
          <cell r="AB7065" t="str">
            <v>serum</v>
          </cell>
          <cell r="AF7065">
            <v>1.5</v>
          </cell>
        </row>
        <row r="7066">
          <cell r="A7066" t="str">
            <v>IS_alqt_plus</v>
          </cell>
          <cell r="K7066" t="str">
            <v>ERUF</v>
          </cell>
          <cell r="M7066" t="str">
            <v>F</v>
          </cell>
          <cell r="AB7066" t="str">
            <v>serum</v>
          </cell>
          <cell r="AF7066">
            <v>1.2</v>
          </cell>
        </row>
        <row r="7067">
          <cell r="A7067" t="str">
            <v>IS_alqt_plus</v>
          </cell>
          <cell r="K7067" t="str">
            <v>ERUF</v>
          </cell>
          <cell r="M7067" t="str">
            <v>F</v>
          </cell>
          <cell r="AB7067" t="str">
            <v>WB</v>
          </cell>
          <cell r="AF7067">
            <v>0.6</v>
          </cell>
        </row>
        <row r="7068">
          <cell r="A7068" t="str">
            <v>IS_alqt_plus</v>
          </cell>
          <cell r="K7068" t="str">
            <v>ECOL</v>
          </cell>
          <cell r="M7068" t="str">
            <v>F</v>
          </cell>
          <cell r="AB7068" t="str">
            <v>serum</v>
          </cell>
          <cell r="AF7068">
            <v>1.5</v>
          </cell>
        </row>
        <row r="7069">
          <cell r="A7069" t="str">
            <v>gone</v>
          </cell>
          <cell r="K7069" t="str">
            <v>ECOL</v>
          </cell>
          <cell r="M7069" t="str">
            <v>F</v>
          </cell>
          <cell r="AB7069" t="str">
            <v>WB</v>
          </cell>
          <cell r="AF7069">
            <v>0</v>
          </cell>
        </row>
        <row r="7070">
          <cell r="A7070" t="str">
            <v>IS_alqt_plus</v>
          </cell>
          <cell r="K7070" t="str">
            <v>LCAT</v>
          </cell>
          <cell r="M7070" t="str">
            <v>M</v>
          </cell>
          <cell r="AB7070" t="str">
            <v>WB</v>
          </cell>
          <cell r="AF7070">
            <v>0.7</v>
          </cell>
        </row>
        <row r="7071">
          <cell r="A7071" t="str">
            <v>IS_alqt_plus</v>
          </cell>
          <cell r="K7071" t="str">
            <v>LCAT</v>
          </cell>
          <cell r="M7071" t="str">
            <v>F</v>
          </cell>
          <cell r="AB7071" t="str">
            <v>serum</v>
          </cell>
          <cell r="AF7071">
            <v>0.6</v>
          </cell>
        </row>
        <row r="7072">
          <cell r="A7072" t="str">
            <v>gone</v>
          </cell>
          <cell r="K7072" t="str">
            <v>EMON</v>
          </cell>
          <cell r="M7072" t="str">
            <v>F</v>
          </cell>
          <cell r="AB7072" t="str">
            <v>WB</v>
          </cell>
          <cell r="AF7072">
            <v>0</v>
          </cell>
        </row>
        <row r="7073">
          <cell r="A7073" t="str">
            <v>IS_alqt_plus</v>
          </cell>
          <cell r="K7073" t="str">
            <v>EMON</v>
          </cell>
          <cell r="M7073" t="str">
            <v>M</v>
          </cell>
          <cell r="AB7073" t="str">
            <v>WB</v>
          </cell>
          <cell r="AF7073">
            <v>0.75</v>
          </cell>
        </row>
        <row r="7074">
          <cell r="A7074" t="str">
            <v>IS_alqt_plus</v>
          </cell>
          <cell r="K7074" t="str">
            <v>MMUR</v>
          </cell>
          <cell r="M7074" t="str">
            <v>M</v>
          </cell>
          <cell r="AB7074" t="str">
            <v>WB</v>
          </cell>
          <cell r="AF7074">
            <v>0.2</v>
          </cell>
        </row>
        <row r="7075">
          <cell r="A7075" t="str">
            <v>IS_alqt_plus</v>
          </cell>
          <cell r="K7075" t="str">
            <v>DMAD</v>
          </cell>
          <cell r="M7075" t="str">
            <v>F</v>
          </cell>
          <cell r="AB7075" t="str">
            <v>WB</v>
          </cell>
          <cell r="AF7075">
            <v>1.2</v>
          </cell>
        </row>
        <row r="7076">
          <cell r="A7076" t="str">
            <v>gone</v>
          </cell>
          <cell r="K7076" t="str">
            <v>LCAT</v>
          </cell>
          <cell r="M7076" t="str">
            <v>F</v>
          </cell>
          <cell r="AB7076" t="str">
            <v>serum</v>
          </cell>
          <cell r="AF7076">
            <v>0</v>
          </cell>
        </row>
        <row r="7077">
          <cell r="A7077" t="str">
            <v>IS_alqt_plus</v>
          </cell>
          <cell r="K7077" t="str">
            <v>VVV</v>
          </cell>
          <cell r="M7077" t="str">
            <v>M</v>
          </cell>
          <cell r="AB7077" t="str">
            <v>serum</v>
          </cell>
          <cell r="AF7077">
            <v>1</v>
          </cell>
        </row>
        <row r="7078">
          <cell r="A7078" t="str">
            <v>IS_alqt_plus</v>
          </cell>
          <cell r="K7078" t="str">
            <v>HGG</v>
          </cell>
          <cell r="M7078" t="str">
            <v>F</v>
          </cell>
          <cell r="AB7078" t="str">
            <v>serum</v>
          </cell>
          <cell r="AF7078">
            <v>1</v>
          </cell>
        </row>
        <row r="7079">
          <cell r="A7079" t="str">
            <v>IS_alqt_plus</v>
          </cell>
          <cell r="K7079" t="str">
            <v>HGG</v>
          </cell>
          <cell r="M7079" t="str">
            <v>F</v>
          </cell>
          <cell r="AB7079" t="str">
            <v>WB</v>
          </cell>
          <cell r="AF7079">
            <v>0.35</v>
          </cell>
        </row>
        <row r="7080">
          <cell r="A7080" t="str">
            <v>IS_alqt_plus</v>
          </cell>
          <cell r="K7080" t="str">
            <v>HGG</v>
          </cell>
          <cell r="M7080" t="str">
            <v>F</v>
          </cell>
          <cell r="AB7080" t="str">
            <v>WB</v>
          </cell>
          <cell r="AF7080">
            <v>0.65</v>
          </cell>
        </row>
        <row r="7081">
          <cell r="A7081" t="str">
            <v>IS_alqt_plus</v>
          </cell>
          <cell r="K7081" t="str">
            <v>HGG</v>
          </cell>
          <cell r="M7081" t="str">
            <v>F</v>
          </cell>
          <cell r="AB7081" t="str">
            <v>WB</v>
          </cell>
          <cell r="AF7081">
            <v>1</v>
          </cell>
        </row>
        <row r="7082">
          <cell r="A7082" t="str">
            <v>IS_alqt_plus</v>
          </cell>
          <cell r="K7082" t="str">
            <v>LCAT</v>
          </cell>
          <cell r="M7082" t="str">
            <v>F</v>
          </cell>
          <cell r="AB7082" t="str">
            <v>WB</v>
          </cell>
          <cell r="AF7082">
            <v>1</v>
          </cell>
        </row>
        <row r="7083">
          <cell r="A7083" t="str">
            <v>gone</v>
          </cell>
          <cell r="K7083" t="str">
            <v>ERUB</v>
          </cell>
          <cell r="M7083" t="str">
            <v>M</v>
          </cell>
          <cell r="AB7083" t="str">
            <v>WB</v>
          </cell>
          <cell r="AF7083">
            <v>0</v>
          </cell>
        </row>
        <row r="7084">
          <cell r="A7084" t="str">
            <v>IS_alqt_plus</v>
          </cell>
          <cell r="K7084" t="str">
            <v>LCAT</v>
          </cell>
          <cell r="M7084" t="str">
            <v>F</v>
          </cell>
          <cell r="AB7084" t="str">
            <v>serum</v>
          </cell>
          <cell r="AF7084">
            <v>1</v>
          </cell>
        </row>
        <row r="7085">
          <cell r="A7085" t="str">
            <v>IS_alqt_plus</v>
          </cell>
          <cell r="K7085" t="str">
            <v>ERUB</v>
          </cell>
          <cell r="M7085" t="str">
            <v>M</v>
          </cell>
          <cell r="AB7085" t="str">
            <v>serum</v>
          </cell>
          <cell r="AF7085">
            <v>0.8</v>
          </cell>
        </row>
        <row r="7086">
          <cell r="A7086" t="str">
            <v>IS_alqt_plus</v>
          </cell>
          <cell r="K7086" t="str">
            <v>LCAT</v>
          </cell>
          <cell r="M7086" t="str">
            <v>F</v>
          </cell>
          <cell r="AB7086" t="str">
            <v>WB</v>
          </cell>
          <cell r="AF7086">
            <v>0.75</v>
          </cell>
        </row>
        <row r="7087">
          <cell r="A7087" t="str">
            <v>IS_alqt_plus</v>
          </cell>
          <cell r="K7087" t="str">
            <v>LCAT</v>
          </cell>
          <cell r="M7087" t="str">
            <v>F</v>
          </cell>
          <cell r="AB7087" t="str">
            <v>WB</v>
          </cell>
          <cell r="AF7087">
            <v>0.75</v>
          </cell>
        </row>
        <row r="7088">
          <cell r="A7088" t="str">
            <v>IS_alqt_plus</v>
          </cell>
          <cell r="K7088" t="str">
            <v>PCOQ</v>
          </cell>
          <cell r="M7088" t="str">
            <v>M</v>
          </cell>
          <cell r="AB7088" t="str">
            <v>serum</v>
          </cell>
          <cell r="AF7088">
            <v>1.5</v>
          </cell>
        </row>
        <row r="7089">
          <cell r="A7089" t="str">
            <v>IS_alqt_plus</v>
          </cell>
          <cell r="K7089" t="str">
            <v>LCAT</v>
          </cell>
          <cell r="M7089" t="str">
            <v>F</v>
          </cell>
          <cell r="AB7089" t="str">
            <v>WB</v>
          </cell>
          <cell r="AF7089">
            <v>0.75</v>
          </cell>
        </row>
        <row r="7090">
          <cell r="A7090" t="str">
            <v>IS_alqt_plus</v>
          </cell>
          <cell r="K7090" t="str">
            <v>LCAT</v>
          </cell>
          <cell r="M7090" t="str">
            <v>F</v>
          </cell>
          <cell r="AB7090" t="str">
            <v>WB</v>
          </cell>
          <cell r="AF7090">
            <v>0.75</v>
          </cell>
        </row>
        <row r="7091">
          <cell r="A7091" t="str">
            <v>IS_alqt_plus</v>
          </cell>
          <cell r="K7091" t="str">
            <v>LCAT</v>
          </cell>
          <cell r="M7091" t="str">
            <v>M</v>
          </cell>
          <cell r="AB7091" t="str">
            <v>serum</v>
          </cell>
          <cell r="AF7091">
            <v>0.8</v>
          </cell>
        </row>
        <row r="7092">
          <cell r="A7092" t="str">
            <v>IS_alqt_plus</v>
          </cell>
          <cell r="K7092" t="str">
            <v>LCAT</v>
          </cell>
          <cell r="M7092" t="str">
            <v>F</v>
          </cell>
          <cell r="AB7092" t="str">
            <v>WB</v>
          </cell>
          <cell r="AF7092">
            <v>0.75</v>
          </cell>
        </row>
        <row r="7093">
          <cell r="A7093" t="str">
            <v>IS_alqt_plus</v>
          </cell>
          <cell r="K7093" t="str">
            <v>LCAT</v>
          </cell>
          <cell r="M7093" t="str">
            <v>F</v>
          </cell>
          <cell r="AB7093" t="str">
            <v>WB</v>
          </cell>
          <cell r="AF7093">
            <v>0.75</v>
          </cell>
        </row>
        <row r="7094">
          <cell r="A7094" t="str">
            <v>IS_alqt_plus</v>
          </cell>
          <cell r="K7094" t="str">
            <v>PCOQ</v>
          </cell>
          <cell r="M7094" t="str">
            <v>M</v>
          </cell>
          <cell r="AB7094" t="str">
            <v>plasma</v>
          </cell>
          <cell r="AF7094">
            <v>0.25</v>
          </cell>
        </row>
        <row r="7095">
          <cell r="A7095" t="str">
            <v>IS_alqt_plus</v>
          </cell>
          <cell r="K7095" t="str">
            <v>LCAT</v>
          </cell>
          <cell r="M7095" t="str">
            <v>F</v>
          </cell>
          <cell r="AB7095" t="str">
            <v>WB</v>
          </cell>
          <cell r="AF7095">
            <v>1.3</v>
          </cell>
        </row>
        <row r="7096">
          <cell r="A7096" t="str">
            <v>IS_alqt_plus</v>
          </cell>
          <cell r="K7096" t="str">
            <v>LCAT</v>
          </cell>
          <cell r="M7096" t="str">
            <v>F</v>
          </cell>
          <cell r="AB7096" t="str">
            <v>WB</v>
          </cell>
          <cell r="AF7096">
            <v>0.75</v>
          </cell>
        </row>
        <row r="7097">
          <cell r="A7097" t="str">
            <v>IS_alqt_plus</v>
          </cell>
          <cell r="K7097" t="str">
            <v>LCAT</v>
          </cell>
          <cell r="M7097" t="str">
            <v>F</v>
          </cell>
          <cell r="AB7097" t="str">
            <v>WB</v>
          </cell>
          <cell r="AF7097">
            <v>0.75</v>
          </cell>
        </row>
        <row r="7098">
          <cell r="A7098" t="str">
            <v>IS_alqt_plus</v>
          </cell>
          <cell r="K7098" t="str">
            <v>PCOQ</v>
          </cell>
          <cell r="M7098" t="str">
            <v>M</v>
          </cell>
          <cell r="AB7098" t="str">
            <v>serum</v>
          </cell>
          <cell r="AF7098">
            <v>1</v>
          </cell>
        </row>
        <row r="7099">
          <cell r="A7099" t="str">
            <v>IS_alqt_plus</v>
          </cell>
          <cell r="K7099" t="str">
            <v>VVV</v>
          </cell>
          <cell r="M7099" t="str">
            <v>F</v>
          </cell>
          <cell r="AB7099" t="str">
            <v>WB</v>
          </cell>
          <cell r="AF7099">
            <v>0.75</v>
          </cell>
        </row>
        <row r="7100">
          <cell r="A7100" t="str">
            <v>IS_alqt_plus</v>
          </cell>
          <cell r="K7100" t="str">
            <v>LCAT</v>
          </cell>
          <cell r="M7100" t="str">
            <v>F</v>
          </cell>
          <cell r="AB7100" t="str">
            <v>WB</v>
          </cell>
          <cell r="AF7100">
            <v>0.5</v>
          </cell>
        </row>
        <row r="7101">
          <cell r="A7101" t="str">
            <v>IS_alqt_plus</v>
          </cell>
          <cell r="K7101" t="str">
            <v>PCOQ</v>
          </cell>
          <cell r="M7101" t="str">
            <v>F</v>
          </cell>
          <cell r="AB7101" t="str">
            <v>serum</v>
          </cell>
          <cell r="AF7101">
            <v>0.8</v>
          </cell>
        </row>
        <row r="7102">
          <cell r="A7102" t="str">
            <v>IS_alqt_plus</v>
          </cell>
          <cell r="K7102" t="str">
            <v>EFLA</v>
          </cell>
          <cell r="M7102" t="str">
            <v>M</v>
          </cell>
          <cell r="AB7102" t="str">
            <v>serum</v>
          </cell>
          <cell r="AF7102">
            <v>0.5</v>
          </cell>
        </row>
        <row r="7103">
          <cell r="A7103" t="str">
            <v>IS_alqt_plus</v>
          </cell>
          <cell r="K7103" t="str">
            <v>EFLA</v>
          </cell>
          <cell r="M7103" t="str">
            <v>M</v>
          </cell>
          <cell r="AB7103" t="str">
            <v>WB</v>
          </cell>
          <cell r="AF7103">
            <v>0.75</v>
          </cell>
        </row>
        <row r="7104">
          <cell r="A7104" t="str">
            <v>IS_alqt_plus</v>
          </cell>
          <cell r="K7104" t="str">
            <v>VVV</v>
          </cell>
          <cell r="M7104" t="str">
            <v>F</v>
          </cell>
          <cell r="AB7104" t="str">
            <v>WB</v>
          </cell>
          <cell r="AF7104">
            <v>0.6</v>
          </cell>
        </row>
        <row r="7105">
          <cell r="A7105" t="str">
            <v>IS_alqt_plus</v>
          </cell>
          <cell r="K7105" t="str">
            <v>VVV</v>
          </cell>
          <cell r="M7105" t="str">
            <v>F</v>
          </cell>
          <cell r="AB7105" t="str">
            <v>serum</v>
          </cell>
          <cell r="AF7105">
            <v>0.5</v>
          </cell>
        </row>
        <row r="7106">
          <cell r="A7106" t="str">
            <v>IS_alqt_plus</v>
          </cell>
          <cell r="K7106" t="str">
            <v>LCAT</v>
          </cell>
          <cell r="M7106" t="str">
            <v>F</v>
          </cell>
          <cell r="AB7106" t="str">
            <v>WB</v>
          </cell>
          <cell r="AF7106">
            <v>0.5</v>
          </cell>
        </row>
        <row r="7107">
          <cell r="A7107" t="str">
            <v>IS_alqt_plus</v>
          </cell>
          <cell r="K7107" t="str">
            <v>PCOQ</v>
          </cell>
          <cell r="M7107" t="str">
            <v>M</v>
          </cell>
          <cell r="AB7107" t="str">
            <v>serum</v>
          </cell>
          <cell r="AF7107">
            <v>0.6</v>
          </cell>
        </row>
        <row r="7108">
          <cell r="A7108" t="str">
            <v>IS_alqt_plus</v>
          </cell>
          <cell r="K7108" t="str">
            <v>DMAD</v>
          </cell>
          <cell r="M7108" t="str">
            <v>F</v>
          </cell>
          <cell r="AB7108" t="str">
            <v>serum</v>
          </cell>
          <cell r="AF7108">
            <v>1</v>
          </cell>
        </row>
        <row r="7109">
          <cell r="A7109" t="str">
            <v>IS_alqt_plus</v>
          </cell>
          <cell r="K7109" t="str">
            <v>DMAD</v>
          </cell>
          <cell r="M7109" t="str">
            <v>F</v>
          </cell>
          <cell r="AB7109" t="str">
            <v>WB</v>
          </cell>
          <cell r="AF7109">
            <v>1</v>
          </cell>
        </row>
        <row r="7110">
          <cell r="A7110" t="str">
            <v>IS_alqt_plus</v>
          </cell>
          <cell r="K7110" t="str">
            <v>ERUF</v>
          </cell>
          <cell r="M7110" t="str">
            <v>F</v>
          </cell>
          <cell r="AB7110" t="str">
            <v>serum</v>
          </cell>
          <cell r="AF7110">
            <v>0.3</v>
          </cell>
        </row>
        <row r="7111">
          <cell r="A7111" t="str">
            <v>IS_alqt_plus</v>
          </cell>
          <cell r="K7111" t="str">
            <v>ERUF</v>
          </cell>
          <cell r="M7111" t="str">
            <v>F</v>
          </cell>
          <cell r="AB7111" t="str">
            <v>serum</v>
          </cell>
          <cell r="AF7111">
            <v>1.1000000000000001</v>
          </cell>
        </row>
        <row r="7112">
          <cell r="A7112" t="str">
            <v>IS_alqt_plus</v>
          </cell>
          <cell r="K7112" t="str">
            <v>EFLA</v>
          </cell>
          <cell r="M7112" t="str">
            <v>M</v>
          </cell>
          <cell r="AB7112" t="str">
            <v>serum</v>
          </cell>
          <cell r="AF7112">
            <v>1</v>
          </cell>
        </row>
        <row r="7113">
          <cell r="A7113" t="str">
            <v>gone</v>
          </cell>
          <cell r="K7113" t="str">
            <v>EFLA</v>
          </cell>
          <cell r="M7113" t="str">
            <v>M</v>
          </cell>
          <cell r="AB7113" t="str">
            <v>WB</v>
          </cell>
          <cell r="AF7113">
            <v>0</v>
          </cell>
        </row>
        <row r="7114">
          <cell r="A7114" t="str">
            <v>IS_alqt_plus</v>
          </cell>
          <cell r="K7114" t="str">
            <v>ECOR</v>
          </cell>
          <cell r="M7114" t="str">
            <v>F</v>
          </cell>
          <cell r="AB7114" t="str">
            <v>serum</v>
          </cell>
          <cell r="AF7114">
            <v>0.6</v>
          </cell>
        </row>
        <row r="7115">
          <cell r="A7115" t="str">
            <v>IS_alqt_plus</v>
          </cell>
          <cell r="K7115" t="str">
            <v>ECOR</v>
          </cell>
          <cell r="M7115" t="str">
            <v>M</v>
          </cell>
          <cell r="AB7115" t="str">
            <v>serum</v>
          </cell>
          <cell r="AF7115">
            <v>1.5</v>
          </cell>
        </row>
        <row r="7116">
          <cell r="A7116" t="str">
            <v>IS_alqt_plus</v>
          </cell>
          <cell r="K7116" t="str">
            <v>ECOR</v>
          </cell>
          <cell r="M7116" t="str">
            <v>F</v>
          </cell>
          <cell r="AB7116" t="str">
            <v>WB</v>
          </cell>
          <cell r="AF7116">
            <v>0.5</v>
          </cell>
        </row>
        <row r="7117">
          <cell r="A7117" t="str">
            <v>IS_alqt_plus</v>
          </cell>
          <cell r="K7117" t="str">
            <v>ECOR</v>
          </cell>
          <cell r="M7117" t="str">
            <v>M</v>
          </cell>
          <cell r="AB7117" t="str">
            <v>WB</v>
          </cell>
          <cell r="AF7117">
            <v>0.75</v>
          </cell>
        </row>
        <row r="7118">
          <cell r="A7118" t="str">
            <v>IS_alqt_plus</v>
          </cell>
          <cell r="K7118" t="str">
            <v>ECOR</v>
          </cell>
          <cell r="M7118" t="str">
            <v>F</v>
          </cell>
          <cell r="AB7118" t="str">
            <v>serum</v>
          </cell>
          <cell r="AF7118">
            <v>0.45</v>
          </cell>
        </row>
        <row r="7119">
          <cell r="A7119" t="str">
            <v>IS_alqt_plus</v>
          </cell>
          <cell r="K7119" t="str">
            <v>EFLA</v>
          </cell>
          <cell r="M7119" t="str">
            <v>F</v>
          </cell>
          <cell r="AB7119" t="str">
            <v>serum</v>
          </cell>
          <cell r="AF7119">
            <v>0.7</v>
          </cell>
        </row>
        <row r="7120">
          <cell r="A7120" t="str">
            <v>gone</v>
          </cell>
          <cell r="K7120" t="str">
            <v>EFLA</v>
          </cell>
          <cell r="M7120" t="str">
            <v>F</v>
          </cell>
          <cell r="AB7120" t="str">
            <v>WB</v>
          </cell>
          <cell r="AF7120">
            <v>0</v>
          </cell>
        </row>
        <row r="7121">
          <cell r="A7121" t="str">
            <v>IS_alqt_plus</v>
          </cell>
          <cell r="K7121" t="str">
            <v>VRUB</v>
          </cell>
          <cell r="M7121" t="str">
            <v>F</v>
          </cell>
          <cell r="AB7121" t="str">
            <v>WB</v>
          </cell>
          <cell r="AF7121">
            <v>0.75</v>
          </cell>
        </row>
        <row r="7122">
          <cell r="A7122" t="str">
            <v>IS_alqt_plus</v>
          </cell>
          <cell r="K7122" t="str">
            <v>VRUB</v>
          </cell>
          <cell r="M7122" t="str">
            <v>F</v>
          </cell>
          <cell r="AB7122" t="str">
            <v>serum</v>
          </cell>
          <cell r="AF7122">
            <v>0.5</v>
          </cell>
        </row>
        <row r="7123">
          <cell r="A7123" t="str">
            <v>IS_alqt_plus</v>
          </cell>
          <cell r="K7123" t="str">
            <v>EMON</v>
          </cell>
          <cell r="M7123" t="str">
            <v>M</v>
          </cell>
          <cell r="AB7123" t="str">
            <v>WB</v>
          </cell>
          <cell r="AF7123">
            <v>0.5</v>
          </cell>
        </row>
        <row r="7124">
          <cell r="A7124" t="str">
            <v>gone</v>
          </cell>
          <cell r="K7124" t="str">
            <v>EMON</v>
          </cell>
          <cell r="M7124" t="str">
            <v>F</v>
          </cell>
          <cell r="AB7124" t="str">
            <v>WB</v>
          </cell>
          <cell r="AF7124">
            <v>0</v>
          </cell>
        </row>
        <row r="7125">
          <cell r="A7125" t="str">
            <v>IS_alqt_plus</v>
          </cell>
          <cell r="K7125" t="str">
            <v>EMON</v>
          </cell>
          <cell r="M7125" t="str">
            <v>F</v>
          </cell>
          <cell r="AB7125" t="str">
            <v>WB</v>
          </cell>
          <cell r="AF7125">
            <v>0.4</v>
          </cell>
        </row>
        <row r="7126">
          <cell r="A7126" t="str">
            <v>IS_alqt_plus</v>
          </cell>
          <cell r="K7126" t="str">
            <v>LCAT</v>
          </cell>
          <cell r="M7126" t="str">
            <v>F</v>
          </cell>
          <cell r="AB7126" t="str">
            <v>WB</v>
          </cell>
          <cell r="AF7126">
            <v>0.5</v>
          </cell>
        </row>
        <row r="7127">
          <cell r="A7127" t="str">
            <v>IS_alqt_plus</v>
          </cell>
          <cell r="K7127" t="str">
            <v>PCOQ</v>
          </cell>
          <cell r="M7127" t="str">
            <v>F</v>
          </cell>
          <cell r="AB7127" t="str">
            <v>serum</v>
          </cell>
          <cell r="AF7127">
            <v>0.35</v>
          </cell>
        </row>
        <row r="7128">
          <cell r="A7128" t="str">
            <v>IS_alqt_plus</v>
          </cell>
          <cell r="K7128" t="str">
            <v>LCAT</v>
          </cell>
          <cell r="M7128" t="str">
            <v>F</v>
          </cell>
          <cell r="AB7128" t="str">
            <v>WB</v>
          </cell>
          <cell r="AF7128">
            <v>0.5</v>
          </cell>
        </row>
        <row r="7129">
          <cell r="A7129" t="str">
            <v>IS_alqt_plus</v>
          </cell>
          <cell r="K7129" t="str">
            <v>LCAT</v>
          </cell>
          <cell r="M7129" t="str">
            <v>F</v>
          </cell>
          <cell r="AB7129" t="str">
            <v>WB</v>
          </cell>
          <cell r="AF7129">
            <v>1.25</v>
          </cell>
        </row>
        <row r="7130">
          <cell r="A7130" t="str">
            <v>IS_alqt_plus</v>
          </cell>
          <cell r="K7130" t="str">
            <v>LCAT</v>
          </cell>
          <cell r="M7130" t="str">
            <v>F</v>
          </cell>
          <cell r="AB7130" t="str">
            <v>serum</v>
          </cell>
          <cell r="AF7130">
            <v>0.5</v>
          </cell>
        </row>
        <row r="7131">
          <cell r="A7131" t="str">
            <v>IS_alqt_plus</v>
          </cell>
          <cell r="K7131" t="str">
            <v>DMAD</v>
          </cell>
          <cell r="M7131" t="str">
            <v>F</v>
          </cell>
          <cell r="AB7131" t="str">
            <v>serum</v>
          </cell>
          <cell r="AF7131">
            <v>0.5</v>
          </cell>
        </row>
        <row r="7132">
          <cell r="A7132" t="str">
            <v>IS_alqt_plus</v>
          </cell>
          <cell r="K7132" t="str">
            <v>DMAD</v>
          </cell>
          <cell r="M7132" t="str">
            <v>F</v>
          </cell>
          <cell r="AB7132" t="str">
            <v>WB</v>
          </cell>
          <cell r="AF7132">
            <v>1</v>
          </cell>
        </row>
        <row r="7133">
          <cell r="A7133" t="str">
            <v>IS_alqt_plus</v>
          </cell>
          <cell r="K7133" t="str">
            <v>EFLA</v>
          </cell>
          <cell r="M7133" t="str">
            <v>M</v>
          </cell>
          <cell r="AB7133" t="str">
            <v>serum</v>
          </cell>
          <cell r="AF7133">
            <v>0.85</v>
          </cell>
        </row>
        <row r="7134">
          <cell r="A7134" t="str">
            <v>IS_alqt_plus</v>
          </cell>
          <cell r="K7134" t="str">
            <v>EFLA</v>
          </cell>
          <cell r="M7134" t="str">
            <v>M</v>
          </cell>
          <cell r="AB7134" t="str">
            <v>serum</v>
          </cell>
          <cell r="AF7134">
            <v>0.3</v>
          </cell>
        </row>
        <row r="7135">
          <cell r="A7135" t="str">
            <v>IS_alqt_plus</v>
          </cell>
          <cell r="K7135" t="str">
            <v>EFLA</v>
          </cell>
          <cell r="M7135" t="str">
            <v>M</v>
          </cell>
          <cell r="AB7135" t="str">
            <v>serum</v>
          </cell>
          <cell r="AF7135">
            <v>0.2</v>
          </cell>
        </row>
        <row r="7136">
          <cell r="A7136" t="str">
            <v>IS_alqt_plus</v>
          </cell>
          <cell r="K7136" t="str">
            <v>EFLA</v>
          </cell>
          <cell r="M7136" t="str">
            <v>M</v>
          </cell>
          <cell r="AB7136" t="str">
            <v>serum</v>
          </cell>
          <cell r="AF7136">
            <v>0.2</v>
          </cell>
        </row>
        <row r="7137">
          <cell r="A7137" t="str">
            <v>IS_alqt_plus</v>
          </cell>
          <cell r="K7137" t="str">
            <v>EFLA</v>
          </cell>
          <cell r="M7137" t="str">
            <v>M</v>
          </cell>
          <cell r="AB7137" t="str">
            <v>WB</v>
          </cell>
          <cell r="AF7137">
            <v>1.2</v>
          </cell>
        </row>
        <row r="7138">
          <cell r="A7138" t="str">
            <v>IS_alqt_minus</v>
          </cell>
          <cell r="K7138" t="str">
            <v>DMAD</v>
          </cell>
          <cell r="M7138" t="str">
            <v>M</v>
          </cell>
          <cell r="AB7138" t="str">
            <v>plasma</v>
          </cell>
          <cell r="AF7138">
            <v>0.1</v>
          </cell>
        </row>
        <row r="7139">
          <cell r="A7139" t="str">
            <v>IS_alqt_plus</v>
          </cell>
          <cell r="K7139" t="str">
            <v>LCAT</v>
          </cell>
          <cell r="M7139" t="str">
            <v>F</v>
          </cell>
          <cell r="AB7139" t="str">
            <v>WB</v>
          </cell>
          <cell r="AF7139">
            <v>0.6</v>
          </cell>
        </row>
        <row r="7140">
          <cell r="A7140" t="str">
            <v>IS_alqt_plus</v>
          </cell>
          <cell r="K7140" t="str">
            <v>DMAD</v>
          </cell>
          <cell r="M7140" t="str">
            <v>M</v>
          </cell>
          <cell r="AB7140" t="str">
            <v>WB</v>
          </cell>
          <cell r="AF7140">
            <v>1</v>
          </cell>
        </row>
        <row r="7141">
          <cell r="A7141" t="str">
            <v>IS_alqt_plus</v>
          </cell>
          <cell r="K7141" t="str">
            <v>ECOR</v>
          </cell>
          <cell r="M7141" t="str">
            <v>F</v>
          </cell>
          <cell r="AB7141" t="str">
            <v>serum</v>
          </cell>
          <cell r="AF7141">
            <v>0.7</v>
          </cell>
        </row>
        <row r="7142">
          <cell r="A7142" t="str">
            <v>IS_alqt_plus</v>
          </cell>
          <cell r="K7142" t="str">
            <v>ECOR</v>
          </cell>
          <cell r="M7142" t="str">
            <v>F</v>
          </cell>
          <cell r="AB7142" t="str">
            <v>WB</v>
          </cell>
          <cell r="AF7142">
            <v>0.75</v>
          </cell>
        </row>
        <row r="7143">
          <cell r="A7143" t="str">
            <v>IS_alqt_plus</v>
          </cell>
          <cell r="K7143" t="str">
            <v>VRUB</v>
          </cell>
          <cell r="M7143" t="str">
            <v>M</v>
          </cell>
          <cell r="AB7143" t="str">
            <v>WB</v>
          </cell>
          <cell r="AF7143">
            <v>1</v>
          </cell>
        </row>
        <row r="7144">
          <cell r="A7144" t="str">
            <v>IS_alqt_plus</v>
          </cell>
          <cell r="K7144" t="str">
            <v>VRUB</v>
          </cell>
          <cell r="M7144" t="str">
            <v>F</v>
          </cell>
          <cell r="AB7144" t="str">
            <v>WB</v>
          </cell>
          <cell r="AF7144">
            <v>1</v>
          </cell>
        </row>
        <row r="7145">
          <cell r="A7145" t="str">
            <v>IS_alqt_plus</v>
          </cell>
          <cell r="K7145" t="str">
            <v>VRUB</v>
          </cell>
          <cell r="M7145" t="str">
            <v>M</v>
          </cell>
          <cell r="AB7145" t="str">
            <v>serum</v>
          </cell>
          <cell r="AF7145">
            <v>1</v>
          </cell>
        </row>
        <row r="7146">
          <cell r="A7146" t="str">
            <v>IS_alqt_plus</v>
          </cell>
          <cell r="K7146" t="str">
            <v>VRUB</v>
          </cell>
          <cell r="M7146" t="str">
            <v>F</v>
          </cell>
          <cell r="AB7146" t="str">
            <v>serum</v>
          </cell>
          <cell r="AF7146">
            <v>1</v>
          </cell>
        </row>
        <row r="7147">
          <cell r="A7147" t="str">
            <v>IS_alqt_plus</v>
          </cell>
          <cell r="K7147" t="str">
            <v>LCAT</v>
          </cell>
          <cell r="M7147" t="str">
            <v>F</v>
          </cell>
          <cell r="AB7147" t="str">
            <v>WB</v>
          </cell>
          <cell r="AF7147">
            <v>0.5</v>
          </cell>
        </row>
        <row r="7148">
          <cell r="A7148" t="str">
            <v>IS_alqt_plus</v>
          </cell>
          <cell r="K7148" t="str">
            <v>LCAT</v>
          </cell>
          <cell r="M7148" t="str">
            <v>F</v>
          </cell>
          <cell r="AB7148" t="str">
            <v>WB</v>
          </cell>
          <cell r="AF7148">
            <v>0.5</v>
          </cell>
        </row>
        <row r="7149">
          <cell r="A7149" t="str">
            <v>IS_alqt_plus</v>
          </cell>
          <cell r="K7149" t="str">
            <v>LCAT</v>
          </cell>
          <cell r="M7149" t="str">
            <v>F</v>
          </cell>
          <cell r="AB7149" t="str">
            <v>serum</v>
          </cell>
          <cell r="AF7149">
            <v>1</v>
          </cell>
        </row>
        <row r="7150">
          <cell r="A7150" t="str">
            <v>IS_alqt_plus</v>
          </cell>
          <cell r="K7150" t="str">
            <v>LCAT</v>
          </cell>
          <cell r="M7150" t="str">
            <v>F</v>
          </cell>
          <cell r="AB7150" t="str">
            <v>serum</v>
          </cell>
          <cell r="AF7150">
            <v>1.3</v>
          </cell>
        </row>
        <row r="7151">
          <cell r="A7151" t="str">
            <v>IS_alqt_plus</v>
          </cell>
          <cell r="K7151" t="str">
            <v>LCAT</v>
          </cell>
          <cell r="M7151" t="str">
            <v>F</v>
          </cell>
          <cell r="AB7151" t="str">
            <v>WB</v>
          </cell>
          <cell r="AF7151">
            <v>0.5</v>
          </cell>
        </row>
        <row r="7152">
          <cell r="A7152" t="str">
            <v>IS_alqt_plus</v>
          </cell>
          <cell r="K7152" t="str">
            <v>LCAT</v>
          </cell>
          <cell r="M7152" t="str">
            <v>F</v>
          </cell>
          <cell r="AB7152" t="str">
            <v>WB</v>
          </cell>
          <cell r="AF7152">
            <v>0.5</v>
          </cell>
        </row>
        <row r="7153">
          <cell r="A7153" t="str">
            <v>IS_alqt_plus</v>
          </cell>
          <cell r="K7153" t="str">
            <v>LCAT</v>
          </cell>
          <cell r="M7153" t="str">
            <v>F</v>
          </cell>
          <cell r="AB7153" t="str">
            <v>WB</v>
          </cell>
          <cell r="AF7153">
            <v>0.5</v>
          </cell>
        </row>
        <row r="7154">
          <cell r="A7154" t="str">
            <v>IS_alqt_plus</v>
          </cell>
          <cell r="K7154" t="str">
            <v>LCAT</v>
          </cell>
          <cell r="M7154" t="str">
            <v>F</v>
          </cell>
          <cell r="AB7154" t="str">
            <v>WB</v>
          </cell>
          <cell r="AF7154">
            <v>0.75</v>
          </cell>
        </row>
        <row r="7155">
          <cell r="A7155" t="str">
            <v>IS_alqt_plus</v>
          </cell>
          <cell r="K7155" t="str">
            <v>PCOQ</v>
          </cell>
          <cell r="M7155" t="str">
            <v>F</v>
          </cell>
          <cell r="AB7155" t="str">
            <v>serum</v>
          </cell>
          <cell r="AF7155">
            <v>0.75</v>
          </cell>
        </row>
        <row r="7156">
          <cell r="A7156" t="str">
            <v>IS_alqt_plus</v>
          </cell>
          <cell r="K7156" t="str">
            <v>LCAT</v>
          </cell>
          <cell r="M7156" t="str">
            <v>M</v>
          </cell>
          <cell r="AB7156" t="str">
            <v>WB</v>
          </cell>
          <cell r="AF7156">
            <v>1.2</v>
          </cell>
        </row>
        <row r="7157">
          <cell r="A7157" t="str">
            <v>IS_alqt_plus</v>
          </cell>
          <cell r="K7157" t="str">
            <v>LCAT</v>
          </cell>
          <cell r="M7157" t="str">
            <v>F</v>
          </cell>
          <cell r="AB7157" t="str">
            <v>WB</v>
          </cell>
          <cell r="AF7157">
            <v>0.5</v>
          </cell>
        </row>
        <row r="7158">
          <cell r="A7158" t="str">
            <v>IS_alqt_plus</v>
          </cell>
          <cell r="K7158" t="str">
            <v>ESAN</v>
          </cell>
          <cell r="M7158" t="str">
            <v>F</v>
          </cell>
          <cell r="AB7158" t="str">
            <v>WB</v>
          </cell>
          <cell r="AF7158">
            <v>0.2</v>
          </cell>
        </row>
        <row r="7159">
          <cell r="A7159" t="str">
            <v>IS_alqt_plus</v>
          </cell>
          <cell r="K7159" t="str">
            <v>ESAN</v>
          </cell>
          <cell r="M7159" t="str">
            <v>F</v>
          </cell>
          <cell r="AB7159" t="str">
            <v>WB</v>
          </cell>
          <cell r="AF7159">
            <v>0.2</v>
          </cell>
        </row>
        <row r="7160">
          <cell r="A7160" t="str">
            <v>IS_alqt_plus</v>
          </cell>
          <cell r="K7160" t="str">
            <v>EFLA</v>
          </cell>
          <cell r="M7160" t="str">
            <v>F</v>
          </cell>
          <cell r="AB7160" t="str">
            <v>WB</v>
          </cell>
          <cell r="AF7160">
            <v>0.2</v>
          </cell>
        </row>
        <row r="7161">
          <cell r="A7161" t="str">
            <v>IS_alqt_plus</v>
          </cell>
          <cell r="K7161" t="str">
            <v>EFLA</v>
          </cell>
          <cell r="M7161" t="str">
            <v>F</v>
          </cell>
          <cell r="AB7161" t="str">
            <v>WB</v>
          </cell>
          <cell r="AF7161">
            <v>0.2</v>
          </cell>
        </row>
        <row r="7162">
          <cell r="A7162" t="str">
            <v>IS_alqt_plus</v>
          </cell>
          <cell r="K7162" t="str">
            <v>LCAT</v>
          </cell>
          <cell r="M7162" t="str">
            <v>M</v>
          </cell>
          <cell r="AB7162" t="str">
            <v>WB</v>
          </cell>
          <cell r="AF7162">
            <v>0.75</v>
          </cell>
        </row>
        <row r="7163">
          <cell r="A7163" t="str">
            <v>IS_alqt_minus</v>
          </cell>
          <cell r="K7163" t="str">
            <v>LCAT</v>
          </cell>
          <cell r="M7163" t="str">
            <v>M</v>
          </cell>
          <cell r="AB7163" t="str">
            <v>WB</v>
          </cell>
          <cell r="AF7163">
            <v>0.1</v>
          </cell>
        </row>
        <row r="7164">
          <cell r="A7164" t="str">
            <v>IS_alqt_plus</v>
          </cell>
          <cell r="K7164" t="str">
            <v>LCAT</v>
          </cell>
          <cell r="M7164" t="str">
            <v>M</v>
          </cell>
          <cell r="AB7164" t="str">
            <v>WB</v>
          </cell>
          <cell r="AF7164">
            <v>0.75</v>
          </cell>
        </row>
        <row r="7165">
          <cell r="A7165" t="str">
            <v>IS_alqt_plus</v>
          </cell>
          <cell r="K7165" t="str">
            <v>PCOQ</v>
          </cell>
          <cell r="M7165" t="str">
            <v>F</v>
          </cell>
          <cell r="AB7165" t="str">
            <v>serum</v>
          </cell>
          <cell r="AF7165">
            <v>1.5</v>
          </cell>
        </row>
        <row r="7166">
          <cell r="A7166" t="str">
            <v>IS_alqt_plus</v>
          </cell>
          <cell r="K7166" t="str">
            <v>LCAT</v>
          </cell>
          <cell r="M7166" t="str">
            <v>M</v>
          </cell>
          <cell r="AB7166" t="str">
            <v>WB</v>
          </cell>
          <cell r="AF7166">
            <v>0.6</v>
          </cell>
        </row>
        <row r="7167">
          <cell r="A7167" t="str">
            <v>IS_alqt_plus</v>
          </cell>
          <cell r="K7167" t="str">
            <v>LCAT</v>
          </cell>
          <cell r="M7167" t="str">
            <v>M</v>
          </cell>
          <cell r="AB7167" t="str">
            <v>WB</v>
          </cell>
          <cell r="AF7167">
            <v>0.2</v>
          </cell>
        </row>
        <row r="7168">
          <cell r="A7168" t="str">
            <v>IS_alqt_minus</v>
          </cell>
          <cell r="K7168" t="str">
            <v>LCAT</v>
          </cell>
          <cell r="M7168" t="str">
            <v>M</v>
          </cell>
          <cell r="AB7168" t="str">
            <v>WB</v>
          </cell>
          <cell r="AF7168">
            <v>0.1</v>
          </cell>
        </row>
        <row r="7169">
          <cell r="A7169" t="str">
            <v>unk</v>
          </cell>
          <cell r="K7169" t="str">
            <v>LCAT</v>
          </cell>
          <cell r="M7169" t="str">
            <v>M</v>
          </cell>
          <cell r="AB7169" t="str">
            <v>WB</v>
          </cell>
          <cell r="AF7169">
            <v>1</v>
          </cell>
        </row>
        <row r="7170">
          <cell r="A7170" t="str">
            <v>IS_alqt_plus</v>
          </cell>
          <cell r="K7170" t="str">
            <v>PCOQ</v>
          </cell>
          <cell r="M7170" t="str">
            <v>F</v>
          </cell>
          <cell r="AB7170" t="str">
            <v>serum</v>
          </cell>
          <cell r="AF7170">
            <v>0.8</v>
          </cell>
        </row>
        <row r="7171">
          <cell r="A7171" t="str">
            <v>IS_alqt_plus</v>
          </cell>
          <cell r="K7171" t="str">
            <v>ECOL</v>
          </cell>
          <cell r="M7171" t="str">
            <v>F</v>
          </cell>
          <cell r="AB7171" t="str">
            <v>serum</v>
          </cell>
          <cell r="AF7171">
            <v>1</v>
          </cell>
        </row>
        <row r="7172">
          <cell r="A7172" t="str">
            <v>IS_alqt_plus</v>
          </cell>
          <cell r="K7172" t="str">
            <v>ECOL</v>
          </cell>
          <cell r="M7172" t="str">
            <v>F</v>
          </cell>
          <cell r="AB7172" t="str">
            <v>WB</v>
          </cell>
          <cell r="AF7172">
            <v>0.6</v>
          </cell>
        </row>
        <row r="7173">
          <cell r="A7173" t="str">
            <v>IS_alqt_plus</v>
          </cell>
          <cell r="K7173" t="str">
            <v>LCAT</v>
          </cell>
          <cell r="M7173" t="str">
            <v>M</v>
          </cell>
          <cell r="AB7173" t="str">
            <v>WB</v>
          </cell>
          <cell r="AF7173">
            <v>0.2</v>
          </cell>
        </row>
        <row r="7174">
          <cell r="A7174" t="str">
            <v>IS_alqt_plus</v>
          </cell>
          <cell r="K7174" t="str">
            <v>PCOQ</v>
          </cell>
          <cell r="M7174" t="str">
            <v>M</v>
          </cell>
          <cell r="AB7174" t="str">
            <v>serum</v>
          </cell>
          <cell r="AF7174">
            <v>1.5</v>
          </cell>
        </row>
        <row r="7175">
          <cell r="A7175" t="str">
            <v>IS_alqt_plus</v>
          </cell>
          <cell r="K7175" t="str">
            <v>VRUB</v>
          </cell>
          <cell r="M7175" t="str">
            <v>M</v>
          </cell>
          <cell r="AB7175" t="str">
            <v>WB</v>
          </cell>
          <cell r="AF7175">
            <v>1</v>
          </cell>
        </row>
        <row r="7176">
          <cell r="A7176" t="str">
            <v>IS_alqt_plus</v>
          </cell>
          <cell r="K7176" t="str">
            <v>VRUB</v>
          </cell>
          <cell r="M7176" t="str">
            <v>M</v>
          </cell>
          <cell r="AB7176" t="str">
            <v>WB</v>
          </cell>
          <cell r="AF7176">
            <v>0.9</v>
          </cell>
        </row>
        <row r="7177">
          <cell r="A7177" t="str">
            <v>IS_alqt_plus</v>
          </cell>
          <cell r="K7177" t="str">
            <v>VRUB</v>
          </cell>
          <cell r="M7177" t="str">
            <v>F</v>
          </cell>
          <cell r="AB7177" t="str">
            <v>WB</v>
          </cell>
          <cell r="AF7177">
            <v>1</v>
          </cell>
        </row>
        <row r="7178">
          <cell r="A7178" t="str">
            <v>IS_alqt_plus</v>
          </cell>
          <cell r="K7178" t="str">
            <v>VRUB</v>
          </cell>
          <cell r="M7178" t="str">
            <v>M</v>
          </cell>
          <cell r="AB7178" t="str">
            <v>serum</v>
          </cell>
          <cell r="AF7178">
            <v>1.2</v>
          </cell>
        </row>
        <row r="7179">
          <cell r="A7179" t="str">
            <v>IS_alqt_plus</v>
          </cell>
          <cell r="K7179" t="str">
            <v>VRUB</v>
          </cell>
          <cell r="M7179" t="str">
            <v>M</v>
          </cell>
          <cell r="AB7179" t="str">
            <v>serum</v>
          </cell>
          <cell r="AF7179">
            <v>1.3</v>
          </cell>
        </row>
        <row r="7180">
          <cell r="A7180" t="str">
            <v>IS_alqt_plus</v>
          </cell>
          <cell r="K7180" t="str">
            <v>VRUB</v>
          </cell>
          <cell r="M7180" t="str">
            <v>F</v>
          </cell>
          <cell r="AB7180" t="str">
            <v>serum</v>
          </cell>
          <cell r="AF7180">
            <v>1.2</v>
          </cell>
        </row>
        <row r="7181">
          <cell r="A7181" t="str">
            <v>IS_alqt_plus</v>
          </cell>
          <cell r="K7181" t="str">
            <v>LCAT</v>
          </cell>
          <cell r="M7181" t="str">
            <v>F</v>
          </cell>
          <cell r="AB7181" t="str">
            <v>WB</v>
          </cell>
          <cell r="AF7181">
            <v>0.5</v>
          </cell>
        </row>
        <row r="7182">
          <cell r="A7182" t="str">
            <v>IS_alqt_plus</v>
          </cell>
          <cell r="K7182" t="str">
            <v>PCOQ</v>
          </cell>
          <cell r="M7182" t="str">
            <v>F</v>
          </cell>
          <cell r="AB7182" t="str">
            <v>serum</v>
          </cell>
          <cell r="AF7182">
            <v>0.6</v>
          </cell>
        </row>
        <row r="7183">
          <cell r="A7183" t="str">
            <v>IS_alqt_plus</v>
          </cell>
          <cell r="K7183" t="str">
            <v>MMUR</v>
          </cell>
          <cell r="M7183" t="str">
            <v>M</v>
          </cell>
          <cell r="AB7183" t="str">
            <v>WB</v>
          </cell>
          <cell r="AF7183">
            <v>0.2</v>
          </cell>
        </row>
        <row r="7184">
          <cell r="A7184" t="str">
            <v>gone</v>
          </cell>
          <cell r="K7184" t="str">
            <v>PCOQ</v>
          </cell>
          <cell r="M7184" t="str">
            <v>F</v>
          </cell>
          <cell r="AB7184" t="str">
            <v>serum</v>
          </cell>
          <cell r="AF7184">
            <v>0</v>
          </cell>
        </row>
        <row r="7185">
          <cell r="A7185" t="str">
            <v>IS_alqt_plus</v>
          </cell>
          <cell r="K7185" t="str">
            <v>VRUB</v>
          </cell>
          <cell r="M7185" t="str">
            <v>M</v>
          </cell>
          <cell r="AB7185" t="str">
            <v>WB</v>
          </cell>
          <cell r="AF7185">
            <v>0.6</v>
          </cell>
        </row>
        <row r="7186">
          <cell r="A7186" t="str">
            <v>IS_alqt_plus</v>
          </cell>
          <cell r="K7186" t="str">
            <v>EFLA</v>
          </cell>
          <cell r="M7186" t="str">
            <v>M</v>
          </cell>
          <cell r="AB7186" t="str">
            <v>serum</v>
          </cell>
          <cell r="AF7186">
            <v>1.5</v>
          </cell>
        </row>
        <row r="7187">
          <cell r="A7187" t="str">
            <v>IS_alqt_plus</v>
          </cell>
          <cell r="K7187" t="str">
            <v>EFLA</v>
          </cell>
          <cell r="M7187" t="str">
            <v>M</v>
          </cell>
          <cell r="AB7187" t="str">
            <v>serum</v>
          </cell>
          <cell r="AF7187">
            <v>1.5</v>
          </cell>
        </row>
        <row r="7188">
          <cell r="A7188" t="str">
            <v>IS_alqt_plus</v>
          </cell>
          <cell r="K7188" t="str">
            <v>EFLA</v>
          </cell>
          <cell r="M7188" t="str">
            <v>M</v>
          </cell>
          <cell r="AB7188" t="str">
            <v>WB</v>
          </cell>
          <cell r="AF7188">
            <v>0.8</v>
          </cell>
        </row>
        <row r="7189">
          <cell r="A7189" t="str">
            <v>IS_alqt_plus</v>
          </cell>
          <cell r="K7189" t="str">
            <v>EFLA</v>
          </cell>
          <cell r="M7189" t="str">
            <v>M</v>
          </cell>
          <cell r="AB7189" t="str">
            <v>WB</v>
          </cell>
          <cell r="AF7189">
            <v>1</v>
          </cell>
        </row>
        <row r="7190">
          <cell r="A7190" t="str">
            <v>IS_alqt_plus</v>
          </cell>
          <cell r="K7190" t="str">
            <v>DMAD</v>
          </cell>
          <cell r="M7190" t="str">
            <v>F</v>
          </cell>
          <cell r="AB7190" t="str">
            <v>WB</v>
          </cell>
          <cell r="AF7190">
            <v>0.75</v>
          </cell>
        </row>
        <row r="7191">
          <cell r="A7191" t="str">
            <v>on hold</v>
          </cell>
          <cell r="K7191" t="str">
            <v>LCAT</v>
          </cell>
          <cell r="M7191" t="str">
            <v>M</v>
          </cell>
          <cell r="AB7191" t="str">
            <v>WB</v>
          </cell>
          <cell r="AF7191">
            <v>1</v>
          </cell>
        </row>
        <row r="7192">
          <cell r="A7192" t="str">
            <v>unk</v>
          </cell>
          <cell r="K7192" t="str">
            <v>LCAT</v>
          </cell>
          <cell r="M7192" t="str">
            <v>M</v>
          </cell>
          <cell r="AB7192" t="str">
            <v>WB</v>
          </cell>
          <cell r="AF7192">
            <v>1</v>
          </cell>
        </row>
        <row r="7193">
          <cell r="A7193" t="str">
            <v>gone</v>
          </cell>
          <cell r="K7193" t="str">
            <v>EFLA</v>
          </cell>
          <cell r="M7193" t="str">
            <v>M</v>
          </cell>
          <cell r="AB7193" t="str">
            <v>WB</v>
          </cell>
          <cell r="AF7193">
            <v>0</v>
          </cell>
        </row>
        <row r="7194">
          <cell r="A7194" t="str">
            <v>gone</v>
          </cell>
          <cell r="K7194" t="str">
            <v>VVV</v>
          </cell>
          <cell r="M7194" t="str">
            <v>M</v>
          </cell>
          <cell r="AB7194" t="str">
            <v>WB</v>
          </cell>
          <cell r="AF7194">
            <v>0</v>
          </cell>
        </row>
        <row r="7195">
          <cell r="A7195" t="str">
            <v>IS_alqt_plus</v>
          </cell>
          <cell r="K7195" t="str">
            <v>VVV</v>
          </cell>
          <cell r="M7195" t="str">
            <v>M</v>
          </cell>
          <cell r="AB7195" t="str">
            <v>serum</v>
          </cell>
          <cell r="AF7195">
            <v>1.25</v>
          </cell>
        </row>
        <row r="7196">
          <cell r="A7196" t="str">
            <v>IS_alqt_plus</v>
          </cell>
          <cell r="K7196" t="str">
            <v>LCAT</v>
          </cell>
          <cell r="M7196" t="str">
            <v>F</v>
          </cell>
          <cell r="AB7196" t="str">
            <v>WB</v>
          </cell>
          <cell r="AF7196">
            <v>0.6</v>
          </cell>
        </row>
        <row r="7197">
          <cell r="A7197" t="str">
            <v>IS_alqt_plus</v>
          </cell>
          <cell r="K7197" t="str">
            <v>VRUB</v>
          </cell>
          <cell r="M7197" t="str">
            <v>F</v>
          </cell>
          <cell r="AB7197" t="str">
            <v>WB</v>
          </cell>
          <cell r="AF7197">
            <v>0.8</v>
          </cell>
        </row>
        <row r="7198">
          <cell r="A7198" t="str">
            <v>IS_alqt_plus</v>
          </cell>
          <cell r="K7198" t="str">
            <v>PCOQ</v>
          </cell>
          <cell r="M7198" t="str">
            <v>F</v>
          </cell>
          <cell r="AB7198" t="str">
            <v>serum</v>
          </cell>
          <cell r="AF7198">
            <v>0.5</v>
          </cell>
        </row>
        <row r="7199">
          <cell r="A7199" t="str">
            <v>IS_alqt_plus</v>
          </cell>
          <cell r="K7199" t="str">
            <v>VRUB</v>
          </cell>
          <cell r="M7199" t="str">
            <v>F</v>
          </cell>
          <cell r="AB7199" t="str">
            <v>serum</v>
          </cell>
          <cell r="AF7199">
            <v>1</v>
          </cell>
        </row>
        <row r="7200">
          <cell r="A7200" t="str">
            <v>IS_alqt_plus</v>
          </cell>
          <cell r="K7200" t="str">
            <v>LCAT</v>
          </cell>
          <cell r="M7200" t="str">
            <v>F</v>
          </cell>
          <cell r="AB7200" t="str">
            <v>WB</v>
          </cell>
          <cell r="AF7200">
            <v>0.9</v>
          </cell>
        </row>
        <row r="7201">
          <cell r="A7201" t="str">
            <v>IS_alqt_plus</v>
          </cell>
          <cell r="K7201" t="str">
            <v>VRUB</v>
          </cell>
          <cell r="M7201" t="str">
            <v>F</v>
          </cell>
          <cell r="AB7201" t="str">
            <v>WB</v>
          </cell>
          <cell r="AF7201">
            <v>1</v>
          </cell>
        </row>
        <row r="7202">
          <cell r="A7202" t="str">
            <v>IS_alqt_plus</v>
          </cell>
          <cell r="K7202" t="str">
            <v>NCOU</v>
          </cell>
          <cell r="M7202" t="str">
            <v>F</v>
          </cell>
          <cell r="AB7202" t="str">
            <v>plasma</v>
          </cell>
          <cell r="AF7202">
            <v>0.2</v>
          </cell>
        </row>
        <row r="7203">
          <cell r="A7203" t="str">
            <v>IS_alqt_plus</v>
          </cell>
          <cell r="K7203" t="str">
            <v>LCAT</v>
          </cell>
          <cell r="M7203" t="str">
            <v>M</v>
          </cell>
          <cell r="AB7203" t="str">
            <v>WB</v>
          </cell>
          <cell r="AF7203">
            <v>1</v>
          </cell>
        </row>
        <row r="7204">
          <cell r="A7204" t="str">
            <v>IS_alqt_plus</v>
          </cell>
          <cell r="K7204" t="str">
            <v>LCAT</v>
          </cell>
          <cell r="M7204" t="str">
            <v>M</v>
          </cell>
          <cell r="AB7204" t="str">
            <v>WB</v>
          </cell>
          <cell r="AF7204">
            <v>1</v>
          </cell>
        </row>
        <row r="7205">
          <cell r="A7205" t="str">
            <v>IS_alqt_plus</v>
          </cell>
          <cell r="K7205" t="str">
            <v>LCAT</v>
          </cell>
          <cell r="M7205" t="str">
            <v>M</v>
          </cell>
          <cell r="AB7205" t="str">
            <v>WB</v>
          </cell>
          <cell r="AF7205">
            <v>0.6</v>
          </cell>
        </row>
        <row r="7206">
          <cell r="A7206" t="str">
            <v>IS_alqt_plus</v>
          </cell>
          <cell r="K7206" t="str">
            <v>PCOQ</v>
          </cell>
          <cell r="M7206" t="str">
            <v>M</v>
          </cell>
          <cell r="AB7206" t="str">
            <v>serum</v>
          </cell>
          <cell r="AF7206">
            <v>0.55000000000000004</v>
          </cell>
        </row>
        <row r="7207">
          <cell r="A7207" t="str">
            <v>IS_alqt_plus</v>
          </cell>
          <cell r="K7207" t="str">
            <v>LCAT</v>
          </cell>
          <cell r="M7207" t="str">
            <v>F</v>
          </cell>
          <cell r="AB7207" t="str">
            <v>WB</v>
          </cell>
          <cell r="AF7207">
            <v>0.8</v>
          </cell>
        </row>
        <row r="7208">
          <cell r="A7208" t="str">
            <v>gone</v>
          </cell>
          <cell r="K7208" t="str">
            <v>PCOQ</v>
          </cell>
          <cell r="M7208" t="str">
            <v>F</v>
          </cell>
          <cell r="AB7208" t="str">
            <v>serum</v>
          </cell>
          <cell r="AF7208">
            <v>0</v>
          </cell>
        </row>
        <row r="7209">
          <cell r="A7209" t="str">
            <v>IS_alqt_plus</v>
          </cell>
          <cell r="K7209" t="str">
            <v>LCAT</v>
          </cell>
          <cell r="M7209" t="str">
            <v>F</v>
          </cell>
          <cell r="AB7209" t="str">
            <v>WB</v>
          </cell>
          <cell r="AF7209">
            <v>0.2</v>
          </cell>
        </row>
        <row r="7210">
          <cell r="A7210" t="str">
            <v>IS_alqt_plus</v>
          </cell>
          <cell r="K7210" t="str">
            <v>LCAT</v>
          </cell>
          <cell r="M7210" t="str">
            <v>F</v>
          </cell>
          <cell r="AB7210" t="str">
            <v>serum</v>
          </cell>
          <cell r="AF7210">
            <v>1.5</v>
          </cell>
        </row>
        <row r="7211">
          <cell r="A7211" t="str">
            <v>IS_alqt_plus</v>
          </cell>
          <cell r="K7211" t="str">
            <v>VRUB</v>
          </cell>
          <cell r="M7211" t="str">
            <v>M</v>
          </cell>
          <cell r="AB7211" t="str">
            <v>WB</v>
          </cell>
          <cell r="AF7211">
            <v>0.6</v>
          </cell>
        </row>
        <row r="7212">
          <cell r="A7212" t="str">
            <v>IS_alqt_plus</v>
          </cell>
          <cell r="K7212" t="str">
            <v>VRUB</v>
          </cell>
          <cell r="M7212" t="str">
            <v>M</v>
          </cell>
          <cell r="AB7212" t="str">
            <v>serum</v>
          </cell>
          <cell r="AF7212">
            <v>0.9</v>
          </cell>
        </row>
        <row r="7213">
          <cell r="A7213" t="str">
            <v>IS_alqt_plus</v>
          </cell>
          <cell r="K7213" t="str">
            <v>LCAT</v>
          </cell>
          <cell r="M7213" t="str">
            <v>F</v>
          </cell>
          <cell r="AB7213" t="str">
            <v>WB</v>
          </cell>
          <cell r="AF7213">
            <v>0.2</v>
          </cell>
        </row>
        <row r="7214">
          <cell r="A7214" t="str">
            <v>IS_alqt_plus</v>
          </cell>
          <cell r="K7214" t="str">
            <v>LCAT</v>
          </cell>
          <cell r="M7214" t="str">
            <v>F</v>
          </cell>
          <cell r="AB7214" t="str">
            <v>WB</v>
          </cell>
          <cell r="AF7214">
            <v>0.2</v>
          </cell>
        </row>
        <row r="7215">
          <cell r="A7215" t="str">
            <v>IS_alqt_plus</v>
          </cell>
          <cell r="K7215" t="str">
            <v>EFLA</v>
          </cell>
          <cell r="M7215" t="str">
            <v>F</v>
          </cell>
          <cell r="AB7215" t="str">
            <v>WB</v>
          </cell>
          <cell r="AF7215">
            <v>0.2</v>
          </cell>
        </row>
        <row r="7216">
          <cell r="A7216" t="str">
            <v>IS_alqt_plus</v>
          </cell>
          <cell r="K7216" t="str">
            <v>PCOQ</v>
          </cell>
          <cell r="M7216" t="str">
            <v>M</v>
          </cell>
          <cell r="AB7216" t="str">
            <v>serum</v>
          </cell>
          <cell r="AF7216">
            <v>0.3</v>
          </cell>
        </row>
        <row r="7217">
          <cell r="A7217" t="str">
            <v>IS_alqt_plus</v>
          </cell>
          <cell r="K7217" t="str">
            <v>EFLA</v>
          </cell>
          <cell r="M7217" t="str">
            <v>M</v>
          </cell>
          <cell r="AB7217" t="str">
            <v>WB</v>
          </cell>
          <cell r="AF7217">
            <v>0.75</v>
          </cell>
        </row>
        <row r="7218">
          <cell r="A7218" t="str">
            <v>IS_alqt_plus</v>
          </cell>
          <cell r="K7218" t="str">
            <v>EFLA</v>
          </cell>
          <cell r="M7218" t="str">
            <v>F</v>
          </cell>
          <cell r="AB7218" t="str">
            <v>WB</v>
          </cell>
          <cell r="AF7218">
            <v>0.75</v>
          </cell>
        </row>
        <row r="7219">
          <cell r="A7219" t="str">
            <v>IS_alqt_plus</v>
          </cell>
          <cell r="K7219" t="str">
            <v>LCAT</v>
          </cell>
          <cell r="M7219" t="str">
            <v>M</v>
          </cell>
          <cell r="AB7219" t="str">
            <v>WB</v>
          </cell>
          <cell r="AF7219">
            <v>0.3</v>
          </cell>
        </row>
        <row r="7220">
          <cell r="A7220" t="str">
            <v>IS_alqt_plus</v>
          </cell>
          <cell r="K7220" t="str">
            <v>PCOQ</v>
          </cell>
          <cell r="M7220" t="str">
            <v>M</v>
          </cell>
          <cell r="AB7220" t="str">
            <v>serum</v>
          </cell>
          <cell r="AF7220">
            <v>1.5</v>
          </cell>
        </row>
        <row r="7221">
          <cell r="A7221" t="str">
            <v>IS_alqt_plus</v>
          </cell>
          <cell r="K7221" t="str">
            <v>VVV</v>
          </cell>
          <cell r="M7221" t="str">
            <v>M</v>
          </cell>
          <cell r="AB7221" t="str">
            <v>WB</v>
          </cell>
          <cell r="AF7221">
            <v>1</v>
          </cell>
        </row>
        <row r="7222">
          <cell r="A7222" t="str">
            <v>IS_alqt_plus</v>
          </cell>
          <cell r="K7222" t="str">
            <v>VVV</v>
          </cell>
          <cell r="M7222" t="str">
            <v>M</v>
          </cell>
          <cell r="AB7222" t="str">
            <v>serum</v>
          </cell>
          <cell r="AF7222">
            <v>0.4</v>
          </cell>
        </row>
        <row r="7223">
          <cell r="A7223" t="str">
            <v>IS_alqt_plus</v>
          </cell>
          <cell r="K7223" t="str">
            <v>EFLA</v>
          </cell>
          <cell r="M7223" t="str">
            <v>F</v>
          </cell>
          <cell r="AB7223" t="str">
            <v>serum</v>
          </cell>
          <cell r="AF7223">
            <v>0.2</v>
          </cell>
        </row>
        <row r="7224">
          <cell r="A7224" t="str">
            <v>IS_alqt_plus</v>
          </cell>
          <cell r="K7224" t="str">
            <v>EFLA</v>
          </cell>
          <cell r="M7224" t="str">
            <v>F</v>
          </cell>
          <cell r="AB7224" t="str">
            <v>serum</v>
          </cell>
          <cell r="AF7224">
            <v>0.2</v>
          </cell>
        </row>
        <row r="7225">
          <cell r="A7225" t="str">
            <v>IS_alqt_plus</v>
          </cell>
          <cell r="K7225" t="str">
            <v>EFLA</v>
          </cell>
          <cell r="M7225" t="str">
            <v>F</v>
          </cell>
          <cell r="AB7225" t="str">
            <v>serum</v>
          </cell>
          <cell r="AF7225">
            <v>0.2</v>
          </cell>
        </row>
        <row r="7226">
          <cell r="A7226" t="str">
            <v>IS_alqt_plus</v>
          </cell>
          <cell r="K7226" t="str">
            <v>EFLA</v>
          </cell>
          <cell r="M7226" t="str">
            <v>F</v>
          </cell>
          <cell r="AB7226" t="str">
            <v>serum</v>
          </cell>
          <cell r="AF7226">
            <v>0.2</v>
          </cell>
        </row>
        <row r="7227">
          <cell r="A7227" t="str">
            <v>IS_alqt_plus</v>
          </cell>
          <cell r="K7227" t="str">
            <v>EFLA</v>
          </cell>
          <cell r="M7227" t="str">
            <v>F</v>
          </cell>
          <cell r="AB7227" t="str">
            <v>serum</v>
          </cell>
          <cell r="AF7227">
            <v>0.2</v>
          </cell>
        </row>
        <row r="7228">
          <cell r="A7228" t="str">
            <v>IS_alqt_plus</v>
          </cell>
          <cell r="K7228" t="str">
            <v>EFLA</v>
          </cell>
          <cell r="M7228" t="str">
            <v>F</v>
          </cell>
          <cell r="AB7228" t="str">
            <v>serum</v>
          </cell>
          <cell r="AF7228">
            <v>0.3</v>
          </cell>
        </row>
        <row r="7229">
          <cell r="A7229" t="str">
            <v>IS_alqt_plus</v>
          </cell>
          <cell r="K7229" t="str">
            <v>EFLA</v>
          </cell>
          <cell r="M7229" t="str">
            <v>F</v>
          </cell>
          <cell r="AB7229" t="str">
            <v>serum</v>
          </cell>
          <cell r="AF7229">
            <v>0.2</v>
          </cell>
        </row>
        <row r="7230">
          <cell r="A7230" t="str">
            <v>IS_alqt_plus</v>
          </cell>
          <cell r="K7230" t="str">
            <v>EFLA</v>
          </cell>
          <cell r="M7230" t="str">
            <v>F</v>
          </cell>
          <cell r="AB7230" t="str">
            <v>serum</v>
          </cell>
          <cell r="AF7230">
            <v>0.2</v>
          </cell>
        </row>
        <row r="7231">
          <cell r="A7231" t="str">
            <v>IS_alqt_plus</v>
          </cell>
          <cell r="K7231" t="str">
            <v>EFLA</v>
          </cell>
          <cell r="M7231" t="str">
            <v>F</v>
          </cell>
          <cell r="AB7231" t="str">
            <v>serum</v>
          </cell>
          <cell r="AF7231">
            <v>0.2</v>
          </cell>
        </row>
        <row r="7232">
          <cell r="A7232" t="str">
            <v>IS_alqt_plus</v>
          </cell>
          <cell r="K7232" t="str">
            <v>EFLA</v>
          </cell>
          <cell r="M7232" t="str">
            <v>F</v>
          </cell>
          <cell r="AB7232" t="str">
            <v>serum</v>
          </cell>
          <cell r="AF7232">
            <v>0.2</v>
          </cell>
        </row>
        <row r="7233">
          <cell r="A7233" t="str">
            <v>IS_alqt_plus</v>
          </cell>
          <cell r="K7233" t="str">
            <v>EFLA</v>
          </cell>
          <cell r="M7233" t="str">
            <v>F</v>
          </cell>
          <cell r="AB7233" t="str">
            <v>WB</v>
          </cell>
          <cell r="AF7233">
            <v>0.6</v>
          </cell>
        </row>
        <row r="7234">
          <cell r="A7234" t="str">
            <v>IS_alqt_plus</v>
          </cell>
          <cell r="K7234" t="str">
            <v>EFLA</v>
          </cell>
          <cell r="M7234" t="str">
            <v>F</v>
          </cell>
          <cell r="AB7234" t="str">
            <v>WB</v>
          </cell>
          <cell r="AF7234">
            <v>1.2</v>
          </cell>
        </row>
        <row r="7235">
          <cell r="A7235" t="str">
            <v>IS_alqt_plus</v>
          </cell>
          <cell r="K7235" t="str">
            <v>LCAT</v>
          </cell>
          <cell r="M7235" t="str">
            <v>F</v>
          </cell>
          <cell r="AB7235" t="str">
            <v>WB</v>
          </cell>
          <cell r="AF7235">
            <v>0.5</v>
          </cell>
        </row>
        <row r="7236">
          <cell r="A7236" t="str">
            <v>IS_alqt_plus</v>
          </cell>
          <cell r="K7236" t="str">
            <v>EFLA</v>
          </cell>
          <cell r="M7236" t="str">
            <v>F</v>
          </cell>
          <cell r="AB7236" t="str">
            <v>WB</v>
          </cell>
          <cell r="AF7236">
            <v>0.2</v>
          </cell>
        </row>
        <row r="7237">
          <cell r="A7237" t="str">
            <v>IS_alqt_plus</v>
          </cell>
          <cell r="K7237" t="str">
            <v>ECOL</v>
          </cell>
          <cell r="M7237" t="str">
            <v>M</v>
          </cell>
          <cell r="AB7237" t="str">
            <v>WB</v>
          </cell>
          <cell r="AF7237">
            <v>0.2</v>
          </cell>
        </row>
        <row r="7238">
          <cell r="A7238" t="str">
            <v>IS_alqt_plus</v>
          </cell>
          <cell r="K7238" t="str">
            <v>ECOL</v>
          </cell>
          <cell r="M7238" t="str">
            <v>M</v>
          </cell>
          <cell r="AB7238" t="str">
            <v>WB</v>
          </cell>
          <cell r="AF7238">
            <v>0.2</v>
          </cell>
        </row>
        <row r="7239">
          <cell r="A7239" t="str">
            <v>IS_alqt_plus</v>
          </cell>
          <cell r="K7239" t="str">
            <v>DMAD</v>
          </cell>
          <cell r="M7239" t="str">
            <v>F</v>
          </cell>
          <cell r="AB7239" t="str">
            <v>serum</v>
          </cell>
          <cell r="AF7239">
            <v>1.5</v>
          </cell>
        </row>
        <row r="7240">
          <cell r="A7240" t="str">
            <v>IS_alqt_plus</v>
          </cell>
          <cell r="K7240" t="str">
            <v>DMAD</v>
          </cell>
          <cell r="M7240" t="str">
            <v>F</v>
          </cell>
          <cell r="AB7240" t="str">
            <v>serum</v>
          </cell>
          <cell r="AF7240">
            <v>1.5</v>
          </cell>
        </row>
        <row r="7241">
          <cell r="A7241" t="str">
            <v>IS_alqt_plus</v>
          </cell>
          <cell r="K7241" t="str">
            <v>DMAD</v>
          </cell>
          <cell r="M7241" t="str">
            <v>F</v>
          </cell>
          <cell r="AB7241" t="str">
            <v>serum</v>
          </cell>
          <cell r="AF7241">
            <v>1.5</v>
          </cell>
        </row>
        <row r="7242">
          <cell r="A7242" t="str">
            <v>IS_alqt_plus</v>
          </cell>
          <cell r="K7242" t="str">
            <v>DMAD</v>
          </cell>
          <cell r="M7242" t="str">
            <v>F</v>
          </cell>
          <cell r="AB7242" t="str">
            <v>serum</v>
          </cell>
          <cell r="AF7242">
            <v>1.5</v>
          </cell>
        </row>
        <row r="7243">
          <cell r="A7243" t="str">
            <v>IS_alqt_plus</v>
          </cell>
          <cell r="K7243" t="str">
            <v>DMAD</v>
          </cell>
          <cell r="M7243" t="str">
            <v>F</v>
          </cell>
          <cell r="AB7243" t="str">
            <v>serum</v>
          </cell>
          <cell r="AF7243">
            <v>1.5</v>
          </cell>
        </row>
        <row r="7244">
          <cell r="A7244" t="str">
            <v>IS_alqt_plus</v>
          </cell>
          <cell r="K7244" t="str">
            <v>DMAD</v>
          </cell>
          <cell r="M7244" t="str">
            <v>F</v>
          </cell>
          <cell r="AB7244" t="str">
            <v>serum</v>
          </cell>
          <cell r="AF7244">
            <v>1.5</v>
          </cell>
        </row>
        <row r="7245">
          <cell r="A7245" t="str">
            <v>IS_alqt_plus</v>
          </cell>
          <cell r="K7245" t="str">
            <v>DMAD</v>
          </cell>
          <cell r="M7245" t="str">
            <v>F</v>
          </cell>
          <cell r="AB7245" t="str">
            <v>serum</v>
          </cell>
          <cell r="AF7245">
            <v>1.5</v>
          </cell>
        </row>
        <row r="7246">
          <cell r="A7246" t="str">
            <v>IS_alqt_plus</v>
          </cell>
          <cell r="K7246" t="str">
            <v>ECOL</v>
          </cell>
          <cell r="M7246" t="str">
            <v>M</v>
          </cell>
          <cell r="AB7246" t="str">
            <v>WB</v>
          </cell>
          <cell r="AF7246">
            <v>0.2</v>
          </cell>
        </row>
        <row r="7247">
          <cell r="A7247" t="str">
            <v>IS_alqt_plus</v>
          </cell>
          <cell r="K7247" t="str">
            <v>EMON</v>
          </cell>
          <cell r="M7247" t="str">
            <v>M</v>
          </cell>
          <cell r="AB7247" t="str">
            <v>WB</v>
          </cell>
          <cell r="AF7247">
            <v>0.2</v>
          </cell>
        </row>
        <row r="7248">
          <cell r="A7248" t="str">
            <v>IS_alqt_plus</v>
          </cell>
          <cell r="K7248" t="str">
            <v>EMON</v>
          </cell>
          <cell r="M7248" t="str">
            <v>M</v>
          </cell>
          <cell r="AB7248" t="str">
            <v>WB</v>
          </cell>
          <cell r="AF7248">
            <v>0.2</v>
          </cell>
        </row>
        <row r="7249">
          <cell r="A7249" t="str">
            <v>IS_alqt_plus</v>
          </cell>
          <cell r="K7249" t="str">
            <v>LCAT</v>
          </cell>
          <cell r="M7249" t="str">
            <v>M</v>
          </cell>
          <cell r="AB7249" t="str">
            <v>Fluid- pericardial</v>
          </cell>
          <cell r="AF7249">
            <v>1</v>
          </cell>
        </row>
        <row r="7250">
          <cell r="A7250" t="str">
            <v>IS_alqt_plus</v>
          </cell>
          <cell r="K7250" t="str">
            <v>LCAT</v>
          </cell>
          <cell r="M7250" t="str">
            <v>M</v>
          </cell>
          <cell r="AB7250" t="str">
            <v>Fluid- pericardial</v>
          </cell>
          <cell r="AF7250">
            <v>1</v>
          </cell>
        </row>
        <row r="7251">
          <cell r="A7251" t="str">
            <v>IS_alqt_plus</v>
          </cell>
          <cell r="K7251" t="str">
            <v>LCAT</v>
          </cell>
          <cell r="M7251" t="str">
            <v>M</v>
          </cell>
          <cell r="AB7251" t="str">
            <v>Fluid- pericardial</v>
          </cell>
          <cell r="AF7251">
            <v>1</v>
          </cell>
        </row>
        <row r="7252">
          <cell r="A7252" t="str">
            <v>IS_alqt_plus</v>
          </cell>
          <cell r="K7252" t="str">
            <v>LCAT</v>
          </cell>
          <cell r="M7252" t="str">
            <v>M</v>
          </cell>
          <cell r="AB7252" t="str">
            <v>Fluid- pericardial</v>
          </cell>
          <cell r="AF7252">
            <v>1</v>
          </cell>
        </row>
        <row r="7253">
          <cell r="A7253" t="str">
            <v>gone</v>
          </cell>
          <cell r="K7253" t="str">
            <v>DMAD</v>
          </cell>
          <cell r="M7253" t="str">
            <v>M</v>
          </cell>
          <cell r="AB7253" t="str">
            <v>WB</v>
          </cell>
          <cell r="AF7253">
            <v>0</v>
          </cell>
        </row>
        <row r="7254">
          <cell r="A7254" t="str">
            <v>IS_alqt_plus</v>
          </cell>
          <cell r="K7254" t="str">
            <v>DMAD</v>
          </cell>
          <cell r="M7254" t="str">
            <v>M</v>
          </cell>
          <cell r="AB7254" t="str">
            <v>WB</v>
          </cell>
          <cell r="AF7254">
            <v>1.5</v>
          </cell>
        </row>
        <row r="7255">
          <cell r="A7255" t="str">
            <v>IS_alqt_plus</v>
          </cell>
          <cell r="K7255" t="str">
            <v>DMAD</v>
          </cell>
          <cell r="M7255" t="str">
            <v>M</v>
          </cell>
          <cell r="AB7255" t="str">
            <v>WB</v>
          </cell>
          <cell r="AF7255">
            <v>1</v>
          </cell>
        </row>
        <row r="7256">
          <cell r="A7256" t="str">
            <v>IS_alqt_plus</v>
          </cell>
          <cell r="K7256" t="str">
            <v>DMAD</v>
          </cell>
          <cell r="M7256" t="str">
            <v>F</v>
          </cell>
          <cell r="AB7256" t="str">
            <v>WB</v>
          </cell>
          <cell r="AF7256">
            <v>1.5</v>
          </cell>
        </row>
        <row r="7257">
          <cell r="A7257" t="str">
            <v>IS_alqt_plus</v>
          </cell>
          <cell r="K7257" t="str">
            <v>DMAD</v>
          </cell>
          <cell r="M7257" t="str">
            <v>F</v>
          </cell>
          <cell r="AB7257" t="str">
            <v>WB</v>
          </cell>
          <cell r="AF7257">
            <v>1.5</v>
          </cell>
        </row>
        <row r="7258">
          <cell r="A7258" t="str">
            <v>IS_alqt_plus</v>
          </cell>
          <cell r="K7258" t="str">
            <v>DMAD</v>
          </cell>
          <cell r="M7258" t="str">
            <v>F</v>
          </cell>
          <cell r="AB7258" t="str">
            <v>WB</v>
          </cell>
          <cell r="AF7258">
            <v>1.5</v>
          </cell>
        </row>
        <row r="7259">
          <cell r="A7259" t="str">
            <v>IS_alqt_plus</v>
          </cell>
          <cell r="K7259" t="str">
            <v>DMAD</v>
          </cell>
          <cell r="M7259" t="str">
            <v>F</v>
          </cell>
          <cell r="AB7259" t="str">
            <v>WB</v>
          </cell>
          <cell r="AF7259">
            <v>1.5</v>
          </cell>
        </row>
        <row r="7260">
          <cell r="A7260" t="str">
            <v>IS_alqt_plus</v>
          </cell>
          <cell r="K7260" t="str">
            <v>DMAD</v>
          </cell>
          <cell r="M7260" t="str">
            <v>F</v>
          </cell>
          <cell r="AB7260" t="str">
            <v>WB</v>
          </cell>
          <cell r="AF7260">
            <v>1.5</v>
          </cell>
        </row>
        <row r="7261">
          <cell r="A7261" t="str">
            <v>IS_alqt_plus</v>
          </cell>
          <cell r="K7261" t="str">
            <v>DMAD</v>
          </cell>
          <cell r="M7261" t="str">
            <v>F</v>
          </cell>
          <cell r="AB7261" t="str">
            <v>WB</v>
          </cell>
          <cell r="AF7261">
            <v>1.5</v>
          </cell>
        </row>
        <row r="7262">
          <cell r="A7262" t="str">
            <v>IS_alqt_plus</v>
          </cell>
          <cell r="K7262" t="str">
            <v>DMAD</v>
          </cell>
          <cell r="M7262" t="str">
            <v>F</v>
          </cell>
          <cell r="AB7262" t="str">
            <v>WB</v>
          </cell>
          <cell r="AF7262">
            <v>1.5</v>
          </cell>
        </row>
        <row r="7263">
          <cell r="A7263" t="str">
            <v>IS_alqt_plus</v>
          </cell>
          <cell r="K7263" t="str">
            <v>DMAD</v>
          </cell>
          <cell r="M7263" t="str">
            <v>F</v>
          </cell>
          <cell r="AB7263" t="str">
            <v>WB</v>
          </cell>
          <cell r="AF7263">
            <v>1.5</v>
          </cell>
        </row>
        <row r="7264">
          <cell r="A7264" t="str">
            <v>IS_alqt_plus</v>
          </cell>
          <cell r="K7264" t="str">
            <v>DMAD</v>
          </cell>
          <cell r="M7264" t="str">
            <v>F</v>
          </cell>
          <cell r="AB7264" t="str">
            <v>WB</v>
          </cell>
          <cell r="AF7264">
            <v>1.5</v>
          </cell>
        </row>
        <row r="7265">
          <cell r="A7265" t="str">
            <v>IS_alqt_plus</v>
          </cell>
          <cell r="K7265" t="str">
            <v>DMAD</v>
          </cell>
          <cell r="M7265" t="str">
            <v>F</v>
          </cell>
          <cell r="AB7265" t="str">
            <v>WB</v>
          </cell>
          <cell r="AF7265">
            <v>1.5</v>
          </cell>
        </row>
        <row r="7266">
          <cell r="A7266" t="str">
            <v>IS_alqt_plus</v>
          </cell>
          <cell r="K7266" t="str">
            <v>DMAD</v>
          </cell>
          <cell r="M7266" t="str">
            <v>M</v>
          </cell>
          <cell r="AB7266" t="str">
            <v>WB</v>
          </cell>
          <cell r="AF7266">
            <v>0.5</v>
          </cell>
        </row>
        <row r="7267">
          <cell r="A7267" t="str">
            <v>IS_alqt_plus</v>
          </cell>
          <cell r="K7267" t="str">
            <v>DMAD</v>
          </cell>
          <cell r="M7267" t="str">
            <v>M</v>
          </cell>
          <cell r="AB7267" t="str">
            <v>WB</v>
          </cell>
          <cell r="AF7267">
            <v>1</v>
          </cell>
        </row>
        <row r="7268">
          <cell r="A7268" t="str">
            <v>gone</v>
          </cell>
          <cell r="K7268" t="str">
            <v>DMAD</v>
          </cell>
          <cell r="M7268" t="str">
            <v>M</v>
          </cell>
          <cell r="AB7268" t="str">
            <v>WB</v>
          </cell>
          <cell r="AF7268">
            <v>0</v>
          </cell>
        </row>
        <row r="7269">
          <cell r="A7269" t="str">
            <v>IS_alqt_plus</v>
          </cell>
          <cell r="K7269" t="str">
            <v>LCAT</v>
          </cell>
          <cell r="M7269" t="str">
            <v>F</v>
          </cell>
          <cell r="AB7269" t="str">
            <v>WB</v>
          </cell>
          <cell r="AF7269">
            <v>0.75</v>
          </cell>
        </row>
        <row r="7270">
          <cell r="A7270" t="str">
            <v>IS_alqt_plus</v>
          </cell>
          <cell r="K7270" t="str">
            <v>LCAT</v>
          </cell>
          <cell r="M7270" t="str">
            <v>F</v>
          </cell>
          <cell r="AB7270" t="str">
            <v>WB</v>
          </cell>
          <cell r="AF7270">
            <v>1.3</v>
          </cell>
        </row>
        <row r="7271">
          <cell r="A7271" t="str">
            <v>IS_alqt_plus</v>
          </cell>
          <cell r="K7271" t="str">
            <v>LCAT</v>
          </cell>
          <cell r="M7271" t="str">
            <v>F</v>
          </cell>
          <cell r="AB7271" t="str">
            <v>WB</v>
          </cell>
          <cell r="AF7271">
            <v>0.7</v>
          </cell>
        </row>
        <row r="7272">
          <cell r="A7272" t="str">
            <v>IS_alqt_plus</v>
          </cell>
          <cell r="K7272" t="str">
            <v>PCOQ</v>
          </cell>
          <cell r="M7272" t="str">
            <v>M</v>
          </cell>
          <cell r="AB7272" t="str">
            <v>serum</v>
          </cell>
          <cell r="AF7272">
            <v>0.2</v>
          </cell>
        </row>
        <row r="7273">
          <cell r="A7273" t="str">
            <v>IS_alqt_plus</v>
          </cell>
          <cell r="K7273" t="str">
            <v>LCAT</v>
          </cell>
          <cell r="M7273" t="str">
            <v>M</v>
          </cell>
          <cell r="AB7273" t="str">
            <v>Fluid- pericardial</v>
          </cell>
          <cell r="AF7273">
            <v>1</v>
          </cell>
        </row>
        <row r="7274">
          <cell r="A7274" t="str">
            <v>IS_alqt_plus</v>
          </cell>
          <cell r="K7274" t="str">
            <v>LCAT</v>
          </cell>
          <cell r="M7274" t="str">
            <v>M</v>
          </cell>
          <cell r="AB7274" t="str">
            <v>Fluid- pericardial</v>
          </cell>
          <cell r="AF7274">
            <v>1</v>
          </cell>
        </row>
        <row r="7275">
          <cell r="A7275" t="str">
            <v>IS_alqt_plus</v>
          </cell>
          <cell r="K7275" t="str">
            <v>LCAT</v>
          </cell>
          <cell r="M7275" t="str">
            <v>M</v>
          </cell>
          <cell r="AB7275" t="str">
            <v>Fluid- pericardial</v>
          </cell>
          <cell r="AF7275">
            <v>1</v>
          </cell>
        </row>
        <row r="7276">
          <cell r="A7276" t="str">
            <v>IS_alqt_plus</v>
          </cell>
          <cell r="K7276" t="str">
            <v>LCAT</v>
          </cell>
          <cell r="M7276" t="str">
            <v>M</v>
          </cell>
          <cell r="AB7276" t="str">
            <v>Fluid- pericardial</v>
          </cell>
          <cell r="AF7276">
            <v>1</v>
          </cell>
        </row>
        <row r="7277">
          <cell r="A7277" t="str">
            <v>IS_alqt_plus</v>
          </cell>
          <cell r="K7277" t="str">
            <v>LCAT</v>
          </cell>
          <cell r="M7277" t="str">
            <v>M</v>
          </cell>
          <cell r="AB7277" t="str">
            <v>Fluid- pericardial</v>
          </cell>
          <cell r="AF7277">
            <v>1</v>
          </cell>
        </row>
        <row r="7278">
          <cell r="A7278" t="str">
            <v>IS_alqt_plus</v>
          </cell>
          <cell r="K7278" t="str">
            <v>DMAD</v>
          </cell>
          <cell r="M7278" t="str">
            <v>F</v>
          </cell>
          <cell r="AB7278" t="str">
            <v>serum</v>
          </cell>
          <cell r="AF7278">
            <v>1.5</v>
          </cell>
        </row>
        <row r="7279">
          <cell r="A7279" t="str">
            <v>IS_alqt_plus</v>
          </cell>
          <cell r="K7279" t="str">
            <v>DMAD</v>
          </cell>
          <cell r="M7279" t="str">
            <v>F</v>
          </cell>
          <cell r="AB7279" t="str">
            <v>serum</v>
          </cell>
          <cell r="AF7279">
            <v>1.5</v>
          </cell>
        </row>
        <row r="7280">
          <cell r="A7280" t="str">
            <v>unk</v>
          </cell>
          <cell r="K7280" t="str">
            <v>DMAD</v>
          </cell>
          <cell r="M7280" t="str">
            <v>F</v>
          </cell>
          <cell r="AB7280" t="str">
            <v>serum</v>
          </cell>
          <cell r="AF7280">
            <v>1.5</v>
          </cell>
        </row>
        <row r="7281">
          <cell r="A7281" t="str">
            <v>IS_alqt_plus</v>
          </cell>
          <cell r="K7281" t="str">
            <v>LCAT</v>
          </cell>
          <cell r="M7281" t="str">
            <v>M</v>
          </cell>
          <cell r="AB7281" t="str">
            <v>Fluid- pericardial</v>
          </cell>
          <cell r="AF7281">
            <v>1</v>
          </cell>
        </row>
        <row r="7282">
          <cell r="A7282" t="str">
            <v>IS_alqt_plus</v>
          </cell>
          <cell r="K7282" t="str">
            <v>LCAT</v>
          </cell>
          <cell r="M7282" t="str">
            <v>M</v>
          </cell>
          <cell r="AB7282" t="str">
            <v>Fluid- pericardial</v>
          </cell>
          <cell r="AF7282">
            <v>1</v>
          </cell>
        </row>
        <row r="7283">
          <cell r="A7283" t="str">
            <v>IS_alqt_plus</v>
          </cell>
          <cell r="K7283" t="str">
            <v>LCAT</v>
          </cell>
          <cell r="M7283" t="str">
            <v>M</v>
          </cell>
          <cell r="AB7283" t="str">
            <v>Fluid- pericardial</v>
          </cell>
          <cell r="AF7283">
            <v>1</v>
          </cell>
        </row>
        <row r="7284">
          <cell r="A7284" t="str">
            <v>IS_alqt_plus</v>
          </cell>
          <cell r="K7284" t="str">
            <v>DMAD</v>
          </cell>
          <cell r="M7284" t="str">
            <v>F</v>
          </cell>
          <cell r="AB7284" t="str">
            <v>WB</v>
          </cell>
          <cell r="AF7284">
            <v>0.75</v>
          </cell>
        </row>
        <row r="7285">
          <cell r="A7285" t="str">
            <v>IS_alqt_plus</v>
          </cell>
          <cell r="K7285" t="str">
            <v>DMAD</v>
          </cell>
          <cell r="M7285" t="str">
            <v>F</v>
          </cell>
          <cell r="AB7285" t="str">
            <v>WB</v>
          </cell>
          <cell r="AF7285">
            <v>1.5</v>
          </cell>
        </row>
        <row r="7286">
          <cell r="A7286" t="str">
            <v>IS_alqt_plus</v>
          </cell>
          <cell r="K7286" t="str">
            <v>DMAD</v>
          </cell>
          <cell r="M7286" t="str">
            <v>F</v>
          </cell>
          <cell r="AB7286" t="str">
            <v>WB</v>
          </cell>
          <cell r="AF7286">
            <v>1</v>
          </cell>
        </row>
        <row r="7287">
          <cell r="A7287" t="str">
            <v>gone</v>
          </cell>
          <cell r="K7287" t="str">
            <v>DMAD</v>
          </cell>
          <cell r="M7287" t="str">
            <v>F</v>
          </cell>
          <cell r="AB7287" t="str">
            <v>WB</v>
          </cell>
          <cell r="AF7287">
            <v>0</v>
          </cell>
        </row>
        <row r="7288">
          <cell r="A7288" t="str">
            <v>IS_alqt_plus</v>
          </cell>
          <cell r="K7288" t="str">
            <v>DMAD</v>
          </cell>
          <cell r="M7288" t="str">
            <v>F</v>
          </cell>
          <cell r="AB7288" t="str">
            <v>WB</v>
          </cell>
          <cell r="AF7288">
            <v>1.1000000000000001</v>
          </cell>
        </row>
        <row r="7289">
          <cell r="A7289" t="str">
            <v>IS_alqt_plus</v>
          </cell>
          <cell r="K7289" t="str">
            <v>DMAD</v>
          </cell>
          <cell r="M7289" t="str">
            <v>F</v>
          </cell>
          <cell r="AB7289" t="str">
            <v>WB</v>
          </cell>
          <cell r="AF7289">
            <v>0.2</v>
          </cell>
        </row>
        <row r="7290">
          <cell r="A7290" t="str">
            <v>IS_alqt_plus</v>
          </cell>
          <cell r="K7290" t="str">
            <v>DMAD</v>
          </cell>
          <cell r="M7290" t="str">
            <v>F</v>
          </cell>
          <cell r="AB7290" t="str">
            <v>WB</v>
          </cell>
          <cell r="AF7290">
            <v>1.5</v>
          </cell>
        </row>
        <row r="7291">
          <cell r="A7291" t="str">
            <v>IS_alqt_plus</v>
          </cell>
          <cell r="K7291" t="str">
            <v>DMAD</v>
          </cell>
          <cell r="M7291" t="str">
            <v>F</v>
          </cell>
          <cell r="AB7291" t="str">
            <v>WB</v>
          </cell>
          <cell r="AF7291">
            <v>0.2</v>
          </cell>
        </row>
        <row r="7292">
          <cell r="A7292" t="str">
            <v>IS_alqt_plus</v>
          </cell>
          <cell r="K7292" t="str">
            <v>DMAD</v>
          </cell>
          <cell r="M7292" t="str">
            <v>F</v>
          </cell>
          <cell r="AB7292" t="str">
            <v>WB</v>
          </cell>
          <cell r="AF7292">
            <v>0.2</v>
          </cell>
        </row>
        <row r="7293">
          <cell r="A7293" t="str">
            <v>IS_alqt_plus</v>
          </cell>
          <cell r="K7293" t="str">
            <v>DMAD</v>
          </cell>
          <cell r="M7293" t="str">
            <v>F</v>
          </cell>
          <cell r="AB7293" t="str">
            <v>WB</v>
          </cell>
          <cell r="AF7293">
            <v>0.2</v>
          </cell>
        </row>
        <row r="7294">
          <cell r="A7294" t="str">
            <v>IS_alqt_plus</v>
          </cell>
          <cell r="K7294" t="str">
            <v>DMAD</v>
          </cell>
          <cell r="M7294" t="str">
            <v>F</v>
          </cell>
          <cell r="AB7294" t="str">
            <v>WB</v>
          </cell>
          <cell r="AF7294">
            <v>0.3</v>
          </cell>
        </row>
        <row r="7295">
          <cell r="A7295" t="str">
            <v>IS_alqt_plus</v>
          </cell>
          <cell r="K7295" t="str">
            <v>DMAD</v>
          </cell>
          <cell r="M7295" t="str">
            <v>F</v>
          </cell>
          <cell r="AB7295" t="str">
            <v>WB</v>
          </cell>
          <cell r="AF7295">
            <v>0.2</v>
          </cell>
        </row>
        <row r="7296">
          <cell r="A7296" t="str">
            <v>IS_alqt_plus</v>
          </cell>
          <cell r="K7296" t="str">
            <v>DMAD</v>
          </cell>
          <cell r="M7296" t="str">
            <v>F</v>
          </cell>
          <cell r="AB7296" t="str">
            <v>WB</v>
          </cell>
          <cell r="AF7296">
            <v>0.2</v>
          </cell>
        </row>
        <row r="7297">
          <cell r="A7297" t="str">
            <v>IS_alqt_plus</v>
          </cell>
          <cell r="K7297" t="str">
            <v>DMAD</v>
          </cell>
          <cell r="M7297" t="str">
            <v>M</v>
          </cell>
          <cell r="AB7297" t="str">
            <v>serum</v>
          </cell>
          <cell r="AF7297">
            <v>0.5</v>
          </cell>
        </row>
        <row r="7298">
          <cell r="A7298" t="str">
            <v>gone</v>
          </cell>
          <cell r="K7298" t="str">
            <v>DMAD</v>
          </cell>
          <cell r="M7298" t="str">
            <v>M</v>
          </cell>
          <cell r="AB7298" t="str">
            <v>WB</v>
          </cell>
          <cell r="AF7298">
            <v>0</v>
          </cell>
        </row>
        <row r="7299">
          <cell r="A7299" t="str">
            <v>gone</v>
          </cell>
          <cell r="K7299" t="str">
            <v>DMAD</v>
          </cell>
          <cell r="M7299" t="str">
            <v>M</v>
          </cell>
          <cell r="AB7299" t="str">
            <v>WB</v>
          </cell>
          <cell r="AF7299">
            <v>0</v>
          </cell>
        </row>
        <row r="7300">
          <cell r="A7300" t="str">
            <v>IS_alqt_plus</v>
          </cell>
          <cell r="K7300" t="str">
            <v>LCAT</v>
          </cell>
          <cell r="M7300" t="str">
            <v>F</v>
          </cell>
          <cell r="AB7300" t="str">
            <v>WB</v>
          </cell>
          <cell r="AF7300">
            <v>1</v>
          </cell>
        </row>
        <row r="7301">
          <cell r="A7301" t="str">
            <v>IS_alqt_plus</v>
          </cell>
          <cell r="K7301" t="str">
            <v>ECOR</v>
          </cell>
          <cell r="M7301" t="str">
            <v>M</v>
          </cell>
          <cell r="AB7301" t="str">
            <v>serum</v>
          </cell>
          <cell r="AF7301">
            <v>1.5</v>
          </cell>
        </row>
        <row r="7302">
          <cell r="A7302" t="str">
            <v>IS_alqt_plus</v>
          </cell>
          <cell r="K7302" t="str">
            <v>ECOR</v>
          </cell>
          <cell r="M7302" t="str">
            <v>F</v>
          </cell>
          <cell r="AB7302" t="str">
            <v>serum</v>
          </cell>
          <cell r="AF7302">
            <v>1.2</v>
          </cell>
        </row>
        <row r="7303">
          <cell r="A7303" t="str">
            <v>IS_alqt_plus</v>
          </cell>
          <cell r="K7303" t="str">
            <v>ECOR</v>
          </cell>
          <cell r="M7303" t="str">
            <v>M</v>
          </cell>
          <cell r="AB7303" t="str">
            <v>WB</v>
          </cell>
          <cell r="AF7303">
            <v>0.85</v>
          </cell>
        </row>
        <row r="7304">
          <cell r="A7304" t="str">
            <v>gone</v>
          </cell>
          <cell r="K7304" t="str">
            <v>ECOR</v>
          </cell>
          <cell r="M7304" t="str">
            <v>F</v>
          </cell>
          <cell r="AB7304" t="str">
            <v>WB</v>
          </cell>
          <cell r="AF7304">
            <v>0</v>
          </cell>
        </row>
        <row r="7305">
          <cell r="A7305" t="str">
            <v>IS_alqt_plus</v>
          </cell>
          <cell r="K7305" t="str">
            <v>DMAD</v>
          </cell>
          <cell r="M7305" t="str">
            <v>F</v>
          </cell>
          <cell r="AB7305" t="str">
            <v>serum</v>
          </cell>
          <cell r="AF7305">
            <v>1.4</v>
          </cell>
        </row>
        <row r="7306">
          <cell r="A7306" t="str">
            <v>IS_alqt_plus</v>
          </cell>
          <cell r="K7306" t="str">
            <v>DMAD</v>
          </cell>
          <cell r="M7306" t="str">
            <v>F</v>
          </cell>
          <cell r="AB7306" t="str">
            <v>serum</v>
          </cell>
          <cell r="AF7306">
            <v>0.75</v>
          </cell>
        </row>
        <row r="7307">
          <cell r="A7307" t="str">
            <v>IS_alqt_plus</v>
          </cell>
          <cell r="K7307" t="str">
            <v>DMAD</v>
          </cell>
          <cell r="M7307" t="str">
            <v>F</v>
          </cell>
          <cell r="AB7307" t="str">
            <v>WB</v>
          </cell>
          <cell r="AF7307">
            <v>1.4</v>
          </cell>
        </row>
        <row r="7308">
          <cell r="A7308" t="str">
            <v>gone</v>
          </cell>
          <cell r="K7308" t="str">
            <v>DMAD</v>
          </cell>
          <cell r="M7308" t="str">
            <v>F</v>
          </cell>
          <cell r="AB7308" t="str">
            <v>WB</v>
          </cell>
          <cell r="AF7308">
            <v>0</v>
          </cell>
        </row>
        <row r="7309">
          <cell r="A7309" t="str">
            <v>IS_alqt_plus</v>
          </cell>
          <cell r="K7309" t="str">
            <v>DMAD</v>
          </cell>
          <cell r="M7309" t="str">
            <v>F</v>
          </cell>
          <cell r="AB7309" t="str">
            <v>serum</v>
          </cell>
          <cell r="AF7309">
            <v>0.5</v>
          </cell>
        </row>
        <row r="7310">
          <cell r="A7310" t="str">
            <v>IS_alqt_plus</v>
          </cell>
          <cell r="K7310" t="str">
            <v>DMAD</v>
          </cell>
          <cell r="M7310" t="str">
            <v>M</v>
          </cell>
          <cell r="AB7310" t="str">
            <v>serum</v>
          </cell>
          <cell r="AF7310">
            <v>0.75</v>
          </cell>
        </row>
        <row r="7311">
          <cell r="A7311" t="str">
            <v>IS_alqt_plus</v>
          </cell>
          <cell r="K7311" t="str">
            <v>DMAD</v>
          </cell>
          <cell r="M7311" t="str">
            <v>F</v>
          </cell>
          <cell r="AB7311" t="str">
            <v>WB</v>
          </cell>
          <cell r="AF7311">
            <v>0.5</v>
          </cell>
        </row>
        <row r="7312">
          <cell r="A7312" t="str">
            <v>IS_alqt_plus</v>
          </cell>
          <cell r="K7312" t="str">
            <v>DMAD</v>
          </cell>
          <cell r="M7312" t="str">
            <v>M</v>
          </cell>
          <cell r="AB7312" t="str">
            <v>WB</v>
          </cell>
          <cell r="AF7312">
            <v>1.25</v>
          </cell>
        </row>
        <row r="7313">
          <cell r="A7313" t="str">
            <v>IS_alqt_plus</v>
          </cell>
          <cell r="K7313" t="str">
            <v>LCAT</v>
          </cell>
          <cell r="M7313" t="str">
            <v>F</v>
          </cell>
          <cell r="AB7313" t="str">
            <v>WB</v>
          </cell>
          <cell r="AF7313">
            <v>1.3</v>
          </cell>
        </row>
        <row r="7314">
          <cell r="A7314" t="str">
            <v>IS_alqt_plus</v>
          </cell>
          <cell r="K7314" t="str">
            <v>PCOQ</v>
          </cell>
          <cell r="M7314" t="str">
            <v>F</v>
          </cell>
          <cell r="AB7314" t="str">
            <v>serum</v>
          </cell>
          <cell r="AF7314">
            <v>1</v>
          </cell>
        </row>
        <row r="7315">
          <cell r="A7315" t="str">
            <v>IS_alqt_plus</v>
          </cell>
          <cell r="K7315" t="str">
            <v>VRUB</v>
          </cell>
          <cell r="M7315" t="str">
            <v>F</v>
          </cell>
          <cell r="AB7315" t="str">
            <v>WB</v>
          </cell>
          <cell r="AF7315">
            <v>1</v>
          </cell>
        </row>
        <row r="7316">
          <cell r="A7316" t="str">
            <v>IS_alqt_plus</v>
          </cell>
          <cell r="K7316" t="str">
            <v>VRUB</v>
          </cell>
          <cell r="M7316" t="str">
            <v>F</v>
          </cell>
          <cell r="AB7316" t="str">
            <v>serum</v>
          </cell>
          <cell r="AF7316">
            <v>1</v>
          </cell>
        </row>
        <row r="7317">
          <cell r="A7317" t="str">
            <v>IS_alqt_plus</v>
          </cell>
          <cell r="K7317" t="str">
            <v>LCAT</v>
          </cell>
          <cell r="M7317" t="str">
            <v>F</v>
          </cell>
          <cell r="AB7317" t="str">
            <v>WB</v>
          </cell>
          <cell r="AF7317">
            <v>1</v>
          </cell>
        </row>
        <row r="7318">
          <cell r="A7318" t="str">
            <v>IS_alqt_plus</v>
          </cell>
          <cell r="K7318" t="str">
            <v>LCAT</v>
          </cell>
          <cell r="M7318" t="str">
            <v>F</v>
          </cell>
          <cell r="AB7318" t="str">
            <v>WB</v>
          </cell>
          <cell r="AF7318">
            <v>1</v>
          </cell>
        </row>
        <row r="7319">
          <cell r="A7319" t="str">
            <v>IS_alqt_plus</v>
          </cell>
          <cell r="K7319" t="str">
            <v>ECOR</v>
          </cell>
          <cell r="M7319" t="str">
            <v>F</v>
          </cell>
          <cell r="AB7319" t="str">
            <v>serum</v>
          </cell>
          <cell r="AF7319">
            <v>0.5</v>
          </cell>
        </row>
        <row r="7320">
          <cell r="A7320" t="str">
            <v>gone</v>
          </cell>
          <cell r="K7320" t="str">
            <v>CMED</v>
          </cell>
          <cell r="M7320" t="str">
            <v>M</v>
          </cell>
          <cell r="AB7320" t="str">
            <v>WB</v>
          </cell>
          <cell r="AF7320">
            <v>0</v>
          </cell>
        </row>
        <row r="7321">
          <cell r="A7321" t="str">
            <v>IS_alqt_plus</v>
          </cell>
          <cell r="K7321" t="str">
            <v>ECOR</v>
          </cell>
          <cell r="M7321" t="str">
            <v>F</v>
          </cell>
          <cell r="AB7321" t="str">
            <v>WB</v>
          </cell>
          <cell r="AF7321">
            <v>0.75</v>
          </cell>
        </row>
        <row r="7322">
          <cell r="A7322" t="str">
            <v>IS_alqt_plus</v>
          </cell>
          <cell r="K7322" t="str">
            <v>EFLA</v>
          </cell>
          <cell r="M7322" t="str">
            <v>M</v>
          </cell>
          <cell r="AB7322" t="str">
            <v>WB</v>
          </cell>
          <cell r="AF7322">
            <v>0.5</v>
          </cell>
        </row>
        <row r="7323">
          <cell r="A7323" t="str">
            <v>IS_alqt_plus</v>
          </cell>
          <cell r="K7323" t="str">
            <v>ECOR</v>
          </cell>
          <cell r="M7323" t="str">
            <v>F</v>
          </cell>
          <cell r="AB7323" t="str">
            <v>serum</v>
          </cell>
          <cell r="AF7323">
            <v>1</v>
          </cell>
        </row>
        <row r="7324">
          <cell r="A7324" t="str">
            <v>IS_alqt_plus</v>
          </cell>
          <cell r="K7324" t="str">
            <v>ECOR</v>
          </cell>
          <cell r="M7324" t="str">
            <v>F</v>
          </cell>
          <cell r="AB7324" t="str">
            <v>serum</v>
          </cell>
          <cell r="AF7324">
            <v>0.8</v>
          </cell>
        </row>
        <row r="7325">
          <cell r="A7325" t="str">
            <v>IS_alqt_plus</v>
          </cell>
          <cell r="K7325" t="str">
            <v>ECOR</v>
          </cell>
          <cell r="M7325" t="str">
            <v>F</v>
          </cell>
          <cell r="AB7325" t="str">
            <v>WB</v>
          </cell>
          <cell r="AF7325">
            <v>1</v>
          </cell>
        </row>
        <row r="7326">
          <cell r="A7326" t="str">
            <v>IS_alqt_plus</v>
          </cell>
          <cell r="K7326" t="str">
            <v>ECOR</v>
          </cell>
          <cell r="M7326" t="str">
            <v>F</v>
          </cell>
          <cell r="AB7326" t="str">
            <v>WB</v>
          </cell>
          <cell r="AF7326">
            <v>1.75</v>
          </cell>
        </row>
        <row r="7327">
          <cell r="A7327" t="str">
            <v>IS_alqt_plus</v>
          </cell>
          <cell r="K7327" t="str">
            <v>ECOR</v>
          </cell>
          <cell r="M7327" t="str">
            <v>M</v>
          </cell>
          <cell r="AB7327" t="str">
            <v>serum</v>
          </cell>
          <cell r="AF7327">
            <v>0.9</v>
          </cell>
        </row>
        <row r="7328">
          <cell r="A7328" t="str">
            <v>IS_alqt_plus</v>
          </cell>
          <cell r="K7328" t="str">
            <v>ECOR</v>
          </cell>
          <cell r="M7328" t="str">
            <v>M</v>
          </cell>
          <cell r="AB7328" t="str">
            <v>WB</v>
          </cell>
          <cell r="AF7328">
            <v>1</v>
          </cell>
        </row>
        <row r="7329">
          <cell r="A7329" t="str">
            <v>IS_alqt_plus</v>
          </cell>
          <cell r="K7329" t="str">
            <v>DMAD</v>
          </cell>
          <cell r="M7329" t="str">
            <v>M</v>
          </cell>
          <cell r="AB7329" t="str">
            <v>serum</v>
          </cell>
          <cell r="AF7329">
            <v>1</v>
          </cell>
        </row>
        <row r="7330">
          <cell r="A7330" t="str">
            <v>gone</v>
          </cell>
          <cell r="K7330" t="str">
            <v>DMAD</v>
          </cell>
          <cell r="M7330" t="str">
            <v>M</v>
          </cell>
          <cell r="AB7330" t="str">
            <v>WB</v>
          </cell>
          <cell r="AF7330">
            <v>0</v>
          </cell>
        </row>
        <row r="7331">
          <cell r="A7331" t="str">
            <v>IS_alqt_plus</v>
          </cell>
          <cell r="K7331" t="str">
            <v>LCAT</v>
          </cell>
          <cell r="M7331" t="str">
            <v>F</v>
          </cell>
          <cell r="AB7331" t="str">
            <v>WB</v>
          </cell>
          <cell r="AF7331">
            <v>1</v>
          </cell>
        </row>
        <row r="7332">
          <cell r="A7332" t="str">
            <v>IS_alqt_plus</v>
          </cell>
          <cell r="K7332" t="str">
            <v>LCAT</v>
          </cell>
          <cell r="M7332" t="str">
            <v>F</v>
          </cell>
          <cell r="AB7332" t="str">
            <v>WB</v>
          </cell>
          <cell r="AF7332">
            <v>1</v>
          </cell>
        </row>
        <row r="7333">
          <cell r="A7333" t="str">
            <v>IS_alqt_plus</v>
          </cell>
          <cell r="K7333" t="str">
            <v>LCAT</v>
          </cell>
          <cell r="M7333" t="str">
            <v>F</v>
          </cell>
          <cell r="AB7333" t="str">
            <v>WB</v>
          </cell>
          <cell r="AF7333">
            <v>1</v>
          </cell>
        </row>
        <row r="7334">
          <cell r="A7334" t="str">
            <v>IS_alqt_plus</v>
          </cell>
          <cell r="K7334" t="str">
            <v>LCAT</v>
          </cell>
          <cell r="M7334" t="str">
            <v>F</v>
          </cell>
          <cell r="AB7334" t="str">
            <v>WB</v>
          </cell>
          <cell r="AF7334">
            <v>1</v>
          </cell>
        </row>
        <row r="7335">
          <cell r="A7335" t="str">
            <v>IS_alqt_plus</v>
          </cell>
          <cell r="K7335" t="str">
            <v>LCAT</v>
          </cell>
          <cell r="M7335" t="str">
            <v>F</v>
          </cell>
          <cell r="AB7335" t="str">
            <v>WB</v>
          </cell>
          <cell r="AF7335">
            <v>1</v>
          </cell>
        </row>
        <row r="7336">
          <cell r="A7336" t="str">
            <v>IS_alqt_plus</v>
          </cell>
          <cell r="K7336" t="str">
            <v>PCOQ</v>
          </cell>
          <cell r="M7336" t="str">
            <v>F</v>
          </cell>
          <cell r="AB7336" t="str">
            <v>serum</v>
          </cell>
          <cell r="AF7336">
            <v>0.5</v>
          </cell>
        </row>
        <row r="7337">
          <cell r="A7337" t="str">
            <v>IS_alqt_plus</v>
          </cell>
          <cell r="K7337" t="str">
            <v>PCOQ</v>
          </cell>
          <cell r="M7337" t="str">
            <v>F</v>
          </cell>
          <cell r="AB7337" t="str">
            <v>serum</v>
          </cell>
          <cell r="AF7337">
            <v>0.5</v>
          </cell>
        </row>
        <row r="7338">
          <cell r="A7338" t="str">
            <v>IS_alqt_plus</v>
          </cell>
          <cell r="K7338" t="str">
            <v>LCAT</v>
          </cell>
          <cell r="M7338" t="str">
            <v>F</v>
          </cell>
          <cell r="AB7338" t="str">
            <v>WB</v>
          </cell>
          <cell r="AF7338">
            <v>1</v>
          </cell>
        </row>
        <row r="7339">
          <cell r="A7339" t="str">
            <v>IS_alqt_plus</v>
          </cell>
          <cell r="K7339" t="str">
            <v>LCAT</v>
          </cell>
          <cell r="M7339" t="str">
            <v>F</v>
          </cell>
          <cell r="AB7339" t="str">
            <v>WB</v>
          </cell>
          <cell r="AF7339">
            <v>1</v>
          </cell>
        </row>
        <row r="7340">
          <cell r="A7340" t="str">
            <v>IS_alqt_plus</v>
          </cell>
          <cell r="K7340" t="str">
            <v>LCAT</v>
          </cell>
          <cell r="M7340" t="str">
            <v>F</v>
          </cell>
          <cell r="AB7340" t="str">
            <v>WB</v>
          </cell>
          <cell r="AF7340">
            <v>1</v>
          </cell>
        </row>
        <row r="7341">
          <cell r="A7341" t="str">
            <v>gone</v>
          </cell>
          <cell r="K7341" t="str">
            <v>EMON</v>
          </cell>
          <cell r="M7341" t="str">
            <v>F</v>
          </cell>
          <cell r="AB7341" t="str">
            <v>WB</v>
          </cell>
          <cell r="AF7341">
            <v>0</v>
          </cell>
        </row>
        <row r="7342">
          <cell r="A7342" t="str">
            <v>IS_alqt_plus</v>
          </cell>
          <cell r="K7342" t="str">
            <v>LCAT</v>
          </cell>
          <cell r="M7342" t="str">
            <v>F</v>
          </cell>
          <cell r="AB7342" t="str">
            <v>WB</v>
          </cell>
          <cell r="AF7342">
            <v>1</v>
          </cell>
        </row>
        <row r="7343">
          <cell r="A7343" t="str">
            <v>IS_alqt_plus</v>
          </cell>
          <cell r="K7343" t="str">
            <v>LCAT</v>
          </cell>
          <cell r="M7343" t="str">
            <v>F</v>
          </cell>
          <cell r="AB7343" t="str">
            <v>WB</v>
          </cell>
          <cell r="AF7343">
            <v>1</v>
          </cell>
        </row>
        <row r="7344">
          <cell r="A7344" t="str">
            <v>gone</v>
          </cell>
          <cell r="K7344" t="str">
            <v>ERUB</v>
          </cell>
          <cell r="M7344" t="str">
            <v>M</v>
          </cell>
          <cell r="AB7344" t="str">
            <v>WB</v>
          </cell>
          <cell r="AF7344">
            <v>0</v>
          </cell>
        </row>
        <row r="7345">
          <cell r="A7345" t="str">
            <v>IS_alqt_plus</v>
          </cell>
          <cell r="K7345" t="str">
            <v>ERUB</v>
          </cell>
          <cell r="M7345" t="str">
            <v>M</v>
          </cell>
          <cell r="AB7345" t="str">
            <v>serum</v>
          </cell>
          <cell r="AF7345">
            <v>0.8</v>
          </cell>
        </row>
        <row r="7346">
          <cell r="A7346" t="str">
            <v>IS_alqt_plus</v>
          </cell>
          <cell r="K7346" t="str">
            <v>LCAT</v>
          </cell>
          <cell r="M7346" t="str">
            <v>F</v>
          </cell>
          <cell r="AB7346" t="str">
            <v>WB</v>
          </cell>
          <cell r="AF7346">
            <v>1</v>
          </cell>
        </row>
        <row r="7347">
          <cell r="A7347" t="str">
            <v>IS_alqt_plus</v>
          </cell>
          <cell r="K7347" t="str">
            <v>DMAD</v>
          </cell>
          <cell r="M7347" t="str">
            <v>M</v>
          </cell>
          <cell r="AB7347" t="str">
            <v>serum</v>
          </cell>
          <cell r="AF7347">
            <v>1</v>
          </cell>
        </row>
        <row r="7348">
          <cell r="A7348" t="str">
            <v>gone</v>
          </cell>
          <cell r="K7348" t="str">
            <v>CMED</v>
          </cell>
          <cell r="M7348" t="str">
            <v>M</v>
          </cell>
          <cell r="AB7348" t="str">
            <v>WB</v>
          </cell>
          <cell r="AF7348">
            <v>0</v>
          </cell>
        </row>
        <row r="7349">
          <cell r="A7349" t="str">
            <v>IS_alqt_plus</v>
          </cell>
          <cell r="K7349" t="str">
            <v>CMED</v>
          </cell>
          <cell r="M7349" t="str">
            <v>M</v>
          </cell>
          <cell r="AB7349" t="str">
            <v>WB</v>
          </cell>
          <cell r="AF7349">
            <v>1.2</v>
          </cell>
        </row>
        <row r="7350">
          <cell r="A7350" t="str">
            <v>IS_alqt_plus</v>
          </cell>
          <cell r="K7350" t="str">
            <v>DMAD</v>
          </cell>
          <cell r="M7350" t="str">
            <v>M</v>
          </cell>
          <cell r="AB7350" t="str">
            <v>WB</v>
          </cell>
          <cell r="AF7350">
            <v>0.8</v>
          </cell>
        </row>
        <row r="7351">
          <cell r="A7351" t="str">
            <v>IS_alqt_plus</v>
          </cell>
          <cell r="K7351" t="str">
            <v>LCAT</v>
          </cell>
          <cell r="M7351" t="str">
            <v>F</v>
          </cell>
          <cell r="AB7351" t="str">
            <v>WB</v>
          </cell>
          <cell r="AF7351">
            <v>1</v>
          </cell>
        </row>
        <row r="7352">
          <cell r="A7352" t="str">
            <v>IS_alqt_plus</v>
          </cell>
          <cell r="K7352" t="str">
            <v>PCOQ</v>
          </cell>
          <cell r="M7352" t="str">
            <v>M</v>
          </cell>
          <cell r="AB7352" t="str">
            <v>serum</v>
          </cell>
          <cell r="AF7352">
            <v>0.2</v>
          </cell>
        </row>
        <row r="7353">
          <cell r="A7353" t="str">
            <v>IS_alqt_plus</v>
          </cell>
          <cell r="K7353" t="str">
            <v>EFLA</v>
          </cell>
          <cell r="M7353" t="str">
            <v>F</v>
          </cell>
          <cell r="AB7353" t="str">
            <v>serum</v>
          </cell>
          <cell r="AF7353">
            <v>0.2</v>
          </cell>
        </row>
        <row r="7354">
          <cell r="A7354" t="str">
            <v>IS_alqt_plus</v>
          </cell>
          <cell r="K7354" t="str">
            <v>EFLA</v>
          </cell>
          <cell r="M7354" t="str">
            <v>F</v>
          </cell>
          <cell r="AB7354" t="str">
            <v>serum</v>
          </cell>
          <cell r="AF7354">
            <v>0.2</v>
          </cell>
        </row>
        <row r="7355">
          <cell r="A7355" t="str">
            <v>IS_alqt_plus</v>
          </cell>
          <cell r="K7355" t="str">
            <v>EFLA</v>
          </cell>
          <cell r="M7355" t="str">
            <v>F</v>
          </cell>
          <cell r="AB7355" t="str">
            <v>serum</v>
          </cell>
          <cell r="AF7355">
            <v>1.25</v>
          </cell>
        </row>
        <row r="7356">
          <cell r="A7356" t="str">
            <v>IS_alqt_plus</v>
          </cell>
          <cell r="K7356" t="str">
            <v>EFLA</v>
          </cell>
          <cell r="M7356" t="str">
            <v>F</v>
          </cell>
          <cell r="AB7356" t="str">
            <v>serum</v>
          </cell>
          <cell r="AF7356">
            <v>1.25</v>
          </cell>
        </row>
        <row r="7357">
          <cell r="A7357" t="str">
            <v>IS_alqt_plus</v>
          </cell>
          <cell r="K7357" t="str">
            <v>EFLA</v>
          </cell>
          <cell r="M7357" t="str">
            <v>F</v>
          </cell>
          <cell r="AB7357" t="str">
            <v>WB</v>
          </cell>
          <cell r="AF7357">
            <v>0.75</v>
          </cell>
        </row>
        <row r="7358">
          <cell r="A7358" t="str">
            <v>IS_alqt_plus</v>
          </cell>
          <cell r="K7358" t="str">
            <v>LCAT</v>
          </cell>
          <cell r="M7358" t="str">
            <v>F</v>
          </cell>
          <cell r="AB7358" t="str">
            <v>WB</v>
          </cell>
          <cell r="AF7358">
            <v>1</v>
          </cell>
        </row>
        <row r="7359">
          <cell r="A7359" t="str">
            <v>IS_alqt_plus</v>
          </cell>
          <cell r="K7359" t="str">
            <v>LCAT</v>
          </cell>
          <cell r="M7359" t="str">
            <v>F</v>
          </cell>
          <cell r="AB7359" t="str">
            <v>WB</v>
          </cell>
          <cell r="AF7359">
            <v>1</v>
          </cell>
        </row>
        <row r="7360">
          <cell r="A7360" t="str">
            <v>IS_alqt_plus</v>
          </cell>
          <cell r="K7360" t="str">
            <v>VRUB</v>
          </cell>
          <cell r="M7360" t="str">
            <v>M</v>
          </cell>
          <cell r="AB7360" t="str">
            <v>WB</v>
          </cell>
          <cell r="AF7360">
            <v>0.75</v>
          </cell>
        </row>
        <row r="7361">
          <cell r="A7361" t="str">
            <v>gone</v>
          </cell>
          <cell r="K7361" t="str">
            <v>VRUB</v>
          </cell>
          <cell r="M7361" t="str">
            <v>M</v>
          </cell>
          <cell r="AB7361" t="str">
            <v>WB</v>
          </cell>
          <cell r="AF7361">
            <v>0</v>
          </cell>
        </row>
        <row r="7362">
          <cell r="A7362" t="str">
            <v>IS_alqt_plus</v>
          </cell>
          <cell r="K7362" t="str">
            <v>EFLA</v>
          </cell>
          <cell r="M7362" t="str">
            <v>M</v>
          </cell>
          <cell r="AB7362" t="str">
            <v>serum</v>
          </cell>
          <cell r="AF7362">
            <v>0.2</v>
          </cell>
        </row>
        <row r="7363">
          <cell r="A7363" t="str">
            <v>IS_alqt_plus</v>
          </cell>
          <cell r="K7363" t="str">
            <v>EFLA</v>
          </cell>
          <cell r="M7363" t="str">
            <v>M</v>
          </cell>
          <cell r="AB7363" t="str">
            <v>serum</v>
          </cell>
          <cell r="AF7363">
            <v>0.2</v>
          </cell>
        </row>
        <row r="7364">
          <cell r="A7364" t="str">
            <v>IS_alqt_plus</v>
          </cell>
          <cell r="K7364" t="str">
            <v>EFLA</v>
          </cell>
          <cell r="M7364" t="str">
            <v>M</v>
          </cell>
          <cell r="AB7364" t="str">
            <v>serum</v>
          </cell>
          <cell r="AF7364">
            <v>0.2</v>
          </cell>
        </row>
        <row r="7365">
          <cell r="A7365" t="str">
            <v>IS_alqt_plus</v>
          </cell>
          <cell r="K7365" t="str">
            <v>EFLA</v>
          </cell>
          <cell r="M7365" t="str">
            <v>M</v>
          </cell>
          <cell r="AB7365" t="str">
            <v>serum</v>
          </cell>
          <cell r="AF7365">
            <v>0.2</v>
          </cell>
        </row>
        <row r="7366">
          <cell r="A7366" t="str">
            <v>IS_alqt_plus</v>
          </cell>
          <cell r="K7366" t="str">
            <v>EFLA</v>
          </cell>
          <cell r="M7366" t="str">
            <v>M</v>
          </cell>
          <cell r="AB7366" t="str">
            <v>serum</v>
          </cell>
          <cell r="AF7366">
            <v>0.2</v>
          </cell>
        </row>
        <row r="7367">
          <cell r="A7367" t="str">
            <v>IS_alqt_minus</v>
          </cell>
          <cell r="K7367" t="str">
            <v>EFLA</v>
          </cell>
          <cell r="M7367" t="str">
            <v>M</v>
          </cell>
          <cell r="AB7367" t="str">
            <v>serum</v>
          </cell>
          <cell r="AF7367">
            <v>0.15</v>
          </cell>
        </row>
        <row r="7368">
          <cell r="A7368" t="str">
            <v>IS_alqt_plus</v>
          </cell>
          <cell r="K7368" t="str">
            <v>EFLA</v>
          </cell>
          <cell r="M7368" t="str">
            <v>M</v>
          </cell>
          <cell r="AB7368" t="str">
            <v>WB</v>
          </cell>
          <cell r="AF7368">
            <v>1</v>
          </cell>
        </row>
        <row r="7369">
          <cell r="A7369" t="str">
            <v>IS_alqt_plus</v>
          </cell>
          <cell r="K7369" t="str">
            <v>ECOL</v>
          </cell>
          <cell r="M7369" t="str">
            <v>M</v>
          </cell>
          <cell r="AB7369" t="str">
            <v>serum</v>
          </cell>
          <cell r="AF7369">
            <v>1.5</v>
          </cell>
        </row>
        <row r="7370">
          <cell r="A7370" t="str">
            <v>gone</v>
          </cell>
          <cell r="K7370" t="str">
            <v>ECOL</v>
          </cell>
          <cell r="M7370" t="str">
            <v>M</v>
          </cell>
          <cell r="AB7370" t="str">
            <v>WB</v>
          </cell>
          <cell r="AF7370">
            <v>0</v>
          </cell>
        </row>
        <row r="7371">
          <cell r="A7371" t="str">
            <v>IS_alqt_plus</v>
          </cell>
          <cell r="K7371" t="str">
            <v>LCAT</v>
          </cell>
          <cell r="M7371" t="str">
            <v>F</v>
          </cell>
          <cell r="AB7371" t="str">
            <v>WB</v>
          </cell>
          <cell r="AF7371">
            <v>1</v>
          </cell>
        </row>
        <row r="7372">
          <cell r="A7372" t="str">
            <v>IS_alqt_plus</v>
          </cell>
          <cell r="K7372" t="str">
            <v>LCAT</v>
          </cell>
          <cell r="M7372" t="str">
            <v>F</v>
          </cell>
          <cell r="AB7372" t="str">
            <v>WB</v>
          </cell>
          <cell r="AF7372">
            <v>1</v>
          </cell>
        </row>
        <row r="7373">
          <cell r="A7373" t="str">
            <v>IS_alqt_plus</v>
          </cell>
          <cell r="K7373" t="str">
            <v>PCOQ</v>
          </cell>
          <cell r="M7373" t="str">
            <v>M</v>
          </cell>
          <cell r="AB7373" t="str">
            <v>serum</v>
          </cell>
          <cell r="AF7373">
            <v>1.2</v>
          </cell>
        </row>
        <row r="7374">
          <cell r="A7374" t="str">
            <v>IS_alqt_plus</v>
          </cell>
          <cell r="K7374" t="str">
            <v>PCOQ</v>
          </cell>
          <cell r="M7374" t="str">
            <v>M</v>
          </cell>
          <cell r="AB7374" t="str">
            <v>serum</v>
          </cell>
          <cell r="AF7374">
            <v>0.8</v>
          </cell>
        </row>
        <row r="7375">
          <cell r="A7375" t="str">
            <v>IS_alqt_plus</v>
          </cell>
          <cell r="K7375" t="str">
            <v>LCAT</v>
          </cell>
          <cell r="M7375" t="str">
            <v>F</v>
          </cell>
          <cell r="AB7375" t="str">
            <v>WB</v>
          </cell>
          <cell r="AF7375">
            <v>1</v>
          </cell>
        </row>
        <row r="7376">
          <cell r="A7376" t="str">
            <v>gone</v>
          </cell>
          <cell r="K7376" t="str">
            <v>PCOQ</v>
          </cell>
          <cell r="M7376" t="str">
            <v>F</v>
          </cell>
          <cell r="AB7376" t="str">
            <v>serum</v>
          </cell>
          <cell r="AF7376">
            <v>0</v>
          </cell>
        </row>
        <row r="7377">
          <cell r="A7377" t="str">
            <v>IS_alqt_plus</v>
          </cell>
          <cell r="K7377" t="str">
            <v>VRUB</v>
          </cell>
          <cell r="M7377" t="str">
            <v>F</v>
          </cell>
          <cell r="AB7377" t="str">
            <v>WB</v>
          </cell>
          <cell r="AF7377">
            <v>1</v>
          </cell>
        </row>
        <row r="7378">
          <cell r="A7378" t="str">
            <v>IS_alqt_plus</v>
          </cell>
          <cell r="K7378" t="str">
            <v>VRUB</v>
          </cell>
          <cell r="M7378" t="str">
            <v>F</v>
          </cell>
          <cell r="AB7378" t="str">
            <v>WB</v>
          </cell>
          <cell r="AF7378">
            <v>1</v>
          </cell>
        </row>
        <row r="7379">
          <cell r="A7379" t="str">
            <v>IS_alqt_plus</v>
          </cell>
          <cell r="K7379" t="str">
            <v>VRUB</v>
          </cell>
          <cell r="M7379" t="str">
            <v>F</v>
          </cell>
          <cell r="AB7379" t="str">
            <v>WB</v>
          </cell>
          <cell r="AF7379">
            <v>1</v>
          </cell>
        </row>
        <row r="7380">
          <cell r="A7380" t="str">
            <v>IS_alqt_plus</v>
          </cell>
          <cell r="K7380" t="str">
            <v>VRUB</v>
          </cell>
          <cell r="M7380" t="str">
            <v>F</v>
          </cell>
          <cell r="AB7380" t="str">
            <v>WB</v>
          </cell>
          <cell r="AF7380">
            <v>1</v>
          </cell>
        </row>
        <row r="7381">
          <cell r="A7381" t="str">
            <v>IS_alqt_plus</v>
          </cell>
          <cell r="K7381" t="str">
            <v>VRUB</v>
          </cell>
          <cell r="M7381" t="str">
            <v>F</v>
          </cell>
          <cell r="AB7381" t="str">
            <v>WB</v>
          </cell>
          <cell r="AF7381">
            <v>1</v>
          </cell>
        </row>
        <row r="7382">
          <cell r="A7382" t="str">
            <v>IS_alqt_plus</v>
          </cell>
          <cell r="K7382" t="str">
            <v>VRUB</v>
          </cell>
          <cell r="M7382" t="str">
            <v>F</v>
          </cell>
          <cell r="AB7382" t="str">
            <v>WB</v>
          </cell>
          <cell r="AF7382">
            <v>1</v>
          </cell>
        </row>
        <row r="7383">
          <cell r="A7383" t="str">
            <v>IS_alqt_plus</v>
          </cell>
          <cell r="K7383" t="str">
            <v>VRUB</v>
          </cell>
          <cell r="M7383" t="str">
            <v>F</v>
          </cell>
          <cell r="AB7383" t="str">
            <v>WB</v>
          </cell>
          <cell r="AF7383">
            <v>1</v>
          </cell>
        </row>
        <row r="7384">
          <cell r="A7384" t="str">
            <v>IS_alqt_plus</v>
          </cell>
          <cell r="K7384" t="str">
            <v>VRUB</v>
          </cell>
          <cell r="M7384" t="str">
            <v>F</v>
          </cell>
          <cell r="AB7384" t="str">
            <v>WB</v>
          </cell>
          <cell r="AF7384">
            <v>1</v>
          </cell>
        </row>
        <row r="7385">
          <cell r="A7385" t="str">
            <v>IS_alqt_plus</v>
          </cell>
          <cell r="K7385" t="str">
            <v>VRUB</v>
          </cell>
          <cell r="M7385" t="str">
            <v>F</v>
          </cell>
          <cell r="AB7385" t="str">
            <v>WB</v>
          </cell>
          <cell r="AF7385">
            <v>1</v>
          </cell>
        </row>
        <row r="7386">
          <cell r="A7386" t="str">
            <v>IS_alqt_plus</v>
          </cell>
          <cell r="K7386" t="str">
            <v>VRUB</v>
          </cell>
          <cell r="M7386" t="str">
            <v>F</v>
          </cell>
          <cell r="AB7386" t="str">
            <v>WB</v>
          </cell>
          <cell r="AF7386">
            <v>1</v>
          </cell>
        </row>
        <row r="7387">
          <cell r="A7387" t="str">
            <v>IS_alqt_plus</v>
          </cell>
          <cell r="K7387" t="str">
            <v>VRUB</v>
          </cell>
          <cell r="M7387" t="str">
            <v>F</v>
          </cell>
          <cell r="AB7387" t="str">
            <v>WB</v>
          </cell>
          <cell r="AF7387">
            <v>1</v>
          </cell>
        </row>
        <row r="7388">
          <cell r="A7388" t="str">
            <v>gone</v>
          </cell>
          <cell r="K7388" t="str">
            <v>VRUB</v>
          </cell>
          <cell r="M7388" t="str">
            <v>F</v>
          </cell>
          <cell r="AB7388" t="str">
            <v>WB</v>
          </cell>
          <cell r="AF7388">
            <v>0</v>
          </cell>
        </row>
        <row r="7389">
          <cell r="A7389" t="str">
            <v>IS_alqt_plus</v>
          </cell>
          <cell r="K7389" t="str">
            <v>VRUB</v>
          </cell>
          <cell r="M7389" t="str">
            <v>F</v>
          </cell>
          <cell r="AB7389" t="str">
            <v>WB</v>
          </cell>
          <cell r="AF7389">
            <v>1</v>
          </cell>
        </row>
        <row r="7390">
          <cell r="A7390" t="str">
            <v>IS_alqt_plus</v>
          </cell>
          <cell r="K7390" t="str">
            <v>VRUB</v>
          </cell>
          <cell r="M7390" t="str">
            <v>F</v>
          </cell>
          <cell r="AB7390" t="str">
            <v>WB</v>
          </cell>
          <cell r="AF7390">
            <v>1</v>
          </cell>
        </row>
        <row r="7391">
          <cell r="A7391" t="str">
            <v>IS_alqt_plus</v>
          </cell>
          <cell r="K7391" t="str">
            <v>VRUB</v>
          </cell>
          <cell r="M7391" t="str">
            <v>F</v>
          </cell>
          <cell r="AB7391" t="str">
            <v>WB</v>
          </cell>
          <cell r="AF7391">
            <v>1</v>
          </cell>
        </row>
        <row r="7392">
          <cell r="A7392" t="str">
            <v>IS_alqt_plus</v>
          </cell>
          <cell r="K7392" t="str">
            <v>VRUB</v>
          </cell>
          <cell r="M7392" t="str">
            <v>F</v>
          </cell>
          <cell r="AB7392" t="str">
            <v>WB</v>
          </cell>
          <cell r="AF7392">
            <v>1</v>
          </cell>
        </row>
        <row r="7393">
          <cell r="A7393" t="str">
            <v>IS_alqt_plus</v>
          </cell>
          <cell r="K7393" t="str">
            <v>VRUB</v>
          </cell>
          <cell r="M7393" t="str">
            <v>F</v>
          </cell>
          <cell r="AB7393" t="str">
            <v>WB</v>
          </cell>
          <cell r="AF7393">
            <v>1</v>
          </cell>
        </row>
        <row r="7394">
          <cell r="A7394" t="str">
            <v>IS_alqt_plus</v>
          </cell>
          <cell r="K7394" t="str">
            <v>VRUB</v>
          </cell>
          <cell r="M7394" t="str">
            <v>F</v>
          </cell>
          <cell r="AB7394" t="str">
            <v>WB</v>
          </cell>
          <cell r="AF7394">
            <v>1</v>
          </cell>
        </row>
        <row r="7395">
          <cell r="A7395" t="str">
            <v>IS_alqt_plus</v>
          </cell>
          <cell r="K7395" t="str">
            <v>VRUB</v>
          </cell>
          <cell r="M7395" t="str">
            <v>F</v>
          </cell>
          <cell r="AB7395" t="str">
            <v>WB</v>
          </cell>
          <cell r="AF7395">
            <v>1</v>
          </cell>
        </row>
        <row r="7396">
          <cell r="A7396" t="str">
            <v>IS_alqt_plus</v>
          </cell>
          <cell r="K7396" t="str">
            <v>VRUB</v>
          </cell>
          <cell r="M7396" t="str">
            <v>F</v>
          </cell>
          <cell r="AB7396" t="str">
            <v>WB</v>
          </cell>
          <cell r="AF7396">
            <v>1</v>
          </cell>
        </row>
        <row r="7397">
          <cell r="A7397" t="str">
            <v>IS_alqt_plus</v>
          </cell>
          <cell r="K7397" t="str">
            <v>VRUB</v>
          </cell>
          <cell r="M7397" t="str">
            <v>F</v>
          </cell>
          <cell r="AB7397" t="str">
            <v>WB</v>
          </cell>
          <cell r="AF7397">
            <v>1</v>
          </cell>
        </row>
        <row r="7398">
          <cell r="A7398" t="str">
            <v>IS_alqt_plus</v>
          </cell>
          <cell r="K7398" t="str">
            <v>VRUB</v>
          </cell>
          <cell r="M7398" t="str">
            <v>F</v>
          </cell>
          <cell r="AB7398" t="str">
            <v>WB</v>
          </cell>
          <cell r="AF7398">
            <v>1</v>
          </cell>
        </row>
        <row r="7399">
          <cell r="A7399" t="str">
            <v>IS_alqt_plus</v>
          </cell>
          <cell r="K7399" t="str">
            <v>VRUB</v>
          </cell>
          <cell r="M7399" t="str">
            <v>F</v>
          </cell>
          <cell r="AB7399" t="str">
            <v>WB</v>
          </cell>
          <cell r="AF7399">
            <v>1</v>
          </cell>
        </row>
        <row r="7400">
          <cell r="A7400" t="str">
            <v>IS_alqt_plus</v>
          </cell>
          <cell r="K7400" t="str">
            <v>VRUB</v>
          </cell>
          <cell r="M7400" t="str">
            <v>F</v>
          </cell>
          <cell r="AB7400" t="str">
            <v>WB</v>
          </cell>
          <cell r="AF7400">
            <v>1</v>
          </cell>
        </row>
        <row r="7401">
          <cell r="A7401" t="str">
            <v>IS_alqt_plus</v>
          </cell>
          <cell r="K7401" t="str">
            <v>VRUB</v>
          </cell>
          <cell r="M7401" t="str">
            <v>F</v>
          </cell>
          <cell r="AB7401" t="str">
            <v>WB</v>
          </cell>
          <cell r="AF7401">
            <v>1</v>
          </cell>
        </row>
        <row r="7402">
          <cell r="A7402" t="str">
            <v>IS_alqt_plus</v>
          </cell>
          <cell r="K7402" t="str">
            <v>VRUB</v>
          </cell>
          <cell r="M7402" t="str">
            <v>F</v>
          </cell>
          <cell r="AB7402" t="str">
            <v>WB</v>
          </cell>
          <cell r="AF7402">
            <v>1</v>
          </cell>
        </row>
        <row r="7403">
          <cell r="A7403" t="str">
            <v>IS_alqt_plus</v>
          </cell>
          <cell r="K7403" t="str">
            <v>VRUB</v>
          </cell>
          <cell r="M7403" t="str">
            <v>F</v>
          </cell>
          <cell r="AB7403" t="str">
            <v>WB</v>
          </cell>
          <cell r="AF7403">
            <v>1</v>
          </cell>
        </row>
        <row r="7404">
          <cell r="A7404" t="str">
            <v>IS_alqt_plus</v>
          </cell>
          <cell r="K7404" t="str">
            <v>VRUB</v>
          </cell>
          <cell r="M7404" t="str">
            <v>F</v>
          </cell>
          <cell r="AB7404" t="str">
            <v>WB</v>
          </cell>
          <cell r="AF7404">
            <v>1</v>
          </cell>
        </row>
        <row r="7405">
          <cell r="A7405" t="str">
            <v>IS_alqt_plus</v>
          </cell>
          <cell r="K7405" t="str">
            <v>VRUB</v>
          </cell>
          <cell r="M7405" t="str">
            <v>F</v>
          </cell>
          <cell r="AB7405" t="str">
            <v>WB</v>
          </cell>
          <cell r="AF7405">
            <v>1</v>
          </cell>
        </row>
        <row r="7406">
          <cell r="A7406" t="str">
            <v>IS_alqt_plus</v>
          </cell>
          <cell r="K7406" t="str">
            <v>VRUB</v>
          </cell>
          <cell r="M7406" t="str">
            <v>F</v>
          </cell>
          <cell r="AB7406" t="str">
            <v>WB</v>
          </cell>
          <cell r="AF7406">
            <v>1</v>
          </cell>
        </row>
        <row r="7407">
          <cell r="A7407" t="str">
            <v>IS_alqt_plus</v>
          </cell>
          <cell r="K7407" t="str">
            <v>VRUB</v>
          </cell>
          <cell r="M7407" t="str">
            <v>F</v>
          </cell>
          <cell r="AB7407" t="str">
            <v>WB</v>
          </cell>
          <cell r="AF7407">
            <v>1</v>
          </cell>
        </row>
        <row r="7408">
          <cell r="A7408" t="str">
            <v>IS_alqt_plus</v>
          </cell>
          <cell r="K7408" t="str">
            <v>VRUB</v>
          </cell>
          <cell r="M7408" t="str">
            <v>F</v>
          </cell>
          <cell r="AB7408" t="str">
            <v>WB</v>
          </cell>
          <cell r="AF7408">
            <v>1</v>
          </cell>
        </row>
        <row r="7409">
          <cell r="A7409" t="str">
            <v>IS_alqt_plus</v>
          </cell>
          <cell r="K7409" t="str">
            <v>VRUB</v>
          </cell>
          <cell r="M7409" t="str">
            <v>F</v>
          </cell>
          <cell r="AB7409" t="str">
            <v>WB</v>
          </cell>
          <cell r="AF7409">
            <v>1</v>
          </cell>
        </row>
        <row r="7410">
          <cell r="A7410" t="str">
            <v>IS_alqt_plus</v>
          </cell>
          <cell r="K7410" t="str">
            <v>VRUB</v>
          </cell>
          <cell r="M7410" t="str">
            <v>F</v>
          </cell>
          <cell r="AB7410" t="str">
            <v>WB</v>
          </cell>
          <cell r="AF7410">
            <v>1</v>
          </cell>
        </row>
        <row r="7411">
          <cell r="A7411" t="str">
            <v>IS_alqt_plus</v>
          </cell>
          <cell r="K7411" t="str">
            <v>VRUB</v>
          </cell>
          <cell r="M7411" t="str">
            <v>F</v>
          </cell>
          <cell r="AB7411" t="str">
            <v>WB</v>
          </cell>
          <cell r="AF7411">
            <v>1</v>
          </cell>
        </row>
        <row r="7412">
          <cell r="A7412" t="str">
            <v>IS_alqt_plus</v>
          </cell>
          <cell r="K7412" t="str">
            <v>VRUB</v>
          </cell>
          <cell r="M7412" t="str">
            <v>F</v>
          </cell>
          <cell r="AB7412" t="str">
            <v>WB</v>
          </cell>
          <cell r="AF7412">
            <v>1</v>
          </cell>
        </row>
        <row r="7413">
          <cell r="A7413" t="str">
            <v>IS_alqt_plus</v>
          </cell>
          <cell r="K7413" t="str">
            <v>VRUB</v>
          </cell>
          <cell r="M7413" t="str">
            <v>F</v>
          </cell>
          <cell r="AB7413" t="str">
            <v>WB</v>
          </cell>
          <cell r="AF7413">
            <v>1</v>
          </cell>
        </row>
        <row r="7414">
          <cell r="A7414" t="str">
            <v>IS_alqt_plus</v>
          </cell>
          <cell r="K7414" t="str">
            <v>VRUB</v>
          </cell>
          <cell r="M7414" t="str">
            <v>F</v>
          </cell>
          <cell r="AB7414" t="str">
            <v>WB</v>
          </cell>
          <cell r="AF7414">
            <v>1</v>
          </cell>
        </row>
        <row r="7415">
          <cell r="A7415" t="str">
            <v>IS_alqt_plus</v>
          </cell>
          <cell r="K7415" t="str">
            <v>VRUB</v>
          </cell>
          <cell r="M7415" t="str">
            <v>F</v>
          </cell>
          <cell r="AB7415" t="str">
            <v>WB</v>
          </cell>
          <cell r="AF7415">
            <v>1</v>
          </cell>
        </row>
        <row r="7416">
          <cell r="A7416" t="str">
            <v>IS_alqt_plus</v>
          </cell>
          <cell r="K7416" t="str">
            <v>VRUB</v>
          </cell>
          <cell r="M7416" t="str">
            <v>F</v>
          </cell>
          <cell r="AB7416" t="str">
            <v>serum</v>
          </cell>
          <cell r="AF7416">
            <v>1</v>
          </cell>
        </row>
        <row r="7417">
          <cell r="A7417" t="str">
            <v>IS_alqt_plus</v>
          </cell>
          <cell r="K7417" t="str">
            <v>VRUB</v>
          </cell>
          <cell r="M7417" t="str">
            <v>F</v>
          </cell>
          <cell r="AB7417" t="str">
            <v>serum</v>
          </cell>
          <cell r="AF7417">
            <v>1</v>
          </cell>
        </row>
        <row r="7418">
          <cell r="A7418" t="str">
            <v>IS_alqt_plus</v>
          </cell>
          <cell r="K7418" t="str">
            <v>VRUB</v>
          </cell>
          <cell r="M7418" t="str">
            <v>F</v>
          </cell>
          <cell r="AB7418" t="str">
            <v>serum</v>
          </cell>
          <cell r="AF7418">
            <v>1</v>
          </cell>
        </row>
        <row r="7419">
          <cell r="A7419" t="str">
            <v>IS_alqt_plus</v>
          </cell>
          <cell r="K7419" t="str">
            <v>VRUB</v>
          </cell>
          <cell r="M7419" t="str">
            <v>F</v>
          </cell>
          <cell r="AB7419" t="str">
            <v>serum</v>
          </cell>
          <cell r="AF7419">
            <v>1</v>
          </cell>
        </row>
        <row r="7420">
          <cell r="A7420" t="str">
            <v>IS_alqt_plus</v>
          </cell>
          <cell r="K7420" t="str">
            <v>VRUB</v>
          </cell>
          <cell r="M7420" t="str">
            <v>F</v>
          </cell>
          <cell r="AB7420" t="str">
            <v>serum</v>
          </cell>
          <cell r="AF7420">
            <v>1</v>
          </cell>
        </row>
        <row r="7421">
          <cell r="A7421" t="str">
            <v>IS_alqt_plus</v>
          </cell>
          <cell r="K7421" t="str">
            <v>VRUB</v>
          </cell>
          <cell r="M7421" t="str">
            <v>F</v>
          </cell>
          <cell r="AB7421" t="str">
            <v>serum</v>
          </cell>
          <cell r="AF7421">
            <v>1</v>
          </cell>
        </row>
        <row r="7422">
          <cell r="A7422" t="str">
            <v>IS_alqt_plus</v>
          </cell>
          <cell r="K7422" t="str">
            <v>VRUB</v>
          </cell>
          <cell r="M7422" t="str">
            <v>F</v>
          </cell>
          <cell r="AB7422" t="str">
            <v>serum</v>
          </cell>
          <cell r="AF7422">
            <v>1</v>
          </cell>
        </row>
        <row r="7423">
          <cell r="A7423" t="str">
            <v>IS_alqt_plus</v>
          </cell>
          <cell r="K7423" t="str">
            <v>VRUB</v>
          </cell>
          <cell r="M7423" t="str">
            <v>F</v>
          </cell>
          <cell r="AB7423" t="str">
            <v>serum</v>
          </cell>
          <cell r="AF7423">
            <v>1</v>
          </cell>
        </row>
        <row r="7424">
          <cell r="A7424" t="str">
            <v>IS_alqt_plus</v>
          </cell>
          <cell r="K7424" t="str">
            <v>VRUB</v>
          </cell>
          <cell r="M7424" t="str">
            <v>F</v>
          </cell>
          <cell r="AB7424" t="str">
            <v>serum</v>
          </cell>
          <cell r="AF7424">
            <v>1</v>
          </cell>
        </row>
        <row r="7425">
          <cell r="A7425" t="str">
            <v>IS_alqt_plus</v>
          </cell>
          <cell r="K7425" t="str">
            <v>VRUB</v>
          </cell>
          <cell r="M7425" t="str">
            <v>F</v>
          </cell>
          <cell r="AB7425" t="str">
            <v>serum</v>
          </cell>
          <cell r="AF7425">
            <v>1</v>
          </cell>
        </row>
        <row r="7426">
          <cell r="A7426" t="str">
            <v>IS_alqt_plus</v>
          </cell>
          <cell r="K7426" t="str">
            <v>VRUB</v>
          </cell>
          <cell r="M7426" t="str">
            <v>F</v>
          </cell>
          <cell r="AB7426" t="str">
            <v>serum</v>
          </cell>
          <cell r="AF7426">
            <v>1</v>
          </cell>
        </row>
        <row r="7427">
          <cell r="A7427" t="str">
            <v>IS_alqt_plus</v>
          </cell>
          <cell r="K7427" t="str">
            <v>VRUB</v>
          </cell>
          <cell r="M7427" t="str">
            <v>F</v>
          </cell>
          <cell r="AB7427" t="str">
            <v>serum</v>
          </cell>
          <cell r="AF7427">
            <v>1</v>
          </cell>
        </row>
        <row r="7428">
          <cell r="A7428" t="str">
            <v>IS_alqt_plus</v>
          </cell>
          <cell r="K7428" t="str">
            <v>VRUB</v>
          </cell>
          <cell r="M7428" t="str">
            <v>F</v>
          </cell>
          <cell r="AB7428" t="str">
            <v>serum</v>
          </cell>
          <cell r="AF7428">
            <v>1</v>
          </cell>
        </row>
        <row r="7429">
          <cell r="A7429" t="str">
            <v>IS_alqt_plus</v>
          </cell>
          <cell r="K7429" t="str">
            <v>VRUB</v>
          </cell>
          <cell r="M7429" t="str">
            <v>F</v>
          </cell>
          <cell r="AB7429" t="str">
            <v>serum</v>
          </cell>
          <cell r="AF7429">
            <v>1</v>
          </cell>
        </row>
        <row r="7430">
          <cell r="A7430" t="str">
            <v>IS_alqt_plus</v>
          </cell>
          <cell r="K7430" t="str">
            <v>VRUB</v>
          </cell>
          <cell r="M7430" t="str">
            <v>F</v>
          </cell>
          <cell r="AB7430" t="str">
            <v>serum</v>
          </cell>
          <cell r="AF7430">
            <v>1</v>
          </cell>
        </row>
        <row r="7431">
          <cell r="A7431" t="str">
            <v>IS_alqt_plus</v>
          </cell>
          <cell r="K7431" t="str">
            <v>VRUB</v>
          </cell>
          <cell r="M7431" t="str">
            <v>F</v>
          </cell>
          <cell r="AB7431" t="str">
            <v>serum</v>
          </cell>
          <cell r="AF7431">
            <v>1</v>
          </cell>
        </row>
        <row r="7432">
          <cell r="A7432" t="str">
            <v>IS_alqt_plus</v>
          </cell>
          <cell r="K7432" t="str">
            <v>VRUB</v>
          </cell>
          <cell r="M7432" t="str">
            <v>F</v>
          </cell>
          <cell r="AB7432" t="str">
            <v>serum</v>
          </cell>
          <cell r="AF7432">
            <v>1</v>
          </cell>
        </row>
        <row r="7433">
          <cell r="A7433" t="str">
            <v>IS_alqt_plus</v>
          </cell>
          <cell r="K7433" t="str">
            <v>VRUB</v>
          </cell>
          <cell r="M7433" t="str">
            <v>F</v>
          </cell>
          <cell r="AB7433" t="str">
            <v>serum</v>
          </cell>
          <cell r="AF7433">
            <v>1</v>
          </cell>
        </row>
        <row r="7434">
          <cell r="A7434" t="str">
            <v>IS_alqt_plus</v>
          </cell>
          <cell r="K7434" t="str">
            <v>VRUB</v>
          </cell>
          <cell r="M7434" t="str">
            <v>F</v>
          </cell>
          <cell r="AB7434" t="str">
            <v>serum</v>
          </cell>
          <cell r="AF7434">
            <v>1</v>
          </cell>
        </row>
        <row r="7435">
          <cell r="A7435" t="str">
            <v>IS_alqt_plus</v>
          </cell>
          <cell r="K7435" t="str">
            <v>VRUB</v>
          </cell>
          <cell r="M7435" t="str">
            <v>F</v>
          </cell>
          <cell r="AB7435" t="str">
            <v>serum</v>
          </cell>
          <cell r="AF7435">
            <v>1</v>
          </cell>
        </row>
        <row r="7436">
          <cell r="A7436" t="str">
            <v>IS_alqt_plus</v>
          </cell>
          <cell r="K7436" t="str">
            <v>VRUB</v>
          </cell>
          <cell r="M7436" t="str">
            <v>F</v>
          </cell>
          <cell r="AB7436" t="str">
            <v>serum</v>
          </cell>
          <cell r="AF7436">
            <v>1</v>
          </cell>
        </row>
        <row r="7437">
          <cell r="A7437" t="str">
            <v>IS_alqt_plus</v>
          </cell>
          <cell r="K7437" t="str">
            <v>VRUB</v>
          </cell>
          <cell r="M7437" t="str">
            <v>F</v>
          </cell>
          <cell r="AB7437" t="str">
            <v>serum</v>
          </cell>
          <cell r="AF7437">
            <v>1</v>
          </cell>
        </row>
        <row r="7438">
          <cell r="A7438" t="str">
            <v>IS_alqt_plus</v>
          </cell>
          <cell r="K7438" t="str">
            <v>VRUB</v>
          </cell>
          <cell r="M7438" t="str">
            <v>F</v>
          </cell>
          <cell r="AB7438" t="str">
            <v>serum</v>
          </cell>
          <cell r="AF7438">
            <v>1</v>
          </cell>
        </row>
        <row r="7439">
          <cell r="A7439" t="str">
            <v>IS_alqt_plus</v>
          </cell>
          <cell r="K7439" t="str">
            <v>VRUB</v>
          </cell>
          <cell r="M7439" t="str">
            <v>F</v>
          </cell>
          <cell r="AB7439" t="str">
            <v>serum</v>
          </cell>
          <cell r="AF7439">
            <v>1</v>
          </cell>
        </row>
        <row r="7440">
          <cell r="A7440" t="str">
            <v>IS_alqt_plus</v>
          </cell>
          <cell r="K7440" t="str">
            <v>VRUB</v>
          </cell>
          <cell r="M7440" t="str">
            <v>F</v>
          </cell>
          <cell r="AB7440" t="str">
            <v>serum</v>
          </cell>
          <cell r="AF7440">
            <v>1</v>
          </cell>
        </row>
        <row r="7441">
          <cell r="A7441" t="str">
            <v>IS_alqt_plus</v>
          </cell>
          <cell r="K7441" t="str">
            <v>VRUB</v>
          </cell>
          <cell r="M7441" t="str">
            <v>F</v>
          </cell>
          <cell r="AB7441" t="str">
            <v>serum</v>
          </cell>
          <cell r="AF7441">
            <v>1</v>
          </cell>
        </row>
        <row r="7442">
          <cell r="A7442" t="str">
            <v>IS_alqt_plus</v>
          </cell>
          <cell r="K7442" t="str">
            <v>VRUB</v>
          </cell>
          <cell r="M7442" t="str">
            <v>F</v>
          </cell>
          <cell r="AB7442" t="str">
            <v>serum</v>
          </cell>
          <cell r="AF7442">
            <v>1</v>
          </cell>
        </row>
        <row r="7443">
          <cell r="A7443" t="str">
            <v>IS_alqt_plus</v>
          </cell>
          <cell r="K7443" t="str">
            <v>VRUB</v>
          </cell>
          <cell r="M7443" t="str">
            <v>F</v>
          </cell>
          <cell r="AB7443" t="str">
            <v>serum</v>
          </cell>
          <cell r="AF7443">
            <v>1</v>
          </cell>
        </row>
        <row r="7444">
          <cell r="A7444" t="str">
            <v>IS_alqt_plus</v>
          </cell>
          <cell r="K7444" t="str">
            <v>VRUB</v>
          </cell>
          <cell r="M7444" t="str">
            <v>F</v>
          </cell>
          <cell r="AB7444" t="str">
            <v>serum</v>
          </cell>
          <cell r="AF7444">
            <v>1</v>
          </cell>
        </row>
        <row r="7445">
          <cell r="A7445" t="str">
            <v>IS_alqt_plus</v>
          </cell>
          <cell r="K7445" t="str">
            <v>VRUB</v>
          </cell>
          <cell r="M7445" t="str">
            <v>F</v>
          </cell>
          <cell r="AB7445" t="str">
            <v>serum</v>
          </cell>
          <cell r="AF7445">
            <v>1</v>
          </cell>
        </row>
        <row r="7446">
          <cell r="A7446" t="str">
            <v>IS_alqt_plus</v>
          </cell>
          <cell r="K7446" t="str">
            <v>VRUB</v>
          </cell>
          <cell r="M7446" t="str">
            <v>F</v>
          </cell>
          <cell r="AB7446" t="str">
            <v>serum</v>
          </cell>
          <cell r="AF7446">
            <v>1</v>
          </cell>
        </row>
        <row r="7447">
          <cell r="A7447" t="str">
            <v>IS_alqt_plus</v>
          </cell>
          <cell r="K7447" t="str">
            <v>VRUB</v>
          </cell>
          <cell r="M7447" t="str">
            <v>F</v>
          </cell>
          <cell r="AB7447" t="str">
            <v>serum</v>
          </cell>
          <cell r="AF7447">
            <v>1</v>
          </cell>
        </row>
        <row r="7448">
          <cell r="A7448" t="str">
            <v>IS_alqt_plus</v>
          </cell>
          <cell r="K7448" t="str">
            <v>VRUB</v>
          </cell>
          <cell r="M7448" t="str">
            <v>F</v>
          </cell>
          <cell r="AB7448" t="str">
            <v>serum</v>
          </cell>
          <cell r="AF7448">
            <v>1</v>
          </cell>
        </row>
        <row r="7449">
          <cell r="A7449" t="str">
            <v>IS_alqt_plus</v>
          </cell>
          <cell r="K7449" t="str">
            <v>VRUB</v>
          </cell>
          <cell r="M7449" t="str">
            <v>F</v>
          </cell>
          <cell r="AB7449" t="str">
            <v>serum</v>
          </cell>
          <cell r="AF7449">
            <v>1</v>
          </cell>
        </row>
        <row r="7450">
          <cell r="A7450" t="str">
            <v>IS_alqt_plus</v>
          </cell>
          <cell r="K7450" t="str">
            <v>VRUB</v>
          </cell>
          <cell r="M7450" t="str">
            <v>F</v>
          </cell>
          <cell r="AB7450" t="str">
            <v>serum</v>
          </cell>
          <cell r="AF7450">
            <v>0.5</v>
          </cell>
        </row>
        <row r="7451">
          <cell r="A7451" t="str">
            <v>IS_alqt_plus</v>
          </cell>
          <cell r="K7451" t="str">
            <v>VRUB</v>
          </cell>
          <cell r="M7451" t="str">
            <v>F</v>
          </cell>
          <cell r="AB7451" t="str">
            <v>serum</v>
          </cell>
          <cell r="AF7451">
            <v>1</v>
          </cell>
        </row>
        <row r="7452">
          <cell r="A7452" t="str">
            <v>IS_alqt_plus</v>
          </cell>
          <cell r="K7452" t="str">
            <v>VRUB</v>
          </cell>
          <cell r="M7452" t="str">
            <v>F</v>
          </cell>
          <cell r="AB7452" t="str">
            <v>serum</v>
          </cell>
          <cell r="AF7452">
            <v>1</v>
          </cell>
        </row>
        <row r="7453">
          <cell r="A7453" t="str">
            <v>IS_alqt_plus</v>
          </cell>
          <cell r="K7453" t="str">
            <v>VRUB</v>
          </cell>
          <cell r="M7453" t="str">
            <v>F</v>
          </cell>
          <cell r="AB7453" t="str">
            <v>serum</v>
          </cell>
          <cell r="AF7453">
            <v>1.2</v>
          </cell>
        </row>
        <row r="7454">
          <cell r="A7454" t="str">
            <v>IS_alqt_plus</v>
          </cell>
          <cell r="K7454" t="str">
            <v>VRUB</v>
          </cell>
          <cell r="M7454" t="str">
            <v>F</v>
          </cell>
          <cell r="AB7454" t="str">
            <v>serum</v>
          </cell>
          <cell r="AF7454">
            <v>1</v>
          </cell>
        </row>
        <row r="7455">
          <cell r="A7455" t="str">
            <v>IS_alqt_plus</v>
          </cell>
          <cell r="K7455" t="str">
            <v>VRUB</v>
          </cell>
          <cell r="M7455" t="str">
            <v>F</v>
          </cell>
          <cell r="AB7455" t="str">
            <v>serum</v>
          </cell>
          <cell r="AF7455">
            <v>1</v>
          </cell>
        </row>
        <row r="7456">
          <cell r="A7456" t="str">
            <v>IS_alqt_plus</v>
          </cell>
          <cell r="K7456" t="str">
            <v>VRUB</v>
          </cell>
          <cell r="M7456" t="str">
            <v>F</v>
          </cell>
          <cell r="AB7456" t="str">
            <v>serum</v>
          </cell>
          <cell r="AF7456">
            <v>1</v>
          </cell>
        </row>
        <row r="7457">
          <cell r="A7457" t="str">
            <v>IS_alqt_plus</v>
          </cell>
          <cell r="K7457" t="str">
            <v>VRUB</v>
          </cell>
          <cell r="M7457" t="str">
            <v>F</v>
          </cell>
          <cell r="AB7457" t="str">
            <v>serum</v>
          </cell>
          <cell r="AF7457">
            <v>1.3</v>
          </cell>
        </row>
        <row r="7458">
          <cell r="A7458" t="str">
            <v>IS_alqt_plus</v>
          </cell>
          <cell r="K7458" t="str">
            <v>VRUB</v>
          </cell>
          <cell r="M7458" t="str">
            <v>F</v>
          </cell>
          <cell r="AB7458" t="str">
            <v>serum</v>
          </cell>
          <cell r="AF7458">
            <v>1</v>
          </cell>
        </row>
        <row r="7459">
          <cell r="A7459" t="str">
            <v>IS_alqt_plus</v>
          </cell>
          <cell r="K7459" t="str">
            <v>VRUB</v>
          </cell>
          <cell r="M7459" t="str">
            <v>F</v>
          </cell>
          <cell r="AB7459" t="str">
            <v>serum</v>
          </cell>
          <cell r="AF7459">
            <v>1</v>
          </cell>
        </row>
        <row r="7460">
          <cell r="A7460" t="str">
            <v>IS_alqt_plus</v>
          </cell>
          <cell r="K7460" t="str">
            <v>VRUB</v>
          </cell>
          <cell r="M7460" t="str">
            <v>F</v>
          </cell>
          <cell r="AB7460" t="str">
            <v>serum</v>
          </cell>
          <cell r="AF7460">
            <v>1</v>
          </cell>
        </row>
        <row r="7461">
          <cell r="A7461" t="str">
            <v>IS_alqt_plus</v>
          </cell>
          <cell r="K7461" t="str">
            <v>VRUB</v>
          </cell>
          <cell r="M7461" t="str">
            <v>F</v>
          </cell>
          <cell r="AB7461" t="str">
            <v>serum</v>
          </cell>
          <cell r="AF7461">
            <v>1</v>
          </cell>
        </row>
        <row r="7462">
          <cell r="A7462" t="str">
            <v>IS_alqt_plus</v>
          </cell>
          <cell r="K7462" t="str">
            <v>VRUB</v>
          </cell>
          <cell r="M7462" t="str">
            <v>F</v>
          </cell>
          <cell r="AB7462" t="str">
            <v>serum</v>
          </cell>
          <cell r="AF7462">
            <v>1</v>
          </cell>
        </row>
        <row r="7463">
          <cell r="A7463" t="str">
            <v>IS_alqt_plus</v>
          </cell>
          <cell r="K7463" t="str">
            <v>VRUB</v>
          </cell>
          <cell r="M7463" t="str">
            <v>F</v>
          </cell>
          <cell r="AB7463" t="str">
            <v>serum</v>
          </cell>
          <cell r="AF7463">
            <v>1</v>
          </cell>
        </row>
        <row r="7464">
          <cell r="A7464" t="str">
            <v>IS_alqt_plus</v>
          </cell>
          <cell r="K7464" t="str">
            <v>VRUB</v>
          </cell>
          <cell r="M7464" t="str">
            <v>F</v>
          </cell>
          <cell r="AB7464" t="str">
            <v>serum</v>
          </cell>
          <cell r="AF7464">
            <v>1</v>
          </cell>
        </row>
        <row r="7465">
          <cell r="A7465" t="str">
            <v>IS_alqt_plus</v>
          </cell>
          <cell r="K7465" t="str">
            <v>VRUB</v>
          </cell>
          <cell r="M7465" t="str">
            <v>F</v>
          </cell>
          <cell r="AB7465" t="str">
            <v>serum</v>
          </cell>
          <cell r="AF7465">
            <v>1</v>
          </cell>
        </row>
        <row r="7466">
          <cell r="A7466" t="str">
            <v>IS_alqt_plus</v>
          </cell>
          <cell r="K7466" t="str">
            <v>VRUB</v>
          </cell>
          <cell r="M7466" t="str">
            <v>F</v>
          </cell>
          <cell r="AB7466" t="str">
            <v>serum</v>
          </cell>
          <cell r="AF7466">
            <v>1</v>
          </cell>
        </row>
        <row r="7467">
          <cell r="A7467" t="str">
            <v>IS_alqt_plus</v>
          </cell>
          <cell r="K7467" t="str">
            <v>VRUB</v>
          </cell>
          <cell r="M7467" t="str">
            <v>F</v>
          </cell>
          <cell r="AB7467" t="str">
            <v>serum</v>
          </cell>
          <cell r="AF7467">
            <v>1</v>
          </cell>
        </row>
        <row r="7468">
          <cell r="A7468" t="str">
            <v>gone</v>
          </cell>
          <cell r="K7468" t="str">
            <v>ECOL</v>
          </cell>
          <cell r="M7468" t="str">
            <v>F</v>
          </cell>
          <cell r="AB7468" t="str">
            <v>WB</v>
          </cell>
          <cell r="AF7468">
            <v>0</v>
          </cell>
        </row>
        <row r="7469">
          <cell r="A7469" t="str">
            <v>IS_alqt_plus</v>
          </cell>
          <cell r="K7469" t="str">
            <v>LCAT</v>
          </cell>
          <cell r="M7469" t="str">
            <v>F</v>
          </cell>
          <cell r="AB7469" t="str">
            <v>WB</v>
          </cell>
          <cell r="AF7469">
            <v>1</v>
          </cell>
        </row>
        <row r="7470">
          <cell r="A7470" t="str">
            <v>IS_alqt_plus</v>
          </cell>
          <cell r="K7470" t="str">
            <v>LCAT</v>
          </cell>
          <cell r="M7470" t="str">
            <v>F</v>
          </cell>
          <cell r="AB7470" t="str">
            <v>WB</v>
          </cell>
          <cell r="AF7470">
            <v>1</v>
          </cell>
        </row>
        <row r="7471">
          <cell r="A7471" t="str">
            <v>IS_alqt_plus</v>
          </cell>
          <cell r="K7471" t="str">
            <v>LCAT</v>
          </cell>
          <cell r="M7471" t="str">
            <v>F</v>
          </cell>
          <cell r="AB7471" t="str">
            <v>WB</v>
          </cell>
          <cell r="AF7471">
            <v>1</v>
          </cell>
        </row>
        <row r="7472">
          <cell r="A7472" t="str">
            <v>IS_alqt_plus</v>
          </cell>
          <cell r="K7472" t="str">
            <v>LCAT</v>
          </cell>
          <cell r="M7472" t="str">
            <v>F</v>
          </cell>
          <cell r="AB7472" t="str">
            <v>serum</v>
          </cell>
          <cell r="AF7472">
            <v>0.4</v>
          </cell>
        </row>
        <row r="7473">
          <cell r="A7473" t="str">
            <v>IS_alqt_plus</v>
          </cell>
          <cell r="K7473" t="str">
            <v>LCAT</v>
          </cell>
          <cell r="M7473" t="str">
            <v>F</v>
          </cell>
          <cell r="AB7473" t="str">
            <v>serum</v>
          </cell>
          <cell r="AF7473">
            <v>0.5</v>
          </cell>
        </row>
        <row r="7474">
          <cell r="A7474" t="str">
            <v>IS_alqt_plus</v>
          </cell>
          <cell r="K7474" t="str">
            <v>LCAT</v>
          </cell>
          <cell r="M7474" t="str">
            <v>F</v>
          </cell>
          <cell r="AB7474" t="str">
            <v>WB</v>
          </cell>
          <cell r="AF7474">
            <v>1</v>
          </cell>
        </row>
        <row r="7475">
          <cell r="A7475" t="str">
            <v>IS_alqt_plus</v>
          </cell>
          <cell r="K7475" t="str">
            <v>LCAT</v>
          </cell>
          <cell r="M7475" t="str">
            <v>F</v>
          </cell>
          <cell r="AB7475" t="str">
            <v>serum</v>
          </cell>
          <cell r="AF7475">
            <v>1.1000000000000001</v>
          </cell>
        </row>
        <row r="7476">
          <cell r="A7476" t="str">
            <v>IS_alqt_plus</v>
          </cell>
          <cell r="K7476" t="str">
            <v>EMAC</v>
          </cell>
          <cell r="M7476" t="str">
            <v>F</v>
          </cell>
          <cell r="AB7476" t="str">
            <v>serum</v>
          </cell>
          <cell r="AF7476">
            <v>1</v>
          </cell>
        </row>
        <row r="7477">
          <cell r="A7477" t="str">
            <v>IS_alqt_plus</v>
          </cell>
          <cell r="K7477" t="str">
            <v>EMAC</v>
          </cell>
          <cell r="M7477" t="str">
            <v>M</v>
          </cell>
          <cell r="AB7477" t="str">
            <v>serum</v>
          </cell>
          <cell r="AF7477">
            <v>1.5</v>
          </cell>
        </row>
        <row r="7478">
          <cell r="A7478" t="str">
            <v>gone</v>
          </cell>
          <cell r="K7478" t="str">
            <v>EMAC</v>
          </cell>
          <cell r="M7478" t="str">
            <v>F</v>
          </cell>
          <cell r="AB7478" t="str">
            <v>WB</v>
          </cell>
          <cell r="AF7478">
            <v>0</v>
          </cell>
        </row>
        <row r="7479">
          <cell r="A7479" t="str">
            <v>gone</v>
          </cell>
          <cell r="K7479" t="str">
            <v>EMAC</v>
          </cell>
          <cell r="M7479" t="str">
            <v>M</v>
          </cell>
          <cell r="AB7479" t="str">
            <v>WB</v>
          </cell>
          <cell r="AF7479">
            <v>0</v>
          </cell>
        </row>
        <row r="7480">
          <cell r="A7480" t="str">
            <v>IS_alqt_minus</v>
          </cell>
          <cell r="K7480" t="str">
            <v>NPYG</v>
          </cell>
          <cell r="M7480" t="str">
            <v>F</v>
          </cell>
          <cell r="AB7480" t="str">
            <v>WB</v>
          </cell>
          <cell r="AF7480">
            <v>0.1</v>
          </cell>
        </row>
        <row r="7481">
          <cell r="A7481" t="str">
            <v>IS_alqt_plus</v>
          </cell>
          <cell r="K7481" t="str">
            <v>PCOQ</v>
          </cell>
          <cell r="M7481" t="str">
            <v>F</v>
          </cell>
          <cell r="AB7481" t="str">
            <v>serum</v>
          </cell>
          <cell r="AF7481">
            <v>0.3</v>
          </cell>
        </row>
        <row r="7482">
          <cell r="A7482" t="str">
            <v>IS_alqt_plus</v>
          </cell>
          <cell r="K7482" t="str">
            <v>LCAT</v>
          </cell>
          <cell r="M7482" t="str">
            <v>F</v>
          </cell>
          <cell r="AB7482" t="str">
            <v>WB</v>
          </cell>
          <cell r="AF7482">
            <v>1</v>
          </cell>
        </row>
        <row r="7483">
          <cell r="A7483" t="str">
            <v>IS_alqt_plus</v>
          </cell>
          <cell r="K7483" t="str">
            <v>LCAT</v>
          </cell>
          <cell r="M7483" t="str">
            <v>F</v>
          </cell>
          <cell r="AB7483" t="str">
            <v>WB</v>
          </cell>
          <cell r="AF7483">
            <v>1</v>
          </cell>
        </row>
        <row r="7484">
          <cell r="A7484" t="str">
            <v>IS_alqt_plus</v>
          </cell>
          <cell r="K7484" t="str">
            <v>LCAT</v>
          </cell>
          <cell r="M7484" t="str">
            <v>F</v>
          </cell>
          <cell r="AB7484" t="str">
            <v>WB</v>
          </cell>
          <cell r="AF7484">
            <v>1</v>
          </cell>
        </row>
        <row r="7485">
          <cell r="A7485" t="str">
            <v>IS_alqt_plus</v>
          </cell>
          <cell r="K7485" t="str">
            <v>LCAT</v>
          </cell>
          <cell r="M7485" t="str">
            <v>M</v>
          </cell>
          <cell r="AB7485" t="str">
            <v>serum</v>
          </cell>
          <cell r="AF7485">
            <v>1.1000000000000001</v>
          </cell>
        </row>
        <row r="7486">
          <cell r="A7486" t="str">
            <v>IS_alqt_plus</v>
          </cell>
          <cell r="K7486" t="str">
            <v>PCOQ</v>
          </cell>
          <cell r="M7486" t="str">
            <v>F</v>
          </cell>
          <cell r="AB7486" t="str">
            <v>serum</v>
          </cell>
          <cell r="AF7486">
            <v>1.05</v>
          </cell>
        </row>
        <row r="7487">
          <cell r="A7487" t="str">
            <v>IS_alqt_plus</v>
          </cell>
          <cell r="K7487" t="str">
            <v>LCAT</v>
          </cell>
          <cell r="M7487" t="str">
            <v>F</v>
          </cell>
          <cell r="AB7487" t="str">
            <v>WB</v>
          </cell>
          <cell r="AF7487">
            <v>1</v>
          </cell>
        </row>
        <row r="7488">
          <cell r="A7488" t="str">
            <v>IS_alqt_plus</v>
          </cell>
          <cell r="K7488" t="str">
            <v>PCOQ</v>
          </cell>
          <cell r="M7488" t="str">
            <v>F</v>
          </cell>
          <cell r="AB7488" t="str">
            <v>serum</v>
          </cell>
          <cell r="AF7488">
            <v>1</v>
          </cell>
        </row>
        <row r="7489">
          <cell r="A7489" t="str">
            <v>IS_alqt_plus</v>
          </cell>
          <cell r="K7489" t="str">
            <v>EUL</v>
          </cell>
          <cell r="M7489" t="str">
            <v>M</v>
          </cell>
          <cell r="AB7489" t="str">
            <v>serum</v>
          </cell>
          <cell r="AF7489">
            <v>1</v>
          </cell>
        </row>
        <row r="7490">
          <cell r="A7490" t="str">
            <v>IS_alqt_plus</v>
          </cell>
          <cell r="K7490" t="str">
            <v>EMON</v>
          </cell>
          <cell r="M7490" t="str">
            <v>F</v>
          </cell>
          <cell r="AB7490" t="str">
            <v>WB</v>
          </cell>
          <cell r="AF7490">
            <v>1</v>
          </cell>
        </row>
        <row r="7491">
          <cell r="A7491" t="str">
            <v>IS_alqt_plus</v>
          </cell>
          <cell r="K7491" t="str">
            <v>LCAT</v>
          </cell>
          <cell r="M7491" t="str">
            <v>F</v>
          </cell>
          <cell r="AB7491" t="str">
            <v>WB</v>
          </cell>
          <cell r="AF7491">
            <v>1</v>
          </cell>
        </row>
        <row r="7492">
          <cell r="A7492" t="str">
            <v>IS_alqt_plus</v>
          </cell>
          <cell r="K7492" t="str">
            <v>LCAT</v>
          </cell>
          <cell r="M7492" t="str">
            <v>F</v>
          </cell>
          <cell r="AB7492" t="str">
            <v>serum</v>
          </cell>
          <cell r="AF7492">
            <v>1.25</v>
          </cell>
        </row>
        <row r="7493">
          <cell r="A7493" t="str">
            <v>unk</v>
          </cell>
          <cell r="K7493" t="str">
            <v>ECOR</v>
          </cell>
          <cell r="M7493" t="str">
            <v>F</v>
          </cell>
          <cell r="AB7493" t="str">
            <v>WB</v>
          </cell>
          <cell r="AF7493">
            <v>1</v>
          </cell>
        </row>
        <row r="7494">
          <cell r="A7494" t="str">
            <v>IS_alqt_plus</v>
          </cell>
          <cell r="K7494" t="str">
            <v>LCAT</v>
          </cell>
          <cell r="M7494" t="str">
            <v>F</v>
          </cell>
          <cell r="AB7494" t="str">
            <v>WB</v>
          </cell>
          <cell r="AF7494">
            <v>1</v>
          </cell>
        </row>
        <row r="7495">
          <cell r="A7495" t="str">
            <v>IS_alqt_minus</v>
          </cell>
          <cell r="K7495" t="str">
            <v>CMED</v>
          </cell>
          <cell r="M7495" t="str">
            <v>F</v>
          </cell>
          <cell r="AB7495" t="str">
            <v>WB</v>
          </cell>
          <cell r="AF7495">
            <v>0.15</v>
          </cell>
        </row>
        <row r="7496">
          <cell r="A7496" t="str">
            <v>gone</v>
          </cell>
          <cell r="K7496" t="str">
            <v>ECOR</v>
          </cell>
          <cell r="M7496" t="str">
            <v>F</v>
          </cell>
          <cell r="AB7496" t="str">
            <v>WB</v>
          </cell>
          <cell r="AF7496">
            <v>0</v>
          </cell>
        </row>
        <row r="7497">
          <cell r="A7497" t="str">
            <v>IS_alqt_plus</v>
          </cell>
          <cell r="K7497" t="str">
            <v>LCAT</v>
          </cell>
          <cell r="M7497" t="str">
            <v>F</v>
          </cell>
          <cell r="AB7497" t="str">
            <v>WB</v>
          </cell>
          <cell r="AF7497">
            <v>1</v>
          </cell>
        </row>
        <row r="7498">
          <cell r="A7498" t="str">
            <v>IS_alqt_plus</v>
          </cell>
          <cell r="K7498" t="str">
            <v>LCAT</v>
          </cell>
          <cell r="M7498" t="str">
            <v>M</v>
          </cell>
          <cell r="AB7498" t="str">
            <v>WB</v>
          </cell>
          <cell r="AF7498">
            <v>0.2</v>
          </cell>
        </row>
        <row r="7499">
          <cell r="A7499" t="str">
            <v>IS_alqt_plus</v>
          </cell>
          <cell r="K7499" t="str">
            <v>VRUB</v>
          </cell>
          <cell r="M7499" t="str">
            <v>F</v>
          </cell>
          <cell r="AB7499" t="str">
            <v>WB</v>
          </cell>
          <cell r="AF7499">
            <v>1.2</v>
          </cell>
        </row>
        <row r="7500">
          <cell r="A7500" t="str">
            <v>IS_alqt_plus</v>
          </cell>
          <cell r="K7500" t="str">
            <v>LCAT</v>
          </cell>
          <cell r="M7500" t="str">
            <v>M</v>
          </cell>
          <cell r="AB7500" t="str">
            <v>serum</v>
          </cell>
          <cell r="AF7500">
            <v>1.1000000000000001</v>
          </cell>
        </row>
        <row r="7501">
          <cell r="A7501" t="str">
            <v>IS_alqt_plus</v>
          </cell>
          <cell r="K7501" t="str">
            <v>LCAT</v>
          </cell>
          <cell r="M7501" t="str">
            <v>F</v>
          </cell>
          <cell r="AB7501" t="str">
            <v>serum</v>
          </cell>
          <cell r="AF7501">
            <v>1</v>
          </cell>
        </row>
        <row r="7502">
          <cell r="A7502" t="str">
            <v>IS_alqt_plus</v>
          </cell>
          <cell r="K7502" t="str">
            <v>VRUB</v>
          </cell>
          <cell r="M7502" t="str">
            <v>F</v>
          </cell>
          <cell r="AB7502" t="str">
            <v>serum</v>
          </cell>
          <cell r="AF7502">
            <v>1.2</v>
          </cell>
        </row>
        <row r="7503">
          <cell r="A7503" t="str">
            <v>IS_alqt_plus</v>
          </cell>
          <cell r="K7503" t="str">
            <v>LCAT</v>
          </cell>
          <cell r="M7503" t="str">
            <v>M</v>
          </cell>
          <cell r="AB7503" t="str">
            <v>WB</v>
          </cell>
          <cell r="AF7503">
            <v>0.2</v>
          </cell>
        </row>
        <row r="7504">
          <cell r="A7504" t="str">
            <v>gone</v>
          </cell>
          <cell r="K7504" t="str">
            <v>PCOQ</v>
          </cell>
          <cell r="M7504" t="str">
            <v>M</v>
          </cell>
          <cell r="AB7504" t="str">
            <v>serum</v>
          </cell>
          <cell r="AF7504">
            <v>0</v>
          </cell>
        </row>
        <row r="7505">
          <cell r="A7505" t="str">
            <v>IS_alqt_plus</v>
          </cell>
          <cell r="K7505" t="str">
            <v>LCAT</v>
          </cell>
          <cell r="M7505" t="str">
            <v>M</v>
          </cell>
          <cell r="AB7505" t="str">
            <v>WB</v>
          </cell>
          <cell r="AF7505">
            <v>0.2</v>
          </cell>
        </row>
        <row r="7506">
          <cell r="A7506" t="str">
            <v>IS_alqt_plus</v>
          </cell>
          <cell r="K7506" t="str">
            <v>PCOQ</v>
          </cell>
          <cell r="M7506" t="str">
            <v>M</v>
          </cell>
          <cell r="AB7506" t="str">
            <v>serum</v>
          </cell>
          <cell r="AF7506">
            <v>1.3</v>
          </cell>
        </row>
        <row r="7507">
          <cell r="A7507" t="str">
            <v>IS_alqt_plus</v>
          </cell>
          <cell r="K7507" t="str">
            <v>LCAT</v>
          </cell>
          <cell r="M7507" t="str">
            <v>M</v>
          </cell>
          <cell r="AB7507" t="str">
            <v>WB</v>
          </cell>
          <cell r="AF7507">
            <v>0.2</v>
          </cell>
        </row>
        <row r="7508">
          <cell r="A7508" t="str">
            <v>IS_alqt_plus</v>
          </cell>
          <cell r="K7508" t="str">
            <v>LCAT</v>
          </cell>
          <cell r="M7508" t="str">
            <v>M</v>
          </cell>
          <cell r="AB7508" t="str">
            <v>WB</v>
          </cell>
          <cell r="AF7508">
            <v>0.2</v>
          </cell>
        </row>
        <row r="7509">
          <cell r="A7509" t="str">
            <v>IS_alqt_plus</v>
          </cell>
          <cell r="K7509" t="str">
            <v>PCOQ</v>
          </cell>
          <cell r="M7509" t="str">
            <v>F</v>
          </cell>
          <cell r="AB7509" t="str">
            <v>serum</v>
          </cell>
          <cell r="AF7509">
            <v>1</v>
          </cell>
        </row>
        <row r="7510">
          <cell r="A7510" t="str">
            <v>IS_alqt_minus</v>
          </cell>
          <cell r="K7510" t="str">
            <v>CMED</v>
          </cell>
          <cell r="M7510" t="str">
            <v>F</v>
          </cell>
          <cell r="AB7510" t="str">
            <v>WB</v>
          </cell>
          <cell r="AF7510">
            <v>0.05</v>
          </cell>
        </row>
        <row r="7511">
          <cell r="A7511" t="str">
            <v>IS_alqt_plus</v>
          </cell>
          <cell r="K7511" t="str">
            <v>LCAT</v>
          </cell>
          <cell r="M7511" t="str">
            <v>M</v>
          </cell>
          <cell r="AB7511" t="str">
            <v>WB</v>
          </cell>
          <cell r="AF7511">
            <v>0.2</v>
          </cell>
        </row>
        <row r="7512">
          <cell r="A7512" t="str">
            <v>IS_alqt_plus</v>
          </cell>
          <cell r="K7512" t="str">
            <v>PCOQ</v>
          </cell>
          <cell r="M7512" t="str">
            <v>M</v>
          </cell>
          <cell r="AB7512" t="str">
            <v>serum</v>
          </cell>
          <cell r="AF7512">
            <v>0.4</v>
          </cell>
        </row>
        <row r="7513">
          <cell r="A7513" t="str">
            <v>IS_alqt_plus</v>
          </cell>
          <cell r="K7513" t="str">
            <v>DMAD</v>
          </cell>
          <cell r="M7513" t="str">
            <v>F</v>
          </cell>
          <cell r="AB7513" t="str">
            <v>serum</v>
          </cell>
          <cell r="AF7513">
            <v>1.25</v>
          </cell>
        </row>
        <row r="7514">
          <cell r="A7514" t="str">
            <v>IS_alqt_plus</v>
          </cell>
          <cell r="K7514" t="str">
            <v>DMAD</v>
          </cell>
          <cell r="M7514" t="str">
            <v>F</v>
          </cell>
          <cell r="AB7514" t="str">
            <v>WB</v>
          </cell>
          <cell r="AF7514">
            <v>0.75</v>
          </cell>
        </row>
        <row r="7515">
          <cell r="A7515" t="str">
            <v>IS_alqt_plus</v>
          </cell>
          <cell r="K7515" t="str">
            <v>EFLA</v>
          </cell>
          <cell r="M7515" t="str">
            <v>M</v>
          </cell>
          <cell r="AB7515" t="str">
            <v>serum</v>
          </cell>
          <cell r="AF7515">
            <v>1.5</v>
          </cell>
        </row>
        <row r="7516">
          <cell r="A7516" t="str">
            <v>IS_alqt_plus</v>
          </cell>
          <cell r="K7516" t="str">
            <v>EFLA</v>
          </cell>
          <cell r="M7516" t="str">
            <v>M</v>
          </cell>
          <cell r="AB7516" t="str">
            <v>serum</v>
          </cell>
          <cell r="AF7516">
            <v>1.5</v>
          </cell>
        </row>
        <row r="7517">
          <cell r="A7517" t="str">
            <v>IS_alqt_plus</v>
          </cell>
          <cell r="K7517" t="str">
            <v>EFLA</v>
          </cell>
          <cell r="M7517" t="str">
            <v>M</v>
          </cell>
          <cell r="AB7517" t="str">
            <v>WB</v>
          </cell>
          <cell r="AF7517">
            <v>0.75</v>
          </cell>
        </row>
        <row r="7518">
          <cell r="A7518" t="str">
            <v>IS_alqt_plus</v>
          </cell>
          <cell r="K7518" t="str">
            <v>EFLA</v>
          </cell>
          <cell r="M7518" t="str">
            <v>M</v>
          </cell>
          <cell r="AB7518" t="str">
            <v>WB</v>
          </cell>
          <cell r="AF7518">
            <v>0.85</v>
          </cell>
        </row>
        <row r="7519">
          <cell r="A7519" t="str">
            <v>IS_alqt_plus</v>
          </cell>
          <cell r="K7519" t="str">
            <v>DMAD</v>
          </cell>
          <cell r="M7519" t="str">
            <v>M</v>
          </cell>
          <cell r="AB7519" t="str">
            <v>serum</v>
          </cell>
          <cell r="AF7519">
            <v>0.9</v>
          </cell>
        </row>
        <row r="7520">
          <cell r="A7520" t="str">
            <v>IS_alqt_plus</v>
          </cell>
          <cell r="K7520" t="str">
            <v>DMAD</v>
          </cell>
          <cell r="M7520" t="str">
            <v>M</v>
          </cell>
          <cell r="AB7520" t="str">
            <v>WB</v>
          </cell>
          <cell r="AF7520">
            <v>1</v>
          </cell>
        </row>
        <row r="7521">
          <cell r="A7521" t="str">
            <v>gone</v>
          </cell>
          <cell r="K7521" t="str">
            <v>LCAT</v>
          </cell>
          <cell r="M7521" t="str">
            <v>M</v>
          </cell>
          <cell r="AB7521" t="str">
            <v>WB</v>
          </cell>
          <cell r="AF7521">
            <v>0</v>
          </cell>
        </row>
        <row r="7522">
          <cell r="A7522" t="str">
            <v>IS_alqt_plus</v>
          </cell>
          <cell r="K7522" t="str">
            <v>LCAT</v>
          </cell>
          <cell r="M7522" t="str">
            <v>M</v>
          </cell>
          <cell r="AB7522" t="str">
            <v>WB</v>
          </cell>
          <cell r="AF7522">
            <v>1</v>
          </cell>
        </row>
        <row r="7523">
          <cell r="A7523" t="str">
            <v>IS_alqt_plus</v>
          </cell>
          <cell r="K7523" t="str">
            <v>LCAT</v>
          </cell>
          <cell r="M7523" t="str">
            <v>F</v>
          </cell>
          <cell r="AB7523" t="str">
            <v>WB</v>
          </cell>
          <cell r="AF7523">
            <v>1</v>
          </cell>
        </row>
        <row r="7524">
          <cell r="A7524" t="str">
            <v>IS_alqt_plus</v>
          </cell>
          <cell r="K7524" t="str">
            <v>LCAT</v>
          </cell>
          <cell r="M7524" t="str">
            <v>M</v>
          </cell>
          <cell r="AB7524" t="str">
            <v>serum</v>
          </cell>
          <cell r="AF7524">
            <v>0.8</v>
          </cell>
        </row>
        <row r="7525">
          <cell r="A7525" t="str">
            <v>IS_alqt_plus</v>
          </cell>
          <cell r="K7525" t="str">
            <v>LCAT</v>
          </cell>
          <cell r="M7525" t="str">
            <v>F</v>
          </cell>
          <cell r="AB7525" t="str">
            <v>serum</v>
          </cell>
          <cell r="AF7525">
            <v>1.25</v>
          </cell>
        </row>
        <row r="7526">
          <cell r="A7526" t="str">
            <v>IS_alqt_plus</v>
          </cell>
          <cell r="K7526" t="str">
            <v>LCAT</v>
          </cell>
          <cell r="M7526" t="str">
            <v>F</v>
          </cell>
          <cell r="AB7526" t="str">
            <v>serum</v>
          </cell>
          <cell r="AF7526">
            <v>1.1000000000000001</v>
          </cell>
        </row>
        <row r="7527">
          <cell r="A7527" t="str">
            <v>IS_alqt_plus</v>
          </cell>
          <cell r="K7527" t="str">
            <v>PCOQ</v>
          </cell>
          <cell r="M7527" t="str">
            <v>F</v>
          </cell>
          <cell r="AB7527" t="str">
            <v>serum</v>
          </cell>
          <cell r="AF7527">
            <v>1.1000000000000001</v>
          </cell>
        </row>
        <row r="7528">
          <cell r="A7528" t="str">
            <v>IS_alqt_plus</v>
          </cell>
          <cell r="K7528" t="str">
            <v>LCAT</v>
          </cell>
          <cell r="M7528" t="str">
            <v>F</v>
          </cell>
          <cell r="AB7528" t="str">
            <v>WB</v>
          </cell>
          <cell r="AF7528">
            <v>1.2</v>
          </cell>
        </row>
        <row r="7529">
          <cell r="A7529" t="str">
            <v>IS_alqt_plus</v>
          </cell>
          <cell r="K7529" t="str">
            <v>EMON</v>
          </cell>
          <cell r="M7529" t="str">
            <v>F</v>
          </cell>
          <cell r="AB7529" t="str">
            <v>WB</v>
          </cell>
          <cell r="AF7529">
            <v>1</v>
          </cell>
        </row>
        <row r="7530">
          <cell r="A7530" t="str">
            <v>gone</v>
          </cell>
          <cell r="K7530" t="str">
            <v>EMON</v>
          </cell>
          <cell r="M7530" t="str">
            <v>F</v>
          </cell>
          <cell r="AB7530" t="str">
            <v>WB</v>
          </cell>
          <cell r="AF7530">
            <v>0</v>
          </cell>
        </row>
        <row r="7531">
          <cell r="A7531" t="str">
            <v>IS_alqt_plus</v>
          </cell>
          <cell r="K7531" t="str">
            <v>EMON</v>
          </cell>
          <cell r="M7531" t="str">
            <v>F</v>
          </cell>
          <cell r="AB7531" t="str">
            <v>WB</v>
          </cell>
          <cell r="AF7531">
            <v>1.2</v>
          </cell>
        </row>
        <row r="7532">
          <cell r="A7532" t="str">
            <v>IS_alqt_plus</v>
          </cell>
          <cell r="K7532" t="str">
            <v>EMON</v>
          </cell>
          <cell r="M7532" t="str">
            <v>F</v>
          </cell>
          <cell r="AB7532" t="str">
            <v>WB</v>
          </cell>
          <cell r="AF7532">
            <v>1</v>
          </cell>
        </row>
        <row r="7533">
          <cell r="A7533" t="str">
            <v>IS_alqt_plus</v>
          </cell>
          <cell r="K7533" t="str">
            <v>EMON</v>
          </cell>
          <cell r="M7533" t="str">
            <v>F</v>
          </cell>
          <cell r="AB7533" t="str">
            <v>WB</v>
          </cell>
          <cell r="AF7533">
            <v>1.1000000000000001</v>
          </cell>
        </row>
        <row r="7534">
          <cell r="A7534" t="str">
            <v>IS_alqt_plus</v>
          </cell>
          <cell r="K7534" t="str">
            <v>EMON</v>
          </cell>
          <cell r="M7534" t="str">
            <v>F</v>
          </cell>
          <cell r="AB7534" t="str">
            <v>WB</v>
          </cell>
          <cell r="AF7534">
            <v>1.2</v>
          </cell>
        </row>
        <row r="7535">
          <cell r="A7535" t="str">
            <v>IS_alqt_plus</v>
          </cell>
          <cell r="K7535" t="str">
            <v>EMON</v>
          </cell>
          <cell r="M7535" t="str">
            <v>F</v>
          </cell>
          <cell r="AB7535" t="str">
            <v>WB</v>
          </cell>
          <cell r="AF7535">
            <v>1.1000000000000001</v>
          </cell>
        </row>
        <row r="7536">
          <cell r="A7536" t="str">
            <v>IS_alqt_plus</v>
          </cell>
          <cell r="K7536" t="str">
            <v>EMON</v>
          </cell>
          <cell r="M7536" t="str">
            <v>F</v>
          </cell>
          <cell r="AB7536" t="str">
            <v>WB</v>
          </cell>
          <cell r="AF7536">
            <v>0.75</v>
          </cell>
        </row>
        <row r="7537">
          <cell r="A7537" t="str">
            <v>IS_alqt_plus</v>
          </cell>
          <cell r="K7537" t="str">
            <v>EMON</v>
          </cell>
          <cell r="M7537" t="str">
            <v>F</v>
          </cell>
          <cell r="AB7537" t="str">
            <v>WB</v>
          </cell>
          <cell r="AF7537">
            <v>0.75</v>
          </cell>
        </row>
        <row r="7538">
          <cell r="A7538" t="str">
            <v>IS_alqt_plus</v>
          </cell>
          <cell r="K7538" t="str">
            <v>EMON</v>
          </cell>
          <cell r="M7538" t="str">
            <v>F</v>
          </cell>
          <cell r="AB7538" t="str">
            <v>WB</v>
          </cell>
          <cell r="AF7538">
            <v>1.1000000000000001</v>
          </cell>
        </row>
        <row r="7539">
          <cell r="A7539" t="str">
            <v>IS_alqt_plus</v>
          </cell>
          <cell r="K7539" t="str">
            <v>EMON</v>
          </cell>
          <cell r="M7539" t="str">
            <v>F</v>
          </cell>
          <cell r="AB7539" t="str">
            <v>WB</v>
          </cell>
          <cell r="AF7539">
            <v>1.2</v>
          </cell>
        </row>
        <row r="7540">
          <cell r="A7540" t="str">
            <v>IS_alqt_plus</v>
          </cell>
          <cell r="K7540" t="str">
            <v>EMON</v>
          </cell>
          <cell r="M7540" t="str">
            <v>F</v>
          </cell>
          <cell r="AB7540" t="str">
            <v>WB</v>
          </cell>
          <cell r="AF7540">
            <v>1</v>
          </cell>
        </row>
        <row r="7541">
          <cell r="A7541" t="str">
            <v>IS_alqt_plus</v>
          </cell>
          <cell r="K7541" t="str">
            <v>EMON</v>
          </cell>
          <cell r="M7541" t="str">
            <v>F</v>
          </cell>
          <cell r="AB7541" t="str">
            <v>WB</v>
          </cell>
          <cell r="AF7541">
            <v>1</v>
          </cell>
        </row>
        <row r="7542">
          <cell r="A7542" t="str">
            <v>IS_alqt_plus</v>
          </cell>
          <cell r="K7542" t="str">
            <v>EMON</v>
          </cell>
          <cell r="M7542" t="str">
            <v>F</v>
          </cell>
          <cell r="AB7542" t="str">
            <v>WB</v>
          </cell>
          <cell r="AF7542">
            <v>1.2</v>
          </cell>
        </row>
        <row r="7543">
          <cell r="A7543" t="str">
            <v>IS_alqt_plus</v>
          </cell>
          <cell r="K7543" t="str">
            <v>EMON</v>
          </cell>
          <cell r="M7543" t="str">
            <v>F</v>
          </cell>
          <cell r="AB7543" t="str">
            <v>WB</v>
          </cell>
          <cell r="AF7543">
            <v>1.1000000000000001</v>
          </cell>
        </row>
        <row r="7544">
          <cell r="A7544" t="str">
            <v>IS_alqt_plus</v>
          </cell>
          <cell r="K7544" t="str">
            <v>EMON</v>
          </cell>
          <cell r="M7544" t="str">
            <v>F</v>
          </cell>
          <cell r="AB7544" t="str">
            <v>WB</v>
          </cell>
          <cell r="AF7544">
            <v>1</v>
          </cell>
        </row>
        <row r="7545">
          <cell r="A7545" t="str">
            <v>IS_alqt_plus</v>
          </cell>
          <cell r="K7545" t="str">
            <v>EMON</v>
          </cell>
          <cell r="M7545" t="str">
            <v>F</v>
          </cell>
          <cell r="AB7545" t="str">
            <v>WB</v>
          </cell>
          <cell r="AF7545">
            <v>1</v>
          </cell>
        </row>
        <row r="7546">
          <cell r="A7546" t="str">
            <v>IS_alqt_plus</v>
          </cell>
          <cell r="K7546" t="str">
            <v>VVV</v>
          </cell>
          <cell r="M7546" t="str">
            <v>F</v>
          </cell>
          <cell r="AB7546" t="str">
            <v>WB</v>
          </cell>
          <cell r="AF7546">
            <v>1</v>
          </cell>
        </row>
        <row r="7547">
          <cell r="A7547" t="str">
            <v>IS_alqt_plus</v>
          </cell>
          <cell r="K7547" t="str">
            <v>VVV</v>
          </cell>
          <cell r="M7547" t="str">
            <v>F</v>
          </cell>
          <cell r="AB7547" t="str">
            <v>WB</v>
          </cell>
          <cell r="AF7547">
            <v>0.9</v>
          </cell>
        </row>
        <row r="7548">
          <cell r="A7548" t="str">
            <v>IS_alqt_plus</v>
          </cell>
          <cell r="K7548" t="str">
            <v>VVV</v>
          </cell>
          <cell r="M7548" t="str">
            <v>F</v>
          </cell>
          <cell r="AB7548" t="str">
            <v>WB</v>
          </cell>
          <cell r="AF7548">
            <v>1</v>
          </cell>
        </row>
        <row r="7549">
          <cell r="A7549" t="str">
            <v>IS_alqt_plus</v>
          </cell>
          <cell r="K7549" t="str">
            <v>VVV</v>
          </cell>
          <cell r="M7549" t="str">
            <v>F</v>
          </cell>
          <cell r="AB7549" t="str">
            <v>WB</v>
          </cell>
          <cell r="AF7549">
            <v>1</v>
          </cell>
        </row>
        <row r="7550">
          <cell r="A7550" t="str">
            <v>IS_alqt_plus</v>
          </cell>
          <cell r="K7550" t="str">
            <v>VVV</v>
          </cell>
          <cell r="M7550" t="str">
            <v>F</v>
          </cell>
          <cell r="AB7550" t="str">
            <v>WB</v>
          </cell>
          <cell r="AF7550">
            <v>1</v>
          </cell>
        </row>
        <row r="7551">
          <cell r="A7551" t="str">
            <v>IS_alqt_plus</v>
          </cell>
          <cell r="K7551" t="str">
            <v>VVV</v>
          </cell>
          <cell r="M7551" t="str">
            <v>F</v>
          </cell>
          <cell r="AB7551" t="str">
            <v>WB</v>
          </cell>
          <cell r="AF7551">
            <v>1</v>
          </cell>
        </row>
        <row r="7552">
          <cell r="A7552" t="str">
            <v>IS_alqt_plus</v>
          </cell>
          <cell r="K7552" t="str">
            <v>VVV</v>
          </cell>
          <cell r="M7552" t="str">
            <v>F</v>
          </cell>
          <cell r="AB7552" t="str">
            <v>WB</v>
          </cell>
          <cell r="AF7552">
            <v>0.9</v>
          </cell>
        </row>
        <row r="7553">
          <cell r="A7553" t="str">
            <v>IS_alqt_plus</v>
          </cell>
          <cell r="K7553" t="str">
            <v>VRUB</v>
          </cell>
          <cell r="M7553" t="str">
            <v>M</v>
          </cell>
          <cell r="AB7553" t="str">
            <v>WB</v>
          </cell>
          <cell r="AF7553">
            <v>0.8</v>
          </cell>
        </row>
        <row r="7554">
          <cell r="A7554" t="str">
            <v>IS_alqt_plus</v>
          </cell>
          <cell r="K7554" t="str">
            <v>VRUB</v>
          </cell>
          <cell r="M7554" t="str">
            <v>F</v>
          </cell>
          <cell r="AB7554" t="str">
            <v>WB</v>
          </cell>
          <cell r="AF7554">
            <v>0.3</v>
          </cell>
        </row>
        <row r="7555">
          <cell r="A7555" t="str">
            <v>IS_alqt_plus</v>
          </cell>
          <cell r="K7555" t="str">
            <v>VRUB</v>
          </cell>
          <cell r="M7555" t="str">
            <v>M</v>
          </cell>
          <cell r="AB7555" t="str">
            <v>serum</v>
          </cell>
          <cell r="AF7555">
            <v>0.75</v>
          </cell>
        </row>
        <row r="7556">
          <cell r="A7556" t="str">
            <v>IS_alqt_plus</v>
          </cell>
          <cell r="K7556" t="str">
            <v>ECOL</v>
          </cell>
          <cell r="M7556" t="str">
            <v>M</v>
          </cell>
          <cell r="AB7556" t="str">
            <v>serum</v>
          </cell>
          <cell r="AF7556">
            <v>0.75</v>
          </cell>
        </row>
        <row r="7557">
          <cell r="A7557" t="str">
            <v>gone</v>
          </cell>
          <cell r="K7557" t="str">
            <v>ECOL</v>
          </cell>
          <cell r="M7557" t="str">
            <v>M</v>
          </cell>
          <cell r="AB7557" t="str">
            <v>WB</v>
          </cell>
          <cell r="AF7557">
            <v>0</v>
          </cell>
        </row>
        <row r="7558">
          <cell r="A7558" t="str">
            <v>gone</v>
          </cell>
          <cell r="K7558" t="str">
            <v>ECOL</v>
          </cell>
          <cell r="M7558" t="str">
            <v>M</v>
          </cell>
          <cell r="AB7558" t="str">
            <v>WB</v>
          </cell>
          <cell r="AF7558">
            <v>0</v>
          </cell>
        </row>
        <row r="7559">
          <cell r="A7559" t="str">
            <v>IS_alqt_plus</v>
          </cell>
          <cell r="K7559" t="str">
            <v>ECOL</v>
          </cell>
          <cell r="M7559" t="str">
            <v>M</v>
          </cell>
          <cell r="AB7559" t="str">
            <v>WB</v>
          </cell>
          <cell r="AF7559">
            <v>0.2</v>
          </cell>
        </row>
        <row r="7560">
          <cell r="A7560" t="str">
            <v>IS_alqt_plus</v>
          </cell>
          <cell r="K7560" t="str">
            <v>EMON</v>
          </cell>
          <cell r="M7560" t="str">
            <v>F</v>
          </cell>
          <cell r="AB7560" t="str">
            <v>WB</v>
          </cell>
          <cell r="AF7560">
            <v>1</v>
          </cell>
        </row>
        <row r="7561">
          <cell r="A7561" t="str">
            <v>IS_alqt_plus</v>
          </cell>
          <cell r="K7561" t="str">
            <v>EMON</v>
          </cell>
          <cell r="M7561" t="str">
            <v>F</v>
          </cell>
          <cell r="AB7561" t="str">
            <v>WB</v>
          </cell>
          <cell r="AF7561">
            <v>1.2</v>
          </cell>
        </row>
        <row r="7562">
          <cell r="A7562" t="str">
            <v>IS_alqt_plus</v>
          </cell>
          <cell r="K7562" t="str">
            <v>PCOQ</v>
          </cell>
          <cell r="M7562" t="str">
            <v>F</v>
          </cell>
          <cell r="AB7562" t="str">
            <v>serum</v>
          </cell>
          <cell r="AF7562">
            <v>0.5</v>
          </cell>
        </row>
        <row r="7563">
          <cell r="A7563" t="str">
            <v>gone</v>
          </cell>
          <cell r="K7563" t="str">
            <v>LCAT</v>
          </cell>
          <cell r="M7563" t="str">
            <v>M</v>
          </cell>
          <cell r="AB7563" t="str">
            <v>WB</v>
          </cell>
          <cell r="AF7563">
            <v>0</v>
          </cell>
        </row>
        <row r="7564">
          <cell r="A7564" t="str">
            <v>IS_alqt_plus</v>
          </cell>
          <cell r="K7564" t="str">
            <v>LCAT</v>
          </cell>
          <cell r="M7564" t="str">
            <v>M</v>
          </cell>
          <cell r="AB7564" t="str">
            <v>WB</v>
          </cell>
          <cell r="AF7564">
            <v>1</v>
          </cell>
        </row>
        <row r="7565">
          <cell r="A7565" t="str">
            <v>IS_alqt_plus</v>
          </cell>
          <cell r="K7565" t="str">
            <v>LCAT</v>
          </cell>
          <cell r="M7565" t="str">
            <v>F</v>
          </cell>
          <cell r="AB7565" t="str">
            <v>serum</v>
          </cell>
          <cell r="AF7565">
            <v>1.5</v>
          </cell>
        </row>
        <row r="7566">
          <cell r="A7566" t="str">
            <v>IS_alqt_plus</v>
          </cell>
          <cell r="K7566" t="str">
            <v>MMUR</v>
          </cell>
          <cell r="M7566" t="str">
            <v>F</v>
          </cell>
          <cell r="AB7566" t="str">
            <v>WB</v>
          </cell>
          <cell r="AF7566">
            <v>0.3</v>
          </cell>
        </row>
        <row r="7567">
          <cell r="A7567" t="str">
            <v>IS_alqt_minus</v>
          </cell>
          <cell r="K7567" t="str">
            <v>MMUR</v>
          </cell>
          <cell r="M7567" t="str">
            <v>F</v>
          </cell>
          <cell r="AB7567" t="str">
            <v>WB</v>
          </cell>
          <cell r="AF7567">
            <v>0.1</v>
          </cell>
        </row>
        <row r="7568">
          <cell r="A7568" t="str">
            <v>IS_alqt_minus</v>
          </cell>
          <cell r="K7568" t="str">
            <v>MMUR</v>
          </cell>
          <cell r="M7568" t="str">
            <v>M</v>
          </cell>
          <cell r="AB7568" t="str">
            <v>WB</v>
          </cell>
          <cell r="AF7568">
            <v>0.05</v>
          </cell>
        </row>
        <row r="7569">
          <cell r="A7569" t="str">
            <v>gone</v>
          </cell>
          <cell r="K7569" t="str">
            <v>MMUR</v>
          </cell>
          <cell r="M7569" t="str">
            <v>F</v>
          </cell>
          <cell r="AB7569" t="str">
            <v>WB</v>
          </cell>
          <cell r="AF7569">
            <v>0</v>
          </cell>
        </row>
        <row r="7570">
          <cell r="A7570" t="str">
            <v>IS_alqt_plus</v>
          </cell>
          <cell r="K7570" t="str">
            <v>MMUR</v>
          </cell>
          <cell r="M7570" t="str">
            <v>M</v>
          </cell>
          <cell r="AB7570" t="str">
            <v>WB</v>
          </cell>
          <cell r="AF7570">
            <v>0.3</v>
          </cell>
        </row>
        <row r="7571">
          <cell r="A7571" t="str">
            <v>IS_alqt_plus</v>
          </cell>
          <cell r="K7571" t="str">
            <v>LCAT</v>
          </cell>
          <cell r="M7571" t="str">
            <v>F</v>
          </cell>
          <cell r="AB7571" t="str">
            <v>WB</v>
          </cell>
          <cell r="AF7571">
            <v>0.4</v>
          </cell>
        </row>
        <row r="7572">
          <cell r="A7572" t="str">
            <v>IS_alqt_plus</v>
          </cell>
          <cell r="K7572" t="str">
            <v>LCAT</v>
          </cell>
          <cell r="M7572" t="str">
            <v>F</v>
          </cell>
          <cell r="AB7572" t="str">
            <v>WB</v>
          </cell>
          <cell r="AF7572">
            <v>0.8</v>
          </cell>
        </row>
        <row r="7573">
          <cell r="A7573" t="str">
            <v>IS_alqt_plus</v>
          </cell>
          <cell r="K7573" t="str">
            <v>VVV</v>
          </cell>
          <cell r="M7573" t="str">
            <v>F</v>
          </cell>
          <cell r="AB7573" t="str">
            <v>serum</v>
          </cell>
          <cell r="AF7573">
            <v>0.5</v>
          </cell>
        </row>
        <row r="7574">
          <cell r="A7574" t="str">
            <v>IS_alqt_plus</v>
          </cell>
          <cell r="K7574" t="str">
            <v>LCAT</v>
          </cell>
          <cell r="M7574" t="str">
            <v>F</v>
          </cell>
          <cell r="AB7574" t="str">
            <v>serum</v>
          </cell>
          <cell r="AF7574">
            <v>0.5</v>
          </cell>
        </row>
        <row r="7575">
          <cell r="A7575" t="str">
            <v>IS_alqt_plus</v>
          </cell>
          <cell r="K7575" t="str">
            <v>LCAT</v>
          </cell>
          <cell r="M7575" t="str">
            <v>F</v>
          </cell>
          <cell r="AB7575" t="str">
            <v>serum</v>
          </cell>
          <cell r="AF7575">
            <v>0.75</v>
          </cell>
        </row>
        <row r="7576">
          <cell r="A7576" t="str">
            <v>IS_alqt_plus</v>
          </cell>
          <cell r="K7576" t="str">
            <v>VRUB</v>
          </cell>
          <cell r="M7576" t="str">
            <v>M</v>
          </cell>
          <cell r="AB7576" t="str">
            <v>WB</v>
          </cell>
          <cell r="AF7576">
            <v>0.6</v>
          </cell>
        </row>
        <row r="7577">
          <cell r="A7577" t="str">
            <v>IS_alqt_plus</v>
          </cell>
          <cell r="K7577" t="str">
            <v>VRUB</v>
          </cell>
          <cell r="M7577" t="str">
            <v>M</v>
          </cell>
          <cell r="AB7577" t="str">
            <v>WB</v>
          </cell>
          <cell r="AF7577">
            <v>0.3</v>
          </cell>
        </row>
        <row r="7578">
          <cell r="A7578" t="str">
            <v>IS_alqt_plus</v>
          </cell>
          <cell r="K7578" t="str">
            <v>VRUB</v>
          </cell>
          <cell r="M7578" t="str">
            <v>F</v>
          </cell>
          <cell r="AB7578" t="str">
            <v>WB</v>
          </cell>
          <cell r="AF7578">
            <v>0.75</v>
          </cell>
        </row>
        <row r="7579">
          <cell r="A7579" t="str">
            <v>IS_alqt_plus</v>
          </cell>
          <cell r="K7579" t="str">
            <v>VRUB</v>
          </cell>
          <cell r="M7579" t="str">
            <v>F</v>
          </cell>
          <cell r="AB7579" t="str">
            <v>WB</v>
          </cell>
          <cell r="AF7579">
            <v>0.5</v>
          </cell>
        </row>
        <row r="7580">
          <cell r="A7580" t="str">
            <v>IS_alqt_plus</v>
          </cell>
          <cell r="K7580" t="str">
            <v>LCAT</v>
          </cell>
          <cell r="M7580" t="str">
            <v>F</v>
          </cell>
          <cell r="AB7580" t="str">
            <v>WB</v>
          </cell>
          <cell r="AF7580">
            <v>1</v>
          </cell>
        </row>
        <row r="7581">
          <cell r="A7581" t="str">
            <v>IS_alqt_plus</v>
          </cell>
          <cell r="K7581" t="str">
            <v>LCAT</v>
          </cell>
          <cell r="M7581" t="str">
            <v>M</v>
          </cell>
          <cell r="AB7581" t="str">
            <v>WB</v>
          </cell>
          <cell r="AF7581">
            <v>1</v>
          </cell>
        </row>
        <row r="7582">
          <cell r="A7582" t="str">
            <v>IS_alqt_plus</v>
          </cell>
          <cell r="K7582" t="str">
            <v>VRUB</v>
          </cell>
          <cell r="M7582" t="str">
            <v>F</v>
          </cell>
          <cell r="AB7582" t="str">
            <v>WB</v>
          </cell>
          <cell r="AF7582">
            <v>1</v>
          </cell>
        </row>
        <row r="7583">
          <cell r="A7583" t="str">
            <v>IS_alqt_plus</v>
          </cell>
          <cell r="K7583" t="str">
            <v>VRUB</v>
          </cell>
          <cell r="M7583" t="str">
            <v>M</v>
          </cell>
          <cell r="AB7583" t="str">
            <v>WB</v>
          </cell>
          <cell r="AF7583">
            <v>1</v>
          </cell>
        </row>
        <row r="7584">
          <cell r="A7584" t="str">
            <v>IS_alqt_plus</v>
          </cell>
          <cell r="K7584" t="str">
            <v>VRUB</v>
          </cell>
          <cell r="M7584" t="str">
            <v>M</v>
          </cell>
          <cell r="AB7584" t="str">
            <v>WB</v>
          </cell>
          <cell r="AF7584">
            <v>0.85</v>
          </cell>
        </row>
        <row r="7585">
          <cell r="A7585" t="str">
            <v>IS_alqt_plus</v>
          </cell>
          <cell r="K7585" t="str">
            <v>VRUB</v>
          </cell>
          <cell r="M7585" t="str">
            <v>F</v>
          </cell>
          <cell r="AB7585" t="str">
            <v>serum</v>
          </cell>
          <cell r="AF7585">
            <v>1.25</v>
          </cell>
        </row>
        <row r="7586">
          <cell r="A7586" t="str">
            <v>IS_alqt_plus</v>
          </cell>
          <cell r="K7586" t="str">
            <v>VRUB</v>
          </cell>
          <cell r="M7586" t="str">
            <v>M</v>
          </cell>
          <cell r="AB7586" t="str">
            <v>serum</v>
          </cell>
          <cell r="AF7586">
            <v>1.3</v>
          </cell>
        </row>
        <row r="7587">
          <cell r="A7587" t="str">
            <v>IS_alqt_plus</v>
          </cell>
          <cell r="K7587" t="str">
            <v>VRUB</v>
          </cell>
          <cell r="M7587" t="str">
            <v>M</v>
          </cell>
          <cell r="AB7587" t="str">
            <v>serum</v>
          </cell>
          <cell r="AF7587">
            <v>1</v>
          </cell>
        </row>
        <row r="7588">
          <cell r="A7588" t="str">
            <v>IS_alqt_plus</v>
          </cell>
          <cell r="K7588" t="str">
            <v>ECOR</v>
          </cell>
          <cell r="M7588" t="str">
            <v>M</v>
          </cell>
          <cell r="AB7588" t="str">
            <v>serum</v>
          </cell>
          <cell r="AF7588">
            <v>1</v>
          </cell>
        </row>
        <row r="7589">
          <cell r="A7589" t="str">
            <v>IS_alqt_plus</v>
          </cell>
          <cell r="K7589" t="str">
            <v>ECOR</v>
          </cell>
          <cell r="M7589" t="str">
            <v>M</v>
          </cell>
          <cell r="AB7589" t="str">
            <v>WB</v>
          </cell>
          <cell r="AF7589">
            <v>0.75</v>
          </cell>
        </row>
        <row r="7590">
          <cell r="A7590" t="str">
            <v>IS_alqt_plus</v>
          </cell>
          <cell r="K7590" t="str">
            <v>MMUR</v>
          </cell>
          <cell r="M7590" t="str">
            <v>F</v>
          </cell>
          <cell r="AB7590" t="str">
            <v>WB</v>
          </cell>
          <cell r="AF7590">
            <v>0.25</v>
          </cell>
        </row>
        <row r="7591">
          <cell r="A7591" t="str">
            <v>IS_alqt_plus</v>
          </cell>
          <cell r="K7591" t="str">
            <v>MMUR</v>
          </cell>
          <cell r="M7591" t="str">
            <v>F</v>
          </cell>
          <cell r="AB7591" t="str">
            <v>WB</v>
          </cell>
          <cell r="AF7591">
            <v>0.3</v>
          </cell>
        </row>
        <row r="7592">
          <cell r="A7592" t="str">
            <v>IS_alqt_plus</v>
          </cell>
          <cell r="K7592" t="str">
            <v>MMUR</v>
          </cell>
          <cell r="M7592" t="str">
            <v>F</v>
          </cell>
          <cell r="AB7592" t="str">
            <v>WB</v>
          </cell>
          <cell r="AF7592">
            <v>0.4</v>
          </cell>
        </row>
        <row r="7593">
          <cell r="A7593" t="str">
            <v>IS_alqt_plus</v>
          </cell>
          <cell r="K7593" t="str">
            <v>EFLA</v>
          </cell>
          <cell r="M7593" t="str">
            <v>F</v>
          </cell>
          <cell r="AB7593" t="str">
            <v>serum</v>
          </cell>
          <cell r="AF7593">
            <v>0.3</v>
          </cell>
        </row>
        <row r="7594">
          <cell r="A7594" t="str">
            <v>IS_alqt_plus</v>
          </cell>
          <cell r="K7594" t="str">
            <v>EFLA</v>
          </cell>
          <cell r="M7594" t="str">
            <v>F</v>
          </cell>
          <cell r="AB7594" t="str">
            <v>serum</v>
          </cell>
          <cell r="AF7594">
            <v>0.2</v>
          </cell>
        </row>
        <row r="7595">
          <cell r="A7595" t="str">
            <v>IS_alqt_plus</v>
          </cell>
          <cell r="K7595" t="str">
            <v>EFLA</v>
          </cell>
          <cell r="M7595" t="str">
            <v>F</v>
          </cell>
          <cell r="AB7595" t="str">
            <v>serum</v>
          </cell>
          <cell r="AF7595">
            <v>0.2</v>
          </cell>
        </row>
        <row r="7596">
          <cell r="A7596" t="str">
            <v>IS_alqt_plus</v>
          </cell>
          <cell r="K7596" t="str">
            <v>EFLA</v>
          </cell>
          <cell r="M7596" t="str">
            <v>F</v>
          </cell>
          <cell r="AB7596" t="str">
            <v>serum</v>
          </cell>
          <cell r="AF7596">
            <v>0.2</v>
          </cell>
        </row>
        <row r="7597">
          <cell r="A7597" t="str">
            <v>IS_alqt_plus</v>
          </cell>
          <cell r="K7597" t="str">
            <v>EFLA</v>
          </cell>
          <cell r="M7597" t="str">
            <v>F</v>
          </cell>
          <cell r="AB7597" t="str">
            <v>serum</v>
          </cell>
          <cell r="AF7597">
            <v>0.2</v>
          </cell>
        </row>
        <row r="7598">
          <cell r="A7598" t="str">
            <v>gone</v>
          </cell>
          <cell r="K7598" t="str">
            <v>CMED</v>
          </cell>
          <cell r="M7598" t="str">
            <v>M</v>
          </cell>
          <cell r="AB7598" t="str">
            <v>WB</v>
          </cell>
          <cell r="AF7598">
            <v>0</v>
          </cell>
        </row>
        <row r="7599">
          <cell r="A7599" t="str">
            <v>gone</v>
          </cell>
          <cell r="K7599" t="str">
            <v>CMED</v>
          </cell>
          <cell r="M7599" t="str">
            <v>M</v>
          </cell>
          <cell r="AB7599" t="str">
            <v>WB</v>
          </cell>
          <cell r="AF7599">
            <v>0</v>
          </cell>
        </row>
        <row r="7600">
          <cell r="A7600" t="str">
            <v>IS_alqt_plus</v>
          </cell>
          <cell r="K7600" t="str">
            <v>EFLA</v>
          </cell>
          <cell r="M7600" t="str">
            <v>M</v>
          </cell>
          <cell r="AB7600" t="str">
            <v>serum</v>
          </cell>
          <cell r="AF7600">
            <v>0.2</v>
          </cell>
        </row>
        <row r="7601">
          <cell r="A7601" t="str">
            <v>IS_alqt_plus</v>
          </cell>
          <cell r="K7601" t="str">
            <v>EFLA</v>
          </cell>
          <cell r="M7601" t="str">
            <v>M</v>
          </cell>
          <cell r="AB7601" t="str">
            <v>serum</v>
          </cell>
          <cell r="AF7601">
            <v>0.2</v>
          </cell>
        </row>
        <row r="7602">
          <cell r="A7602" t="str">
            <v>IS_alqt_plus</v>
          </cell>
          <cell r="K7602" t="str">
            <v>EFLA</v>
          </cell>
          <cell r="M7602" t="str">
            <v>M</v>
          </cell>
          <cell r="AB7602" t="str">
            <v>serum</v>
          </cell>
          <cell r="AF7602">
            <v>0.3</v>
          </cell>
        </row>
        <row r="7603">
          <cell r="A7603" t="str">
            <v>IS_alqt_plus</v>
          </cell>
          <cell r="K7603" t="str">
            <v>EFLA</v>
          </cell>
          <cell r="M7603" t="str">
            <v>F</v>
          </cell>
          <cell r="AB7603" t="str">
            <v>serum</v>
          </cell>
          <cell r="AF7603">
            <v>0.2</v>
          </cell>
        </row>
        <row r="7604">
          <cell r="A7604" t="str">
            <v>IS_alqt_plus</v>
          </cell>
          <cell r="K7604" t="str">
            <v>EFLA</v>
          </cell>
          <cell r="M7604" t="str">
            <v>F</v>
          </cell>
          <cell r="AB7604" t="str">
            <v>serum</v>
          </cell>
          <cell r="AF7604">
            <v>0.2</v>
          </cell>
        </row>
        <row r="7605">
          <cell r="A7605" t="str">
            <v>IS_alqt_plus</v>
          </cell>
          <cell r="K7605" t="str">
            <v>EFLA</v>
          </cell>
          <cell r="M7605" t="str">
            <v>F</v>
          </cell>
          <cell r="AB7605" t="str">
            <v>serum</v>
          </cell>
          <cell r="AF7605">
            <v>0.2</v>
          </cell>
        </row>
        <row r="7606">
          <cell r="A7606" t="str">
            <v>IS_alqt_plus</v>
          </cell>
          <cell r="K7606" t="str">
            <v>EFLA</v>
          </cell>
          <cell r="M7606" t="str">
            <v>F</v>
          </cell>
          <cell r="AB7606" t="str">
            <v>serum</v>
          </cell>
          <cell r="AF7606">
            <v>0.2</v>
          </cell>
        </row>
        <row r="7607">
          <cell r="A7607" t="str">
            <v>IS_alqt_plus</v>
          </cell>
          <cell r="K7607" t="str">
            <v>EFLA</v>
          </cell>
          <cell r="M7607" t="str">
            <v>F</v>
          </cell>
          <cell r="AB7607" t="str">
            <v>serum</v>
          </cell>
          <cell r="AF7607">
            <v>0.2</v>
          </cell>
        </row>
        <row r="7608">
          <cell r="A7608" t="str">
            <v>IS_alqt_plus</v>
          </cell>
          <cell r="K7608" t="str">
            <v>EFLA</v>
          </cell>
          <cell r="M7608" t="str">
            <v>M</v>
          </cell>
          <cell r="AB7608" t="str">
            <v>WB</v>
          </cell>
          <cell r="AF7608">
            <v>1</v>
          </cell>
        </row>
        <row r="7609">
          <cell r="A7609" t="str">
            <v>IS_alqt_plus</v>
          </cell>
          <cell r="K7609" t="str">
            <v>EFLA</v>
          </cell>
          <cell r="M7609" t="str">
            <v>F</v>
          </cell>
          <cell r="AB7609" t="str">
            <v>WB</v>
          </cell>
          <cell r="AF7609">
            <v>0.85</v>
          </cell>
        </row>
        <row r="7610">
          <cell r="A7610" t="str">
            <v>IS_alqt_plus</v>
          </cell>
          <cell r="K7610" t="str">
            <v>EFLA</v>
          </cell>
          <cell r="M7610" t="str">
            <v>F</v>
          </cell>
          <cell r="AB7610" t="str">
            <v>serum</v>
          </cell>
          <cell r="AF7610">
            <v>1.5</v>
          </cell>
        </row>
        <row r="7611">
          <cell r="A7611" t="str">
            <v>gone</v>
          </cell>
          <cell r="K7611" t="str">
            <v>EFLA</v>
          </cell>
          <cell r="M7611" t="str">
            <v>F</v>
          </cell>
          <cell r="AB7611" t="str">
            <v>WB</v>
          </cell>
          <cell r="AF7611">
            <v>0</v>
          </cell>
        </row>
        <row r="7612">
          <cell r="A7612" t="str">
            <v>gone</v>
          </cell>
          <cell r="K7612" t="str">
            <v>CMED</v>
          </cell>
          <cell r="M7612" t="str">
            <v>F</v>
          </cell>
          <cell r="AB7612" t="str">
            <v>WB</v>
          </cell>
          <cell r="AF7612">
            <v>0</v>
          </cell>
        </row>
        <row r="7613">
          <cell r="A7613" t="str">
            <v>IS_alqt_minus</v>
          </cell>
          <cell r="K7613" t="str">
            <v>CMED</v>
          </cell>
          <cell r="M7613" t="str">
            <v>M</v>
          </cell>
          <cell r="AB7613" t="str">
            <v>WB</v>
          </cell>
          <cell r="AF7613">
            <v>0.1</v>
          </cell>
        </row>
        <row r="7614">
          <cell r="A7614" t="str">
            <v>IS_alqt_plus</v>
          </cell>
          <cell r="K7614" t="str">
            <v>LCAT</v>
          </cell>
          <cell r="M7614" t="str">
            <v>F</v>
          </cell>
          <cell r="AB7614" t="str">
            <v>WB</v>
          </cell>
          <cell r="AF7614">
            <v>0.2</v>
          </cell>
        </row>
        <row r="7615">
          <cell r="A7615" t="str">
            <v>IS_alqt_plus</v>
          </cell>
          <cell r="K7615" t="str">
            <v>LCAT</v>
          </cell>
          <cell r="M7615" t="str">
            <v>M</v>
          </cell>
          <cell r="AB7615" t="str">
            <v>serum</v>
          </cell>
          <cell r="AF7615">
            <v>0.5</v>
          </cell>
        </row>
        <row r="7616">
          <cell r="A7616" t="str">
            <v>IS_alqt_plus</v>
          </cell>
          <cell r="K7616" t="str">
            <v>PCOQ</v>
          </cell>
          <cell r="M7616" t="str">
            <v>F</v>
          </cell>
          <cell r="AB7616" t="str">
            <v>serum</v>
          </cell>
          <cell r="AF7616">
            <v>1.2</v>
          </cell>
        </row>
        <row r="7617">
          <cell r="A7617" t="str">
            <v>IS_alqt_plus</v>
          </cell>
          <cell r="K7617" t="str">
            <v>PCOQ</v>
          </cell>
          <cell r="M7617" t="str">
            <v>F</v>
          </cell>
          <cell r="AB7617" t="str">
            <v>serum</v>
          </cell>
          <cell r="AF7617">
            <v>1.1000000000000001</v>
          </cell>
        </row>
        <row r="7618">
          <cell r="A7618" t="str">
            <v>IS_alqt_plus</v>
          </cell>
          <cell r="K7618" t="str">
            <v>PCOQ</v>
          </cell>
          <cell r="M7618" t="str">
            <v>F</v>
          </cell>
          <cell r="AB7618" t="str">
            <v>serum</v>
          </cell>
          <cell r="AF7618">
            <v>1</v>
          </cell>
        </row>
        <row r="7619">
          <cell r="A7619" t="str">
            <v>IS_alqt_plus</v>
          </cell>
          <cell r="K7619" t="str">
            <v>PCOQ</v>
          </cell>
          <cell r="M7619" t="str">
            <v>F</v>
          </cell>
          <cell r="AB7619" t="str">
            <v>serum</v>
          </cell>
          <cell r="AF7619">
            <v>1</v>
          </cell>
        </row>
        <row r="7620">
          <cell r="A7620" t="str">
            <v>IS_alqt_plus</v>
          </cell>
          <cell r="K7620" t="str">
            <v>PCOQ</v>
          </cell>
          <cell r="M7620" t="str">
            <v>F</v>
          </cell>
          <cell r="AB7620" t="str">
            <v>serum</v>
          </cell>
          <cell r="AF7620">
            <v>1</v>
          </cell>
        </row>
        <row r="7621">
          <cell r="A7621" t="str">
            <v>IS_alqt_plus</v>
          </cell>
          <cell r="K7621" t="str">
            <v>PCOQ</v>
          </cell>
          <cell r="M7621" t="str">
            <v>F</v>
          </cell>
          <cell r="AB7621" t="str">
            <v>serum</v>
          </cell>
          <cell r="AF7621">
            <v>1</v>
          </cell>
        </row>
        <row r="7622">
          <cell r="A7622" t="str">
            <v>IS_alqt_plus</v>
          </cell>
          <cell r="K7622" t="str">
            <v>PCOQ</v>
          </cell>
          <cell r="M7622" t="str">
            <v>F</v>
          </cell>
          <cell r="AB7622" t="str">
            <v>serum</v>
          </cell>
          <cell r="AF7622">
            <v>1.1000000000000001</v>
          </cell>
        </row>
        <row r="7623">
          <cell r="A7623" t="str">
            <v>IS_alqt_plus</v>
          </cell>
          <cell r="K7623" t="str">
            <v>PCOQ</v>
          </cell>
          <cell r="M7623" t="str">
            <v>F</v>
          </cell>
          <cell r="AB7623" t="str">
            <v>serum</v>
          </cell>
          <cell r="AF7623">
            <v>1.1000000000000001</v>
          </cell>
        </row>
        <row r="7624">
          <cell r="A7624" t="str">
            <v>IS_alqt_plus</v>
          </cell>
          <cell r="K7624" t="str">
            <v>PCOQ</v>
          </cell>
          <cell r="M7624" t="str">
            <v>F</v>
          </cell>
          <cell r="AB7624" t="str">
            <v>serum</v>
          </cell>
          <cell r="AF7624">
            <v>1.1000000000000001</v>
          </cell>
        </row>
        <row r="7625">
          <cell r="A7625" t="str">
            <v>IS_alqt_plus</v>
          </cell>
          <cell r="K7625" t="str">
            <v>PCOQ</v>
          </cell>
          <cell r="M7625" t="str">
            <v>F</v>
          </cell>
          <cell r="AB7625" t="str">
            <v>serum</v>
          </cell>
          <cell r="AF7625">
            <v>0.6</v>
          </cell>
        </row>
        <row r="7626">
          <cell r="A7626" t="str">
            <v>IS_alqt_plus</v>
          </cell>
          <cell r="K7626" t="str">
            <v>PCOQ</v>
          </cell>
          <cell r="M7626" t="str">
            <v>F</v>
          </cell>
          <cell r="AB7626" t="str">
            <v>serum</v>
          </cell>
          <cell r="AF7626">
            <v>1</v>
          </cell>
        </row>
        <row r="7627">
          <cell r="A7627" t="str">
            <v>IS_alqt_plus</v>
          </cell>
          <cell r="K7627" t="str">
            <v>PCOQ</v>
          </cell>
          <cell r="M7627" t="str">
            <v>F</v>
          </cell>
          <cell r="AB7627" t="str">
            <v>serum</v>
          </cell>
          <cell r="AF7627">
            <v>1.25</v>
          </cell>
        </row>
        <row r="7628">
          <cell r="A7628" t="str">
            <v>IS_alqt_plus</v>
          </cell>
          <cell r="K7628" t="str">
            <v>PCOQ</v>
          </cell>
          <cell r="M7628" t="str">
            <v>F</v>
          </cell>
          <cell r="AB7628" t="str">
            <v>serum</v>
          </cell>
          <cell r="AF7628">
            <v>1.1000000000000001</v>
          </cell>
        </row>
        <row r="7629">
          <cell r="A7629" t="str">
            <v>IS_alqt_plus</v>
          </cell>
          <cell r="K7629" t="str">
            <v>PCOQ</v>
          </cell>
          <cell r="M7629" t="str">
            <v>F</v>
          </cell>
          <cell r="AB7629" t="str">
            <v>serum</v>
          </cell>
          <cell r="AF7629">
            <v>1</v>
          </cell>
        </row>
        <row r="7630">
          <cell r="A7630" t="str">
            <v>IS_alqt_plus</v>
          </cell>
          <cell r="K7630" t="str">
            <v>PCOQ</v>
          </cell>
          <cell r="M7630" t="str">
            <v>F</v>
          </cell>
          <cell r="AB7630" t="str">
            <v>serum</v>
          </cell>
          <cell r="AF7630">
            <v>1.25</v>
          </cell>
        </row>
        <row r="7631">
          <cell r="A7631" t="str">
            <v>IS_alqt_plus</v>
          </cell>
          <cell r="K7631" t="str">
            <v>PCOQ</v>
          </cell>
          <cell r="M7631" t="str">
            <v>F</v>
          </cell>
          <cell r="AB7631" t="str">
            <v>serum</v>
          </cell>
          <cell r="AF7631">
            <v>1.1000000000000001</v>
          </cell>
        </row>
        <row r="7632">
          <cell r="A7632" t="str">
            <v>IS_alqt_plus</v>
          </cell>
          <cell r="K7632" t="str">
            <v>PCOQ</v>
          </cell>
          <cell r="M7632" t="str">
            <v>F</v>
          </cell>
          <cell r="AB7632" t="str">
            <v>serum</v>
          </cell>
          <cell r="AF7632">
            <v>1.1000000000000001</v>
          </cell>
        </row>
        <row r="7633">
          <cell r="A7633" t="str">
            <v>IS_alqt_plus</v>
          </cell>
          <cell r="K7633" t="str">
            <v>PCOQ</v>
          </cell>
          <cell r="M7633" t="str">
            <v>F</v>
          </cell>
          <cell r="AB7633" t="str">
            <v>serum</v>
          </cell>
          <cell r="AF7633">
            <v>1.2</v>
          </cell>
        </row>
        <row r="7634">
          <cell r="A7634" t="str">
            <v>IS_alqt_plus</v>
          </cell>
          <cell r="K7634" t="str">
            <v>PCOQ</v>
          </cell>
          <cell r="M7634" t="str">
            <v>F</v>
          </cell>
          <cell r="AB7634" t="str">
            <v>serum</v>
          </cell>
          <cell r="AF7634">
            <v>1</v>
          </cell>
        </row>
        <row r="7635">
          <cell r="A7635" t="str">
            <v>IS_alqt_plus</v>
          </cell>
          <cell r="K7635" t="str">
            <v>PCOQ</v>
          </cell>
          <cell r="M7635" t="str">
            <v>F</v>
          </cell>
          <cell r="AB7635" t="str">
            <v>serum</v>
          </cell>
          <cell r="AF7635">
            <v>1.25</v>
          </cell>
        </row>
        <row r="7636">
          <cell r="A7636" t="str">
            <v>IS_alqt_plus</v>
          </cell>
          <cell r="K7636" t="str">
            <v>PCOQ</v>
          </cell>
          <cell r="M7636" t="str">
            <v>F</v>
          </cell>
          <cell r="AB7636" t="str">
            <v>serum</v>
          </cell>
          <cell r="AF7636">
            <v>1.1000000000000001</v>
          </cell>
        </row>
        <row r="7637">
          <cell r="A7637" t="str">
            <v>IS_alqt_plus</v>
          </cell>
          <cell r="K7637" t="str">
            <v>PCOQ</v>
          </cell>
          <cell r="M7637" t="str">
            <v>F</v>
          </cell>
          <cell r="AB7637" t="str">
            <v>serum</v>
          </cell>
          <cell r="AF7637">
            <v>1</v>
          </cell>
        </row>
        <row r="7638">
          <cell r="A7638" t="str">
            <v>IS_alqt_plus</v>
          </cell>
          <cell r="K7638" t="str">
            <v>PCOQ</v>
          </cell>
          <cell r="M7638" t="str">
            <v>F</v>
          </cell>
          <cell r="AB7638" t="str">
            <v>serum</v>
          </cell>
          <cell r="AF7638">
            <v>1.25</v>
          </cell>
        </row>
        <row r="7639">
          <cell r="A7639" t="str">
            <v>IS_alqt_plus</v>
          </cell>
          <cell r="K7639" t="str">
            <v>PCOQ</v>
          </cell>
          <cell r="M7639" t="str">
            <v>F</v>
          </cell>
          <cell r="AB7639" t="str">
            <v>serum</v>
          </cell>
          <cell r="AF7639">
            <v>1</v>
          </cell>
        </row>
        <row r="7640">
          <cell r="A7640" t="str">
            <v>IS_alqt_plus</v>
          </cell>
          <cell r="K7640" t="str">
            <v>PCOQ</v>
          </cell>
          <cell r="M7640" t="str">
            <v>F</v>
          </cell>
          <cell r="AB7640" t="str">
            <v>serum</v>
          </cell>
          <cell r="AF7640">
            <v>1.2</v>
          </cell>
        </row>
        <row r="7641">
          <cell r="A7641" t="str">
            <v>IS_alqt_plus</v>
          </cell>
          <cell r="K7641" t="str">
            <v>PCOQ</v>
          </cell>
          <cell r="M7641" t="str">
            <v>F</v>
          </cell>
          <cell r="AB7641" t="str">
            <v>serum</v>
          </cell>
          <cell r="AF7641">
            <v>1.1000000000000001</v>
          </cell>
        </row>
        <row r="7642">
          <cell r="A7642" t="str">
            <v>IS_alqt_plus</v>
          </cell>
          <cell r="K7642" t="str">
            <v>PCOQ</v>
          </cell>
          <cell r="M7642" t="str">
            <v>F</v>
          </cell>
          <cell r="AB7642" t="str">
            <v>serum</v>
          </cell>
          <cell r="AF7642">
            <v>1.25</v>
          </cell>
        </row>
        <row r="7643">
          <cell r="A7643" t="str">
            <v>IS_alqt_plus</v>
          </cell>
          <cell r="K7643" t="str">
            <v>PCOQ</v>
          </cell>
          <cell r="M7643" t="str">
            <v>F</v>
          </cell>
          <cell r="AB7643" t="str">
            <v>serum</v>
          </cell>
          <cell r="AF7643">
            <v>1</v>
          </cell>
        </row>
        <row r="7644">
          <cell r="A7644" t="str">
            <v>IS_alqt_plus</v>
          </cell>
          <cell r="K7644" t="str">
            <v>PCOQ</v>
          </cell>
          <cell r="M7644" t="str">
            <v>F</v>
          </cell>
          <cell r="AB7644" t="str">
            <v>serum</v>
          </cell>
          <cell r="AF7644">
            <v>1.2</v>
          </cell>
        </row>
        <row r="7645">
          <cell r="A7645" t="str">
            <v>IS_alqt_plus</v>
          </cell>
          <cell r="K7645" t="str">
            <v>PCOQ</v>
          </cell>
          <cell r="M7645" t="str">
            <v>F</v>
          </cell>
          <cell r="AB7645" t="str">
            <v>serum</v>
          </cell>
          <cell r="AF7645">
            <v>1.1000000000000001</v>
          </cell>
        </row>
        <row r="7646">
          <cell r="A7646" t="str">
            <v>IS_alqt_plus</v>
          </cell>
          <cell r="K7646" t="str">
            <v>PCOQ</v>
          </cell>
          <cell r="M7646" t="str">
            <v>F</v>
          </cell>
          <cell r="AB7646" t="str">
            <v>serum</v>
          </cell>
          <cell r="AF7646">
            <v>1.25</v>
          </cell>
        </row>
        <row r="7647">
          <cell r="A7647" t="str">
            <v>IS_alqt_plus</v>
          </cell>
          <cell r="K7647" t="str">
            <v>PCOQ</v>
          </cell>
          <cell r="M7647" t="str">
            <v>F</v>
          </cell>
          <cell r="AB7647" t="str">
            <v>serum</v>
          </cell>
          <cell r="AF7647">
            <v>1.1000000000000001</v>
          </cell>
        </row>
        <row r="7648">
          <cell r="A7648" t="str">
            <v>IS_alqt_plus</v>
          </cell>
          <cell r="K7648" t="str">
            <v>PCOQ</v>
          </cell>
          <cell r="M7648" t="str">
            <v>F</v>
          </cell>
          <cell r="AB7648" t="str">
            <v>serum</v>
          </cell>
          <cell r="AF7648">
            <v>1.1000000000000001</v>
          </cell>
        </row>
        <row r="7649">
          <cell r="A7649" t="str">
            <v>IS_alqt_plus</v>
          </cell>
          <cell r="K7649" t="str">
            <v>PCOQ</v>
          </cell>
          <cell r="M7649" t="str">
            <v>F</v>
          </cell>
          <cell r="AB7649" t="str">
            <v>serum</v>
          </cell>
          <cell r="AF7649">
            <v>1.2</v>
          </cell>
        </row>
        <row r="7650">
          <cell r="A7650" t="str">
            <v>IS_alqt_plus</v>
          </cell>
          <cell r="K7650" t="str">
            <v>PCOQ</v>
          </cell>
          <cell r="M7650" t="str">
            <v>F</v>
          </cell>
          <cell r="AB7650" t="str">
            <v>serum</v>
          </cell>
          <cell r="AF7650">
            <v>1</v>
          </cell>
        </row>
        <row r="7651">
          <cell r="A7651" t="str">
            <v>IS_alqt_plus</v>
          </cell>
          <cell r="K7651" t="str">
            <v>PCOQ</v>
          </cell>
          <cell r="M7651" t="str">
            <v>F</v>
          </cell>
          <cell r="AB7651" t="str">
            <v>serum</v>
          </cell>
          <cell r="AF7651">
            <v>1</v>
          </cell>
        </row>
        <row r="7652">
          <cell r="A7652" t="str">
            <v>IS_alqt_plus</v>
          </cell>
          <cell r="K7652" t="str">
            <v>PCOQ</v>
          </cell>
          <cell r="M7652" t="str">
            <v>F</v>
          </cell>
          <cell r="AB7652" t="str">
            <v>serum</v>
          </cell>
          <cell r="AF7652">
            <v>1.3</v>
          </cell>
        </row>
        <row r="7653">
          <cell r="A7653" t="str">
            <v>IS_alqt_plus</v>
          </cell>
          <cell r="K7653" t="str">
            <v>PCOQ</v>
          </cell>
          <cell r="M7653" t="str">
            <v>F</v>
          </cell>
          <cell r="AB7653" t="str">
            <v>serum</v>
          </cell>
          <cell r="AF7653">
            <v>1.25</v>
          </cell>
        </row>
        <row r="7654">
          <cell r="A7654" t="str">
            <v>IS_alqt_plus</v>
          </cell>
          <cell r="K7654" t="str">
            <v>PCOQ</v>
          </cell>
          <cell r="M7654" t="str">
            <v>F</v>
          </cell>
          <cell r="AB7654" t="str">
            <v>serum</v>
          </cell>
          <cell r="AF7654">
            <v>1.2</v>
          </cell>
        </row>
        <row r="7655">
          <cell r="A7655" t="str">
            <v>IS_alqt_plus</v>
          </cell>
          <cell r="K7655" t="str">
            <v>PCOQ</v>
          </cell>
          <cell r="M7655" t="str">
            <v>F</v>
          </cell>
          <cell r="AB7655" t="str">
            <v>serum</v>
          </cell>
          <cell r="AF7655">
            <v>1.1000000000000001</v>
          </cell>
        </row>
        <row r="7656">
          <cell r="A7656" t="str">
            <v>IS_alqt_plus</v>
          </cell>
          <cell r="K7656" t="str">
            <v>PCOQ</v>
          </cell>
          <cell r="M7656" t="str">
            <v>F</v>
          </cell>
          <cell r="AB7656" t="str">
            <v>serum</v>
          </cell>
          <cell r="AF7656">
            <v>1.1000000000000001</v>
          </cell>
        </row>
        <row r="7657">
          <cell r="A7657" t="str">
            <v>IS_alqt_plus</v>
          </cell>
          <cell r="K7657" t="str">
            <v>PCOQ</v>
          </cell>
          <cell r="M7657" t="str">
            <v>F</v>
          </cell>
          <cell r="AB7657" t="str">
            <v>serum</v>
          </cell>
          <cell r="AF7657">
            <v>1.1000000000000001</v>
          </cell>
        </row>
        <row r="7658">
          <cell r="A7658" t="str">
            <v>IS_alqt_plus</v>
          </cell>
          <cell r="K7658" t="str">
            <v>PCOQ</v>
          </cell>
          <cell r="M7658" t="str">
            <v>F</v>
          </cell>
          <cell r="AB7658" t="str">
            <v>serum</v>
          </cell>
          <cell r="AF7658">
            <v>1.2</v>
          </cell>
        </row>
        <row r="7659">
          <cell r="A7659" t="str">
            <v>IS_alqt_plus</v>
          </cell>
          <cell r="K7659" t="str">
            <v>PCOQ</v>
          </cell>
          <cell r="M7659" t="str">
            <v>F</v>
          </cell>
          <cell r="AB7659" t="str">
            <v>serum</v>
          </cell>
          <cell r="AF7659">
            <v>1.2</v>
          </cell>
        </row>
        <row r="7660">
          <cell r="A7660" t="str">
            <v>IS_alqt_plus</v>
          </cell>
          <cell r="K7660" t="str">
            <v>PCOQ</v>
          </cell>
          <cell r="M7660" t="str">
            <v>F</v>
          </cell>
          <cell r="AB7660" t="str">
            <v>serum</v>
          </cell>
          <cell r="AF7660">
            <v>1.2</v>
          </cell>
        </row>
        <row r="7661">
          <cell r="A7661" t="str">
            <v>IS_alqt_plus</v>
          </cell>
          <cell r="K7661" t="str">
            <v>PCOQ</v>
          </cell>
          <cell r="M7661" t="str">
            <v>F</v>
          </cell>
          <cell r="AB7661" t="str">
            <v>serum</v>
          </cell>
          <cell r="AF7661">
            <v>1.1000000000000001</v>
          </cell>
        </row>
        <row r="7662">
          <cell r="A7662" t="str">
            <v>IS_alqt_plus</v>
          </cell>
          <cell r="K7662" t="str">
            <v>PCOQ</v>
          </cell>
          <cell r="M7662" t="str">
            <v>F</v>
          </cell>
          <cell r="AB7662" t="str">
            <v>serum</v>
          </cell>
          <cell r="AF7662">
            <v>1.2</v>
          </cell>
        </row>
        <row r="7663">
          <cell r="A7663" t="str">
            <v>IS_alqt_plus</v>
          </cell>
          <cell r="K7663" t="str">
            <v>PCOQ</v>
          </cell>
          <cell r="M7663" t="str">
            <v>F</v>
          </cell>
          <cell r="AB7663" t="str">
            <v>serum</v>
          </cell>
          <cell r="AF7663">
            <v>0.8</v>
          </cell>
        </row>
        <row r="7664">
          <cell r="A7664" t="str">
            <v>IS_alqt_plus</v>
          </cell>
          <cell r="K7664" t="str">
            <v>LCAT</v>
          </cell>
          <cell r="M7664" t="str">
            <v>F</v>
          </cell>
          <cell r="AB7664" t="str">
            <v>WB</v>
          </cell>
          <cell r="AF7664">
            <v>0.2</v>
          </cell>
        </row>
        <row r="7665">
          <cell r="A7665" t="str">
            <v>IS_alqt_plus</v>
          </cell>
          <cell r="K7665" t="str">
            <v>LCAT</v>
          </cell>
          <cell r="M7665" t="str">
            <v>F</v>
          </cell>
          <cell r="AB7665" t="str">
            <v>WB</v>
          </cell>
          <cell r="AF7665">
            <v>0.2</v>
          </cell>
        </row>
        <row r="7666">
          <cell r="A7666" t="str">
            <v>IS_alqt_plus</v>
          </cell>
          <cell r="K7666" t="str">
            <v>LCAT</v>
          </cell>
          <cell r="M7666" t="str">
            <v>F</v>
          </cell>
          <cell r="AB7666" t="str">
            <v>WB</v>
          </cell>
          <cell r="AF7666">
            <v>0.2</v>
          </cell>
        </row>
        <row r="7667">
          <cell r="A7667" t="str">
            <v>IS_alqt_plus</v>
          </cell>
          <cell r="K7667" t="str">
            <v>LCAT</v>
          </cell>
          <cell r="M7667" t="str">
            <v>F</v>
          </cell>
          <cell r="AB7667" t="str">
            <v>WB</v>
          </cell>
          <cell r="AF7667">
            <v>0.2</v>
          </cell>
        </row>
        <row r="7668">
          <cell r="A7668" t="str">
            <v>IS_alqt_plus</v>
          </cell>
          <cell r="K7668" t="str">
            <v>LCAT</v>
          </cell>
          <cell r="M7668" t="str">
            <v>F</v>
          </cell>
          <cell r="AB7668" t="str">
            <v>WB</v>
          </cell>
          <cell r="AF7668">
            <v>0.2</v>
          </cell>
        </row>
        <row r="7669">
          <cell r="A7669" t="str">
            <v>IS_alqt_plus</v>
          </cell>
          <cell r="K7669" t="str">
            <v>EMON</v>
          </cell>
          <cell r="M7669" t="str">
            <v>M</v>
          </cell>
          <cell r="AB7669" t="str">
            <v>WB</v>
          </cell>
          <cell r="AF7669">
            <v>0.2</v>
          </cell>
        </row>
        <row r="7670">
          <cell r="A7670" t="str">
            <v>IS_alqt_plus</v>
          </cell>
          <cell r="K7670" t="str">
            <v>LCAT</v>
          </cell>
          <cell r="M7670" t="str">
            <v>M</v>
          </cell>
          <cell r="AB7670" t="str">
            <v>WB</v>
          </cell>
          <cell r="AF7670">
            <v>0.7</v>
          </cell>
        </row>
        <row r="7671">
          <cell r="A7671" t="str">
            <v>IS_alqt_plus</v>
          </cell>
          <cell r="K7671" t="str">
            <v>LCAT</v>
          </cell>
          <cell r="M7671" t="str">
            <v>M</v>
          </cell>
          <cell r="AB7671" t="str">
            <v>WB</v>
          </cell>
          <cell r="AF7671">
            <v>1</v>
          </cell>
        </row>
        <row r="7672">
          <cell r="A7672" t="str">
            <v>IS_alqt_plus</v>
          </cell>
          <cell r="K7672" t="str">
            <v>LCAT</v>
          </cell>
          <cell r="M7672" t="str">
            <v>M</v>
          </cell>
          <cell r="AB7672" t="str">
            <v>WB</v>
          </cell>
          <cell r="AF7672">
            <v>1</v>
          </cell>
        </row>
        <row r="7673">
          <cell r="A7673" t="str">
            <v>IS_alqt_plus</v>
          </cell>
          <cell r="K7673" t="str">
            <v>LCAT</v>
          </cell>
          <cell r="M7673" t="str">
            <v>M</v>
          </cell>
          <cell r="AB7673" t="str">
            <v>WB</v>
          </cell>
          <cell r="AF7673">
            <v>1</v>
          </cell>
        </row>
        <row r="7674">
          <cell r="A7674" t="str">
            <v>IS_alqt_plus</v>
          </cell>
          <cell r="K7674" t="str">
            <v>LCAT</v>
          </cell>
          <cell r="M7674" t="str">
            <v>M</v>
          </cell>
          <cell r="AB7674" t="str">
            <v>WB</v>
          </cell>
          <cell r="AF7674">
            <v>1</v>
          </cell>
        </row>
        <row r="7675">
          <cell r="A7675" t="str">
            <v>IS_alqt_plus</v>
          </cell>
          <cell r="K7675" t="str">
            <v>LCAT</v>
          </cell>
          <cell r="M7675" t="str">
            <v>M</v>
          </cell>
          <cell r="AB7675" t="str">
            <v>WB</v>
          </cell>
          <cell r="AF7675">
            <v>1</v>
          </cell>
        </row>
        <row r="7676">
          <cell r="A7676" t="str">
            <v>IS_alqt_plus</v>
          </cell>
          <cell r="K7676" t="str">
            <v>LCAT</v>
          </cell>
          <cell r="M7676" t="str">
            <v>M</v>
          </cell>
          <cell r="AB7676" t="str">
            <v>WB</v>
          </cell>
          <cell r="AF7676">
            <v>1</v>
          </cell>
        </row>
        <row r="7677">
          <cell r="A7677" t="str">
            <v>IS_alqt_plus</v>
          </cell>
          <cell r="K7677" t="str">
            <v>LCAT</v>
          </cell>
          <cell r="M7677" t="str">
            <v>M</v>
          </cell>
          <cell r="AB7677" t="str">
            <v>WB</v>
          </cell>
          <cell r="AF7677">
            <v>1</v>
          </cell>
        </row>
        <row r="7678">
          <cell r="A7678" t="str">
            <v>IS_alqt_plus</v>
          </cell>
          <cell r="K7678" t="str">
            <v>LCAT</v>
          </cell>
          <cell r="M7678" t="str">
            <v>M</v>
          </cell>
          <cell r="AB7678" t="str">
            <v>WB</v>
          </cell>
          <cell r="AF7678">
            <v>1.2</v>
          </cell>
        </row>
        <row r="7679">
          <cell r="A7679" t="str">
            <v>IS_alqt_plus</v>
          </cell>
          <cell r="K7679" t="str">
            <v>LCAT</v>
          </cell>
          <cell r="M7679" t="str">
            <v>M</v>
          </cell>
          <cell r="AB7679" t="str">
            <v>WB</v>
          </cell>
          <cell r="AF7679">
            <v>1.3</v>
          </cell>
        </row>
        <row r="7680">
          <cell r="A7680" t="str">
            <v>IS_alqt_plus</v>
          </cell>
          <cell r="K7680" t="str">
            <v>LCAT</v>
          </cell>
          <cell r="M7680" t="str">
            <v>M</v>
          </cell>
          <cell r="AB7680" t="str">
            <v>WB</v>
          </cell>
          <cell r="AF7680">
            <v>1.3</v>
          </cell>
        </row>
        <row r="7681">
          <cell r="A7681" t="str">
            <v>IS_alqt_plus</v>
          </cell>
          <cell r="K7681" t="str">
            <v>LCAT</v>
          </cell>
          <cell r="M7681" t="str">
            <v>M</v>
          </cell>
          <cell r="AB7681" t="str">
            <v>WB</v>
          </cell>
          <cell r="AF7681">
            <v>1.2</v>
          </cell>
        </row>
        <row r="7682">
          <cell r="A7682" t="str">
            <v>IS_alqt_plus</v>
          </cell>
          <cell r="K7682" t="str">
            <v>LCAT</v>
          </cell>
          <cell r="M7682" t="str">
            <v>M</v>
          </cell>
          <cell r="AB7682" t="str">
            <v>WB</v>
          </cell>
          <cell r="AF7682">
            <v>1.2</v>
          </cell>
        </row>
        <row r="7683">
          <cell r="A7683" t="str">
            <v>IS_alqt_plus</v>
          </cell>
          <cell r="K7683" t="str">
            <v>LCAT</v>
          </cell>
          <cell r="M7683" t="str">
            <v>M</v>
          </cell>
          <cell r="AB7683" t="str">
            <v>WB</v>
          </cell>
          <cell r="AF7683">
            <v>1.2</v>
          </cell>
        </row>
        <row r="7684">
          <cell r="A7684" t="str">
            <v>IS_alqt_plus</v>
          </cell>
          <cell r="K7684" t="str">
            <v>LCAT</v>
          </cell>
          <cell r="M7684" t="str">
            <v>M</v>
          </cell>
          <cell r="AB7684" t="str">
            <v>WB</v>
          </cell>
          <cell r="AF7684">
            <v>0.6</v>
          </cell>
        </row>
        <row r="7685">
          <cell r="A7685" t="str">
            <v>IS_alqt_plus</v>
          </cell>
          <cell r="K7685" t="str">
            <v>LCAT</v>
          </cell>
          <cell r="M7685" t="str">
            <v>M</v>
          </cell>
          <cell r="AB7685" t="str">
            <v>WB</v>
          </cell>
          <cell r="AF7685">
            <v>1.3</v>
          </cell>
        </row>
        <row r="7686">
          <cell r="A7686" t="str">
            <v>IS_alqt_plus</v>
          </cell>
          <cell r="K7686" t="str">
            <v>LCAT</v>
          </cell>
          <cell r="M7686" t="str">
            <v>M</v>
          </cell>
          <cell r="AB7686" t="str">
            <v>WB</v>
          </cell>
          <cell r="AF7686">
            <v>1</v>
          </cell>
        </row>
        <row r="7687">
          <cell r="A7687" t="str">
            <v>IS_alqt_plus</v>
          </cell>
          <cell r="K7687" t="str">
            <v>LCAT</v>
          </cell>
          <cell r="M7687" t="str">
            <v>M</v>
          </cell>
          <cell r="AB7687" t="str">
            <v>WB</v>
          </cell>
          <cell r="AF7687">
            <v>1</v>
          </cell>
        </row>
        <row r="7688">
          <cell r="A7688" t="str">
            <v>IS_alqt_plus</v>
          </cell>
          <cell r="K7688" t="str">
            <v>LCAT</v>
          </cell>
          <cell r="M7688" t="str">
            <v>M</v>
          </cell>
          <cell r="AB7688" t="str">
            <v>WB</v>
          </cell>
          <cell r="AF7688">
            <v>1</v>
          </cell>
        </row>
        <row r="7689">
          <cell r="A7689" t="str">
            <v>IS_alqt_plus</v>
          </cell>
          <cell r="K7689" t="str">
            <v>LCAT</v>
          </cell>
          <cell r="M7689" t="str">
            <v>M</v>
          </cell>
          <cell r="AB7689" t="str">
            <v>WB</v>
          </cell>
          <cell r="AF7689">
            <v>1.3</v>
          </cell>
        </row>
        <row r="7690">
          <cell r="A7690" t="str">
            <v>IS_alqt_plus</v>
          </cell>
          <cell r="K7690" t="str">
            <v>LCAT</v>
          </cell>
          <cell r="M7690" t="str">
            <v>M</v>
          </cell>
          <cell r="AB7690" t="str">
            <v>WB</v>
          </cell>
          <cell r="AF7690">
            <v>1</v>
          </cell>
        </row>
        <row r="7691">
          <cell r="A7691" t="str">
            <v>IS_alqt_plus</v>
          </cell>
          <cell r="K7691" t="str">
            <v>LCAT</v>
          </cell>
          <cell r="M7691" t="str">
            <v>M</v>
          </cell>
          <cell r="AB7691" t="str">
            <v>WB</v>
          </cell>
          <cell r="AF7691">
            <v>1.2</v>
          </cell>
        </row>
        <row r="7692">
          <cell r="A7692" t="str">
            <v>IS_alqt_plus</v>
          </cell>
          <cell r="K7692" t="str">
            <v>LCAT</v>
          </cell>
          <cell r="M7692" t="str">
            <v>M</v>
          </cell>
          <cell r="AB7692" t="str">
            <v>WB</v>
          </cell>
          <cell r="AF7692">
            <v>0.65</v>
          </cell>
        </row>
        <row r="7693">
          <cell r="A7693" t="str">
            <v>IS_alqt_plus</v>
          </cell>
          <cell r="K7693" t="str">
            <v>LCAT</v>
          </cell>
          <cell r="M7693" t="str">
            <v>M</v>
          </cell>
          <cell r="AB7693" t="str">
            <v>WB</v>
          </cell>
          <cell r="AF7693">
            <v>1.2</v>
          </cell>
        </row>
        <row r="7694">
          <cell r="A7694" t="str">
            <v>IS_alqt_plus</v>
          </cell>
          <cell r="K7694" t="str">
            <v>LCAT</v>
          </cell>
          <cell r="M7694" t="str">
            <v>M</v>
          </cell>
          <cell r="AB7694" t="str">
            <v>WB</v>
          </cell>
          <cell r="AF7694">
            <v>0.8</v>
          </cell>
        </row>
        <row r="7695">
          <cell r="A7695" t="str">
            <v>IS_alqt_plus</v>
          </cell>
          <cell r="K7695" t="str">
            <v>LCAT</v>
          </cell>
          <cell r="M7695" t="str">
            <v>M</v>
          </cell>
          <cell r="AB7695" t="str">
            <v>WB</v>
          </cell>
          <cell r="AF7695">
            <v>1</v>
          </cell>
        </row>
        <row r="7696">
          <cell r="A7696" t="str">
            <v>IS_alqt_plus</v>
          </cell>
          <cell r="K7696" t="str">
            <v>LCAT</v>
          </cell>
          <cell r="M7696" t="str">
            <v>M</v>
          </cell>
          <cell r="AB7696" t="str">
            <v>WB</v>
          </cell>
          <cell r="AF7696">
            <v>1</v>
          </cell>
        </row>
        <row r="7697">
          <cell r="A7697" t="str">
            <v>IS_alqt_plus</v>
          </cell>
          <cell r="K7697" t="str">
            <v>LCAT</v>
          </cell>
          <cell r="M7697" t="str">
            <v>M</v>
          </cell>
          <cell r="AB7697" t="str">
            <v>WB</v>
          </cell>
          <cell r="AF7697">
            <v>1</v>
          </cell>
        </row>
        <row r="7698">
          <cell r="A7698" t="str">
            <v>IS_alqt_plus</v>
          </cell>
          <cell r="K7698" t="str">
            <v>LCAT</v>
          </cell>
          <cell r="M7698" t="str">
            <v>M</v>
          </cell>
          <cell r="AB7698" t="str">
            <v>WB</v>
          </cell>
          <cell r="AF7698">
            <v>0.8</v>
          </cell>
        </row>
        <row r="7699">
          <cell r="A7699" t="str">
            <v>IS_alqt_plus</v>
          </cell>
          <cell r="K7699" t="str">
            <v>LCAT</v>
          </cell>
          <cell r="M7699" t="str">
            <v>M</v>
          </cell>
          <cell r="AB7699" t="str">
            <v>WB</v>
          </cell>
          <cell r="AF7699">
            <v>1.2</v>
          </cell>
        </row>
        <row r="7700">
          <cell r="A7700" t="str">
            <v>IS_alqt_plus</v>
          </cell>
          <cell r="K7700" t="str">
            <v>LCAT</v>
          </cell>
          <cell r="M7700" t="str">
            <v>M</v>
          </cell>
          <cell r="AB7700" t="str">
            <v>WB</v>
          </cell>
          <cell r="AF7700">
            <v>1</v>
          </cell>
        </row>
        <row r="7701">
          <cell r="A7701" t="str">
            <v>IS_alqt_plus</v>
          </cell>
          <cell r="K7701" t="str">
            <v>LCAT</v>
          </cell>
          <cell r="M7701" t="str">
            <v>M</v>
          </cell>
          <cell r="AB7701" t="str">
            <v>WB</v>
          </cell>
          <cell r="AF7701">
            <v>1</v>
          </cell>
        </row>
        <row r="7702">
          <cell r="A7702" t="str">
            <v>IS_alqt_plus</v>
          </cell>
          <cell r="K7702" t="str">
            <v>LCAT</v>
          </cell>
          <cell r="M7702" t="str">
            <v>M</v>
          </cell>
          <cell r="AB7702" t="str">
            <v>WB</v>
          </cell>
          <cell r="AF7702">
            <v>1</v>
          </cell>
        </row>
        <row r="7703">
          <cell r="A7703" t="str">
            <v>IS_alqt_plus</v>
          </cell>
          <cell r="K7703" t="str">
            <v>LCAT</v>
          </cell>
          <cell r="M7703" t="str">
            <v>M</v>
          </cell>
          <cell r="AB7703" t="str">
            <v>WB</v>
          </cell>
          <cell r="AF7703">
            <v>1.2</v>
          </cell>
        </row>
        <row r="7704">
          <cell r="A7704" t="str">
            <v>IS_alqt_plus</v>
          </cell>
          <cell r="K7704" t="str">
            <v>LCAT</v>
          </cell>
          <cell r="M7704" t="str">
            <v>M</v>
          </cell>
          <cell r="AB7704" t="str">
            <v>WB</v>
          </cell>
          <cell r="AF7704">
            <v>1</v>
          </cell>
        </row>
        <row r="7705">
          <cell r="A7705" t="str">
            <v>IS_alqt_plus</v>
          </cell>
          <cell r="K7705" t="str">
            <v>LCAT</v>
          </cell>
          <cell r="M7705" t="str">
            <v>M</v>
          </cell>
          <cell r="AB7705" t="str">
            <v>WB</v>
          </cell>
          <cell r="AF7705">
            <v>0.8</v>
          </cell>
        </row>
        <row r="7706">
          <cell r="A7706" t="str">
            <v>IS_alqt_plus</v>
          </cell>
          <cell r="K7706" t="str">
            <v>LCAT</v>
          </cell>
          <cell r="M7706" t="str">
            <v>M</v>
          </cell>
          <cell r="AB7706" t="str">
            <v>WB</v>
          </cell>
          <cell r="AF7706">
            <v>1</v>
          </cell>
        </row>
        <row r="7707">
          <cell r="A7707" t="str">
            <v>IS_alqt_plus</v>
          </cell>
          <cell r="K7707" t="str">
            <v>LCAT</v>
          </cell>
          <cell r="M7707" t="str">
            <v>M</v>
          </cell>
          <cell r="AB7707" t="str">
            <v>WB</v>
          </cell>
          <cell r="AF7707">
            <v>1.5</v>
          </cell>
        </row>
        <row r="7708">
          <cell r="A7708" t="str">
            <v>IS_alqt_plus</v>
          </cell>
          <cell r="K7708" t="str">
            <v>LCAT</v>
          </cell>
          <cell r="M7708" t="str">
            <v>F</v>
          </cell>
          <cell r="AB7708" t="str">
            <v>WB</v>
          </cell>
          <cell r="AF7708">
            <v>0.2</v>
          </cell>
        </row>
        <row r="7709">
          <cell r="A7709" t="str">
            <v>IS_alqt_plus</v>
          </cell>
          <cell r="K7709" t="str">
            <v>LCAT</v>
          </cell>
          <cell r="M7709" t="str">
            <v>F</v>
          </cell>
          <cell r="AB7709" t="str">
            <v>WB</v>
          </cell>
          <cell r="AF7709">
            <v>0.2</v>
          </cell>
        </row>
        <row r="7710">
          <cell r="A7710" t="str">
            <v>IS_alqt_plus</v>
          </cell>
          <cell r="K7710" t="str">
            <v>LCAT</v>
          </cell>
          <cell r="M7710" t="str">
            <v>F</v>
          </cell>
          <cell r="AB7710" t="str">
            <v>WB</v>
          </cell>
          <cell r="AF7710">
            <v>0.2</v>
          </cell>
        </row>
        <row r="7711">
          <cell r="A7711" t="str">
            <v>IS_alqt_plus</v>
          </cell>
          <cell r="K7711" t="str">
            <v>LCAT</v>
          </cell>
          <cell r="M7711" t="str">
            <v>F</v>
          </cell>
          <cell r="AB7711" t="str">
            <v>WB</v>
          </cell>
          <cell r="AF7711">
            <v>0.5</v>
          </cell>
        </row>
        <row r="7712">
          <cell r="A7712" t="str">
            <v>IS_alqt_minus</v>
          </cell>
          <cell r="K7712" t="str">
            <v>NPYG</v>
          </cell>
          <cell r="M7712" t="str">
            <v>M</v>
          </cell>
          <cell r="AB7712" t="str">
            <v>WB</v>
          </cell>
          <cell r="AF7712">
            <v>0.1</v>
          </cell>
        </row>
        <row r="7713">
          <cell r="A7713" t="str">
            <v>IS_alqt_minus</v>
          </cell>
          <cell r="K7713" t="str">
            <v>NPYG</v>
          </cell>
          <cell r="M7713" t="str">
            <v>M</v>
          </cell>
          <cell r="AB7713" t="str">
            <v>WB</v>
          </cell>
          <cell r="AF7713">
            <v>0.1</v>
          </cell>
        </row>
        <row r="7714">
          <cell r="A7714" t="str">
            <v>IS_alqt_plus</v>
          </cell>
          <cell r="K7714" t="str">
            <v>LCAT</v>
          </cell>
          <cell r="M7714" t="str">
            <v>M</v>
          </cell>
          <cell r="AB7714" t="str">
            <v>serum</v>
          </cell>
          <cell r="AF7714">
            <v>1</v>
          </cell>
        </row>
        <row r="7715">
          <cell r="A7715" t="str">
            <v>IS_alqt_plus</v>
          </cell>
          <cell r="K7715" t="str">
            <v>VVV</v>
          </cell>
          <cell r="M7715" t="str">
            <v>F</v>
          </cell>
          <cell r="AB7715" t="str">
            <v>WB</v>
          </cell>
          <cell r="AF7715">
            <v>0.3</v>
          </cell>
        </row>
        <row r="7716">
          <cell r="A7716" t="str">
            <v>IS_alqt_plus</v>
          </cell>
          <cell r="K7716" t="str">
            <v>NPYG</v>
          </cell>
          <cell r="M7716" t="str">
            <v>M</v>
          </cell>
          <cell r="AB7716" t="str">
            <v>WB</v>
          </cell>
          <cell r="AF7716">
            <v>1</v>
          </cell>
        </row>
        <row r="7717">
          <cell r="A7717" t="str">
            <v>IS_alqt_plus</v>
          </cell>
          <cell r="K7717" t="str">
            <v>NPYG</v>
          </cell>
          <cell r="M7717" t="str">
            <v>M</v>
          </cell>
          <cell r="AB7717" t="str">
            <v>WB</v>
          </cell>
          <cell r="AF7717">
            <v>1</v>
          </cell>
        </row>
        <row r="7718">
          <cell r="A7718" t="str">
            <v>IS_alqt_plus</v>
          </cell>
          <cell r="K7718" t="str">
            <v>NPYG</v>
          </cell>
          <cell r="M7718" t="str">
            <v>M</v>
          </cell>
          <cell r="AB7718" t="str">
            <v>WB</v>
          </cell>
          <cell r="AF7718">
            <v>1</v>
          </cell>
        </row>
        <row r="7719">
          <cell r="A7719" t="str">
            <v>IS_alqt_plus</v>
          </cell>
          <cell r="K7719" t="str">
            <v>NPYG</v>
          </cell>
          <cell r="M7719" t="str">
            <v>M</v>
          </cell>
          <cell r="AB7719" t="str">
            <v>WB</v>
          </cell>
          <cell r="AF7719">
            <v>1</v>
          </cell>
        </row>
        <row r="7720">
          <cell r="A7720" t="str">
            <v>IS_alqt_plus</v>
          </cell>
          <cell r="K7720" t="str">
            <v>NPYG</v>
          </cell>
          <cell r="M7720" t="str">
            <v>M</v>
          </cell>
          <cell r="AB7720" t="str">
            <v>WB</v>
          </cell>
          <cell r="AF7720">
            <v>1</v>
          </cell>
        </row>
        <row r="7721">
          <cell r="A7721" t="str">
            <v>IS_alqt_plus</v>
          </cell>
          <cell r="K7721" t="str">
            <v>NPYG</v>
          </cell>
          <cell r="M7721" t="str">
            <v>M</v>
          </cell>
          <cell r="AB7721" t="str">
            <v>WB</v>
          </cell>
          <cell r="AF7721">
            <v>1.1000000000000001</v>
          </cell>
        </row>
        <row r="7722">
          <cell r="A7722" t="str">
            <v>IS_alqt_plus</v>
          </cell>
          <cell r="K7722" t="str">
            <v>NPYG</v>
          </cell>
          <cell r="M7722" t="str">
            <v>M</v>
          </cell>
          <cell r="AB7722" t="str">
            <v>WB</v>
          </cell>
          <cell r="AF7722">
            <v>1</v>
          </cell>
        </row>
        <row r="7723">
          <cell r="A7723" t="str">
            <v>IS_alqt_plus</v>
          </cell>
          <cell r="K7723" t="str">
            <v>VRUB</v>
          </cell>
          <cell r="M7723" t="str">
            <v>F</v>
          </cell>
          <cell r="AB7723" t="str">
            <v>WB</v>
          </cell>
          <cell r="AF7723">
            <v>0.4</v>
          </cell>
        </row>
        <row r="7724">
          <cell r="A7724" t="str">
            <v>IS_alqt_plus</v>
          </cell>
          <cell r="K7724" t="str">
            <v>NPYG</v>
          </cell>
          <cell r="M7724" t="str">
            <v>M</v>
          </cell>
          <cell r="AB7724" t="str">
            <v>serum</v>
          </cell>
          <cell r="AF7724">
            <v>1</v>
          </cell>
        </row>
        <row r="7725">
          <cell r="A7725" t="str">
            <v>IS_alqt_plus</v>
          </cell>
          <cell r="K7725" t="str">
            <v>NPYG</v>
          </cell>
          <cell r="M7725" t="str">
            <v>M</v>
          </cell>
          <cell r="AB7725" t="str">
            <v>serum</v>
          </cell>
          <cell r="AF7725">
            <v>1</v>
          </cell>
        </row>
        <row r="7726">
          <cell r="A7726" t="str">
            <v>IS_alqt_plus</v>
          </cell>
          <cell r="K7726" t="str">
            <v>NPYG</v>
          </cell>
          <cell r="M7726" t="str">
            <v>M</v>
          </cell>
          <cell r="AB7726" t="str">
            <v>serum</v>
          </cell>
          <cell r="AF7726">
            <v>1</v>
          </cell>
        </row>
        <row r="7727">
          <cell r="A7727" t="str">
            <v>IS_alqt_plus</v>
          </cell>
          <cell r="K7727" t="str">
            <v>NPYG</v>
          </cell>
          <cell r="M7727" t="str">
            <v>M</v>
          </cell>
          <cell r="AB7727" t="str">
            <v>serum</v>
          </cell>
          <cell r="AF7727">
            <v>1</v>
          </cell>
        </row>
        <row r="7728">
          <cell r="A7728" t="str">
            <v>IS_alqt_plus</v>
          </cell>
          <cell r="K7728" t="str">
            <v>NPYG</v>
          </cell>
          <cell r="M7728" t="str">
            <v>M</v>
          </cell>
          <cell r="AB7728" t="str">
            <v>serum</v>
          </cell>
          <cell r="AF7728">
            <v>1.25</v>
          </cell>
        </row>
        <row r="7729">
          <cell r="A7729" t="str">
            <v>IS_alqt_plus</v>
          </cell>
          <cell r="K7729" t="str">
            <v>NPYG</v>
          </cell>
          <cell r="M7729" t="str">
            <v>M</v>
          </cell>
          <cell r="AB7729" t="str">
            <v>serum</v>
          </cell>
          <cell r="AF7729">
            <v>1</v>
          </cell>
        </row>
        <row r="7730">
          <cell r="A7730" t="str">
            <v>IS_alqt_plus</v>
          </cell>
          <cell r="K7730" t="str">
            <v>NPYG</v>
          </cell>
          <cell r="M7730" t="str">
            <v>M</v>
          </cell>
          <cell r="AB7730" t="str">
            <v>serum</v>
          </cell>
          <cell r="AF7730">
            <v>1.1000000000000001</v>
          </cell>
        </row>
        <row r="7731">
          <cell r="A7731" t="str">
            <v>IS_alqt_plus</v>
          </cell>
          <cell r="K7731" t="str">
            <v>NPYG</v>
          </cell>
          <cell r="M7731" t="str">
            <v>M</v>
          </cell>
          <cell r="AB7731" t="str">
            <v>serum</v>
          </cell>
          <cell r="AF7731">
            <v>1</v>
          </cell>
        </row>
        <row r="7732">
          <cell r="A7732" t="str">
            <v>IS_alqt_plus</v>
          </cell>
          <cell r="K7732" t="str">
            <v>NPYG</v>
          </cell>
          <cell r="M7732" t="str">
            <v>M</v>
          </cell>
          <cell r="AB7732" t="str">
            <v>serum</v>
          </cell>
          <cell r="AF7732">
            <v>1.3</v>
          </cell>
        </row>
        <row r="7733">
          <cell r="A7733" t="str">
            <v>IS_alqt_plus</v>
          </cell>
          <cell r="K7733" t="str">
            <v>NPYG</v>
          </cell>
          <cell r="M7733" t="str">
            <v>M</v>
          </cell>
          <cell r="AB7733" t="str">
            <v>serum</v>
          </cell>
          <cell r="AF7733">
            <v>1.1000000000000001</v>
          </cell>
        </row>
        <row r="7734">
          <cell r="A7734" t="str">
            <v>IS_alqt_plus</v>
          </cell>
          <cell r="K7734" t="str">
            <v>NPYG</v>
          </cell>
          <cell r="M7734" t="str">
            <v>M</v>
          </cell>
          <cell r="AB7734" t="str">
            <v>serum</v>
          </cell>
          <cell r="AF7734">
            <v>0.5</v>
          </cell>
        </row>
        <row r="7735">
          <cell r="A7735" t="str">
            <v>IS_alqt_plus</v>
          </cell>
          <cell r="K7735" t="str">
            <v>VVV</v>
          </cell>
          <cell r="M7735" t="str">
            <v>M</v>
          </cell>
          <cell r="AB7735" t="str">
            <v>WB</v>
          </cell>
          <cell r="AF7735">
            <v>0.65</v>
          </cell>
        </row>
        <row r="7736">
          <cell r="A7736" t="str">
            <v>IS_alqt_plus</v>
          </cell>
          <cell r="K7736" t="str">
            <v>VVV</v>
          </cell>
          <cell r="M7736" t="str">
            <v>M</v>
          </cell>
          <cell r="AB7736" t="str">
            <v>serum</v>
          </cell>
          <cell r="AF7736">
            <v>1</v>
          </cell>
        </row>
        <row r="7737">
          <cell r="A7737" t="str">
            <v>IS_alqt_minus</v>
          </cell>
          <cell r="K7737" t="str">
            <v>CMED</v>
          </cell>
          <cell r="M7737" t="str">
            <v>F</v>
          </cell>
          <cell r="AB7737" t="str">
            <v>WB</v>
          </cell>
          <cell r="AF7737">
            <v>0.1</v>
          </cell>
        </row>
        <row r="7738">
          <cell r="A7738" t="str">
            <v>IS_alqt_minus</v>
          </cell>
          <cell r="K7738" t="str">
            <v>CMED</v>
          </cell>
          <cell r="M7738" t="str">
            <v>M</v>
          </cell>
          <cell r="AB7738" t="str">
            <v>WB</v>
          </cell>
          <cell r="AF7738">
            <v>0.15</v>
          </cell>
        </row>
        <row r="7739">
          <cell r="A7739" t="str">
            <v>IS_alqt_plus</v>
          </cell>
          <cell r="K7739" t="str">
            <v>MMUR</v>
          </cell>
          <cell r="M7739" t="str">
            <v>F</v>
          </cell>
          <cell r="AB7739" t="str">
            <v>serum</v>
          </cell>
          <cell r="AF7739">
            <v>0.5</v>
          </cell>
        </row>
        <row r="7740">
          <cell r="A7740" t="str">
            <v>gone</v>
          </cell>
          <cell r="K7740" t="str">
            <v>MMUR</v>
          </cell>
          <cell r="M7740" t="str">
            <v>F</v>
          </cell>
          <cell r="AB7740" t="str">
            <v>WB</v>
          </cell>
          <cell r="AF7740">
            <v>0</v>
          </cell>
        </row>
        <row r="7741">
          <cell r="A7741" t="str">
            <v>IS_alqt_plus</v>
          </cell>
          <cell r="K7741" t="str">
            <v>NPYG</v>
          </cell>
          <cell r="M7741" t="str">
            <v>F</v>
          </cell>
          <cell r="AB7741" t="str">
            <v>WB</v>
          </cell>
          <cell r="AF7741">
            <v>0.25</v>
          </cell>
        </row>
        <row r="7742">
          <cell r="A7742" t="str">
            <v>IS_alqt_minus</v>
          </cell>
          <cell r="K7742" t="str">
            <v>MMUR</v>
          </cell>
          <cell r="M7742" t="str">
            <v>M</v>
          </cell>
          <cell r="AB7742" t="str">
            <v>WB</v>
          </cell>
          <cell r="AF7742">
            <v>0.15</v>
          </cell>
        </row>
        <row r="7743">
          <cell r="A7743" t="str">
            <v>IS_alqt_minus</v>
          </cell>
          <cell r="K7743" t="str">
            <v>MMUR</v>
          </cell>
          <cell r="M7743" t="str">
            <v>M</v>
          </cell>
          <cell r="AB7743" t="str">
            <v>WB</v>
          </cell>
          <cell r="AF7743">
            <v>0.05</v>
          </cell>
        </row>
        <row r="7744">
          <cell r="A7744" t="str">
            <v>IS_alqt_minus</v>
          </cell>
          <cell r="K7744" t="str">
            <v>MMUR</v>
          </cell>
          <cell r="M7744" t="str">
            <v>M</v>
          </cell>
          <cell r="AB7744" t="str">
            <v>WB</v>
          </cell>
          <cell r="AF7744">
            <v>0.1</v>
          </cell>
        </row>
        <row r="7745">
          <cell r="A7745" t="str">
            <v>IS_alqt_minus</v>
          </cell>
          <cell r="K7745" t="str">
            <v>CMED</v>
          </cell>
          <cell r="M7745" t="str">
            <v>F</v>
          </cell>
          <cell r="AB7745" t="str">
            <v>WB</v>
          </cell>
          <cell r="AF7745">
            <v>0.1</v>
          </cell>
        </row>
        <row r="7746">
          <cell r="A7746" t="str">
            <v>IS_alqt_plus</v>
          </cell>
          <cell r="K7746" t="str">
            <v>LCAT</v>
          </cell>
          <cell r="M7746" t="str">
            <v>F</v>
          </cell>
          <cell r="AB7746" t="str">
            <v>WB</v>
          </cell>
          <cell r="AF7746">
            <v>1</v>
          </cell>
        </row>
        <row r="7747">
          <cell r="A7747" t="str">
            <v>IS_alqt_plus</v>
          </cell>
          <cell r="K7747" t="str">
            <v>LCAT</v>
          </cell>
          <cell r="M7747" t="str">
            <v>F</v>
          </cell>
          <cell r="AB7747" t="str">
            <v>WB</v>
          </cell>
          <cell r="AF7747">
            <v>1</v>
          </cell>
        </row>
        <row r="7748">
          <cell r="A7748" t="str">
            <v>IS_alqt_plus</v>
          </cell>
          <cell r="K7748" t="str">
            <v>LCAT</v>
          </cell>
          <cell r="M7748" t="str">
            <v>F</v>
          </cell>
          <cell r="AB7748" t="str">
            <v>WB</v>
          </cell>
          <cell r="AF7748">
            <v>1</v>
          </cell>
        </row>
        <row r="7749">
          <cell r="A7749" t="str">
            <v>IS_alqt_plus</v>
          </cell>
          <cell r="K7749" t="str">
            <v>LCAT</v>
          </cell>
          <cell r="M7749" t="str">
            <v>F</v>
          </cell>
          <cell r="AB7749" t="str">
            <v>serum</v>
          </cell>
          <cell r="AF7749">
            <v>1</v>
          </cell>
        </row>
        <row r="7750">
          <cell r="A7750" t="str">
            <v>IS_alqt_plus</v>
          </cell>
          <cell r="K7750" t="str">
            <v>LCAT</v>
          </cell>
          <cell r="M7750" t="str">
            <v>F</v>
          </cell>
          <cell r="AB7750" t="str">
            <v>serum</v>
          </cell>
          <cell r="AF7750">
            <v>0.5</v>
          </cell>
        </row>
        <row r="7751">
          <cell r="A7751" t="str">
            <v>IS_alqt_plus</v>
          </cell>
          <cell r="K7751" t="str">
            <v>HGG</v>
          </cell>
          <cell r="M7751" t="str">
            <v>F</v>
          </cell>
          <cell r="AB7751" t="str">
            <v>WB</v>
          </cell>
          <cell r="AF7751">
            <v>0.75</v>
          </cell>
        </row>
        <row r="7752">
          <cell r="A7752" t="str">
            <v>IS_alqt_plus</v>
          </cell>
          <cell r="K7752" t="str">
            <v>LCAT</v>
          </cell>
          <cell r="M7752" t="str">
            <v>F</v>
          </cell>
          <cell r="AB7752" t="str">
            <v>WB</v>
          </cell>
          <cell r="AF7752">
            <v>0.75</v>
          </cell>
        </row>
        <row r="7753">
          <cell r="A7753" t="str">
            <v>IS_alqt_plus</v>
          </cell>
          <cell r="K7753" t="str">
            <v>PCOQ</v>
          </cell>
          <cell r="M7753" t="str">
            <v>M</v>
          </cell>
          <cell r="AB7753" t="str">
            <v>serum</v>
          </cell>
          <cell r="AF7753">
            <v>0.8</v>
          </cell>
        </row>
        <row r="7754">
          <cell r="A7754" t="str">
            <v>IS_alqt_plus</v>
          </cell>
          <cell r="K7754" t="str">
            <v>ECOL</v>
          </cell>
          <cell r="M7754" t="str">
            <v>F</v>
          </cell>
          <cell r="AB7754" t="str">
            <v>serum</v>
          </cell>
          <cell r="AF7754">
            <v>1.25</v>
          </cell>
        </row>
        <row r="7755">
          <cell r="A7755" t="str">
            <v>IS_alqt_plus</v>
          </cell>
          <cell r="K7755" t="str">
            <v>ECOL</v>
          </cell>
          <cell r="M7755" t="str">
            <v>F</v>
          </cell>
          <cell r="AB7755" t="str">
            <v>WB</v>
          </cell>
          <cell r="AF7755">
            <v>1</v>
          </cell>
        </row>
        <row r="7756">
          <cell r="A7756" t="str">
            <v>IS_alqt_plus</v>
          </cell>
          <cell r="K7756" t="str">
            <v>HGG</v>
          </cell>
          <cell r="M7756" t="str">
            <v>F</v>
          </cell>
          <cell r="AB7756" t="str">
            <v>serum</v>
          </cell>
          <cell r="AF7756">
            <v>1</v>
          </cell>
        </row>
        <row r="7757">
          <cell r="A7757" t="str">
            <v>IS_alqt_plus</v>
          </cell>
          <cell r="K7757" t="str">
            <v>HGG</v>
          </cell>
          <cell r="M7757" t="str">
            <v>F</v>
          </cell>
          <cell r="AB7757" t="str">
            <v>serum</v>
          </cell>
          <cell r="AF7757">
            <v>1.1000000000000001</v>
          </cell>
        </row>
        <row r="7758">
          <cell r="A7758" t="str">
            <v>IS_alqt_plus</v>
          </cell>
          <cell r="K7758" t="str">
            <v>HGG</v>
          </cell>
          <cell r="M7758" t="str">
            <v>F</v>
          </cell>
          <cell r="AB7758" t="str">
            <v>serum</v>
          </cell>
          <cell r="AF7758">
            <v>1.5</v>
          </cell>
        </row>
        <row r="7759">
          <cell r="A7759" t="str">
            <v>IS_alqt_plus</v>
          </cell>
          <cell r="K7759" t="str">
            <v>HGG</v>
          </cell>
          <cell r="M7759" t="str">
            <v>F</v>
          </cell>
          <cell r="AB7759" t="str">
            <v>serum</v>
          </cell>
          <cell r="AF7759">
            <v>1.5</v>
          </cell>
        </row>
        <row r="7760">
          <cell r="A7760" t="str">
            <v>IS_alqt_plus</v>
          </cell>
          <cell r="K7760" t="str">
            <v>HGG</v>
          </cell>
          <cell r="M7760" t="str">
            <v>F</v>
          </cell>
          <cell r="AB7760" t="str">
            <v>serum</v>
          </cell>
          <cell r="AF7760">
            <v>1.5</v>
          </cell>
        </row>
        <row r="7761">
          <cell r="A7761" t="str">
            <v>IS_alqt_plus</v>
          </cell>
          <cell r="K7761" t="str">
            <v>HGG</v>
          </cell>
          <cell r="M7761" t="str">
            <v>F</v>
          </cell>
          <cell r="AB7761" t="str">
            <v>serum</v>
          </cell>
          <cell r="AF7761">
            <v>1.5</v>
          </cell>
        </row>
        <row r="7762">
          <cell r="A7762" t="str">
            <v>IS_alqt_plus</v>
          </cell>
          <cell r="K7762" t="str">
            <v>HGG</v>
          </cell>
          <cell r="M7762" t="str">
            <v>F</v>
          </cell>
          <cell r="AB7762" t="str">
            <v>serum</v>
          </cell>
          <cell r="AF7762">
            <v>1.25</v>
          </cell>
        </row>
        <row r="7763">
          <cell r="A7763" t="str">
            <v>IS_alqt_plus</v>
          </cell>
          <cell r="K7763" t="str">
            <v>HGG</v>
          </cell>
          <cell r="M7763" t="str">
            <v>F</v>
          </cell>
          <cell r="AB7763" t="str">
            <v>serum</v>
          </cell>
          <cell r="AF7763">
            <v>1</v>
          </cell>
        </row>
        <row r="7764">
          <cell r="A7764" t="str">
            <v>IS_alqt_plus</v>
          </cell>
          <cell r="K7764" t="str">
            <v>HGG</v>
          </cell>
          <cell r="M7764" t="str">
            <v>F</v>
          </cell>
          <cell r="AB7764" t="str">
            <v>serum</v>
          </cell>
          <cell r="AF7764">
            <v>1.5</v>
          </cell>
        </row>
        <row r="7765">
          <cell r="A7765" t="str">
            <v>IS_alqt_plus</v>
          </cell>
          <cell r="K7765" t="str">
            <v>HGG</v>
          </cell>
          <cell r="M7765" t="str">
            <v>F</v>
          </cell>
          <cell r="AB7765" t="str">
            <v>serum</v>
          </cell>
          <cell r="AF7765">
            <v>1</v>
          </cell>
        </row>
        <row r="7766">
          <cell r="A7766" t="str">
            <v>IS_alqt_plus</v>
          </cell>
          <cell r="K7766" t="str">
            <v>HGG</v>
          </cell>
          <cell r="M7766" t="str">
            <v>F</v>
          </cell>
          <cell r="AB7766" t="str">
            <v>serum</v>
          </cell>
          <cell r="AF7766">
            <v>1.5</v>
          </cell>
        </row>
        <row r="7767">
          <cell r="A7767" t="str">
            <v>IS_alqt_plus</v>
          </cell>
          <cell r="K7767" t="str">
            <v>HGG</v>
          </cell>
          <cell r="M7767" t="str">
            <v>F</v>
          </cell>
          <cell r="AB7767" t="str">
            <v>serum</v>
          </cell>
          <cell r="AF7767">
            <v>1</v>
          </cell>
        </row>
        <row r="7768">
          <cell r="A7768" t="str">
            <v>IS_alqt_plus</v>
          </cell>
          <cell r="K7768" t="str">
            <v>HGG</v>
          </cell>
          <cell r="M7768" t="str">
            <v>F</v>
          </cell>
          <cell r="AB7768" t="str">
            <v>serum</v>
          </cell>
          <cell r="AF7768">
            <v>1</v>
          </cell>
        </row>
        <row r="7769">
          <cell r="A7769" t="str">
            <v>IS_alqt_plus</v>
          </cell>
          <cell r="K7769" t="str">
            <v>HGG</v>
          </cell>
          <cell r="M7769" t="str">
            <v>F</v>
          </cell>
          <cell r="AB7769" t="str">
            <v>serum</v>
          </cell>
          <cell r="AF7769">
            <v>1</v>
          </cell>
        </row>
        <row r="7770">
          <cell r="A7770" t="str">
            <v>IS_alqt_plus</v>
          </cell>
          <cell r="K7770" t="str">
            <v>HGG</v>
          </cell>
          <cell r="M7770" t="str">
            <v>F</v>
          </cell>
          <cell r="AB7770" t="str">
            <v>serum</v>
          </cell>
          <cell r="AF7770">
            <v>1</v>
          </cell>
        </row>
        <row r="7771">
          <cell r="A7771" t="str">
            <v>IS_alqt_plus</v>
          </cell>
          <cell r="K7771" t="str">
            <v>HGG</v>
          </cell>
          <cell r="M7771" t="str">
            <v>F</v>
          </cell>
          <cell r="AB7771" t="str">
            <v>serum</v>
          </cell>
          <cell r="AF7771">
            <v>1</v>
          </cell>
        </row>
        <row r="7772">
          <cell r="A7772" t="str">
            <v>IS_alqt_plus</v>
          </cell>
          <cell r="K7772" t="str">
            <v>HGG</v>
          </cell>
          <cell r="M7772" t="str">
            <v>F</v>
          </cell>
          <cell r="AB7772" t="str">
            <v>serum</v>
          </cell>
          <cell r="AF7772">
            <v>1</v>
          </cell>
        </row>
        <row r="7773">
          <cell r="A7773" t="str">
            <v>IS_alqt_plus</v>
          </cell>
          <cell r="K7773" t="str">
            <v>HGG</v>
          </cell>
          <cell r="M7773" t="str">
            <v>F</v>
          </cell>
          <cell r="AB7773" t="str">
            <v>serum</v>
          </cell>
          <cell r="AF7773">
            <v>1</v>
          </cell>
        </row>
        <row r="7774">
          <cell r="A7774" t="str">
            <v>IS_alqt_plus</v>
          </cell>
          <cell r="K7774" t="str">
            <v>HGG</v>
          </cell>
          <cell r="M7774" t="str">
            <v>F</v>
          </cell>
          <cell r="AB7774" t="str">
            <v>serum</v>
          </cell>
          <cell r="AF7774">
            <v>0.5</v>
          </cell>
        </row>
        <row r="7775">
          <cell r="A7775" t="str">
            <v>IS_alqt_plus</v>
          </cell>
          <cell r="K7775" t="str">
            <v>HGG</v>
          </cell>
          <cell r="M7775" t="str">
            <v>F</v>
          </cell>
          <cell r="AB7775" t="str">
            <v>WB</v>
          </cell>
          <cell r="AF7775">
            <v>1</v>
          </cell>
        </row>
        <row r="7776">
          <cell r="A7776" t="str">
            <v>IS_alqt_plus</v>
          </cell>
          <cell r="K7776" t="str">
            <v>HGG</v>
          </cell>
          <cell r="M7776" t="str">
            <v>F</v>
          </cell>
          <cell r="AB7776" t="str">
            <v>WB</v>
          </cell>
          <cell r="AF7776">
            <v>0.5</v>
          </cell>
        </row>
        <row r="7777">
          <cell r="A7777" t="str">
            <v>IS_alqt_plus</v>
          </cell>
          <cell r="K7777" t="str">
            <v>HGG</v>
          </cell>
          <cell r="M7777" t="str">
            <v>F</v>
          </cell>
          <cell r="AB7777" t="str">
            <v>WB</v>
          </cell>
          <cell r="AF7777">
            <v>1</v>
          </cell>
        </row>
        <row r="7778">
          <cell r="A7778" t="str">
            <v>IS_alqt_plus</v>
          </cell>
          <cell r="K7778" t="str">
            <v>HGG</v>
          </cell>
          <cell r="M7778" t="str">
            <v>F</v>
          </cell>
          <cell r="AB7778" t="str">
            <v>WB</v>
          </cell>
          <cell r="AF7778">
            <v>1</v>
          </cell>
        </row>
        <row r="7779">
          <cell r="A7779" t="str">
            <v>IS_alqt_plus</v>
          </cell>
          <cell r="K7779" t="str">
            <v>HGG</v>
          </cell>
          <cell r="M7779" t="str">
            <v>F</v>
          </cell>
          <cell r="AB7779" t="str">
            <v>WB</v>
          </cell>
          <cell r="AF7779">
            <v>1</v>
          </cell>
        </row>
        <row r="7780">
          <cell r="A7780" t="str">
            <v>IS_alqt_plus</v>
          </cell>
          <cell r="K7780" t="str">
            <v>HGG</v>
          </cell>
          <cell r="M7780" t="str">
            <v>F</v>
          </cell>
          <cell r="AB7780" t="str">
            <v>WB</v>
          </cell>
          <cell r="AF7780">
            <v>1</v>
          </cell>
        </row>
        <row r="7781">
          <cell r="A7781" t="str">
            <v>IS_alqt_plus</v>
          </cell>
          <cell r="K7781" t="str">
            <v>HGG</v>
          </cell>
          <cell r="M7781" t="str">
            <v>F</v>
          </cell>
          <cell r="AB7781" t="str">
            <v>WB</v>
          </cell>
          <cell r="AF7781">
            <v>1</v>
          </cell>
        </row>
        <row r="7782">
          <cell r="A7782" t="str">
            <v>IS_alqt_plus</v>
          </cell>
          <cell r="K7782" t="str">
            <v>HGG</v>
          </cell>
          <cell r="M7782" t="str">
            <v>F</v>
          </cell>
          <cell r="AB7782" t="str">
            <v>WB</v>
          </cell>
          <cell r="AF7782">
            <v>1</v>
          </cell>
        </row>
        <row r="7783">
          <cell r="A7783" t="str">
            <v>IS_alqt_plus</v>
          </cell>
          <cell r="K7783" t="str">
            <v>HGG</v>
          </cell>
          <cell r="M7783" t="str">
            <v>F</v>
          </cell>
          <cell r="AB7783" t="str">
            <v>WB</v>
          </cell>
          <cell r="AF7783">
            <v>1</v>
          </cell>
        </row>
        <row r="7784">
          <cell r="A7784" t="str">
            <v>IS_alqt_plus</v>
          </cell>
          <cell r="K7784" t="str">
            <v>HGG</v>
          </cell>
          <cell r="M7784" t="str">
            <v>F</v>
          </cell>
          <cell r="AB7784" t="str">
            <v>WB</v>
          </cell>
          <cell r="AF7784">
            <v>1</v>
          </cell>
        </row>
        <row r="7785">
          <cell r="A7785" t="str">
            <v>IS_alqt_plus</v>
          </cell>
          <cell r="K7785" t="str">
            <v>HGG</v>
          </cell>
          <cell r="M7785" t="str">
            <v>F</v>
          </cell>
          <cell r="AB7785" t="str">
            <v>WB</v>
          </cell>
          <cell r="AF7785">
            <v>1</v>
          </cell>
        </row>
        <row r="7786">
          <cell r="A7786" t="str">
            <v>gone</v>
          </cell>
          <cell r="K7786" t="str">
            <v>HGG</v>
          </cell>
          <cell r="M7786" t="str">
            <v>F</v>
          </cell>
          <cell r="AB7786" t="str">
            <v>WB</v>
          </cell>
          <cell r="AF7786">
            <v>0</v>
          </cell>
        </row>
        <row r="7787">
          <cell r="A7787" t="str">
            <v>IS_alqt_plus</v>
          </cell>
          <cell r="K7787" t="str">
            <v>HGG</v>
          </cell>
          <cell r="M7787" t="str">
            <v>F</v>
          </cell>
          <cell r="AB7787" t="str">
            <v>WB</v>
          </cell>
          <cell r="AF7787">
            <v>1</v>
          </cell>
        </row>
        <row r="7788">
          <cell r="A7788" t="str">
            <v>IS_alqt_plus</v>
          </cell>
          <cell r="K7788" t="str">
            <v>LCAT</v>
          </cell>
          <cell r="M7788" t="str">
            <v>F</v>
          </cell>
          <cell r="AB7788" t="str">
            <v>WB</v>
          </cell>
          <cell r="AF7788">
            <v>0.75</v>
          </cell>
        </row>
        <row r="7789">
          <cell r="A7789" t="str">
            <v>IS_alqt_plus</v>
          </cell>
          <cell r="K7789" t="str">
            <v>LCAT</v>
          </cell>
          <cell r="M7789" t="str">
            <v>F</v>
          </cell>
          <cell r="AB7789" t="str">
            <v>WB</v>
          </cell>
          <cell r="AF7789">
            <v>0.75</v>
          </cell>
        </row>
        <row r="7790">
          <cell r="A7790" t="str">
            <v>IS_alqt_plus</v>
          </cell>
          <cell r="K7790" t="str">
            <v>LCAT</v>
          </cell>
          <cell r="M7790" t="str">
            <v>M</v>
          </cell>
          <cell r="AB7790" t="str">
            <v>serum</v>
          </cell>
          <cell r="AF7790">
            <v>0.6</v>
          </cell>
        </row>
        <row r="7791">
          <cell r="A7791" t="str">
            <v>IS_alqt_plus</v>
          </cell>
          <cell r="K7791" t="str">
            <v>LCAT</v>
          </cell>
          <cell r="M7791" t="str">
            <v>M</v>
          </cell>
          <cell r="AB7791" t="str">
            <v>serum</v>
          </cell>
          <cell r="AF7791">
            <v>1.1000000000000001</v>
          </cell>
        </row>
        <row r="7792">
          <cell r="A7792" t="str">
            <v>IS_alqt_plus</v>
          </cell>
          <cell r="K7792" t="str">
            <v>LCAT</v>
          </cell>
          <cell r="M7792" t="str">
            <v>M</v>
          </cell>
          <cell r="AB7792" t="str">
            <v>serum</v>
          </cell>
          <cell r="AF7792">
            <v>0.8</v>
          </cell>
        </row>
        <row r="7793">
          <cell r="A7793" t="str">
            <v>IS_alqt_plus</v>
          </cell>
          <cell r="K7793" t="str">
            <v>LCAT</v>
          </cell>
          <cell r="M7793" t="str">
            <v>F</v>
          </cell>
          <cell r="AB7793" t="str">
            <v>WB</v>
          </cell>
          <cell r="AF7793">
            <v>0.5</v>
          </cell>
        </row>
        <row r="7794">
          <cell r="A7794" t="str">
            <v>IS_alqt_plus</v>
          </cell>
          <cell r="K7794" t="str">
            <v>PCOQ</v>
          </cell>
          <cell r="M7794" t="str">
            <v>F</v>
          </cell>
          <cell r="AB7794" t="str">
            <v>serum</v>
          </cell>
          <cell r="AF7794">
            <v>0.5</v>
          </cell>
        </row>
        <row r="7795">
          <cell r="A7795" t="str">
            <v>gone</v>
          </cell>
          <cell r="K7795" t="str">
            <v>LCAT</v>
          </cell>
          <cell r="M7795" t="str">
            <v>F</v>
          </cell>
          <cell r="AB7795" t="str">
            <v>WB</v>
          </cell>
          <cell r="AF7795">
            <v>0</v>
          </cell>
        </row>
        <row r="7796">
          <cell r="A7796" t="str">
            <v>IS_alqt_plus</v>
          </cell>
          <cell r="K7796" t="str">
            <v>LCAT</v>
          </cell>
          <cell r="M7796" t="str">
            <v>F</v>
          </cell>
          <cell r="AB7796" t="str">
            <v>WB</v>
          </cell>
          <cell r="AF7796">
            <v>1.3</v>
          </cell>
        </row>
        <row r="7797">
          <cell r="A7797" t="str">
            <v>unk</v>
          </cell>
          <cell r="K7797" t="str">
            <v>LCAT</v>
          </cell>
          <cell r="M7797" t="str">
            <v>F</v>
          </cell>
          <cell r="AB7797" t="str">
            <v>WB</v>
          </cell>
          <cell r="AF7797">
            <v>0.75</v>
          </cell>
        </row>
        <row r="7798">
          <cell r="A7798" t="str">
            <v>IS_alqt_plus</v>
          </cell>
          <cell r="K7798" t="str">
            <v>PCOQ</v>
          </cell>
          <cell r="M7798" t="str">
            <v>F</v>
          </cell>
          <cell r="AB7798" t="str">
            <v>serum</v>
          </cell>
          <cell r="AF7798">
            <v>1</v>
          </cell>
        </row>
        <row r="7799">
          <cell r="A7799" t="str">
            <v>IS_alqt_plus</v>
          </cell>
          <cell r="K7799" t="str">
            <v>PCOQ</v>
          </cell>
          <cell r="M7799" t="str">
            <v>M</v>
          </cell>
          <cell r="AB7799" t="str">
            <v>serum</v>
          </cell>
          <cell r="AF7799">
            <v>0.5</v>
          </cell>
        </row>
        <row r="7800">
          <cell r="A7800" t="str">
            <v>IS_alqt_plus</v>
          </cell>
          <cell r="K7800" t="str">
            <v>PCOQ</v>
          </cell>
          <cell r="M7800" t="str">
            <v>F</v>
          </cell>
          <cell r="AB7800" t="str">
            <v>serum</v>
          </cell>
          <cell r="AF7800">
            <v>0.3</v>
          </cell>
        </row>
        <row r="7801">
          <cell r="A7801" t="str">
            <v>IS_alqt_plus</v>
          </cell>
          <cell r="K7801" t="str">
            <v>LCAT</v>
          </cell>
          <cell r="M7801" t="str">
            <v>F</v>
          </cell>
          <cell r="AB7801" t="str">
            <v>WB</v>
          </cell>
          <cell r="AF7801">
            <v>0.6</v>
          </cell>
        </row>
        <row r="7802">
          <cell r="A7802" t="str">
            <v>IS_alqt_plus</v>
          </cell>
          <cell r="K7802" t="str">
            <v>VVV</v>
          </cell>
          <cell r="M7802" t="str">
            <v>F</v>
          </cell>
          <cell r="AB7802" t="str">
            <v>WB</v>
          </cell>
          <cell r="AF7802">
            <v>0.6</v>
          </cell>
        </row>
        <row r="7803">
          <cell r="A7803" t="str">
            <v>IS_alqt_plus</v>
          </cell>
          <cell r="K7803" t="str">
            <v>VVV</v>
          </cell>
          <cell r="M7803" t="str">
            <v>F</v>
          </cell>
          <cell r="AB7803" t="str">
            <v>WB</v>
          </cell>
          <cell r="AF7803">
            <v>0.5</v>
          </cell>
        </row>
        <row r="7804">
          <cell r="A7804" t="str">
            <v>IS_alqt_minus</v>
          </cell>
          <cell r="K7804" t="str">
            <v>MMUR</v>
          </cell>
          <cell r="M7804" t="str">
            <v>M</v>
          </cell>
          <cell r="AB7804" t="str">
            <v>WB</v>
          </cell>
          <cell r="AF7804">
            <v>0.15</v>
          </cell>
        </row>
        <row r="7805">
          <cell r="A7805" t="str">
            <v>IS_alqt_plus</v>
          </cell>
          <cell r="K7805" t="str">
            <v>ECOR</v>
          </cell>
          <cell r="M7805" t="str">
            <v>F</v>
          </cell>
          <cell r="AB7805" t="str">
            <v>serum</v>
          </cell>
          <cell r="AF7805">
            <v>0.8</v>
          </cell>
        </row>
        <row r="7806">
          <cell r="A7806" t="str">
            <v>IS_alqt_minus</v>
          </cell>
          <cell r="K7806" t="str">
            <v>CMED</v>
          </cell>
          <cell r="M7806" t="str">
            <v>F</v>
          </cell>
          <cell r="AB7806" t="str">
            <v>WB</v>
          </cell>
          <cell r="AF7806">
            <v>0.1</v>
          </cell>
        </row>
        <row r="7807">
          <cell r="A7807" t="str">
            <v>IS_alqt_plus</v>
          </cell>
          <cell r="K7807" t="str">
            <v>NPYG</v>
          </cell>
          <cell r="M7807" t="str">
            <v>F</v>
          </cell>
          <cell r="AB7807" t="str">
            <v>WB</v>
          </cell>
          <cell r="AF7807">
            <v>0.3</v>
          </cell>
        </row>
        <row r="7808">
          <cell r="A7808" t="str">
            <v>IS_alqt_plus</v>
          </cell>
          <cell r="K7808" t="str">
            <v>LCAT</v>
          </cell>
          <cell r="M7808" t="str">
            <v>F</v>
          </cell>
          <cell r="AB7808" t="str">
            <v>WB</v>
          </cell>
          <cell r="AF7808">
            <v>1</v>
          </cell>
        </row>
        <row r="7809">
          <cell r="A7809" t="str">
            <v>IS_alqt_plus</v>
          </cell>
          <cell r="K7809" t="str">
            <v>EFLA</v>
          </cell>
          <cell r="M7809" t="str">
            <v>M</v>
          </cell>
          <cell r="AB7809" t="str">
            <v>serum</v>
          </cell>
          <cell r="AF7809">
            <v>0.2</v>
          </cell>
        </row>
        <row r="7810">
          <cell r="A7810" t="str">
            <v>IS_alqt_plus</v>
          </cell>
          <cell r="K7810" t="str">
            <v>EFLA</v>
          </cell>
          <cell r="M7810" t="str">
            <v>M</v>
          </cell>
          <cell r="AB7810" t="str">
            <v>serum</v>
          </cell>
          <cell r="AF7810">
            <v>0.2</v>
          </cell>
        </row>
        <row r="7811">
          <cell r="A7811" t="str">
            <v>IS_alqt_plus</v>
          </cell>
          <cell r="K7811" t="str">
            <v>EFLA</v>
          </cell>
          <cell r="M7811" t="str">
            <v>M</v>
          </cell>
          <cell r="AB7811" t="str">
            <v>serum</v>
          </cell>
          <cell r="AF7811">
            <v>0.2</v>
          </cell>
        </row>
        <row r="7812">
          <cell r="A7812" t="str">
            <v>IS_alqt_plus</v>
          </cell>
          <cell r="K7812" t="str">
            <v>EFLA</v>
          </cell>
          <cell r="M7812" t="str">
            <v>M</v>
          </cell>
          <cell r="AB7812" t="str">
            <v>serum</v>
          </cell>
          <cell r="AF7812">
            <v>0.2</v>
          </cell>
        </row>
        <row r="7813">
          <cell r="A7813" t="str">
            <v>IS_alqt_plus</v>
          </cell>
          <cell r="K7813" t="str">
            <v>EFLA</v>
          </cell>
          <cell r="M7813" t="str">
            <v>M</v>
          </cell>
          <cell r="AB7813" t="str">
            <v>serum</v>
          </cell>
          <cell r="AF7813">
            <v>0.2</v>
          </cell>
        </row>
        <row r="7814">
          <cell r="A7814" t="str">
            <v>IS_alqt_plus</v>
          </cell>
          <cell r="K7814" t="str">
            <v>EFLA</v>
          </cell>
          <cell r="M7814" t="str">
            <v>F</v>
          </cell>
          <cell r="AB7814" t="str">
            <v>serum</v>
          </cell>
          <cell r="AF7814">
            <v>1</v>
          </cell>
        </row>
        <row r="7815">
          <cell r="A7815" t="str">
            <v>gone</v>
          </cell>
          <cell r="K7815" t="str">
            <v>EFLA</v>
          </cell>
          <cell r="M7815" t="str">
            <v>M</v>
          </cell>
          <cell r="AB7815" t="str">
            <v>WB</v>
          </cell>
          <cell r="AF7815">
            <v>0</v>
          </cell>
        </row>
        <row r="7816">
          <cell r="A7816" t="str">
            <v>IS_alqt_plus</v>
          </cell>
          <cell r="K7816" t="str">
            <v>EFLA</v>
          </cell>
          <cell r="M7816" t="str">
            <v>F</v>
          </cell>
          <cell r="AB7816" t="str">
            <v>WB</v>
          </cell>
          <cell r="AF7816">
            <v>1.2</v>
          </cell>
        </row>
        <row r="7817">
          <cell r="A7817" t="str">
            <v>IS_alqt_plus</v>
          </cell>
          <cell r="K7817" t="str">
            <v>NPYG</v>
          </cell>
          <cell r="M7817" t="str">
            <v>F</v>
          </cell>
          <cell r="AB7817" t="str">
            <v>WB</v>
          </cell>
          <cell r="AF7817">
            <v>0.2</v>
          </cell>
        </row>
        <row r="7818">
          <cell r="A7818" t="str">
            <v>IS_alqt_plus</v>
          </cell>
          <cell r="K7818" t="str">
            <v>NPYG</v>
          </cell>
          <cell r="M7818" t="str">
            <v>F</v>
          </cell>
          <cell r="AB7818" t="str">
            <v>WB</v>
          </cell>
          <cell r="AF7818">
            <v>0.2</v>
          </cell>
        </row>
        <row r="7819">
          <cell r="A7819" t="str">
            <v>IS_alqt_plus</v>
          </cell>
          <cell r="K7819" t="str">
            <v>NPYG</v>
          </cell>
          <cell r="M7819" t="str">
            <v>F</v>
          </cell>
          <cell r="AB7819" t="str">
            <v>WB</v>
          </cell>
          <cell r="AF7819">
            <v>0.2</v>
          </cell>
        </row>
        <row r="7820">
          <cell r="A7820" t="str">
            <v>IS_alqt_plus</v>
          </cell>
          <cell r="K7820" t="str">
            <v>NPYG</v>
          </cell>
          <cell r="M7820" t="str">
            <v>F</v>
          </cell>
          <cell r="AB7820" t="str">
            <v>WB</v>
          </cell>
          <cell r="AF7820">
            <v>0.2</v>
          </cell>
        </row>
        <row r="7821">
          <cell r="A7821" t="str">
            <v>IS_alqt_plus</v>
          </cell>
          <cell r="K7821" t="str">
            <v>NPYG</v>
          </cell>
          <cell r="M7821" t="str">
            <v>F</v>
          </cell>
          <cell r="AB7821" t="str">
            <v>WB</v>
          </cell>
          <cell r="AF7821">
            <v>1</v>
          </cell>
        </row>
        <row r="7822">
          <cell r="A7822" t="str">
            <v>IS_alqt_plus</v>
          </cell>
          <cell r="K7822" t="str">
            <v>NPYG</v>
          </cell>
          <cell r="M7822" t="str">
            <v>F</v>
          </cell>
          <cell r="AB7822" t="str">
            <v>WB</v>
          </cell>
          <cell r="AF7822">
            <v>0.75</v>
          </cell>
        </row>
        <row r="7823">
          <cell r="A7823" t="str">
            <v>IS_alqt_plus</v>
          </cell>
          <cell r="K7823" t="str">
            <v>NPYG</v>
          </cell>
          <cell r="M7823" t="str">
            <v>F</v>
          </cell>
          <cell r="AB7823" t="str">
            <v>WB</v>
          </cell>
          <cell r="AF7823">
            <v>0.75</v>
          </cell>
        </row>
        <row r="7824">
          <cell r="A7824" t="str">
            <v>IS_alqt_plus</v>
          </cell>
          <cell r="K7824" t="str">
            <v>NPYG</v>
          </cell>
          <cell r="M7824" t="str">
            <v>F</v>
          </cell>
          <cell r="AB7824" t="str">
            <v>WB</v>
          </cell>
          <cell r="AF7824">
            <v>0.75</v>
          </cell>
        </row>
        <row r="7825">
          <cell r="A7825" t="str">
            <v>IS_alqt_plus</v>
          </cell>
          <cell r="K7825" t="str">
            <v>NPYG</v>
          </cell>
          <cell r="M7825" t="str">
            <v>F</v>
          </cell>
          <cell r="AB7825" t="str">
            <v>WB</v>
          </cell>
          <cell r="AF7825">
            <v>0.6</v>
          </cell>
        </row>
        <row r="7826">
          <cell r="A7826" t="str">
            <v>IS_alqt_plus</v>
          </cell>
          <cell r="K7826" t="str">
            <v>NPYG</v>
          </cell>
          <cell r="M7826" t="str">
            <v>F</v>
          </cell>
          <cell r="AB7826" t="str">
            <v>serum</v>
          </cell>
          <cell r="AF7826">
            <v>0.5</v>
          </cell>
        </row>
        <row r="7827">
          <cell r="A7827" t="str">
            <v>IS_alqt_plus</v>
          </cell>
          <cell r="K7827" t="str">
            <v>NPYG</v>
          </cell>
          <cell r="M7827" t="str">
            <v>F</v>
          </cell>
          <cell r="AB7827" t="str">
            <v>serum</v>
          </cell>
          <cell r="AF7827">
            <v>0.5</v>
          </cell>
        </row>
        <row r="7828">
          <cell r="A7828" t="str">
            <v>IS_alqt_plus</v>
          </cell>
          <cell r="K7828" t="str">
            <v>NPYG</v>
          </cell>
          <cell r="M7828" t="str">
            <v>F</v>
          </cell>
          <cell r="AB7828" t="str">
            <v>serum</v>
          </cell>
          <cell r="AF7828">
            <v>0.5</v>
          </cell>
        </row>
        <row r="7829">
          <cell r="A7829" t="str">
            <v>IS_alqt_plus</v>
          </cell>
          <cell r="K7829" t="str">
            <v>NPYG</v>
          </cell>
          <cell r="M7829" t="str">
            <v>F</v>
          </cell>
          <cell r="AB7829" t="str">
            <v>serum</v>
          </cell>
          <cell r="AF7829">
            <v>0.6</v>
          </cell>
        </row>
        <row r="7830">
          <cell r="A7830" t="str">
            <v>IS_alqt_plus</v>
          </cell>
          <cell r="K7830" t="str">
            <v>NPYG</v>
          </cell>
          <cell r="M7830" t="str">
            <v>F</v>
          </cell>
          <cell r="AB7830" t="str">
            <v>serum</v>
          </cell>
          <cell r="AF7830">
            <v>0.6</v>
          </cell>
        </row>
        <row r="7831">
          <cell r="A7831" t="str">
            <v>IS_alqt_plus</v>
          </cell>
          <cell r="K7831" t="str">
            <v>NPYG</v>
          </cell>
          <cell r="M7831" t="str">
            <v>F</v>
          </cell>
          <cell r="AB7831" t="str">
            <v>serum</v>
          </cell>
          <cell r="AF7831">
            <v>0.5</v>
          </cell>
        </row>
        <row r="7832">
          <cell r="A7832" t="str">
            <v>IS_alqt_plus</v>
          </cell>
          <cell r="K7832" t="str">
            <v>NPYG</v>
          </cell>
          <cell r="M7832" t="str">
            <v>F</v>
          </cell>
          <cell r="AB7832" t="str">
            <v>serum</v>
          </cell>
          <cell r="AF7832">
            <v>0.5</v>
          </cell>
        </row>
        <row r="7833">
          <cell r="A7833" t="str">
            <v>IS_alqt_plus</v>
          </cell>
          <cell r="K7833" t="str">
            <v>NPYG</v>
          </cell>
          <cell r="M7833" t="str">
            <v>M</v>
          </cell>
          <cell r="AB7833" t="str">
            <v>WB</v>
          </cell>
          <cell r="AF7833">
            <v>0.2</v>
          </cell>
        </row>
        <row r="7834">
          <cell r="A7834" t="str">
            <v>IS_alqt_plus</v>
          </cell>
          <cell r="K7834" t="str">
            <v>LCAT</v>
          </cell>
          <cell r="M7834" t="str">
            <v>F</v>
          </cell>
          <cell r="AB7834" t="str">
            <v>WB</v>
          </cell>
          <cell r="AF7834">
            <v>0.2</v>
          </cell>
        </row>
        <row r="7835">
          <cell r="A7835" t="str">
            <v>IS_alqt_plus</v>
          </cell>
          <cell r="K7835" t="str">
            <v>NPYG</v>
          </cell>
          <cell r="M7835" t="str">
            <v>M</v>
          </cell>
          <cell r="AB7835" t="str">
            <v>WB</v>
          </cell>
          <cell r="AF7835">
            <v>0.2</v>
          </cell>
        </row>
        <row r="7836">
          <cell r="A7836" t="str">
            <v>IS_alqt_minus</v>
          </cell>
          <cell r="K7836" t="str">
            <v>NPYG</v>
          </cell>
          <cell r="M7836" t="str">
            <v>M</v>
          </cell>
          <cell r="AB7836" t="str">
            <v>WB</v>
          </cell>
          <cell r="AF7836">
            <v>0.1</v>
          </cell>
        </row>
        <row r="7837">
          <cell r="A7837" t="str">
            <v>IS_alqt_plus</v>
          </cell>
          <cell r="K7837" t="str">
            <v>VRUB</v>
          </cell>
          <cell r="M7837" t="str">
            <v>F</v>
          </cell>
          <cell r="AB7837" t="str">
            <v>WB</v>
          </cell>
          <cell r="AF7837">
            <v>0.3</v>
          </cell>
        </row>
        <row r="7838">
          <cell r="A7838" t="str">
            <v>IS_alqt_plus</v>
          </cell>
          <cell r="K7838" t="str">
            <v>VVV</v>
          </cell>
          <cell r="M7838" t="str">
            <v>F</v>
          </cell>
          <cell r="AB7838" t="str">
            <v>WB</v>
          </cell>
          <cell r="AF7838">
            <v>1.2</v>
          </cell>
        </row>
        <row r="7839">
          <cell r="A7839" t="str">
            <v>IS_alqt_plus</v>
          </cell>
          <cell r="K7839" t="str">
            <v>VVV</v>
          </cell>
          <cell r="M7839" t="str">
            <v>F</v>
          </cell>
          <cell r="AB7839" t="str">
            <v>serum</v>
          </cell>
          <cell r="AF7839">
            <v>1</v>
          </cell>
        </row>
        <row r="7840">
          <cell r="A7840" t="str">
            <v>IS_alqt_plus</v>
          </cell>
          <cell r="K7840" t="str">
            <v>DMAD</v>
          </cell>
          <cell r="M7840" t="str">
            <v>F</v>
          </cell>
          <cell r="AB7840" t="str">
            <v>serum</v>
          </cell>
          <cell r="AF7840">
            <v>0.5</v>
          </cell>
        </row>
        <row r="7841">
          <cell r="A7841" t="str">
            <v>IS_alqt_plus</v>
          </cell>
          <cell r="K7841" t="str">
            <v>DMAD</v>
          </cell>
          <cell r="M7841" t="str">
            <v>F</v>
          </cell>
          <cell r="AB7841" t="str">
            <v>serum</v>
          </cell>
          <cell r="AF7841">
            <v>0.5</v>
          </cell>
        </row>
        <row r="7842">
          <cell r="A7842" t="str">
            <v>IS_alqt_plus</v>
          </cell>
          <cell r="K7842" t="str">
            <v>DMAD</v>
          </cell>
          <cell r="M7842" t="str">
            <v>F</v>
          </cell>
          <cell r="AB7842" t="str">
            <v>WB</v>
          </cell>
          <cell r="AF7842">
            <v>0.5</v>
          </cell>
        </row>
        <row r="7843">
          <cell r="A7843" t="str">
            <v>IS_alqt_plus</v>
          </cell>
          <cell r="K7843" t="str">
            <v>DMAD</v>
          </cell>
          <cell r="M7843" t="str">
            <v>F</v>
          </cell>
          <cell r="AB7843" t="str">
            <v>WB</v>
          </cell>
          <cell r="AF7843">
            <v>0.2</v>
          </cell>
        </row>
        <row r="7844">
          <cell r="A7844" t="str">
            <v>IS_alqt_plus</v>
          </cell>
          <cell r="K7844" t="str">
            <v>DMAD</v>
          </cell>
          <cell r="M7844" t="str">
            <v>F</v>
          </cell>
          <cell r="AB7844" t="str">
            <v>WB</v>
          </cell>
          <cell r="AF7844">
            <v>0.5</v>
          </cell>
        </row>
        <row r="7845">
          <cell r="A7845" t="str">
            <v>IS_alqt_plus</v>
          </cell>
          <cell r="K7845" t="str">
            <v>NPYG</v>
          </cell>
          <cell r="M7845" t="str">
            <v>M</v>
          </cell>
          <cell r="AB7845" t="str">
            <v>WB</v>
          </cell>
          <cell r="AF7845">
            <v>1.5</v>
          </cell>
        </row>
        <row r="7846">
          <cell r="A7846" t="str">
            <v>IS_alqt_plus</v>
          </cell>
          <cell r="K7846" t="str">
            <v>NPYG</v>
          </cell>
          <cell r="M7846" t="str">
            <v>M</v>
          </cell>
          <cell r="AB7846" t="str">
            <v>WB</v>
          </cell>
          <cell r="AF7846">
            <v>0.8</v>
          </cell>
        </row>
        <row r="7847">
          <cell r="A7847" t="str">
            <v>IS_alqt_plus</v>
          </cell>
          <cell r="K7847" t="str">
            <v>NPYG</v>
          </cell>
          <cell r="M7847" t="str">
            <v>M</v>
          </cell>
          <cell r="AB7847" t="str">
            <v>WB</v>
          </cell>
          <cell r="AF7847">
            <v>1.3</v>
          </cell>
        </row>
        <row r="7848">
          <cell r="A7848" t="str">
            <v>IS_alqt_minus</v>
          </cell>
          <cell r="K7848" t="str">
            <v>NPYG</v>
          </cell>
          <cell r="M7848" t="str">
            <v>M</v>
          </cell>
          <cell r="AB7848" t="str">
            <v>WB</v>
          </cell>
          <cell r="AF7848">
            <v>0.1</v>
          </cell>
        </row>
        <row r="7849">
          <cell r="A7849" t="str">
            <v>IS_alqt_plus</v>
          </cell>
          <cell r="K7849" t="str">
            <v>NPYG</v>
          </cell>
          <cell r="M7849" t="str">
            <v>M</v>
          </cell>
          <cell r="AB7849" t="str">
            <v>WB</v>
          </cell>
          <cell r="AF7849">
            <v>1.4</v>
          </cell>
        </row>
        <row r="7850">
          <cell r="A7850" t="str">
            <v>IS_alqt_plus</v>
          </cell>
          <cell r="K7850" t="str">
            <v>NPYG</v>
          </cell>
          <cell r="M7850" t="str">
            <v>M</v>
          </cell>
          <cell r="AB7850" t="str">
            <v>serum</v>
          </cell>
          <cell r="AF7850">
            <v>1.5</v>
          </cell>
        </row>
        <row r="7851">
          <cell r="A7851" t="str">
            <v>IS_alqt_plus</v>
          </cell>
          <cell r="K7851" t="str">
            <v>NPYG</v>
          </cell>
          <cell r="M7851" t="str">
            <v>M</v>
          </cell>
          <cell r="AB7851" t="str">
            <v>serum</v>
          </cell>
          <cell r="AF7851">
            <v>1.5</v>
          </cell>
        </row>
        <row r="7852">
          <cell r="A7852" t="str">
            <v>IS_alqt_plus</v>
          </cell>
          <cell r="K7852" t="str">
            <v>NPYG</v>
          </cell>
          <cell r="M7852" t="str">
            <v>M</v>
          </cell>
          <cell r="AB7852" t="str">
            <v>serum</v>
          </cell>
          <cell r="AF7852">
            <v>1.3</v>
          </cell>
        </row>
        <row r="7853">
          <cell r="A7853" t="str">
            <v>IS_alqt_plus</v>
          </cell>
          <cell r="K7853" t="str">
            <v>NPYG</v>
          </cell>
          <cell r="M7853" t="str">
            <v>M</v>
          </cell>
          <cell r="AB7853" t="str">
            <v>serum</v>
          </cell>
          <cell r="AF7853">
            <v>1</v>
          </cell>
        </row>
        <row r="7854">
          <cell r="A7854" t="str">
            <v>IS_alqt_plus</v>
          </cell>
          <cell r="K7854" t="str">
            <v>DMAD</v>
          </cell>
          <cell r="M7854" t="str">
            <v>F</v>
          </cell>
          <cell r="AB7854" t="str">
            <v>serum</v>
          </cell>
          <cell r="AF7854">
            <v>0.8</v>
          </cell>
        </row>
        <row r="7855">
          <cell r="A7855" t="str">
            <v>IS_alqt_plus</v>
          </cell>
          <cell r="K7855" t="str">
            <v>DMAD</v>
          </cell>
          <cell r="M7855" t="str">
            <v>F</v>
          </cell>
          <cell r="AB7855" t="str">
            <v>WB</v>
          </cell>
          <cell r="AF7855">
            <v>0.9</v>
          </cell>
        </row>
        <row r="7856">
          <cell r="A7856" t="str">
            <v>IS_alqt_plus</v>
          </cell>
          <cell r="K7856" t="str">
            <v>ECOR</v>
          </cell>
          <cell r="M7856" t="str">
            <v>M</v>
          </cell>
          <cell r="AB7856" t="str">
            <v>serum</v>
          </cell>
          <cell r="AF7856">
            <v>0.5</v>
          </cell>
        </row>
        <row r="7857">
          <cell r="A7857" t="str">
            <v>IS_alqt_plus</v>
          </cell>
          <cell r="K7857" t="str">
            <v>ECOR</v>
          </cell>
          <cell r="M7857" t="str">
            <v>F</v>
          </cell>
          <cell r="AB7857" t="str">
            <v>serum</v>
          </cell>
          <cell r="AF7857">
            <v>0.7</v>
          </cell>
        </row>
        <row r="7858">
          <cell r="A7858" t="str">
            <v>IS_alqt_plus</v>
          </cell>
          <cell r="K7858" t="str">
            <v>ECOR</v>
          </cell>
          <cell r="M7858" t="str">
            <v>M</v>
          </cell>
          <cell r="AB7858" t="str">
            <v>WB</v>
          </cell>
          <cell r="AF7858">
            <v>1.2</v>
          </cell>
        </row>
        <row r="7859">
          <cell r="A7859" t="str">
            <v>IS_alqt_plus</v>
          </cell>
          <cell r="K7859" t="str">
            <v>ECOR</v>
          </cell>
          <cell r="M7859" t="str">
            <v>F</v>
          </cell>
          <cell r="AB7859" t="str">
            <v>WB</v>
          </cell>
          <cell r="AF7859">
            <v>1</v>
          </cell>
        </row>
        <row r="7860">
          <cell r="A7860" t="str">
            <v>gone</v>
          </cell>
          <cell r="K7860" t="str">
            <v>CMED</v>
          </cell>
          <cell r="M7860" t="str">
            <v>M</v>
          </cell>
          <cell r="AB7860" t="str">
            <v>WB</v>
          </cell>
          <cell r="AF7860">
            <v>0</v>
          </cell>
        </row>
        <row r="7861">
          <cell r="A7861" t="str">
            <v>IS_alqt_plus</v>
          </cell>
          <cell r="K7861" t="str">
            <v>VRUB</v>
          </cell>
          <cell r="M7861" t="str">
            <v>M</v>
          </cell>
          <cell r="AB7861" t="str">
            <v>WB</v>
          </cell>
          <cell r="AF7861">
            <v>0.8</v>
          </cell>
        </row>
        <row r="7862">
          <cell r="A7862" t="str">
            <v>IS_alqt_plus</v>
          </cell>
          <cell r="K7862" t="str">
            <v>VRUB</v>
          </cell>
          <cell r="M7862" t="str">
            <v>M</v>
          </cell>
          <cell r="AB7862" t="str">
            <v>serum</v>
          </cell>
          <cell r="AF7862">
            <v>0.6</v>
          </cell>
        </row>
        <row r="7863">
          <cell r="A7863" t="str">
            <v>IS_alqt_plus</v>
          </cell>
          <cell r="K7863" t="str">
            <v>DMAD</v>
          </cell>
          <cell r="M7863" t="str">
            <v>M</v>
          </cell>
          <cell r="AB7863" t="str">
            <v>serum</v>
          </cell>
          <cell r="AF7863">
            <v>0.5</v>
          </cell>
        </row>
        <row r="7864">
          <cell r="A7864" t="str">
            <v>IS_alqt_plus</v>
          </cell>
          <cell r="K7864" t="str">
            <v>DMAD</v>
          </cell>
          <cell r="M7864" t="str">
            <v>M</v>
          </cell>
          <cell r="AB7864" t="str">
            <v>WB</v>
          </cell>
          <cell r="AF7864">
            <v>0.9</v>
          </cell>
        </row>
        <row r="7865">
          <cell r="A7865" t="str">
            <v>IS_alqt_plus</v>
          </cell>
          <cell r="K7865" t="str">
            <v>DMAD</v>
          </cell>
          <cell r="M7865" t="str">
            <v>M</v>
          </cell>
          <cell r="AB7865" t="str">
            <v>WB</v>
          </cell>
          <cell r="AF7865">
            <v>0.8</v>
          </cell>
        </row>
        <row r="7866">
          <cell r="A7866" t="str">
            <v>IS_alqt_plus</v>
          </cell>
          <cell r="K7866" t="str">
            <v>LCAT</v>
          </cell>
          <cell r="M7866" t="str">
            <v>F</v>
          </cell>
          <cell r="AB7866" t="str">
            <v>WB</v>
          </cell>
          <cell r="AF7866">
            <v>0.2</v>
          </cell>
        </row>
        <row r="7867">
          <cell r="A7867" t="str">
            <v>IS_alqt_plus</v>
          </cell>
          <cell r="K7867" t="str">
            <v>PCOQ</v>
          </cell>
          <cell r="M7867" t="str">
            <v>M</v>
          </cell>
          <cell r="AB7867" t="str">
            <v>serum</v>
          </cell>
          <cell r="AF7867">
            <v>0.5</v>
          </cell>
        </row>
        <row r="7868">
          <cell r="A7868" t="str">
            <v>IS_alqt_plus</v>
          </cell>
          <cell r="K7868" t="str">
            <v>DMAD</v>
          </cell>
          <cell r="M7868" t="str">
            <v>M</v>
          </cell>
          <cell r="AB7868" t="str">
            <v>plasma</v>
          </cell>
          <cell r="AF7868">
            <v>0.3</v>
          </cell>
        </row>
        <row r="7869">
          <cell r="A7869" t="str">
            <v>IS_alqt_plus</v>
          </cell>
          <cell r="K7869" t="str">
            <v>DMAD</v>
          </cell>
          <cell r="M7869" t="str">
            <v>M</v>
          </cell>
          <cell r="AB7869" t="str">
            <v>plasma</v>
          </cell>
          <cell r="AF7869">
            <v>0.2</v>
          </cell>
        </row>
        <row r="7870">
          <cell r="A7870" t="str">
            <v>IS_alqt_plus</v>
          </cell>
          <cell r="K7870" t="str">
            <v>EFLA</v>
          </cell>
          <cell r="M7870" t="str">
            <v>M</v>
          </cell>
          <cell r="AB7870" t="str">
            <v>serum</v>
          </cell>
          <cell r="AF7870">
            <v>0.2</v>
          </cell>
        </row>
        <row r="7871">
          <cell r="A7871" t="str">
            <v>IS_alqt_plus</v>
          </cell>
          <cell r="K7871" t="str">
            <v>EFLA</v>
          </cell>
          <cell r="M7871" t="str">
            <v>M</v>
          </cell>
          <cell r="AB7871" t="str">
            <v>serum</v>
          </cell>
          <cell r="AF7871">
            <v>0.2</v>
          </cell>
        </row>
        <row r="7872">
          <cell r="A7872" t="str">
            <v>IS_alqt_plus</v>
          </cell>
          <cell r="K7872" t="str">
            <v>EFLA</v>
          </cell>
          <cell r="M7872" t="str">
            <v>M</v>
          </cell>
          <cell r="AB7872" t="str">
            <v>serum</v>
          </cell>
          <cell r="AF7872">
            <v>0.2</v>
          </cell>
        </row>
        <row r="7873">
          <cell r="A7873" t="str">
            <v>IS_alqt_plus</v>
          </cell>
          <cell r="K7873" t="str">
            <v>EFLA</v>
          </cell>
          <cell r="M7873" t="str">
            <v>M</v>
          </cell>
          <cell r="AB7873" t="str">
            <v>serum</v>
          </cell>
          <cell r="AF7873">
            <v>0.2</v>
          </cell>
        </row>
        <row r="7874">
          <cell r="A7874" t="str">
            <v>IS_alqt_plus</v>
          </cell>
          <cell r="K7874" t="str">
            <v>EFLA</v>
          </cell>
          <cell r="M7874" t="str">
            <v>M</v>
          </cell>
          <cell r="AB7874" t="str">
            <v>serum</v>
          </cell>
          <cell r="AF7874">
            <v>0.2</v>
          </cell>
        </row>
        <row r="7875">
          <cell r="A7875" t="str">
            <v>IS_alqt_plus</v>
          </cell>
          <cell r="K7875" t="str">
            <v>EFLA</v>
          </cell>
          <cell r="M7875" t="str">
            <v>M</v>
          </cell>
          <cell r="AB7875" t="str">
            <v>WB</v>
          </cell>
          <cell r="AF7875">
            <v>1</v>
          </cell>
        </row>
        <row r="7876">
          <cell r="A7876" t="str">
            <v>IS_alqt_minus</v>
          </cell>
          <cell r="K7876" t="str">
            <v>MMUR</v>
          </cell>
          <cell r="M7876" t="str">
            <v>F</v>
          </cell>
          <cell r="AB7876" t="str">
            <v>serum</v>
          </cell>
          <cell r="AF7876">
            <v>0.1</v>
          </cell>
        </row>
        <row r="7877">
          <cell r="A7877" t="str">
            <v>IS_alqt_minus</v>
          </cell>
          <cell r="K7877" t="str">
            <v>MMUR</v>
          </cell>
          <cell r="M7877" t="str">
            <v>F</v>
          </cell>
          <cell r="AB7877" t="str">
            <v>serum</v>
          </cell>
          <cell r="AF7877">
            <v>0.1</v>
          </cell>
        </row>
        <row r="7878">
          <cell r="A7878" t="str">
            <v>IS_alqt_plus</v>
          </cell>
          <cell r="K7878" t="str">
            <v>MMUR</v>
          </cell>
          <cell r="M7878" t="str">
            <v>F</v>
          </cell>
          <cell r="AB7878" t="str">
            <v>WB</v>
          </cell>
          <cell r="AF7878">
            <v>0.5</v>
          </cell>
        </row>
        <row r="7879">
          <cell r="A7879" t="str">
            <v>IS_alqt_plus</v>
          </cell>
          <cell r="K7879" t="str">
            <v>LCAT</v>
          </cell>
          <cell r="M7879" t="str">
            <v>F</v>
          </cell>
          <cell r="AB7879" t="str">
            <v>WB</v>
          </cell>
          <cell r="AF7879">
            <v>0.2</v>
          </cell>
        </row>
        <row r="7880">
          <cell r="A7880" t="str">
            <v>IS_alqt_plus</v>
          </cell>
          <cell r="K7880" t="str">
            <v>LCAT</v>
          </cell>
          <cell r="M7880" t="str">
            <v>M</v>
          </cell>
          <cell r="AB7880" t="str">
            <v>serum</v>
          </cell>
          <cell r="AF7880">
            <v>0.6</v>
          </cell>
        </row>
        <row r="7881">
          <cell r="A7881" t="str">
            <v>IS_alqt_plus</v>
          </cell>
          <cell r="K7881" t="str">
            <v>LCAT</v>
          </cell>
          <cell r="M7881" t="str">
            <v>M</v>
          </cell>
          <cell r="AB7881" t="str">
            <v>WB</v>
          </cell>
          <cell r="AF7881">
            <v>0.2</v>
          </cell>
        </row>
        <row r="7882">
          <cell r="A7882" t="str">
            <v>IS_alqt_plus</v>
          </cell>
          <cell r="K7882" t="str">
            <v>PCOQ</v>
          </cell>
          <cell r="M7882" t="str">
            <v>F</v>
          </cell>
          <cell r="AB7882" t="str">
            <v>serum</v>
          </cell>
          <cell r="AF7882">
            <v>1</v>
          </cell>
        </row>
        <row r="7883">
          <cell r="A7883" t="str">
            <v>IS_alqt_plus</v>
          </cell>
          <cell r="K7883" t="str">
            <v>DMAD</v>
          </cell>
          <cell r="M7883" t="str">
            <v>F</v>
          </cell>
          <cell r="AB7883" t="str">
            <v>serum</v>
          </cell>
          <cell r="AF7883">
            <v>0.8</v>
          </cell>
        </row>
        <row r="7884">
          <cell r="A7884" t="str">
            <v>IS_alqt_plus</v>
          </cell>
          <cell r="K7884" t="str">
            <v>DMAD</v>
          </cell>
          <cell r="M7884" t="str">
            <v>F</v>
          </cell>
          <cell r="AB7884" t="str">
            <v>WB</v>
          </cell>
          <cell r="AF7884">
            <v>0.9</v>
          </cell>
        </row>
        <row r="7885">
          <cell r="A7885" t="str">
            <v>IS_alqt_plus</v>
          </cell>
          <cell r="K7885" t="str">
            <v>MMUR</v>
          </cell>
          <cell r="M7885" t="str">
            <v>F</v>
          </cell>
          <cell r="AB7885" t="str">
            <v>WB</v>
          </cell>
          <cell r="AF7885">
            <v>0.5</v>
          </cell>
        </row>
        <row r="7886">
          <cell r="A7886" t="str">
            <v>IS_alqt_plus</v>
          </cell>
          <cell r="K7886" t="str">
            <v>MMUR</v>
          </cell>
          <cell r="M7886" t="str">
            <v>F</v>
          </cell>
          <cell r="AB7886" t="str">
            <v>WB</v>
          </cell>
          <cell r="AF7886">
            <v>0.75</v>
          </cell>
        </row>
        <row r="7887">
          <cell r="A7887" t="str">
            <v>IS_alqt_plus</v>
          </cell>
          <cell r="K7887" t="str">
            <v>PCOQ</v>
          </cell>
          <cell r="M7887" t="str">
            <v>F</v>
          </cell>
          <cell r="AB7887" t="str">
            <v>WB</v>
          </cell>
          <cell r="AF7887">
            <v>0.8</v>
          </cell>
        </row>
        <row r="7888">
          <cell r="A7888" t="str">
            <v>IS_alqt_plus</v>
          </cell>
          <cell r="K7888" t="str">
            <v>LCAT</v>
          </cell>
          <cell r="M7888" t="str">
            <v>F</v>
          </cell>
          <cell r="AB7888" t="str">
            <v>serum</v>
          </cell>
          <cell r="AF7888">
            <v>1.3</v>
          </cell>
        </row>
        <row r="7889">
          <cell r="A7889" t="str">
            <v>IS_alqt_plus</v>
          </cell>
          <cell r="K7889" t="str">
            <v>DMAD</v>
          </cell>
          <cell r="M7889" t="str">
            <v>M</v>
          </cell>
          <cell r="AB7889" t="str">
            <v>serum</v>
          </cell>
          <cell r="AF7889">
            <v>0.5</v>
          </cell>
        </row>
        <row r="7890">
          <cell r="A7890" t="str">
            <v>IS_alqt_plus</v>
          </cell>
          <cell r="K7890" t="str">
            <v>PCOQ</v>
          </cell>
          <cell r="M7890" t="str">
            <v>F</v>
          </cell>
          <cell r="AB7890" t="str">
            <v>WB</v>
          </cell>
          <cell r="AF7890">
            <v>0.2</v>
          </cell>
        </row>
        <row r="7891">
          <cell r="A7891" t="str">
            <v>gone</v>
          </cell>
          <cell r="K7891" t="str">
            <v>PCOQ</v>
          </cell>
          <cell r="M7891" t="str">
            <v>M</v>
          </cell>
          <cell r="AB7891" t="str">
            <v>serum</v>
          </cell>
          <cell r="AF7891">
            <v>0</v>
          </cell>
        </row>
        <row r="7892">
          <cell r="A7892" t="str">
            <v>IS_alqt_plus</v>
          </cell>
          <cell r="K7892" t="str">
            <v>PCOQ</v>
          </cell>
          <cell r="M7892" t="str">
            <v>F</v>
          </cell>
          <cell r="AB7892" t="str">
            <v>WB</v>
          </cell>
          <cell r="AF7892">
            <v>0.2</v>
          </cell>
        </row>
        <row r="7893">
          <cell r="A7893" t="str">
            <v>IS_alqt_plus</v>
          </cell>
          <cell r="K7893" t="str">
            <v>PCOQ</v>
          </cell>
          <cell r="M7893" t="str">
            <v>F</v>
          </cell>
          <cell r="AB7893" t="str">
            <v>serum</v>
          </cell>
          <cell r="AF7893">
            <v>0.8</v>
          </cell>
        </row>
        <row r="7894">
          <cell r="A7894" t="str">
            <v>IS_alqt_plus</v>
          </cell>
          <cell r="K7894" t="str">
            <v>ECOL</v>
          </cell>
          <cell r="M7894" t="str">
            <v>F</v>
          </cell>
          <cell r="AB7894" t="str">
            <v>serum</v>
          </cell>
          <cell r="AF7894">
            <v>0.8</v>
          </cell>
        </row>
        <row r="7895">
          <cell r="A7895" t="str">
            <v>IS_alqt_plus</v>
          </cell>
          <cell r="K7895" t="str">
            <v>ECOL</v>
          </cell>
          <cell r="M7895" t="str">
            <v>F</v>
          </cell>
          <cell r="AB7895" t="str">
            <v>WB</v>
          </cell>
          <cell r="AF7895">
            <v>0.9</v>
          </cell>
        </row>
        <row r="7896">
          <cell r="A7896" t="str">
            <v>IS_alqt_plus</v>
          </cell>
          <cell r="K7896" t="str">
            <v>PCOQ</v>
          </cell>
          <cell r="M7896" t="str">
            <v>F</v>
          </cell>
          <cell r="AB7896" t="str">
            <v>WB</v>
          </cell>
          <cell r="AF7896">
            <v>0.2</v>
          </cell>
        </row>
        <row r="7897">
          <cell r="A7897" t="str">
            <v>IS_alqt_plus</v>
          </cell>
          <cell r="K7897" t="str">
            <v>PCOQ</v>
          </cell>
          <cell r="M7897" t="str">
            <v>M</v>
          </cell>
          <cell r="AB7897" t="str">
            <v>serum</v>
          </cell>
          <cell r="AF7897">
            <v>0.3</v>
          </cell>
        </row>
        <row r="7898">
          <cell r="A7898" t="str">
            <v>IS_alqt_plus</v>
          </cell>
          <cell r="K7898" t="str">
            <v>PCOQ</v>
          </cell>
          <cell r="M7898" t="str">
            <v>F</v>
          </cell>
          <cell r="AB7898" t="str">
            <v>serum</v>
          </cell>
          <cell r="AF7898">
            <v>0.3</v>
          </cell>
        </row>
        <row r="7899">
          <cell r="A7899" t="str">
            <v>IS_alqt_plus</v>
          </cell>
          <cell r="K7899" t="str">
            <v>PCOQ</v>
          </cell>
          <cell r="M7899" t="str">
            <v>F</v>
          </cell>
          <cell r="AB7899" t="str">
            <v>WB</v>
          </cell>
          <cell r="AF7899">
            <v>0.2</v>
          </cell>
        </row>
        <row r="7900">
          <cell r="A7900" t="str">
            <v>IS_alqt_plus</v>
          </cell>
          <cell r="K7900" t="str">
            <v>PCOQ</v>
          </cell>
          <cell r="M7900" t="str">
            <v>F</v>
          </cell>
          <cell r="AB7900" t="str">
            <v>WB</v>
          </cell>
          <cell r="AF7900">
            <v>1</v>
          </cell>
        </row>
        <row r="7901">
          <cell r="A7901" t="str">
            <v>IS_alqt_minus</v>
          </cell>
          <cell r="K7901" t="str">
            <v>CMED</v>
          </cell>
          <cell r="M7901" t="str">
            <v>F</v>
          </cell>
          <cell r="AB7901" t="str">
            <v>WB</v>
          </cell>
          <cell r="AF7901">
            <v>0.1</v>
          </cell>
        </row>
        <row r="7902">
          <cell r="A7902" t="str">
            <v>IS_alqt_minus</v>
          </cell>
          <cell r="K7902" t="str">
            <v>CMED</v>
          </cell>
          <cell r="M7902" t="str">
            <v>M</v>
          </cell>
          <cell r="AB7902" t="str">
            <v>WB</v>
          </cell>
          <cell r="AF7902">
            <v>0.1</v>
          </cell>
        </row>
        <row r="7903">
          <cell r="A7903" t="str">
            <v>IS_alqt_plus</v>
          </cell>
          <cell r="K7903" t="str">
            <v>PCOQ</v>
          </cell>
          <cell r="M7903" t="str">
            <v>F</v>
          </cell>
          <cell r="AB7903" t="str">
            <v>WB</v>
          </cell>
          <cell r="AF7903">
            <v>0.45</v>
          </cell>
        </row>
        <row r="7904">
          <cell r="A7904" t="str">
            <v>IS_alqt_plus</v>
          </cell>
          <cell r="K7904" t="str">
            <v>LCAT</v>
          </cell>
          <cell r="M7904" t="str">
            <v>F</v>
          </cell>
          <cell r="AB7904" t="str">
            <v>serum</v>
          </cell>
          <cell r="AF7904">
            <v>0.7</v>
          </cell>
        </row>
        <row r="7905">
          <cell r="A7905" t="str">
            <v>IS_alqt_plus</v>
          </cell>
          <cell r="K7905" t="str">
            <v>LCAT</v>
          </cell>
          <cell r="M7905" t="str">
            <v>F</v>
          </cell>
          <cell r="AB7905" t="str">
            <v>serum</v>
          </cell>
          <cell r="AF7905">
            <v>0.2</v>
          </cell>
        </row>
        <row r="7906">
          <cell r="A7906" t="str">
            <v>IS_alqt_plus</v>
          </cell>
          <cell r="K7906" t="str">
            <v>LCAT</v>
          </cell>
          <cell r="M7906" t="str">
            <v>F</v>
          </cell>
          <cell r="AB7906" t="str">
            <v>WB</v>
          </cell>
          <cell r="AF7906">
            <v>0.5</v>
          </cell>
        </row>
        <row r="7907">
          <cell r="A7907" t="str">
            <v>IS_alqt_plus</v>
          </cell>
          <cell r="K7907" t="str">
            <v>EFLA</v>
          </cell>
          <cell r="M7907" t="str">
            <v>F</v>
          </cell>
          <cell r="AB7907" t="str">
            <v>serum</v>
          </cell>
          <cell r="AF7907">
            <v>1</v>
          </cell>
        </row>
        <row r="7908">
          <cell r="A7908" t="str">
            <v>IS_alqt_plus</v>
          </cell>
          <cell r="K7908" t="str">
            <v>EFLA</v>
          </cell>
          <cell r="M7908" t="str">
            <v>F</v>
          </cell>
          <cell r="AB7908" t="str">
            <v>WB</v>
          </cell>
          <cell r="AF7908">
            <v>1</v>
          </cell>
        </row>
        <row r="7909">
          <cell r="A7909" t="str">
            <v>IS_alqt_plus</v>
          </cell>
          <cell r="K7909" t="str">
            <v>VRUB</v>
          </cell>
          <cell r="M7909" t="str">
            <v>M</v>
          </cell>
          <cell r="AB7909" t="str">
            <v>serum</v>
          </cell>
          <cell r="AF7909">
            <v>0.8</v>
          </cell>
        </row>
        <row r="7910">
          <cell r="A7910" t="str">
            <v>IS_alqt_plus</v>
          </cell>
          <cell r="K7910" t="str">
            <v>EFLA</v>
          </cell>
          <cell r="M7910" t="str">
            <v>F</v>
          </cell>
          <cell r="AB7910" t="str">
            <v>serum</v>
          </cell>
          <cell r="AF7910">
            <v>1.5</v>
          </cell>
        </row>
        <row r="7911">
          <cell r="A7911" t="str">
            <v>IS_alqt_plus</v>
          </cell>
          <cell r="K7911" t="str">
            <v>EFLA</v>
          </cell>
          <cell r="M7911" t="str">
            <v>F</v>
          </cell>
          <cell r="AB7911" t="str">
            <v>WB</v>
          </cell>
          <cell r="AF7911">
            <v>1.2</v>
          </cell>
        </row>
        <row r="7912">
          <cell r="A7912" t="str">
            <v>IS_alqt_plus</v>
          </cell>
          <cell r="K7912" t="str">
            <v>EFLA</v>
          </cell>
          <cell r="M7912" t="str">
            <v>F</v>
          </cell>
          <cell r="AB7912" t="str">
            <v>serum</v>
          </cell>
          <cell r="AF7912">
            <v>0.2</v>
          </cell>
        </row>
        <row r="7913">
          <cell r="A7913" t="str">
            <v>IS_alqt_plus</v>
          </cell>
          <cell r="K7913" t="str">
            <v>EFLA</v>
          </cell>
          <cell r="M7913" t="str">
            <v>F</v>
          </cell>
          <cell r="AB7913" t="str">
            <v>serum</v>
          </cell>
          <cell r="AF7913">
            <v>0.2</v>
          </cell>
        </row>
        <row r="7914">
          <cell r="A7914" t="str">
            <v>IS_alqt_plus</v>
          </cell>
          <cell r="K7914" t="str">
            <v>EFLA</v>
          </cell>
          <cell r="M7914" t="str">
            <v>F</v>
          </cell>
          <cell r="AB7914" t="str">
            <v>WB</v>
          </cell>
          <cell r="AF7914">
            <v>0.7</v>
          </cell>
        </row>
        <row r="7915">
          <cell r="A7915" t="str">
            <v>IS_alqt_plus</v>
          </cell>
          <cell r="K7915" t="str">
            <v>EFLA</v>
          </cell>
          <cell r="M7915" t="str">
            <v>F</v>
          </cell>
          <cell r="AB7915" t="str">
            <v>WB</v>
          </cell>
          <cell r="AF7915">
            <v>1.1000000000000001</v>
          </cell>
        </row>
        <row r="7916">
          <cell r="A7916" t="str">
            <v>IS_alqt_plus</v>
          </cell>
          <cell r="K7916" t="str">
            <v>EMON</v>
          </cell>
          <cell r="M7916" t="str">
            <v>M</v>
          </cell>
          <cell r="AB7916" t="str">
            <v>WB</v>
          </cell>
          <cell r="AF7916">
            <v>1</v>
          </cell>
        </row>
        <row r="7917">
          <cell r="A7917" t="str">
            <v>IS_alqt_plus</v>
          </cell>
          <cell r="K7917" t="str">
            <v>LCAT</v>
          </cell>
          <cell r="M7917" t="str">
            <v>M</v>
          </cell>
          <cell r="AB7917" t="str">
            <v>serum</v>
          </cell>
          <cell r="AF7917">
            <v>1.1000000000000001</v>
          </cell>
        </row>
        <row r="7918">
          <cell r="A7918" t="str">
            <v>IS_alqt_plus</v>
          </cell>
          <cell r="K7918" t="str">
            <v>ECOL</v>
          </cell>
          <cell r="M7918" t="str">
            <v>f</v>
          </cell>
          <cell r="AB7918" t="str">
            <v>serum</v>
          </cell>
          <cell r="AF7918">
            <v>1</v>
          </cell>
        </row>
        <row r="7919">
          <cell r="A7919" t="str">
            <v>IS_alqt_plus</v>
          </cell>
          <cell r="K7919" t="str">
            <v>ECOL</v>
          </cell>
          <cell r="M7919" t="str">
            <v>f</v>
          </cell>
          <cell r="AB7919" t="str">
            <v>serum</v>
          </cell>
          <cell r="AF7919">
            <v>0.5</v>
          </cell>
        </row>
        <row r="7920">
          <cell r="A7920" t="str">
            <v>gone</v>
          </cell>
          <cell r="K7920" t="str">
            <v>ECOL</v>
          </cell>
          <cell r="M7920" t="str">
            <v>f</v>
          </cell>
          <cell r="AB7920" t="str">
            <v>WB</v>
          </cell>
          <cell r="AF7920">
            <v>0</v>
          </cell>
        </row>
        <row r="7921">
          <cell r="A7921" t="str">
            <v>IS_alqt_plus</v>
          </cell>
          <cell r="K7921" t="str">
            <v>HGG</v>
          </cell>
          <cell r="M7921" t="str">
            <v>M</v>
          </cell>
          <cell r="AB7921" t="str">
            <v>serum</v>
          </cell>
          <cell r="AF7921">
            <v>0.5</v>
          </cell>
        </row>
        <row r="7922">
          <cell r="A7922" t="str">
            <v>unk</v>
          </cell>
          <cell r="K7922" t="str">
            <v>HGG</v>
          </cell>
          <cell r="M7922" t="str">
            <v>M</v>
          </cell>
          <cell r="AB7922" t="str">
            <v>serum</v>
          </cell>
          <cell r="AF7922">
            <v>0.1</v>
          </cell>
        </row>
        <row r="7923">
          <cell r="A7923" t="str">
            <v>gone</v>
          </cell>
          <cell r="K7923" t="str">
            <v>HGG</v>
          </cell>
          <cell r="M7923" t="str">
            <v>M</v>
          </cell>
          <cell r="AB7923" t="str">
            <v>WB</v>
          </cell>
          <cell r="AF7923">
            <v>0</v>
          </cell>
        </row>
        <row r="7924">
          <cell r="A7924" t="str">
            <v>IS_alqt_plus</v>
          </cell>
          <cell r="K7924" t="str">
            <v>MMUR</v>
          </cell>
          <cell r="M7924" t="str">
            <v>F</v>
          </cell>
          <cell r="AB7924" t="str">
            <v>WB</v>
          </cell>
          <cell r="AF7924">
            <v>0.7</v>
          </cell>
        </row>
        <row r="7925">
          <cell r="A7925" t="str">
            <v>IS_alqt_plus</v>
          </cell>
          <cell r="K7925" t="str">
            <v>MMUR</v>
          </cell>
          <cell r="M7925" t="str">
            <v>F</v>
          </cell>
          <cell r="AB7925" t="str">
            <v>WB</v>
          </cell>
          <cell r="AF7925">
            <v>0.5</v>
          </cell>
        </row>
        <row r="7926">
          <cell r="A7926" t="str">
            <v>IS_alqt_plus</v>
          </cell>
          <cell r="K7926" t="str">
            <v>MMUR</v>
          </cell>
          <cell r="M7926" t="str">
            <v>F</v>
          </cell>
          <cell r="AB7926" t="str">
            <v>WB</v>
          </cell>
          <cell r="AF7926">
            <v>0.5</v>
          </cell>
        </row>
        <row r="7927">
          <cell r="A7927" t="str">
            <v>IS_alqt_plus</v>
          </cell>
          <cell r="K7927" t="str">
            <v>MMUR</v>
          </cell>
          <cell r="M7927" t="str">
            <v>F</v>
          </cell>
          <cell r="AB7927" t="str">
            <v>WB</v>
          </cell>
          <cell r="AF7927">
            <v>0.6</v>
          </cell>
        </row>
        <row r="7928">
          <cell r="A7928" t="str">
            <v>IS_alqt_plus</v>
          </cell>
          <cell r="K7928" t="str">
            <v>PCOQ</v>
          </cell>
          <cell r="M7928" t="str">
            <v>F</v>
          </cell>
          <cell r="AB7928" t="str">
            <v>serum</v>
          </cell>
          <cell r="AF7928">
            <v>1.25</v>
          </cell>
        </row>
        <row r="7929">
          <cell r="A7929" t="str">
            <v>IS_alqt_plus</v>
          </cell>
          <cell r="K7929" t="str">
            <v>PCOQ</v>
          </cell>
          <cell r="M7929" t="str">
            <v>F</v>
          </cell>
          <cell r="AB7929" t="str">
            <v>serum</v>
          </cell>
          <cell r="AF7929">
            <v>0.3</v>
          </cell>
        </row>
        <row r="7930">
          <cell r="A7930" t="str">
            <v>IS_alqt_plus</v>
          </cell>
          <cell r="K7930" t="str">
            <v>LCAT</v>
          </cell>
          <cell r="M7930" t="str">
            <v>F</v>
          </cell>
          <cell r="AB7930" t="str">
            <v>serum</v>
          </cell>
          <cell r="AF7930">
            <v>0.7</v>
          </cell>
        </row>
        <row r="7931">
          <cell r="A7931" t="str">
            <v>IS_alqt_plus</v>
          </cell>
          <cell r="K7931" t="str">
            <v>EMON</v>
          </cell>
          <cell r="M7931" t="str">
            <v>F</v>
          </cell>
          <cell r="AB7931" t="str">
            <v>WB</v>
          </cell>
          <cell r="AF7931">
            <v>1.2</v>
          </cell>
        </row>
        <row r="7932">
          <cell r="A7932" t="str">
            <v>IS_alqt_plus</v>
          </cell>
          <cell r="K7932" t="str">
            <v>EMON</v>
          </cell>
          <cell r="M7932" t="str">
            <v>F</v>
          </cell>
          <cell r="AB7932" t="str">
            <v>WB</v>
          </cell>
          <cell r="AF7932">
            <v>1.5</v>
          </cell>
        </row>
        <row r="7933">
          <cell r="A7933" t="str">
            <v>IS_alqt_plus</v>
          </cell>
          <cell r="K7933" t="str">
            <v>PCOQ</v>
          </cell>
          <cell r="M7933" t="str">
            <v>F</v>
          </cell>
          <cell r="AB7933" t="str">
            <v>serum</v>
          </cell>
          <cell r="AF7933">
            <v>0.9</v>
          </cell>
        </row>
        <row r="7934">
          <cell r="A7934" t="str">
            <v>IS_alqt_plus</v>
          </cell>
          <cell r="K7934" t="str">
            <v>PCOQ</v>
          </cell>
          <cell r="M7934" t="str">
            <v>F</v>
          </cell>
          <cell r="AB7934" t="str">
            <v>WB</v>
          </cell>
          <cell r="AF7934">
            <v>0.75</v>
          </cell>
        </row>
        <row r="7935">
          <cell r="A7935" t="str">
            <v>IS_alqt_plus</v>
          </cell>
          <cell r="K7935" t="str">
            <v>PCOQ</v>
          </cell>
          <cell r="M7935" t="str">
            <v>M</v>
          </cell>
          <cell r="AB7935" t="str">
            <v>serum</v>
          </cell>
          <cell r="AF7935">
            <v>0.5</v>
          </cell>
        </row>
        <row r="7936">
          <cell r="A7936" t="str">
            <v>IS_alqt_plus</v>
          </cell>
          <cell r="K7936" t="str">
            <v>ERUB</v>
          </cell>
          <cell r="M7936" t="str">
            <v>F</v>
          </cell>
          <cell r="AB7936" t="str">
            <v>WB</v>
          </cell>
          <cell r="AF7936">
            <v>1</v>
          </cell>
        </row>
        <row r="7937">
          <cell r="A7937" t="str">
            <v>IS_alqt_plus</v>
          </cell>
          <cell r="K7937" t="str">
            <v>ERUB</v>
          </cell>
          <cell r="M7937" t="str">
            <v>F</v>
          </cell>
          <cell r="AB7937" t="str">
            <v>serum</v>
          </cell>
          <cell r="AF7937">
            <v>0.9</v>
          </cell>
        </row>
        <row r="7938">
          <cell r="A7938" t="str">
            <v>IS_alqt_plus</v>
          </cell>
          <cell r="K7938" t="str">
            <v>ECOL</v>
          </cell>
          <cell r="M7938" t="str">
            <v>M</v>
          </cell>
          <cell r="AB7938" t="str">
            <v>serum</v>
          </cell>
          <cell r="AF7938">
            <v>1</v>
          </cell>
        </row>
        <row r="7939">
          <cell r="A7939" t="str">
            <v>IS_alqt_plus</v>
          </cell>
          <cell r="K7939" t="str">
            <v>ECOL</v>
          </cell>
          <cell r="M7939" t="str">
            <v>M</v>
          </cell>
          <cell r="AB7939" t="str">
            <v>WB</v>
          </cell>
          <cell r="AF7939">
            <v>0.45</v>
          </cell>
        </row>
        <row r="7940">
          <cell r="A7940" t="str">
            <v>gone</v>
          </cell>
          <cell r="K7940" t="str">
            <v>ECOL</v>
          </cell>
          <cell r="M7940" t="str">
            <v>M</v>
          </cell>
          <cell r="AB7940" t="str">
            <v>WB</v>
          </cell>
          <cell r="AF7940">
            <v>0</v>
          </cell>
        </row>
        <row r="7941">
          <cell r="A7941" t="str">
            <v>IS_alqt_plus</v>
          </cell>
          <cell r="K7941" t="str">
            <v>ECOR</v>
          </cell>
          <cell r="M7941" t="str">
            <v>M</v>
          </cell>
          <cell r="AB7941" t="str">
            <v>serum</v>
          </cell>
          <cell r="AF7941">
            <v>0.5</v>
          </cell>
        </row>
        <row r="7942">
          <cell r="A7942" t="str">
            <v>IS_alqt_plus</v>
          </cell>
          <cell r="K7942" t="str">
            <v>ECOR</v>
          </cell>
          <cell r="M7942" t="str">
            <v>M</v>
          </cell>
          <cell r="AB7942" t="str">
            <v>WB</v>
          </cell>
          <cell r="AF7942">
            <v>0.4</v>
          </cell>
        </row>
        <row r="7943">
          <cell r="A7943" t="str">
            <v>unk</v>
          </cell>
          <cell r="K7943" t="str">
            <v>DMAD</v>
          </cell>
          <cell r="M7943" t="str">
            <v>M</v>
          </cell>
          <cell r="AB7943" t="str">
            <v>plasma</v>
          </cell>
          <cell r="AF7943">
            <v>0.5</v>
          </cell>
        </row>
        <row r="7944">
          <cell r="A7944" t="str">
            <v>IS_alqt_plus</v>
          </cell>
          <cell r="K7944" t="str">
            <v>DMAD</v>
          </cell>
          <cell r="M7944" t="str">
            <v>F</v>
          </cell>
          <cell r="AB7944" t="str">
            <v>WB</v>
          </cell>
          <cell r="AF7944">
            <v>0.4</v>
          </cell>
        </row>
        <row r="7945">
          <cell r="A7945" t="str">
            <v>unk</v>
          </cell>
          <cell r="K7945" t="str">
            <v>DMAD</v>
          </cell>
          <cell r="M7945" t="str">
            <v>F</v>
          </cell>
          <cell r="AB7945" t="str">
            <v>WB</v>
          </cell>
          <cell r="AF7945">
            <v>0.4</v>
          </cell>
        </row>
        <row r="7946">
          <cell r="A7946" t="str">
            <v>IS_alqt_plus</v>
          </cell>
          <cell r="K7946" t="str">
            <v>EFLA</v>
          </cell>
          <cell r="M7946" t="str">
            <v>F</v>
          </cell>
          <cell r="AB7946" t="str">
            <v>serum</v>
          </cell>
          <cell r="AF7946">
            <v>1.3</v>
          </cell>
        </row>
        <row r="7947">
          <cell r="A7947" t="str">
            <v>IS_alqt_plus</v>
          </cell>
          <cell r="K7947" t="str">
            <v>EFLA</v>
          </cell>
          <cell r="M7947" t="str">
            <v>F</v>
          </cell>
          <cell r="AB7947" t="str">
            <v>WB</v>
          </cell>
          <cell r="AF7947">
            <v>1.2</v>
          </cell>
        </row>
        <row r="7948">
          <cell r="A7948" t="str">
            <v>unk</v>
          </cell>
          <cell r="K7948" t="str">
            <v>DMAD</v>
          </cell>
          <cell r="M7948" t="str">
            <v>F</v>
          </cell>
          <cell r="AB7948" t="str">
            <v>plasma</v>
          </cell>
          <cell r="AF7948">
            <v>1</v>
          </cell>
        </row>
        <row r="7949">
          <cell r="A7949" t="str">
            <v>IS_alqt_minus</v>
          </cell>
          <cell r="K7949" t="str">
            <v>MMUR</v>
          </cell>
          <cell r="M7949" t="str">
            <v>M</v>
          </cell>
          <cell r="AB7949" t="str">
            <v>WB</v>
          </cell>
          <cell r="AF7949">
            <v>0.05</v>
          </cell>
        </row>
        <row r="7950">
          <cell r="A7950" t="str">
            <v>IS_alqt_plus</v>
          </cell>
          <cell r="K7950" t="str">
            <v>VRUB</v>
          </cell>
          <cell r="M7950" t="str">
            <v>F</v>
          </cell>
          <cell r="AB7950" t="str">
            <v>WB</v>
          </cell>
          <cell r="AF7950">
            <v>0.8</v>
          </cell>
        </row>
        <row r="7951">
          <cell r="A7951" t="str">
            <v>IS_alqt_plus</v>
          </cell>
          <cell r="K7951" t="str">
            <v>VRUB</v>
          </cell>
          <cell r="M7951" t="str">
            <v>F</v>
          </cell>
          <cell r="AB7951" t="str">
            <v>serum</v>
          </cell>
          <cell r="AF7951">
            <v>0.4</v>
          </cell>
        </row>
        <row r="7952">
          <cell r="A7952" t="str">
            <v>IS_alqt_plus</v>
          </cell>
          <cell r="K7952" t="str">
            <v>ECOR</v>
          </cell>
          <cell r="M7952" t="str">
            <v>M</v>
          </cell>
          <cell r="AB7952" t="str">
            <v>serum</v>
          </cell>
          <cell r="AF7952">
            <v>0.6</v>
          </cell>
        </row>
        <row r="7953">
          <cell r="A7953" t="str">
            <v>IS_alqt_plus</v>
          </cell>
          <cell r="K7953" t="str">
            <v>ECOR</v>
          </cell>
          <cell r="M7953" t="str">
            <v>M</v>
          </cell>
          <cell r="AB7953" t="str">
            <v>WB</v>
          </cell>
          <cell r="AF7953">
            <v>0.2</v>
          </cell>
        </row>
        <row r="7954">
          <cell r="A7954" t="str">
            <v>unk</v>
          </cell>
          <cell r="K7954" t="str">
            <v>ECOR</v>
          </cell>
          <cell r="M7954" t="str">
            <v>M</v>
          </cell>
          <cell r="AB7954" t="str">
            <v>WB</v>
          </cell>
          <cell r="AF7954">
            <v>0.2</v>
          </cell>
        </row>
        <row r="7955">
          <cell r="A7955" t="str">
            <v>IS_alqt_plus</v>
          </cell>
          <cell r="K7955" t="str">
            <v>ECOR</v>
          </cell>
          <cell r="M7955" t="str">
            <v>M</v>
          </cell>
          <cell r="AB7955" t="str">
            <v>WB</v>
          </cell>
          <cell r="AF7955">
            <v>0.2</v>
          </cell>
        </row>
        <row r="7956">
          <cell r="A7956" t="str">
            <v>IS_alqt_plus</v>
          </cell>
          <cell r="K7956" t="str">
            <v>ECOR</v>
          </cell>
          <cell r="M7956" t="str">
            <v>M</v>
          </cell>
          <cell r="AB7956" t="str">
            <v>WB</v>
          </cell>
          <cell r="AF7956">
            <v>0.2</v>
          </cell>
        </row>
        <row r="7957">
          <cell r="A7957" t="str">
            <v>IS_alqt_plus</v>
          </cell>
          <cell r="K7957" t="str">
            <v>ECOR</v>
          </cell>
          <cell r="M7957" t="str">
            <v>M</v>
          </cell>
          <cell r="AB7957" t="str">
            <v>WB</v>
          </cell>
          <cell r="AF7957">
            <v>0.2</v>
          </cell>
        </row>
        <row r="7958">
          <cell r="A7958" t="str">
            <v>IS_alqt_minus</v>
          </cell>
          <cell r="K7958" t="str">
            <v>MMUR</v>
          </cell>
          <cell r="M7958" t="str">
            <v>F</v>
          </cell>
          <cell r="AB7958" t="str">
            <v>WB</v>
          </cell>
          <cell r="AF7958">
            <v>0.1</v>
          </cell>
        </row>
        <row r="7959">
          <cell r="A7959" t="str">
            <v>IS_alqt_plus</v>
          </cell>
          <cell r="K7959" t="str">
            <v>HGG</v>
          </cell>
          <cell r="M7959" t="str">
            <v>F</v>
          </cell>
          <cell r="AB7959" t="str">
            <v>serum</v>
          </cell>
          <cell r="AF7959">
            <v>0.8</v>
          </cell>
        </row>
        <row r="7960">
          <cell r="A7960" t="str">
            <v>IS_alqt_plus</v>
          </cell>
          <cell r="K7960" t="str">
            <v>HGG</v>
          </cell>
          <cell r="M7960" t="str">
            <v>F</v>
          </cell>
          <cell r="AB7960" t="str">
            <v>WB</v>
          </cell>
          <cell r="AF7960">
            <v>0.5</v>
          </cell>
        </row>
        <row r="7961">
          <cell r="A7961" t="str">
            <v>IS_alqt_plus</v>
          </cell>
          <cell r="K7961" t="str">
            <v>VRUB</v>
          </cell>
          <cell r="M7961" t="str">
            <v>M</v>
          </cell>
          <cell r="AB7961" t="str">
            <v>WB</v>
          </cell>
          <cell r="AF7961">
            <v>0.75</v>
          </cell>
        </row>
        <row r="7962">
          <cell r="A7962" t="str">
            <v>gone</v>
          </cell>
          <cell r="K7962" t="str">
            <v>VRUB</v>
          </cell>
          <cell r="M7962" t="str">
            <v>M</v>
          </cell>
          <cell r="AB7962" t="str">
            <v>WB</v>
          </cell>
          <cell r="AF7962">
            <v>0</v>
          </cell>
        </row>
        <row r="7963">
          <cell r="A7963" t="str">
            <v>IS_alqt_plus</v>
          </cell>
          <cell r="K7963" t="str">
            <v>VRUB</v>
          </cell>
          <cell r="M7963" t="str">
            <v>M</v>
          </cell>
          <cell r="AB7963" t="str">
            <v>serum</v>
          </cell>
          <cell r="AF7963">
            <v>0.4</v>
          </cell>
        </row>
        <row r="7964">
          <cell r="A7964" t="str">
            <v>IS_alqt_plus</v>
          </cell>
          <cell r="K7964" t="str">
            <v>VRUB</v>
          </cell>
          <cell r="M7964" t="str">
            <v>M</v>
          </cell>
          <cell r="AB7964" t="str">
            <v>serum</v>
          </cell>
          <cell r="AF7964">
            <v>0.8</v>
          </cell>
        </row>
        <row r="7965">
          <cell r="A7965" t="str">
            <v>IS_alqt_plus</v>
          </cell>
          <cell r="K7965" t="str">
            <v>DMAD</v>
          </cell>
          <cell r="M7965" t="str">
            <v>F</v>
          </cell>
          <cell r="AB7965" t="str">
            <v>serum</v>
          </cell>
          <cell r="AF7965">
            <v>0.7</v>
          </cell>
        </row>
        <row r="7966">
          <cell r="A7966" t="str">
            <v>IS_alqt_plus</v>
          </cell>
          <cell r="K7966" t="str">
            <v>EMON</v>
          </cell>
          <cell r="M7966" t="str">
            <v>F</v>
          </cell>
          <cell r="AB7966" t="str">
            <v>WB</v>
          </cell>
          <cell r="AF7966">
            <v>0.5</v>
          </cell>
        </row>
        <row r="7967">
          <cell r="A7967" t="str">
            <v>IS_alqt_plus</v>
          </cell>
          <cell r="K7967" t="str">
            <v>EMON</v>
          </cell>
          <cell r="M7967" t="str">
            <v>F</v>
          </cell>
          <cell r="AB7967" t="str">
            <v>WB</v>
          </cell>
          <cell r="AF7967">
            <v>0.5</v>
          </cell>
        </row>
        <row r="7968">
          <cell r="A7968" t="str">
            <v>IS_alqt_plus</v>
          </cell>
          <cell r="K7968" t="str">
            <v>DMAD</v>
          </cell>
          <cell r="M7968" t="str">
            <v>M</v>
          </cell>
          <cell r="AB7968" t="str">
            <v>serum</v>
          </cell>
          <cell r="AF7968">
            <v>0.9</v>
          </cell>
        </row>
        <row r="7969">
          <cell r="A7969" t="str">
            <v>IS_alqt_plus</v>
          </cell>
          <cell r="K7969" t="str">
            <v>DMAD</v>
          </cell>
          <cell r="M7969" t="str">
            <v>M</v>
          </cell>
          <cell r="AB7969" t="str">
            <v>WB</v>
          </cell>
          <cell r="AF7969">
            <v>1.2</v>
          </cell>
        </row>
        <row r="7970">
          <cell r="A7970" t="str">
            <v>IS_alqt_plus</v>
          </cell>
          <cell r="K7970" t="str">
            <v>PCOQ</v>
          </cell>
          <cell r="M7970" t="str">
            <v>F</v>
          </cell>
          <cell r="AB7970" t="str">
            <v>WB</v>
          </cell>
          <cell r="AF7970">
            <v>0.3</v>
          </cell>
        </row>
        <row r="7971">
          <cell r="A7971" t="str">
            <v>IS_alqt_plus</v>
          </cell>
          <cell r="K7971" t="str">
            <v>LCAT</v>
          </cell>
          <cell r="M7971" t="str">
            <v>M</v>
          </cell>
          <cell r="AB7971" t="str">
            <v>serum</v>
          </cell>
          <cell r="AF7971">
            <v>1</v>
          </cell>
        </row>
        <row r="7972">
          <cell r="A7972" t="str">
            <v>IS_alqt_plus</v>
          </cell>
          <cell r="K7972" t="str">
            <v>VRUB</v>
          </cell>
          <cell r="M7972" t="str">
            <v>F</v>
          </cell>
          <cell r="AB7972" t="str">
            <v>WB</v>
          </cell>
          <cell r="AF7972">
            <v>0.8</v>
          </cell>
        </row>
        <row r="7973">
          <cell r="A7973" t="str">
            <v>IS_alqt_plus</v>
          </cell>
          <cell r="K7973" t="str">
            <v>VRUB</v>
          </cell>
          <cell r="M7973" t="str">
            <v>M</v>
          </cell>
          <cell r="AB7973" t="str">
            <v>WB</v>
          </cell>
          <cell r="AF7973">
            <v>1</v>
          </cell>
        </row>
        <row r="7974">
          <cell r="A7974" t="str">
            <v>IS_alqt_plus</v>
          </cell>
          <cell r="K7974" t="str">
            <v>VRUB</v>
          </cell>
          <cell r="M7974" t="str">
            <v>F</v>
          </cell>
          <cell r="AB7974" t="str">
            <v>serum</v>
          </cell>
          <cell r="AF7974">
            <v>0.6</v>
          </cell>
        </row>
        <row r="7975">
          <cell r="A7975" t="str">
            <v>IS_alqt_plus</v>
          </cell>
          <cell r="K7975" t="str">
            <v>VRUB</v>
          </cell>
          <cell r="M7975" t="str">
            <v>M</v>
          </cell>
          <cell r="AB7975" t="str">
            <v>serum</v>
          </cell>
          <cell r="AF7975">
            <v>0.8</v>
          </cell>
        </row>
        <row r="7976">
          <cell r="A7976" t="str">
            <v>IS_alqt_plus</v>
          </cell>
          <cell r="K7976" t="str">
            <v>PCOQ</v>
          </cell>
          <cell r="M7976" t="str">
            <v>F</v>
          </cell>
          <cell r="AB7976" t="str">
            <v>WB</v>
          </cell>
          <cell r="AF7976">
            <v>0.75</v>
          </cell>
        </row>
        <row r="7977">
          <cell r="A7977" t="str">
            <v>IS_alqt_plus</v>
          </cell>
          <cell r="K7977" t="str">
            <v>PCOQ</v>
          </cell>
          <cell r="M7977" t="str">
            <v>F</v>
          </cell>
          <cell r="AB7977" t="str">
            <v>serum</v>
          </cell>
          <cell r="AF7977">
            <v>0.4</v>
          </cell>
        </row>
        <row r="7978">
          <cell r="A7978" t="str">
            <v>IS_alqt_plus</v>
          </cell>
          <cell r="K7978" t="str">
            <v>ECOR</v>
          </cell>
          <cell r="M7978" t="str">
            <v>M</v>
          </cell>
          <cell r="AB7978" t="str">
            <v>serum</v>
          </cell>
          <cell r="AF7978">
            <v>1.3</v>
          </cell>
        </row>
        <row r="7979">
          <cell r="A7979" t="str">
            <v>IS_alqt_plus</v>
          </cell>
          <cell r="K7979" t="str">
            <v>ECOR</v>
          </cell>
          <cell r="M7979" t="str">
            <v>M</v>
          </cell>
          <cell r="AB7979" t="str">
            <v>WB</v>
          </cell>
          <cell r="AF7979">
            <v>1</v>
          </cell>
        </row>
        <row r="7980">
          <cell r="A7980" t="str">
            <v>IS_alqt_plus</v>
          </cell>
          <cell r="K7980" t="str">
            <v>PCOQ</v>
          </cell>
          <cell r="M7980" t="str">
            <v>M</v>
          </cell>
          <cell r="AB7980" t="str">
            <v>WB</v>
          </cell>
          <cell r="AF7980">
            <v>0.25</v>
          </cell>
        </row>
        <row r="7981">
          <cell r="A7981" t="str">
            <v>IS_alqt_plus</v>
          </cell>
          <cell r="K7981" t="str">
            <v>PCOQ</v>
          </cell>
          <cell r="M7981" t="str">
            <v>F</v>
          </cell>
          <cell r="AB7981" t="str">
            <v>serum</v>
          </cell>
          <cell r="AF7981">
            <v>1</v>
          </cell>
        </row>
        <row r="7982">
          <cell r="A7982" t="str">
            <v>gone</v>
          </cell>
          <cell r="K7982" t="str">
            <v>PCOQ</v>
          </cell>
          <cell r="M7982" t="str">
            <v>M</v>
          </cell>
          <cell r="AB7982" t="str">
            <v>WB</v>
          </cell>
          <cell r="AF7982">
            <v>0</v>
          </cell>
        </row>
        <row r="7983">
          <cell r="A7983" t="str">
            <v>IS_alqt_plus</v>
          </cell>
          <cell r="K7983" t="str">
            <v>LCAT</v>
          </cell>
          <cell r="M7983" t="str">
            <v>M</v>
          </cell>
          <cell r="AB7983" t="str">
            <v>serum</v>
          </cell>
          <cell r="AF7983">
            <v>0.5</v>
          </cell>
        </row>
        <row r="7984">
          <cell r="A7984" t="str">
            <v>IS_alqt_plus</v>
          </cell>
          <cell r="K7984" t="str">
            <v>PCOQ</v>
          </cell>
          <cell r="M7984" t="str">
            <v>F</v>
          </cell>
          <cell r="AB7984" t="str">
            <v>WB</v>
          </cell>
          <cell r="AF7984">
            <v>0.75</v>
          </cell>
        </row>
        <row r="7985">
          <cell r="A7985" t="str">
            <v>IS_alqt_plus</v>
          </cell>
          <cell r="K7985" t="str">
            <v>PCOQ</v>
          </cell>
          <cell r="M7985" t="str">
            <v>M</v>
          </cell>
          <cell r="AB7985" t="str">
            <v>WB</v>
          </cell>
          <cell r="AF7985">
            <v>1.1000000000000001</v>
          </cell>
        </row>
        <row r="7986">
          <cell r="A7986" t="str">
            <v>IS_alqt_plus</v>
          </cell>
          <cell r="K7986" t="str">
            <v>PCOQ</v>
          </cell>
          <cell r="M7986" t="str">
            <v>M</v>
          </cell>
          <cell r="AB7986" t="str">
            <v>serum</v>
          </cell>
          <cell r="AF7986">
            <v>0.5</v>
          </cell>
        </row>
        <row r="7987">
          <cell r="A7987" t="str">
            <v>gone</v>
          </cell>
          <cell r="K7987" t="str">
            <v>PCOQ</v>
          </cell>
          <cell r="M7987" t="str">
            <v>F</v>
          </cell>
          <cell r="AB7987" t="str">
            <v>serum</v>
          </cell>
          <cell r="AF7987">
            <v>0</v>
          </cell>
        </row>
        <row r="7988">
          <cell r="A7988" t="str">
            <v>IS_alqt_plus</v>
          </cell>
          <cell r="K7988" t="str">
            <v>DMAD</v>
          </cell>
          <cell r="M7988" t="str">
            <v>F</v>
          </cell>
          <cell r="AB7988" t="str">
            <v>WB</v>
          </cell>
          <cell r="AF7988">
            <v>0.6</v>
          </cell>
        </row>
        <row r="7989">
          <cell r="A7989" t="str">
            <v>IS_alqt_plus</v>
          </cell>
          <cell r="K7989" t="str">
            <v>DMAD</v>
          </cell>
          <cell r="M7989" t="str">
            <v>F</v>
          </cell>
          <cell r="AB7989" t="str">
            <v>WB</v>
          </cell>
          <cell r="AF7989">
            <v>0.5</v>
          </cell>
        </row>
        <row r="7990">
          <cell r="A7990" t="str">
            <v>IS_alqt_plus</v>
          </cell>
          <cell r="K7990" t="str">
            <v>PCOQ</v>
          </cell>
          <cell r="M7990" t="str">
            <v>M</v>
          </cell>
          <cell r="AB7990" t="str">
            <v>WB</v>
          </cell>
          <cell r="AF7990">
            <v>0.75</v>
          </cell>
        </row>
        <row r="7991">
          <cell r="A7991" t="str">
            <v>IS_alqt_plus</v>
          </cell>
          <cell r="K7991" t="str">
            <v>PCOQ</v>
          </cell>
          <cell r="M7991" t="str">
            <v>F</v>
          </cell>
          <cell r="AB7991" t="str">
            <v>WB</v>
          </cell>
          <cell r="AF7991">
            <v>0.8</v>
          </cell>
        </row>
        <row r="7992">
          <cell r="A7992" t="str">
            <v>unk</v>
          </cell>
          <cell r="K7992" t="str">
            <v>PCOQ</v>
          </cell>
          <cell r="M7992" t="str">
            <v>F</v>
          </cell>
          <cell r="AB7992" t="str">
            <v>serum</v>
          </cell>
          <cell r="AF7992">
            <v>1.5</v>
          </cell>
        </row>
        <row r="7993">
          <cell r="A7993" t="str">
            <v>IS_alqt_plus</v>
          </cell>
          <cell r="K7993" t="str">
            <v>DMAD</v>
          </cell>
          <cell r="M7993" t="str">
            <v>F</v>
          </cell>
          <cell r="AB7993" t="str">
            <v>serum</v>
          </cell>
          <cell r="AF7993">
            <v>0.8</v>
          </cell>
        </row>
        <row r="7994">
          <cell r="A7994" t="str">
            <v>IS_alqt_plus</v>
          </cell>
          <cell r="K7994" t="str">
            <v>DMAD</v>
          </cell>
          <cell r="M7994" t="str">
            <v>F</v>
          </cell>
          <cell r="AB7994" t="str">
            <v>WB</v>
          </cell>
          <cell r="AF7994">
            <v>0.8</v>
          </cell>
        </row>
        <row r="7995">
          <cell r="A7995" t="str">
            <v>gone</v>
          </cell>
          <cell r="K7995" t="str">
            <v>MMUR</v>
          </cell>
          <cell r="M7995" t="str">
            <v>M</v>
          </cell>
          <cell r="AB7995" t="str">
            <v>WB</v>
          </cell>
          <cell r="AF7995">
            <v>0</v>
          </cell>
        </row>
        <row r="7996">
          <cell r="A7996" t="str">
            <v>IS_alqt_minus</v>
          </cell>
          <cell r="K7996" t="str">
            <v>MMUR</v>
          </cell>
          <cell r="M7996" t="str">
            <v>F</v>
          </cell>
          <cell r="AB7996" t="str">
            <v>WB</v>
          </cell>
          <cell r="AF7996">
            <v>0.1</v>
          </cell>
        </row>
        <row r="7997">
          <cell r="A7997" t="str">
            <v>IS_alqt_plus</v>
          </cell>
          <cell r="K7997" t="str">
            <v>PCOQ</v>
          </cell>
          <cell r="M7997" t="str">
            <v>F</v>
          </cell>
          <cell r="AB7997" t="str">
            <v>WB</v>
          </cell>
          <cell r="AF7997">
            <v>1</v>
          </cell>
        </row>
        <row r="7998">
          <cell r="A7998" t="str">
            <v>IS_alqt_plus</v>
          </cell>
          <cell r="K7998" t="str">
            <v>PCOQ</v>
          </cell>
          <cell r="M7998" t="str">
            <v>F</v>
          </cell>
          <cell r="AB7998" t="str">
            <v>serum</v>
          </cell>
          <cell r="AF7998">
            <v>0.2</v>
          </cell>
        </row>
        <row r="7999">
          <cell r="A7999" t="str">
            <v>IS_alqt_plus</v>
          </cell>
          <cell r="K7999" t="str">
            <v>PCOQ</v>
          </cell>
          <cell r="M7999" t="str">
            <v>F</v>
          </cell>
          <cell r="AB7999" t="str">
            <v>serum</v>
          </cell>
          <cell r="AF7999">
            <v>0.2</v>
          </cell>
        </row>
        <row r="8000">
          <cell r="A8000" t="str">
            <v>IS_alqt_plus</v>
          </cell>
          <cell r="K8000" t="str">
            <v>PCOQ</v>
          </cell>
          <cell r="M8000" t="str">
            <v>F</v>
          </cell>
          <cell r="AB8000" t="str">
            <v>serum</v>
          </cell>
          <cell r="AF8000">
            <v>0.2</v>
          </cell>
        </row>
        <row r="8001">
          <cell r="A8001" t="str">
            <v>IS_alqt_plus</v>
          </cell>
          <cell r="K8001" t="str">
            <v>PCOQ</v>
          </cell>
          <cell r="M8001" t="str">
            <v>F</v>
          </cell>
          <cell r="AB8001" t="str">
            <v>serum</v>
          </cell>
          <cell r="AF8001">
            <v>0.2</v>
          </cell>
        </row>
        <row r="8002">
          <cell r="A8002" t="str">
            <v>IS_alqt_plus</v>
          </cell>
          <cell r="K8002" t="str">
            <v>PCOQ</v>
          </cell>
          <cell r="M8002" t="str">
            <v>F</v>
          </cell>
          <cell r="AB8002" t="str">
            <v>serum</v>
          </cell>
          <cell r="AF8002">
            <v>0.2</v>
          </cell>
        </row>
        <row r="8003">
          <cell r="A8003" t="str">
            <v>IS_alqt_plus</v>
          </cell>
          <cell r="K8003" t="str">
            <v>PCOQ</v>
          </cell>
          <cell r="M8003" t="str">
            <v>F</v>
          </cell>
          <cell r="AB8003" t="str">
            <v>serum</v>
          </cell>
          <cell r="AF8003">
            <v>0.2</v>
          </cell>
        </row>
        <row r="8004">
          <cell r="A8004" t="str">
            <v>IS_alqt_plus</v>
          </cell>
          <cell r="K8004" t="str">
            <v>EFLA</v>
          </cell>
          <cell r="M8004" t="str">
            <v>M</v>
          </cell>
          <cell r="AB8004" t="str">
            <v>serum</v>
          </cell>
          <cell r="AF8004">
            <v>1.5</v>
          </cell>
        </row>
        <row r="8005">
          <cell r="A8005" t="str">
            <v>IS_alqt_plus</v>
          </cell>
          <cell r="K8005" t="str">
            <v>EFLA</v>
          </cell>
          <cell r="M8005" t="str">
            <v>M</v>
          </cell>
          <cell r="AB8005" t="str">
            <v>serum</v>
          </cell>
          <cell r="AF8005">
            <v>1</v>
          </cell>
        </row>
        <row r="8006">
          <cell r="A8006" t="str">
            <v>gone</v>
          </cell>
          <cell r="K8006" t="str">
            <v>EFLA</v>
          </cell>
          <cell r="M8006" t="str">
            <v>M</v>
          </cell>
          <cell r="AB8006" t="str">
            <v>WB</v>
          </cell>
          <cell r="AF8006">
            <v>0</v>
          </cell>
        </row>
        <row r="8007">
          <cell r="A8007" t="str">
            <v>unk</v>
          </cell>
          <cell r="K8007" t="str">
            <v>EFLA</v>
          </cell>
          <cell r="M8007" t="str">
            <v>M</v>
          </cell>
          <cell r="AB8007" t="str">
            <v>WB</v>
          </cell>
          <cell r="AF8007">
            <v>1</v>
          </cell>
        </row>
        <row r="8008">
          <cell r="A8008" t="str">
            <v>IS_alqt_plus</v>
          </cell>
          <cell r="K8008" t="str">
            <v>OCRA</v>
          </cell>
          <cell r="M8008" t="str">
            <v>F</v>
          </cell>
          <cell r="AB8008" t="str">
            <v>WB</v>
          </cell>
          <cell r="AF8008">
            <v>1</v>
          </cell>
        </row>
        <row r="8009">
          <cell r="A8009" t="str">
            <v>IS_alqt_plus</v>
          </cell>
          <cell r="K8009" t="str">
            <v>OCRA</v>
          </cell>
          <cell r="M8009" t="str">
            <v>F</v>
          </cell>
          <cell r="AB8009" t="str">
            <v>WB</v>
          </cell>
          <cell r="AF8009">
            <v>1.3</v>
          </cell>
        </row>
        <row r="8010">
          <cell r="A8010" t="str">
            <v>IS_alqt_plus</v>
          </cell>
          <cell r="K8010" t="str">
            <v>OCRA</v>
          </cell>
          <cell r="M8010" t="str">
            <v>F</v>
          </cell>
          <cell r="AB8010" t="str">
            <v>WB</v>
          </cell>
          <cell r="AF8010">
            <v>1.3</v>
          </cell>
        </row>
        <row r="8011">
          <cell r="A8011" t="str">
            <v>IS_alqt_plus</v>
          </cell>
          <cell r="K8011" t="str">
            <v>OCRA</v>
          </cell>
          <cell r="M8011" t="str">
            <v>F</v>
          </cell>
          <cell r="AB8011" t="str">
            <v>WB</v>
          </cell>
          <cell r="AF8011">
            <v>1.1000000000000001</v>
          </cell>
        </row>
        <row r="8012">
          <cell r="A8012" t="str">
            <v>IS_alqt_plus</v>
          </cell>
          <cell r="K8012" t="str">
            <v>OCRA</v>
          </cell>
          <cell r="M8012" t="str">
            <v>F</v>
          </cell>
          <cell r="AB8012" t="str">
            <v>WB</v>
          </cell>
          <cell r="AF8012">
            <v>1</v>
          </cell>
        </row>
        <row r="8013">
          <cell r="A8013" t="str">
            <v>IS_alqt_plus</v>
          </cell>
          <cell r="K8013" t="str">
            <v>OCRA</v>
          </cell>
          <cell r="M8013" t="str">
            <v>F</v>
          </cell>
          <cell r="AB8013" t="str">
            <v>WB</v>
          </cell>
          <cell r="AF8013">
            <v>1</v>
          </cell>
        </row>
        <row r="8014">
          <cell r="A8014" t="str">
            <v>IS_alqt_plus</v>
          </cell>
          <cell r="K8014" t="str">
            <v>OCRA</v>
          </cell>
          <cell r="M8014" t="str">
            <v>F</v>
          </cell>
          <cell r="AB8014" t="str">
            <v>WB</v>
          </cell>
          <cell r="AF8014">
            <v>1.1000000000000001</v>
          </cell>
        </row>
        <row r="8015">
          <cell r="A8015" t="str">
            <v>IS_alqt_plus</v>
          </cell>
          <cell r="K8015" t="str">
            <v>OCRA</v>
          </cell>
          <cell r="M8015" t="str">
            <v>F</v>
          </cell>
          <cell r="AB8015" t="str">
            <v>WB</v>
          </cell>
          <cell r="AF8015">
            <v>1</v>
          </cell>
        </row>
        <row r="8016">
          <cell r="A8016" t="str">
            <v>IS_alqt_plus</v>
          </cell>
          <cell r="K8016" t="str">
            <v>OCRA</v>
          </cell>
          <cell r="M8016" t="str">
            <v>F</v>
          </cell>
          <cell r="AB8016" t="str">
            <v>WB</v>
          </cell>
          <cell r="AF8016">
            <v>1.2</v>
          </cell>
        </row>
        <row r="8017">
          <cell r="A8017" t="str">
            <v>IS_alqt_plus</v>
          </cell>
          <cell r="K8017" t="str">
            <v>OCRA</v>
          </cell>
          <cell r="M8017" t="str">
            <v>F</v>
          </cell>
          <cell r="AB8017" t="str">
            <v>WB</v>
          </cell>
          <cell r="AF8017">
            <v>1</v>
          </cell>
        </row>
        <row r="8018">
          <cell r="A8018" t="str">
            <v>IS_alqt_plus</v>
          </cell>
          <cell r="K8018" t="str">
            <v>OCRA</v>
          </cell>
          <cell r="M8018" t="str">
            <v>F</v>
          </cell>
          <cell r="AB8018" t="str">
            <v>WB</v>
          </cell>
          <cell r="AF8018">
            <v>1</v>
          </cell>
        </row>
        <row r="8019">
          <cell r="A8019" t="str">
            <v>IS_alqt_plus</v>
          </cell>
          <cell r="K8019" t="str">
            <v>OCRA</v>
          </cell>
          <cell r="M8019" t="str">
            <v>F</v>
          </cell>
          <cell r="AB8019" t="str">
            <v>WB</v>
          </cell>
          <cell r="AF8019">
            <v>0.2</v>
          </cell>
        </row>
        <row r="8020">
          <cell r="A8020" t="str">
            <v>IS_alqt_plus</v>
          </cell>
          <cell r="K8020" t="str">
            <v>OCRA</v>
          </cell>
          <cell r="M8020" t="str">
            <v>F</v>
          </cell>
          <cell r="AB8020" t="str">
            <v>WB</v>
          </cell>
          <cell r="AF8020">
            <v>0.2</v>
          </cell>
        </row>
        <row r="8021">
          <cell r="A8021" t="str">
            <v>IS_alqt_plus</v>
          </cell>
          <cell r="K8021" t="str">
            <v>OCRA</v>
          </cell>
          <cell r="M8021" t="str">
            <v>F</v>
          </cell>
          <cell r="AB8021" t="str">
            <v>WB</v>
          </cell>
          <cell r="AF8021">
            <v>0.2</v>
          </cell>
        </row>
        <row r="8022">
          <cell r="A8022" t="str">
            <v>IS_alqt_plus</v>
          </cell>
          <cell r="K8022" t="str">
            <v>OCRA</v>
          </cell>
          <cell r="M8022" t="str">
            <v>F</v>
          </cell>
          <cell r="AB8022" t="str">
            <v>WB</v>
          </cell>
          <cell r="AF8022">
            <v>0.2</v>
          </cell>
        </row>
        <row r="8023">
          <cell r="A8023" t="str">
            <v>IS_alqt_plus</v>
          </cell>
          <cell r="K8023" t="str">
            <v>OCRA</v>
          </cell>
          <cell r="M8023" t="str">
            <v>F</v>
          </cell>
          <cell r="AB8023" t="str">
            <v>serum</v>
          </cell>
          <cell r="AF8023">
            <v>1.2</v>
          </cell>
        </row>
        <row r="8024">
          <cell r="A8024" t="str">
            <v>IS_alqt_plus</v>
          </cell>
          <cell r="K8024" t="str">
            <v>OCRA</v>
          </cell>
          <cell r="M8024" t="str">
            <v>F</v>
          </cell>
          <cell r="AB8024" t="str">
            <v>serum</v>
          </cell>
          <cell r="AF8024">
            <v>1.2</v>
          </cell>
        </row>
        <row r="8025">
          <cell r="A8025" t="str">
            <v>IS_alqt_plus</v>
          </cell>
          <cell r="K8025" t="str">
            <v>OCRA</v>
          </cell>
          <cell r="M8025" t="str">
            <v>F</v>
          </cell>
          <cell r="AB8025" t="str">
            <v>serum</v>
          </cell>
          <cell r="AF8025">
            <v>1.2</v>
          </cell>
        </row>
        <row r="8026">
          <cell r="A8026" t="str">
            <v>IS_alqt_plus</v>
          </cell>
          <cell r="K8026" t="str">
            <v>OCRA</v>
          </cell>
          <cell r="M8026" t="str">
            <v>F</v>
          </cell>
          <cell r="AB8026" t="str">
            <v>serum</v>
          </cell>
          <cell r="AF8026">
            <v>1.1000000000000001</v>
          </cell>
        </row>
        <row r="8027">
          <cell r="A8027" t="str">
            <v>IS_alqt_plus</v>
          </cell>
          <cell r="K8027" t="str">
            <v>OCRA</v>
          </cell>
          <cell r="M8027" t="str">
            <v>F</v>
          </cell>
          <cell r="AB8027" t="str">
            <v>serum</v>
          </cell>
          <cell r="AF8027">
            <v>1.2</v>
          </cell>
        </row>
        <row r="8028">
          <cell r="A8028" t="str">
            <v>IS_alqt_plus</v>
          </cell>
          <cell r="K8028" t="str">
            <v>OCRA</v>
          </cell>
          <cell r="M8028" t="str">
            <v>F</v>
          </cell>
          <cell r="AB8028" t="str">
            <v>serum</v>
          </cell>
          <cell r="AF8028">
            <v>1.1000000000000001</v>
          </cell>
        </row>
        <row r="8029">
          <cell r="A8029" t="str">
            <v>IS_alqt_plus</v>
          </cell>
          <cell r="K8029" t="str">
            <v>OCRA</v>
          </cell>
          <cell r="M8029" t="str">
            <v>F</v>
          </cell>
          <cell r="AB8029" t="str">
            <v>serum</v>
          </cell>
          <cell r="AF8029">
            <v>1</v>
          </cell>
        </row>
        <row r="8030">
          <cell r="A8030" t="str">
            <v>IS_alqt_plus</v>
          </cell>
          <cell r="K8030" t="str">
            <v>OCRA</v>
          </cell>
          <cell r="M8030" t="str">
            <v>F</v>
          </cell>
          <cell r="AB8030" t="str">
            <v>serum</v>
          </cell>
          <cell r="AF8030">
            <v>1.2</v>
          </cell>
        </row>
        <row r="8031">
          <cell r="A8031" t="str">
            <v>IS_alqt_plus</v>
          </cell>
          <cell r="K8031" t="str">
            <v>OCRA</v>
          </cell>
          <cell r="M8031" t="str">
            <v>F</v>
          </cell>
          <cell r="AB8031" t="str">
            <v>serum</v>
          </cell>
          <cell r="AF8031">
            <v>1</v>
          </cell>
        </row>
        <row r="8032">
          <cell r="A8032" t="str">
            <v>IS_alqt_plus</v>
          </cell>
          <cell r="K8032" t="str">
            <v>OCRA</v>
          </cell>
          <cell r="M8032" t="str">
            <v>F</v>
          </cell>
          <cell r="AB8032" t="str">
            <v>serum</v>
          </cell>
          <cell r="AF8032">
            <v>1.2</v>
          </cell>
        </row>
        <row r="8033">
          <cell r="A8033" t="str">
            <v>IS_alqt_plus</v>
          </cell>
          <cell r="K8033" t="str">
            <v>EMON</v>
          </cell>
          <cell r="M8033" t="str">
            <v>F</v>
          </cell>
          <cell r="AB8033" t="str">
            <v>WB</v>
          </cell>
          <cell r="AF8033">
            <v>1</v>
          </cell>
        </row>
        <row r="8034">
          <cell r="A8034" t="str">
            <v>unk</v>
          </cell>
          <cell r="K8034" t="str">
            <v>EFLA</v>
          </cell>
          <cell r="M8034" t="str">
            <v>F</v>
          </cell>
          <cell r="AB8034" t="str">
            <v>serum</v>
          </cell>
          <cell r="AF8034">
            <v>1.5</v>
          </cell>
        </row>
        <row r="8035">
          <cell r="A8035" t="str">
            <v>IS_alqt_plus</v>
          </cell>
          <cell r="K8035" t="str">
            <v>EMON</v>
          </cell>
          <cell r="M8035" t="str">
            <v>F</v>
          </cell>
          <cell r="AB8035" t="str">
            <v>WB</v>
          </cell>
          <cell r="AF8035">
            <v>0.9</v>
          </cell>
        </row>
        <row r="8036">
          <cell r="A8036" t="str">
            <v>IS_alqt_plus</v>
          </cell>
          <cell r="K8036" t="str">
            <v>EFLA</v>
          </cell>
          <cell r="M8036" t="str">
            <v>F</v>
          </cell>
          <cell r="AB8036" t="str">
            <v>WB</v>
          </cell>
          <cell r="AF8036">
            <v>1</v>
          </cell>
        </row>
        <row r="8037">
          <cell r="A8037" t="str">
            <v>unk</v>
          </cell>
          <cell r="K8037" t="str">
            <v>EFLA</v>
          </cell>
          <cell r="M8037" t="str">
            <v>F</v>
          </cell>
          <cell r="AB8037" t="str">
            <v>WB</v>
          </cell>
          <cell r="AF8037">
            <v>1</v>
          </cell>
        </row>
        <row r="8038">
          <cell r="A8038" t="str">
            <v>IS_alqt_plus</v>
          </cell>
          <cell r="K8038" t="str">
            <v>VVV</v>
          </cell>
          <cell r="M8038" t="str">
            <v>M</v>
          </cell>
          <cell r="AB8038" t="str">
            <v>WB</v>
          </cell>
          <cell r="AF8038">
            <v>0.8</v>
          </cell>
        </row>
        <row r="8039">
          <cell r="A8039" t="str">
            <v>IS_alqt_plus</v>
          </cell>
          <cell r="K8039" t="str">
            <v>VVV</v>
          </cell>
          <cell r="M8039" t="str">
            <v>F</v>
          </cell>
          <cell r="AB8039" t="str">
            <v>WB</v>
          </cell>
          <cell r="AF8039">
            <v>1</v>
          </cell>
        </row>
        <row r="8040">
          <cell r="A8040" t="str">
            <v>IS_alqt_plus</v>
          </cell>
          <cell r="K8040" t="str">
            <v>VVV</v>
          </cell>
          <cell r="M8040" t="str">
            <v>M</v>
          </cell>
          <cell r="AB8040" t="str">
            <v>WB</v>
          </cell>
          <cell r="AF8040">
            <v>1</v>
          </cell>
        </row>
        <row r="8041">
          <cell r="A8041" t="str">
            <v>IS_alqt_plus</v>
          </cell>
          <cell r="K8041" t="str">
            <v>VVV</v>
          </cell>
          <cell r="M8041" t="str">
            <v>M</v>
          </cell>
          <cell r="AB8041" t="str">
            <v>SERUM</v>
          </cell>
          <cell r="AF8041">
            <v>0.9</v>
          </cell>
        </row>
        <row r="8042">
          <cell r="A8042" t="str">
            <v>IS_alqt_plus</v>
          </cell>
          <cell r="K8042" t="str">
            <v>VVV</v>
          </cell>
          <cell r="M8042" t="str">
            <v>F</v>
          </cell>
          <cell r="AB8042" t="str">
            <v>serum</v>
          </cell>
          <cell r="AF8042">
            <v>1</v>
          </cell>
        </row>
        <row r="8043">
          <cell r="A8043" t="str">
            <v>IS_alqt_plus</v>
          </cell>
          <cell r="K8043" t="str">
            <v>VVV</v>
          </cell>
          <cell r="M8043" t="str">
            <v>M</v>
          </cell>
          <cell r="AB8043" t="str">
            <v>serum</v>
          </cell>
          <cell r="AF8043">
            <v>1.2</v>
          </cell>
        </row>
        <row r="8044">
          <cell r="A8044" t="str">
            <v>IS_alqt_plus</v>
          </cell>
          <cell r="K8044" t="str">
            <v>ECOL</v>
          </cell>
          <cell r="M8044" t="str">
            <v>F</v>
          </cell>
          <cell r="AB8044" t="str">
            <v>serum</v>
          </cell>
          <cell r="AF8044">
            <v>1</v>
          </cell>
        </row>
        <row r="8045">
          <cell r="A8045" t="str">
            <v>IS_alqt_plus</v>
          </cell>
          <cell r="K8045" t="str">
            <v>ECOL</v>
          </cell>
          <cell r="M8045" t="str">
            <v>F</v>
          </cell>
          <cell r="AB8045" t="str">
            <v>WB</v>
          </cell>
          <cell r="AF8045">
            <v>0.9</v>
          </cell>
        </row>
        <row r="8046">
          <cell r="A8046" t="str">
            <v>IS_alqt_plus</v>
          </cell>
          <cell r="K8046" t="str">
            <v>PCOQ</v>
          </cell>
          <cell r="M8046" t="str">
            <v>F</v>
          </cell>
          <cell r="AB8046" t="str">
            <v>WB</v>
          </cell>
          <cell r="AF8046">
            <v>1.3</v>
          </cell>
        </row>
        <row r="8047">
          <cell r="A8047" t="str">
            <v>IS_alqt_plus</v>
          </cell>
          <cell r="K8047" t="str">
            <v>PCOQ</v>
          </cell>
          <cell r="M8047" t="str">
            <v>F</v>
          </cell>
          <cell r="AB8047" t="str">
            <v>serum</v>
          </cell>
          <cell r="AF8047">
            <v>0.6</v>
          </cell>
        </row>
        <row r="8048">
          <cell r="A8048" t="str">
            <v>IS_alqt_plus</v>
          </cell>
          <cell r="K8048" t="str">
            <v>ERUB</v>
          </cell>
          <cell r="M8048" t="str">
            <v>F</v>
          </cell>
          <cell r="AB8048" t="str">
            <v>WB</v>
          </cell>
          <cell r="AF8048">
            <v>1</v>
          </cell>
        </row>
        <row r="8049">
          <cell r="A8049" t="str">
            <v>IS_alqt_plus</v>
          </cell>
          <cell r="K8049" t="str">
            <v>ERUB</v>
          </cell>
          <cell r="M8049" t="str">
            <v>F</v>
          </cell>
          <cell r="AB8049" t="str">
            <v>WB</v>
          </cell>
          <cell r="AF8049">
            <v>1</v>
          </cell>
        </row>
        <row r="8050">
          <cell r="A8050" t="str">
            <v>IS_alqt_plus</v>
          </cell>
          <cell r="K8050" t="str">
            <v>ERUB</v>
          </cell>
          <cell r="M8050" t="str">
            <v>F</v>
          </cell>
          <cell r="AB8050" t="str">
            <v>WB</v>
          </cell>
          <cell r="AF8050">
            <v>0.75</v>
          </cell>
        </row>
        <row r="8051">
          <cell r="A8051" t="str">
            <v>IS_alqt_plus</v>
          </cell>
          <cell r="K8051" t="str">
            <v>ERUB</v>
          </cell>
          <cell r="M8051" t="str">
            <v>F</v>
          </cell>
          <cell r="AB8051" t="str">
            <v>WB</v>
          </cell>
          <cell r="AF8051">
            <v>1</v>
          </cell>
        </row>
        <row r="8052">
          <cell r="A8052" t="str">
            <v>IS_alqt_plus</v>
          </cell>
          <cell r="K8052" t="str">
            <v>ERUB</v>
          </cell>
          <cell r="M8052" t="str">
            <v>F</v>
          </cell>
          <cell r="AB8052" t="str">
            <v>WB</v>
          </cell>
          <cell r="AF8052">
            <v>1</v>
          </cell>
        </row>
        <row r="8053">
          <cell r="A8053" t="str">
            <v>IS_alqt_plus</v>
          </cell>
          <cell r="K8053" t="str">
            <v>ERUB</v>
          </cell>
          <cell r="M8053" t="str">
            <v>F</v>
          </cell>
          <cell r="AB8053" t="str">
            <v>WB</v>
          </cell>
          <cell r="AF8053">
            <v>0.75</v>
          </cell>
        </row>
        <row r="8054">
          <cell r="A8054" t="str">
            <v>IS_alqt_plus</v>
          </cell>
          <cell r="K8054" t="str">
            <v>ERUB</v>
          </cell>
          <cell r="M8054" t="str">
            <v>F</v>
          </cell>
          <cell r="AB8054" t="str">
            <v>WB</v>
          </cell>
          <cell r="AF8054">
            <v>0.6</v>
          </cell>
        </row>
        <row r="8055">
          <cell r="A8055" t="str">
            <v>IS_alqt_plus</v>
          </cell>
          <cell r="K8055" t="str">
            <v>ERUB</v>
          </cell>
          <cell r="M8055" t="str">
            <v>F</v>
          </cell>
          <cell r="AB8055" t="str">
            <v>WB</v>
          </cell>
          <cell r="AF8055">
            <v>0.75</v>
          </cell>
        </row>
        <row r="8056">
          <cell r="A8056" t="str">
            <v>IS_alqt_plus</v>
          </cell>
          <cell r="K8056" t="str">
            <v>ERUB</v>
          </cell>
          <cell r="M8056" t="str">
            <v>F</v>
          </cell>
          <cell r="AB8056" t="str">
            <v>WB</v>
          </cell>
          <cell r="AF8056">
            <v>0.6</v>
          </cell>
        </row>
        <row r="8057">
          <cell r="A8057" t="str">
            <v>IS_alqt_plus</v>
          </cell>
          <cell r="K8057" t="str">
            <v>ERUB</v>
          </cell>
          <cell r="M8057" t="str">
            <v>F</v>
          </cell>
          <cell r="AB8057" t="str">
            <v>WB</v>
          </cell>
          <cell r="AF8057">
            <v>0.75</v>
          </cell>
        </row>
        <row r="8058">
          <cell r="A8058" t="str">
            <v>IS_alqt_plus</v>
          </cell>
          <cell r="K8058" t="str">
            <v>ERUB</v>
          </cell>
          <cell r="M8058" t="str">
            <v>F</v>
          </cell>
          <cell r="AB8058" t="str">
            <v>WB</v>
          </cell>
          <cell r="AF8058">
            <v>0.4</v>
          </cell>
        </row>
        <row r="8059">
          <cell r="A8059" t="str">
            <v>IS_alqt_plus</v>
          </cell>
          <cell r="K8059" t="str">
            <v>EMON</v>
          </cell>
          <cell r="M8059" t="str">
            <v>M</v>
          </cell>
          <cell r="AB8059" t="str">
            <v>WB</v>
          </cell>
          <cell r="AF8059">
            <v>0.2</v>
          </cell>
        </row>
        <row r="8060">
          <cell r="A8060" t="str">
            <v>IS_alqt_plus</v>
          </cell>
          <cell r="K8060" t="str">
            <v>ERUB</v>
          </cell>
          <cell r="M8060" t="str">
            <v>F</v>
          </cell>
          <cell r="AB8060" t="str">
            <v>WB</v>
          </cell>
          <cell r="AF8060">
            <v>1</v>
          </cell>
        </row>
        <row r="8061">
          <cell r="A8061" t="str">
            <v>IS_alqt_plus</v>
          </cell>
          <cell r="K8061" t="str">
            <v>ERUB</v>
          </cell>
          <cell r="M8061" t="str">
            <v>F</v>
          </cell>
          <cell r="AB8061" t="str">
            <v>WB</v>
          </cell>
          <cell r="AF8061">
            <v>0.75</v>
          </cell>
        </row>
        <row r="8062">
          <cell r="A8062" t="str">
            <v>IS_alqt_plus</v>
          </cell>
          <cell r="K8062" t="str">
            <v>ERUB</v>
          </cell>
          <cell r="M8062" t="str">
            <v>F</v>
          </cell>
          <cell r="AB8062" t="str">
            <v>WB</v>
          </cell>
          <cell r="AF8062">
            <v>1</v>
          </cell>
        </row>
        <row r="8063">
          <cell r="A8063" t="str">
            <v>IS_alqt_plus</v>
          </cell>
          <cell r="K8063" t="str">
            <v>ERUB</v>
          </cell>
          <cell r="M8063" t="str">
            <v>F</v>
          </cell>
          <cell r="AB8063" t="str">
            <v>WB</v>
          </cell>
          <cell r="AF8063">
            <v>1</v>
          </cell>
        </row>
        <row r="8064">
          <cell r="A8064" t="str">
            <v>IS_alqt_plus</v>
          </cell>
          <cell r="K8064" t="str">
            <v>ERUB</v>
          </cell>
          <cell r="M8064" t="str">
            <v>F</v>
          </cell>
          <cell r="AB8064" t="str">
            <v>WB</v>
          </cell>
          <cell r="AF8064">
            <v>0.8</v>
          </cell>
        </row>
        <row r="8065">
          <cell r="A8065" t="str">
            <v>IS_alqt_plus</v>
          </cell>
          <cell r="K8065" t="str">
            <v>ERUB</v>
          </cell>
          <cell r="M8065" t="str">
            <v>F</v>
          </cell>
          <cell r="AB8065" t="str">
            <v>WB</v>
          </cell>
          <cell r="AF8065">
            <v>1</v>
          </cell>
        </row>
        <row r="8066">
          <cell r="A8066" t="str">
            <v>IS_alqt_plus</v>
          </cell>
          <cell r="K8066" t="str">
            <v>ERUB</v>
          </cell>
          <cell r="M8066" t="str">
            <v>F</v>
          </cell>
          <cell r="AB8066" t="str">
            <v>WB</v>
          </cell>
          <cell r="AF8066">
            <v>1</v>
          </cell>
        </row>
        <row r="8067">
          <cell r="A8067" t="str">
            <v>gone</v>
          </cell>
          <cell r="K8067" t="str">
            <v>ERUB</v>
          </cell>
          <cell r="M8067" t="str">
            <v>F</v>
          </cell>
          <cell r="AB8067" t="str">
            <v>WB</v>
          </cell>
          <cell r="AF8067">
            <v>0</v>
          </cell>
        </row>
        <row r="8068">
          <cell r="A8068" t="str">
            <v>IS_alqt_plus</v>
          </cell>
          <cell r="K8068" t="str">
            <v>ERUB</v>
          </cell>
          <cell r="M8068" t="str">
            <v>F</v>
          </cell>
          <cell r="AB8068" t="str">
            <v>WB</v>
          </cell>
          <cell r="AF8068">
            <v>1.3</v>
          </cell>
        </row>
        <row r="8069">
          <cell r="A8069" t="str">
            <v>IS_alqt_plus</v>
          </cell>
          <cell r="K8069" t="str">
            <v>ERUB</v>
          </cell>
          <cell r="M8069" t="str">
            <v>F</v>
          </cell>
          <cell r="AB8069" t="str">
            <v>WB</v>
          </cell>
          <cell r="AF8069">
            <v>1</v>
          </cell>
        </row>
        <row r="8070">
          <cell r="A8070" t="str">
            <v>IS_alqt_plus</v>
          </cell>
          <cell r="K8070" t="str">
            <v>ERUB</v>
          </cell>
          <cell r="M8070" t="str">
            <v>F</v>
          </cell>
          <cell r="AB8070" t="str">
            <v>WB</v>
          </cell>
          <cell r="AF8070">
            <v>1</v>
          </cell>
        </row>
        <row r="8071">
          <cell r="A8071" t="str">
            <v>IS_alqt_plus</v>
          </cell>
          <cell r="K8071" t="str">
            <v>ERUB</v>
          </cell>
          <cell r="M8071" t="str">
            <v>F</v>
          </cell>
          <cell r="AB8071" t="str">
            <v>WB</v>
          </cell>
          <cell r="AF8071">
            <v>1</v>
          </cell>
        </row>
        <row r="8072">
          <cell r="A8072" t="str">
            <v>IS_alqt_plus</v>
          </cell>
          <cell r="K8072" t="str">
            <v>ERUB</v>
          </cell>
          <cell r="M8072" t="str">
            <v>F</v>
          </cell>
          <cell r="AB8072" t="str">
            <v>WB</v>
          </cell>
          <cell r="AF8072">
            <v>0.75</v>
          </cell>
        </row>
        <row r="8073">
          <cell r="A8073" t="str">
            <v>IS_alqt_plus</v>
          </cell>
          <cell r="K8073" t="str">
            <v>ERUB</v>
          </cell>
          <cell r="M8073" t="str">
            <v>F</v>
          </cell>
          <cell r="AB8073" t="str">
            <v>WB</v>
          </cell>
          <cell r="AF8073">
            <v>1</v>
          </cell>
        </row>
        <row r="8074">
          <cell r="A8074" t="str">
            <v>unk</v>
          </cell>
          <cell r="K8074" t="str">
            <v>ERUB</v>
          </cell>
          <cell r="M8074" t="str">
            <v>F</v>
          </cell>
          <cell r="AB8074" t="str">
            <v>WB</v>
          </cell>
          <cell r="AF8074">
            <v>1</v>
          </cell>
        </row>
        <row r="8075">
          <cell r="A8075" t="str">
            <v>IS_alqt_plus</v>
          </cell>
          <cell r="K8075" t="str">
            <v>ERUB</v>
          </cell>
          <cell r="M8075" t="str">
            <v>F</v>
          </cell>
          <cell r="AB8075" t="str">
            <v>WB</v>
          </cell>
          <cell r="AF8075">
            <v>0.2</v>
          </cell>
        </row>
        <row r="8076">
          <cell r="A8076" t="str">
            <v>IS_alqt_plus</v>
          </cell>
          <cell r="K8076" t="str">
            <v>ERUB</v>
          </cell>
          <cell r="M8076" t="str">
            <v>F</v>
          </cell>
          <cell r="AB8076" t="str">
            <v>WB</v>
          </cell>
          <cell r="AF8076">
            <v>0.2</v>
          </cell>
        </row>
        <row r="8077">
          <cell r="A8077" t="str">
            <v>IS_alqt_plus</v>
          </cell>
          <cell r="K8077" t="str">
            <v>ERUB</v>
          </cell>
          <cell r="M8077" t="str">
            <v>F</v>
          </cell>
          <cell r="AB8077" t="str">
            <v>WB</v>
          </cell>
          <cell r="AF8077">
            <v>0.3</v>
          </cell>
        </row>
        <row r="8078">
          <cell r="A8078" t="str">
            <v>IS_alqt_plus</v>
          </cell>
          <cell r="K8078" t="str">
            <v>ERUB</v>
          </cell>
          <cell r="M8078" t="str">
            <v>F</v>
          </cell>
          <cell r="AB8078" t="str">
            <v>WB</v>
          </cell>
          <cell r="AF8078">
            <v>0.2</v>
          </cell>
        </row>
        <row r="8079">
          <cell r="A8079" t="str">
            <v>IS_alqt_plus</v>
          </cell>
          <cell r="K8079" t="str">
            <v>ERUB</v>
          </cell>
          <cell r="M8079" t="str">
            <v>F</v>
          </cell>
          <cell r="AB8079" t="str">
            <v>serum</v>
          </cell>
          <cell r="AF8079">
            <v>1.5</v>
          </cell>
        </row>
        <row r="8080">
          <cell r="A8080" t="str">
            <v>IS_alqt_plus</v>
          </cell>
          <cell r="K8080" t="str">
            <v>ERUB</v>
          </cell>
          <cell r="M8080" t="str">
            <v>F</v>
          </cell>
          <cell r="AB8080" t="str">
            <v>serum</v>
          </cell>
          <cell r="AF8080">
            <v>1.5</v>
          </cell>
        </row>
        <row r="8081">
          <cell r="A8081" t="str">
            <v>IS_alqt_plus</v>
          </cell>
          <cell r="K8081" t="str">
            <v>ERUB</v>
          </cell>
          <cell r="M8081" t="str">
            <v>F</v>
          </cell>
          <cell r="AB8081" t="str">
            <v>serum</v>
          </cell>
          <cell r="AF8081">
            <v>1.5</v>
          </cell>
        </row>
        <row r="8082">
          <cell r="A8082" t="str">
            <v>IS_alqt_plus</v>
          </cell>
          <cell r="K8082" t="str">
            <v>ERUB</v>
          </cell>
          <cell r="M8082" t="str">
            <v>F</v>
          </cell>
          <cell r="AB8082" t="str">
            <v>serum</v>
          </cell>
          <cell r="AF8082">
            <v>1.5</v>
          </cell>
        </row>
        <row r="8083">
          <cell r="A8083" t="str">
            <v>IS_alqt_plus</v>
          </cell>
          <cell r="K8083" t="str">
            <v>ERUB</v>
          </cell>
          <cell r="M8083" t="str">
            <v>F</v>
          </cell>
          <cell r="AB8083" t="str">
            <v>serum</v>
          </cell>
          <cell r="AF8083">
            <v>1.5</v>
          </cell>
        </row>
        <row r="8084">
          <cell r="A8084" t="str">
            <v>IS_alqt_plus</v>
          </cell>
          <cell r="K8084" t="str">
            <v>ERUB</v>
          </cell>
          <cell r="M8084" t="str">
            <v>F</v>
          </cell>
          <cell r="AB8084" t="str">
            <v>serum</v>
          </cell>
          <cell r="AF8084">
            <v>1.5</v>
          </cell>
        </row>
        <row r="8085">
          <cell r="A8085" t="str">
            <v>IS_alqt_plus</v>
          </cell>
          <cell r="K8085" t="str">
            <v>ERUB</v>
          </cell>
          <cell r="M8085" t="str">
            <v>F</v>
          </cell>
          <cell r="AB8085" t="str">
            <v>serum</v>
          </cell>
          <cell r="AF8085">
            <v>1.5</v>
          </cell>
        </row>
        <row r="8086">
          <cell r="A8086" t="str">
            <v>IS_alqt_plus</v>
          </cell>
          <cell r="K8086" t="str">
            <v>ERUB</v>
          </cell>
          <cell r="M8086" t="str">
            <v>F</v>
          </cell>
          <cell r="AB8086" t="str">
            <v>serum</v>
          </cell>
          <cell r="AF8086">
            <v>1.5</v>
          </cell>
        </row>
        <row r="8087">
          <cell r="A8087" t="str">
            <v>IS_alqt_plus</v>
          </cell>
          <cell r="K8087" t="str">
            <v>ERUB</v>
          </cell>
          <cell r="M8087" t="str">
            <v>F</v>
          </cell>
          <cell r="AB8087" t="str">
            <v>serum</v>
          </cell>
          <cell r="AF8087">
            <v>1.5</v>
          </cell>
        </row>
        <row r="8088">
          <cell r="A8088" t="str">
            <v>IS_alqt_plus</v>
          </cell>
          <cell r="K8088" t="str">
            <v>ERUB</v>
          </cell>
          <cell r="M8088" t="str">
            <v>F</v>
          </cell>
          <cell r="AB8088" t="str">
            <v>serum</v>
          </cell>
          <cell r="AF8088">
            <v>1.5</v>
          </cell>
        </row>
        <row r="8089">
          <cell r="A8089" t="str">
            <v>IS_alqt_plus</v>
          </cell>
          <cell r="K8089" t="str">
            <v>ERUB</v>
          </cell>
          <cell r="M8089" t="str">
            <v>F</v>
          </cell>
          <cell r="AB8089" t="str">
            <v>serum</v>
          </cell>
          <cell r="AF8089">
            <v>1.5</v>
          </cell>
        </row>
        <row r="8090">
          <cell r="A8090" t="str">
            <v>IS_alqt_plus</v>
          </cell>
          <cell r="K8090" t="str">
            <v>ERUB</v>
          </cell>
          <cell r="M8090" t="str">
            <v>F</v>
          </cell>
          <cell r="AB8090" t="str">
            <v>serum</v>
          </cell>
          <cell r="AF8090">
            <v>1.5</v>
          </cell>
        </row>
        <row r="8091">
          <cell r="A8091" t="str">
            <v>IS_alqt_plus</v>
          </cell>
          <cell r="K8091" t="str">
            <v>ERUB</v>
          </cell>
          <cell r="M8091" t="str">
            <v>F</v>
          </cell>
          <cell r="AB8091" t="str">
            <v>serum</v>
          </cell>
          <cell r="AF8091">
            <v>1.5</v>
          </cell>
        </row>
        <row r="8092">
          <cell r="A8092" t="str">
            <v>IS_alqt_plus</v>
          </cell>
          <cell r="K8092" t="str">
            <v>ERUB</v>
          </cell>
          <cell r="M8092" t="str">
            <v>F</v>
          </cell>
          <cell r="AB8092" t="str">
            <v>serum</v>
          </cell>
          <cell r="AF8092">
            <v>0.7</v>
          </cell>
        </row>
        <row r="8093">
          <cell r="A8093" t="str">
            <v>IS_alqt_plus</v>
          </cell>
          <cell r="K8093" t="str">
            <v>ERUB</v>
          </cell>
          <cell r="M8093" t="str">
            <v>F</v>
          </cell>
          <cell r="AB8093" t="str">
            <v>serum</v>
          </cell>
          <cell r="AF8093">
            <v>1.5</v>
          </cell>
        </row>
        <row r="8094">
          <cell r="A8094" t="str">
            <v>IS_alqt_plus</v>
          </cell>
          <cell r="K8094" t="str">
            <v>ERUB</v>
          </cell>
          <cell r="M8094" t="str">
            <v>F</v>
          </cell>
          <cell r="AB8094" t="str">
            <v>serum</v>
          </cell>
          <cell r="AF8094">
            <v>1.5</v>
          </cell>
        </row>
        <row r="8095">
          <cell r="A8095" t="str">
            <v>unk</v>
          </cell>
          <cell r="K8095" t="str">
            <v>ERUF</v>
          </cell>
          <cell r="M8095" t="str">
            <v>M</v>
          </cell>
          <cell r="AB8095" t="str">
            <v>serum</v>
          </cell>
          <cell r="AF8095">
            <v>0.75</v>
          </cell>
        </row>
        <row r="8096">
          <cell r="A8096" t="str">
            <v>IS_alqt_plus</v>
          </cell>
          <cell r="K8096" t="str">
            <v>ERUF</v>
          </cell>
          <cell r="M8096" t="str">
            <v>F</v>
          </cell>
          <cell r="AB8096" t="str">
            <v>serum</v>
          </cell>
          <cell r="AF8096">
            <v>1.4</v>
          </cell>
        </row>
        <row r="8097">
          <cell r="A8097" t="str">
            <v>IS_alqt_plus</v>
          </cell>
          <cell r="K8097" t="str">
            <v>ERUF</v>
          </cell>
          <cell r="M8097" t="str">
            <v>M</v>
          </cell>
          <cell r="AB8097" t="str">
            <v>WB</v>
          </cell>
          <cell r="AF8097">
            <v>1</v>
          </cell>
        </row>
        <row r="8098">
          <cell r="A8098" t="str">
            <v>IS_alqt_plus</v>
          </cell>
          <cell r="K8098" t="str">
            <v>ERUF</v>
          </cell>
          <cell r="M8098" t="str">
            <v>F</v>
          </cell>
          <cell r="AB8098" t="str">
            <v>WB</v>
          </cell>
          <cell r="AF8098">
            <v>0.4</v>
          </cell>
        </row>
        <row r="8099">
          <cell r="A8099" t="str">
            <v>IS_alqt_plus</v>
          </cell>
          <cell r="K8099" t="str">
            <v>DMAD</v>
          </cell>
          <cell r="M8099" t="str">
            <v>M</v>
          </cell>
          <cell r="AB8099" t="str">
            <v>serum</v>
          </cell>
          <cell r="AF8099">
            <v>1.5</v>
          </cell>
        </row>
        <row r="8100">
          <cell r="A8100" t="str">
            <v>IS_alqt_plus</v>
          </cell>
          <cell r="K8100" t="str">
            <v>DMAD</v>
          </cell>
          <cell r="M8100" t="str">
            <v>M</v>
          </cell>
          <cell r="AB8100" t="str">
            <v>serum</v>
          </cell>
          <cell r="AF8100">
            <v>1.5</v>
          </cell>
        </row>
        <row r="8101">
          <cell r="A8101" t="str">
            <v>IS_alqt_plus</v>
          </cell>
          <cell r="K8101" t="str">
            <v>DMAD</v>
          </cell>
          <cell r="M8101" t="str">
            <v>M</v>
          </cell>
          <cell r="AB8101" t="str">
            <v>serum</v>
          </cell>
          <cell r="AF8101">
            <v>1.5</v>
          </cell>
        </row>
        <row r="8102">
          <cell r="A8102" t="str">
            <v>IS_alqt_plus</v>
          </cell>
          <cell r="K8102" t="str">
            <v>DMAD</v>
          </cell>
          <cell r="M8102" t="str">
            <v>M</v>
          </cell>
          <cell r="AB8102" t="str">
            <v>serum</v>
          </cell>
          <cell r="AF8102">
            <v>1.5</v>
          </cell>
        </row>
        <row r="8103">
          <cell r="A8103" t="str">
            <v>IS_alqt_plus</v>
          </cell>
          <cell r="K8103" t="str">
            <v>DMAD</v>
          </cell>
          <cell r="M8103" t="str">
            <v>M</v>
          </cell>
          <cell r="AB8103" t="str">
            <v>serum</v>
          </cell>
          <cell r="AF8103">
            <v>1.5</v>
          </cell>
        </row>
        <row r="8104">
          <cell r="A8104" t="str">
            <v>IS_alqt_plus</v>
          </cell>
          <cell r="K8104" t="str">
            <v>DMAD</v>
          </cell>
          <cell r="M8104" t="str">
            <v>M</v>
          </cell>
          <cell r="AB8104" t="str">
            <v>serum</v>
          </cell>
          <cell r="AF8104">
            <v>1.5</v>
          </cell>
        </row>
        <row r="8105">
          <cell r="A8105" t="str">
            <v>IS_alqt_plus</v>
          </cell>
          <cell r="K8105" t="str">
            <v>DMAD</v>
          </cell>
          <cell r="M8105" t="str">
            <v>M</v>
          </cell>
          <cell r="AB8105" t="str">
            <v>serum</v>
          </cell>
          <cell r="AF8105">
            <v>1.5</v>
          </cell>
        </row>
        <row r="8106">
          <cell r="A8106" t="str">
            <v>IS_alqt_plus</v>
          </cell>
          <cell r="K8106" t="str">
            <v>DMAD</v>
          </cell>
          <cell r="M8106" t="str">
            <v>M</v>
          </cell>
          <cell r="AB8106" t="str">
            <v>serum</v>
          </cell>
          <cell r="AF8106">
            <v>1.5</v>
          </cell>
        </row>
        <row r="8107">
          <cell r="A8107" t="str">
            <v>IS_alqt_plus</v>
          </cell>
          <cell r="K8107" t="str">
            <v>DMAD</v>
          </cell>
          <cell r="M8107" t="str">
            <v>M</v>
          </cell>
          <cell r="AB8107" t="str">
            <v>serum</v>
          </cell>
          <cell r="AF8107">
            <v>1.5</v>
          </cell>
        </row>
        <row r="8108">
          <cell r="A8108" t="str">
            <v>IS_alqt_plus</v>
          </cell>
          <cell r="K8108" t="str">
            <v>DMAD</v>
          </cell>
          <cell r="M8108" t="str">
            <v>M</v>
          </cell>
          <cell r="AB8108" t="str">
            <v>serum</v>
          </cell>
          <cell r="AF8108">
            <v>1.5</v>
          </cell>
        </row>
        <row r="8109">
          <cell r="A8109" t="str">
            <v>IS_alqt_plus</v>
          </cell>
          <cell r="K8109" t="str">
            <v>DMAD</v>
          </cell>
          <cell r="M8109" t="str">
            <v>M</v>
          </cell>
          <cell r="AB8109" t="str">
            <v>serum</v>
          </cell>
          <cell r="AF8109">
            <v>1.5</v>
          </cell>
        </row>
        <row r="8110">
          <cell r="A8110" t="str">
            <v>IS_alqt_plus</v>
          </cell>
          <cell r="K8110" t="str">
            <v>DMAD</v>
          </cell>
          <cell r="M8110" t="str">
            <v>M</v>
          </cell>
          <cell r="AB8110" t="str">
            <v>serum</v>
          </cell>
          <cell r="AF8110">
            <v>1.5</v>
          </cell>
        </row>
        <row r="8111">
          <cell r="A8111" t="str">
            <v>IS_alqt_plus</v>
          </cell>
          <cell r="K8111" t="str">
            <v>DMAD</v>
          </cell>
          <cell r="M8111" t="str">
            <v>M</v>
          </cell>
          <cell r="AB8111" t="str">
            <v>serum</v>
          </cell>
          <cell r="AF8111">
            <v>1.4</v>
          </cell>
        </row>
        <row r="8112">
          <cell r="A8112" t="str">
            <v>IS_alqt_plus</v>
          </cell>
          <cell r="K8112" t="str">
            <v>DMAD</v>
          </cell>
          <cell r="M8112" t="str">
            <v>M</v>
          </cell>
          <cell r="AB8112" t="str">
            <v>serum</v>
          </cell>
          <cell r="AF8112">
            <v>1.5</v>
          </cell>
        </row>
        <row r="8113">
          <cell r="A8113" t="str">
            <v>IS_alqt_plus</v>
          </cell>
          <cell r="K8113" t="str">
            <v>DMAD</v>
          </cell>
          <cell r="M8113" t="str">
            <v>M</v>
          </cell>
          <cell r="AB8113" t="str">
            <v>serum</v>
          </cell>
          <cell r="AF8113">
            <v>1.4</v>
          </cell>
        </row>
        <row r="8114">
          <cell r="A8114" t="str">
            <v>IS_alqt_plus</v>
          </cell>
          <cell r="K8114" t="str">
            <v>DMAD</v>
          </cell>
          <cell r="M8114" t="str">
            <v>M</v>
          </cell>
          <cell r="AB8114" t="str">
            <v>serum</v>
          </cell>
          <cell r="AF8114">
            <v>1.5</v>
          </cell>
        </row>
        <row r="8115">
          <cell r="A8115" t="str">
            <v>IS_alqt_plus</v>
          </cell>
          <cell r="K8115" t="str">
            <v>DMAD</v>
          </cell>
          <cell r="M8115" t="str">
            <v>M</v>
          </cell>
          <cell r="AB8115" t="str">
            <v>serum</v>
          </cell>
          <cell r="AF8115">
            <v>1.5</v>
          </cell>
        </row>
        <row r="8116">
          <cell r="A8116" t="str">
            <v>IS_alqt_plus</v>
          </cell>
          <cell r="K8116" t="str">
            <v>DMAD</v>
          </cell>
          <cell r="M8116" t="str">
            <v>M</v>
          </cell>
          <cell r="AB8116" t="str">
            <v>serum</v>
          </cell>
          <cell r="AF8116">
            <v>1.5</v>
          </cell>
        </row>
        <row r="8117">
          <cell r="A8117" t="str">
            <v>IS_alqt_plus</v>
          </cell>
          <cell r="K8117" t="str">
            <v>DMAD</v>
          </cell>
          <cell r="M8117" t="str">
            <v>M</v>
          </cell>
          <cell r="AB8117" t="str">
            <v>serum</v>
          </cell>
          <cell r="AF8117">
            <v>1.5</v>
          </cell>
        </row>
        <row r="8118">
          <cell r="A8118" t="str">
            <v>IS_alqt_plus</v>
          </cell>
          <cell r="K8118" t="str">
            <v>DMAD</v>
          </cell>
          <cell r="M8118" t="str">
            <v>M</v>
          </cell>
          <cell r="AB8118" t="str">
            <v>serum</v>
          </cell>
          <cell r="AF8118">
            <v>0.6</v>
          </cell>
        </row>
        <row r="8119">
          <cell r="A8119" t="str">
            <v>IS_alqt_plus</v>
          </cell>
          <cell r="K8119" t="str">
            <v>DMAD</v>
          </cell>
          <cell r="M8119" t="str">
            <v>M</v>
          </cell>
          <cell r="AB8119" t="str">
            <v>serum</v>
          </cell>
          <cell r="AF8119">
            <v>0.6</v>
          </cell>
        </row>
        <row r="8120">
          <cell r="A8120" t="str">
            <v>IS_alqt_plus</v>
          </cell>
          <cell r="K8120" t="str">
            <v>DMAD</v>
          </cell>
          <cell r="M8120" t="str">
            <v>M</v>
          </cell>
          <cell r="AB8120" t="str">
            <v>WB</v>
          </cell>
          <cell r="AF8120">
            <v>0.2</v>
          </cell>
        </row>
        <row r="8121">
          <cell r="A8121" t="str">
            <v>gone</v>
          </cell>
          <cell r="K8121" t="str">
            <v>DMAD</v>
          </cell>
          <cell r="M8121" t="str">
            <v>M</v>
          </cell>
          <cell r="AB8121" t="str">
            <v>WB</v>
          </cell>
          <cell r="AF8121">
            <v>0</v>
          </cell>
        </row>
        <row r="8122">
          <cell r="A8122" t="str">
            <v>IS_alqt_plus</v>
          </cell>
          <cell r="K8122" t="str">
            <v>DMAD</v>
          </cell>
          <cell r="M8122" t="str">
            <v>M</v>
          </cell>
          <cell r="AB8122" t="str">
            <v>WB</v>
          </cell>
          <cell r="AF8122">
            <v>1.5</v>
          </cell>
        </row>
        <row r="8123">
          <cell r="A8123" t="str">
            <v>IS_alqt_plus</v>
          </cell>
          <cell r="K8123" t="str">
            <v>DMAD</v>
          </cell>
          <cell r="M8123" t="str">
            <v>M</v>
          </cell>
          <cell r="AB8123" t="str">
            <v>WB</v>
          </cell>
          <cell r="AF8123">
            <v>1</v>
          </cell>
        </row>
        <row r="8124">
          <cell r="A8124" t="str">
            <v>IS_alqt_plus</v>
          </cell>
          <cell r="K8124" t="str">
            <v>DMAD</v>
          </cell>
          <cell r="M8124" t="str">
            <v>M</v>
          </cell>
          <cell r="AB8124" t="str">
            <v>WB</v>
          </cell>
          <cell r="AF8124">
            <v>0.8</v>
          </cell>
        </row>
        <row r="8125">
          <cell r="A8125" t="str">
            <v>IS_alqt_plus</v>
          </cell>
          <cell r="K8125" t="str">
            <v>DMAD</v>
          </cell>
          <cell r="M8125" t="str">
            <v>M</v>
          </cell>
          <cell r="AB8125" t="str">
            <v>WB</v>
          </cell>
          <cell r="AF8125">
            <v>1</v>
          </cell>
        </row>
        <row r="8126">
          <cell r="A8126" t="str">
            <v>IS_alqt_plus</v>
          </cell>
          <cell r="K8126" t="str">
            <v>DMAD</v>
          </cell>
          <cell r="M8126" t="str">
            <v>M</v>
          </cell>
          <cell r="AB8126" t="str">
            <v>WB</v>
          </cell>
          <cell r="AF8126">
            <v>1.5</v>
          </cell>
        </row>
        <row r="8127">
          <cell r="A8127" t="str">
            <v>IS_alqt_plus</v>
          </cell>
          <cell r="K8127" t="str">
            <v>DMAD</v>
          </cell>
          <cell r="M8127" t="str">
            <v>M</v>
          </cell>
          <cell r="AB8127" t="str">
            <v>WB</v>
          </cell>
          <cell r="AF8127">
            <v>1.5</v>
          </cell>
        </row>
        <row r="8128">
          <cell r="A8128" t="str">
            <v>IS_alqt_plus</v>
          </cell>
          <cell r="K8128" t="str">
            <v>DMAD</v>
          </cell>
          <cell r="M8128" t="str">
            <v>M</v>
          </cell>
          <cell r="AB8128" t="str">
            <v>WB</v>
          </cell>
          <cell r="AF8128">
            <v>1</v>
          </cell>
        </row>
        <row r="8129">
          <cell r="A8129" t="str">
            <v>IS_alqt_plus</v>
          </cell>
          <cell r="K8129" t="str">
            <v>DMAD</v>
          </cell>
          <cell r="M8129" t="str">
            <v>M</v>
          </cell>
          <cell r="AB8129" t="str">
            <v>WB</v>
          </cell>
          <cell r="AF8129">
            <v>1.5</v>
          </cell>
        </row>
        <row r="8130">
          <cell r="A8130" t="str">
            <v>IS_alqt_plus</v>
          </cell>
          <cell r="K8130" t="str">
            <v>DMAD</v>
          </cell>
          <cell r="M8130" t="str">
            <v>M</v>
          </cell>
          <cell r="AB8130" t="str">
            <v>WB</v>
          </cell>
          <cell r="AF8130">
            <v>1</v>
          </cell>
        </row>
        <row r="8131">
          <cell r="A8131" t="str">
            <v>IS_alqt_plus</v>
          </cell>
          <cell r="K8131" t="str">
            <v>DMAD</v>
          </cell>
          <cell r="M8131" t="str">
            <v>M</v>
          </cell>
          <cell r="AB8131" t="str">
            <v>WB</v>
          </cell>
          <cell r="AF8131">
            <v>1</v>
          </cell>
        </row>
        <row r="8132">
          <cell r="A8132" t="str">
            <v>IS_alqt_plus</v>
          </cell>
          <cell r="K8132" t="str">
            <v>DMAD</v>
          </cell>
          <cell r="M8132" t="str">
            <v>M</v>
          </cell>
          <cell r="AB8132" t="str">
            <v>WB</v>
          </cell>
          <cell r="AF8132">
            <v>1.5</v>
          </cell>
        </row>
        <row r="8133">
          <cell r="A8133" t="str">
            <v>IS_alqt_plus</v>
          </cell>
          <cell r="K8133" t="str">
            <v>DMAD</v>
          </cell>
          <cell r="M8133" t="str">
            <v>M</v>
          </cell>
          <cell r="AB8133" t="str">
            <v>WB</v>
          </cell>
          <cell r="AF8133">
            <v>1.2</v>
          </cell>
        </row>
        <row r="8134">
          <cell r="A8134" t="str">
            <v>IS_alqt_plus</v>
          </cell>
          <cell r="K8134" t="str">
            <v>DMAD</v>
          </cell>
          <cell r="M8134" t="str">
            <v>M</v>
          </cell>
          <cell r="AB8134" t="str">
            <v>WB</v>
          </cell>
          <cell r="AF8134">
            <v>1.4</v>
          </cell>
        </row>
        <row r="8135">
          <cell r="A8135" t="str">
            <v>IS_alqt_plus</v>
          </cell>
          <cell r="K8135" t="str">
            <v>DMAD</v>
          </cell>
          <cell r="M8135" t="str">
            <v>M</v>
          </cell>
          <cell r="AB8135" t="str">
            <v>WB</v>
          </cell>
          <cell r="AF8135">
            <v>1</v>
          </cell>
        </row>
        <row r="8136">
          <cell r="A8136" t="str">
            <v>IS_alqt_plus</v>
          </cell>
          <cell r="K8136" t="str">
            <v>DMAD</v>
          </cell>
          <cell r="M8136" t="str">
            <v>M</v>
          </cell>
          <cell r="AB8136" t="str">
            <v>WB</v>
          </cell>
          <cell r="AF8136">
            <v>1</v>
          </cell>
        </row>
        <row r="8137">
          <cell r="A8137" t="str">
            <v>IS_alqt_plus</v>
          </cell>
          <cell r="K8137" t="str">
            <v>DMAD</v>
          </cell>
          <cell r="M8137" t="str">
            <v>M</v>
          </cell>
          <cell r="AB8137" t="str">
            <v>WB</v>
          </cell>
          <cell r="AF8137">
            <v>1.4</v>
          </cell>
        </row>
        <row r="8138">
          <cell r="A8138" t="str">
            <v>IS_alqt_plus</v>
          </cell>
          <cell r="K8138" t="str">
            <v>DMAD</v>
          </cell>
          <cell r="M8138" t="str">
            <v>M</v>
          </cell>
          <cell r="AB8138" t="str">
            <v>WB</v>
          </cell>
          <cell r="AF8138">
            <v>1</v>
          </cell>
        </row>
        <row r="8139">
          <cell r="A8139" t="str">
            <v>IS_alqt_plus</v>
          </cell>
          <cell r="K8139" t="str">
            <v>DMAD</v>
          </cell>
          <cell r="M8139" t="str">
            <v>M</v>
          </cell>
          <cell r="AB8139" t="str">
            <v>WB</v>
          </cell>
          <cell r="AF8139">
            <v>1.4</v>
          </cell>
        </row>
        <row r="8140">
          <cell r="A8140" t="str">
            <v>IS_alqt_plus</v>
          </cell>
          <cell r="K8140" t="str">
            <v>DMAD</v>
          </cell>
          <cell r="M8140" t="str">
            <v>M</v>
          </cell>
          <cell r="AB8140" t="str">
            <v>WB</v>
          </cell>
          <cell r="AF8140">
            <v>1</v>
          </cell>
        </row>
        <row r="8141">
          <cell r="A8141" t="str">
            <v>IS_alqt_plus</v>
          </cell>
          <cell r="K8141" t="str">
            <v>DMAD</v>
          </cell>
          <cell r="M8141" t="str">
            <v>M</v>
          </cell>
          <cell r="AB8141" t="str">
            <v>WB</v>
          </cell>
          <cell r="AF8141">
            <v>1</v>
          </cell>
        </row>
        <row r="8142">
          <cell r="A8142" t="str">
            <v>IS_alqt_plus</v>
          </cell>
          <cell r="K8142" t="str">
            <v>DMAD</v>
          </cell>
          <cell r="M8142" t="str">
            <v>M</v>
          </cell>
          <cell r="AB8142" t="str">
            <v>WB</v>
          </cell>
          <cell r="AF8142">
            <v>1</v>
          </cell>
        </row>
        <row r="8143">
          <cell r="A8143" t="str">
            <v>IS_alqt_plus</v>
          </cell>
          <cell r="K8143" t="str">
            <v>DMAD</v>
          </cell>
          <cell r="M8143" t="str">
            <v>M</v>
          </cell>
          <cell r="AB8143" t="str">
            <v>WB</v>
          </cell>
          <cell r="AF8143">
            <v>1</v>
          </cell>
        </row>
        <row r="8144">
          <cell r="A8144" t="str">
            <v>IS_alqt_plus</v>
          </cell>
          <cell r="K8144" t="str">
            <v>DMAD</v>
          </cell>
          <cell r="M8144" t="str">
            <v>M</v>
          </cell>
          <cell r="AB8144" t="str">
            <v>WB</v>
          </cell>
          <cell r="AF8144">
            <v>1</v>
          </cell>
        </row>
        <row r="8145">
          <cell r="A8145" t="str">
            <v>IS_alqt_plus</v>
          </cell>
          <cell r="K8145" t="str">
            <v>DMAD</v>
          </cell>
          <cell r="M8145" t="str">
            <v>M</v>
          </cell>
          <cell r="AB8145" t="str">
            <v>WB</v>
          </cell>
          <cell r="AF8145">
            <v>1</v>
          </cell>
        </row>
        <row r="8146">
          <cell r="A8146" t="str">
            <v>IS_alqt_plus</v>
          </cell>
          <cell r="K8146" t="str">
            <v>DMAD</v>
          </cell>
          <cell r="M8146" t="str">
            <v>M</v>
          </cell>
          <cell r="AB8146" t="str">
            <v>WB</v>
          </cell>
          <cell r="AF8146">
            <v>1</v>
          </cell>
        </row>
        <row r="8147">
          <cell r="A8147" t="str">
            <v>IS_alqt_plus</v>
          </cell>
          <cell r="K8147" t="str">
            <v>DMAD</v>
          </cell>
          <cell r="M8147" t="str">
            <v>M</v>
          </cell>
          <cell r="AB8147" t="str">
            <v>WB</v>
          </cell>
          <cell r="AF8147">
            <v>1.3</v>
          </cell>
        </row>
        <row r="8148">
          <cell r="A8148" t="str">
            <v>IS_alqt_plus</v>
          </cell>
          <cell r="K8148" t="str">
            <v>DMAD</v>
          </cell>
          <cell r="M8148" t="str">
            <v>M</v>
          </cell>
          <cell r="AB8148" t="str">
            <v>WB</v>
          </cell>
          <cell r="AF8148">
            <v>1.2</v>
          </cell>
        </row>
        <row r="8149">
          <cell r="A8149" t="str">
            <v>IS_alqt_plus</v>
          </cell>
          <cell r="K8149" t="str">
            <v>DMAD</v>
          </cell>
          <cell r="M8149" t="str">
            <v>M</v>
          </cell>
          <cell r="AB8149" t="str">
            <v>WB</v>
          </cell>
          <cell r="AF8149">
            <v>1</v>
          </cell>
        </row>
        <row r="8150">
          <cell r="A8150" t="str">
            <v>IS_alqt_plus</v>
          </cell>
          <cell r="K8150" t="str">
            <v>DMAD</v>
          </cell>
          <cell r="M8150" t="str">
            <v>M</v>
          </cell>
          <cell r="AB8150" t="str">
            <v>WB</v>
          </cell>
          <cell r="AF8150">
            <v>1.3</v>
          </cell>
        </row>
        <row r="8151">
          <cell r="A8151" t="str">
            <v>IS_alqt_plus</v>
          </cell>
          <cell r="K8151" t="str">
            <v>DMAD</v>
          </cell>
          <cell r="M8151" t="str">
            <v>M</v>
          </cell>
          <cell r="AB8151" t="str">
            <v>WB</v>
          </cell>
          <cell r="AF8151">
            <v>1</v>
          </cell>
        </row>
        <row r="8152">
          <cell r="A8152" t="str">
            <v>IS_alqt_plus</v>
          </cell>
          <cell r="K8152" t="str">
            <v>DMAD</v>
          </cell>
          <cell r="M8152" t="str">
            <v>M</v>
          </cell>
          <cell r="AB8152" t="str">
            <v>WB</v>
          </cell>
          <cell r="AF8152">
            <v>1.2</v>
          </cell>
        </row>
        <row r="8153">
          <cell r="A8153" t="str">
            <v>IS_alqt_plus</v>
          </cell>
          <cell r="K8153" t="str">
            <v>DMAD</v>
          </cell>
          <cell r="M8153" t="str">
            <v>M</v>
          </cell>
          <cell r="AB8153" t="str">
            <v>WB</v>
          </cell>
          <cell r="AF8153">
            <v>1.2</v>
          </cell>
        </row>
        <row r="8154">
          <cell r="A8154" t="str">
            <v>IS_alqt_plus</v>
          </cell>
          <cell r="K8154" t="str">
            <v>DMAD</v>
          </cell>
          <cell r="M8154" t="str">
            <v>M</v>
          </cell>
          <cell r="AB8154" t="str">
            <v>WB</v>
          </cell>
          <cell r="AF8154">
            <v>1.4</v>
          </cell>
        </row>
        <row r="8155">
          <cell r="A8155" t="str">
            <v>IS_alqt_plus</v>
          </cell>
          <cell r="K8155" t="str">
            <v>DMAD</v>
          </cell>
          <cell r="M8155" t="str">
            <v>M</v>
          </cell>
          <cell r="AB8155" t="str">
            <v>WB</v>
          </cell>
          <cell r="AF8155">
            <v>1.5</v>
          </cell>
        </row>
        <row r="8156">
          <cell r="A8156" t="str">
            <v>IS_alqt_plus</v>
          </cell>
          <cell r="K8156" t="str">
            <v>DMAD</v>
          </cell>
          <cell r="M8156" t="str">
            <v>M</v>
          </cell>
          <cell r="AB8156" t="str">
            <v>WB</v>
          </cell>
          <cell r="AF8156">
            <v>1.2</v>
          </cell>
        </row>
        <row r="8157">
          <cell r="A8157" t="str">
            <v>IS_alqt_plus</v>
          </cell>
          <cell r="K8157" t="str">
            <v>DMAD</v>
          </cell>
          <cell r="M8157" t="str">
            <v>M</v>
          </cell>
          <cell r="AB8157" t="str">
            <v>WB</v>
          </cell>
          <cell r="AF8157">
            <v>1.2</v>
          </cell>
        </row>
        <row r="8158">
          <cell r="A8158" t="str">
            <v>IS_alqt_plus</v>
          </cell>
          <cell r="K8158" t="str">
            <v>DMAD</v>
          </cell>
          <cell r="M8158" t="str">
            <v>M</v>
          </cell>
          <cell r="AB8158" t="str">
            <v>WB</v>
          </cell>
          <cell r="AF8158">
            <v>1.2</v>
          </cell>
        </row>
        <row r="8159">
          <cell r="A8159" t="str">
            <v>IS_alqt_plus</v>
          </cell>
          <cell r="K8159" t="str">
            <v>DMAD</v>
          </cell>
          <cell r="M8159" t="str">
            <v>M</v>
          </cell>
          <cell r="AB8159" t="str">
            <v>WB</v>
          </cell>
          <cell r="AF8159">
            <v>1</v>
          </cell>
        </row>
        <row r="8160">
          <cell r="A8160" t="str">
            <v>IS_alqt_plus</v>
          </cell>
          <cell r="K8160" t="str">
            <v>DMAD</v>
          </cell>
          <cell r="M8160" t="str">
            <v>M</v>
          </cell>
          <cell r="AB8160" t="str">
            <v>WB</v>
          </cell>
          <cell r="AF8160">
            <v>1</v>
          </cell>
        </row>
        <row r="8161">
          <cell r="A8161" t="str">
            <v>IS_alqt_plus</v>
          </cell>
          <cell r="K8161" t="str">
            <v>DMAD</v>
          </cell>
          <cell r="M8161" t="str">
            <v>M</v>
          </cell>
          <cell r="AB8161" t="str">
            <v>WB</v>
          </cell>
          <cell r="AF8161">
            <v>1</v>
          </cell>
        </row>
        <row r="8162">
          <cell r="A8162" t="str">
            <v>IS_alqt_plus</v>
          </cell>
          <cell r="K8162" t="str">
            <v>DMAD</v>
          </cell>
          <cell r="M8162" t="str">
            <v>M</v>
          </cell>
          <cell r="AB8162" t="str">
            <v>WB</v>
          </cell>
          <cell r="AF8162">
            <v>0.75</v>
          </cell>
        </row>
        <row r="8163">
          <cell r="A8163" t="str">
            <v>IS_alqt_plus</v>
          </cell>
          <cell r="K8163" t="str">
            <v>DMAD</v>
          </cell>
          <cell r="M8163" t="str">
            <v>M</v>
          </cell>
          <cell r="AB8163" t="str">
            <v>WB</v>
          </cell>
          <cell r="AF8163">
            <v>0.75</v>
          </cell>
        </row>
        <row r="8164">
          <cell r="A8164" t="str">
            <v>IS_alqt_plus</v>
          </cell>
          <cell r="K8164" t="str">
            <v>DMAD</v>
          </cell>
          <cell r="M8164" t="str">
            <v>M</v>
          </cell>
          <cell r="AB8164" t="str">
            <v>WB</v>
          </cell>
          <cell r="AF8164">
            <v>1</v>
          </cell>
        </row>
        <row r="8165">
          <cell r="A8165" t="str">
            <v>IS_alqt_plus</v>
          </cell>
          <cell r="K8165" t="str">
            <v>DMAD</v>
          </cell>
          <cell r="M8165" t="str">
            <v>M</v>
          </cell>
          <cell r="AB8165" t="str">
            <v>WB</v>
          </cell>
          <cell r="AF8165">
            <v>0.5</v>
          </cell>
        </row>
        <row r="8166">
          <cell r="A8166" t="str">
            <v>IS_alqt_plus</v>
          </cell>
          <cell r="K8166" t="str">
            <v>DMAD</v>
          </cell>
          <cell r="M8166" t="str">
            <v>M</v>
          </cell>
          <cell r="AB8166" t="str">
            <v>WB</v>
          </cell>
          <cell r="AF8166">
            <v>0.2</v>
          </cell>
        </row>
        <row r="8167">
          <cell r="A8167" t="str">
            <v>IS_alqt_plus</v>
          </cell>
          <cell r="K8167" t="str">
            <v>DMAD</v>
          </cell>
          <cell r="M8167" t="str">
            <v>M</v>
          </cell>
          <cell r="AB8167" t="str">
            <v>WB</v>
          </cell>
          <cell r="AF8167">
            <v>0.2</v>
          </cell>
        </row>
        <row r="8168">
          <cell r="A8168" t="str">
            <v>IS_alqt_plus</v>
          </cell>
          <cell r="K8168" t="str">
            <v>DMAD</v>
          </cell>
          <cell r="M8168" t="str">
            <v>M</v>
          </cell>
          <cell r="AB8168" t="str">
            <v>WB</v>
          </cell>
          <cell r="AF8168">
            <v>0.2</v>
          </cell>
        </row>
        <row r="8169">
          <cell r="A8169" t="str">
            <v>IS_alqt_plus</v>
          </cell>
          <cell r="K8169" t="str">
            <v>DMAD</v>
          </cell>
          <cell r="M8169" t="str">
            <v>M</v>
          </cell>
          <cell r="AB8169" t="str">
            <v>WB</v>
          </cell>
          <cell r="AF8169">
            <v>0.2</v>
          </cell>
        </row>
        <row r="8170">
          <cell r="A8170" t="str">
            <v>IS_alqt_plus</v>
          </cell>
          <cell r="K8170" t="str">
            <v>ECOR</v>
          </cell>
          <cell r="M8170" t="str">
            <v>M</v>
          </cell>
          <cell r="AB8170" t="str">
            <v>serum</v>
          </cell>
          <cell r="AF8170">
            <v>1</v>
          </cell>
        </row>
        <row r="8171">
          <cell r="A8171" t="str">
            <v>unk</v>
          </cell>
          <cell r="K8171" t="str">
            <v>ECOR</v>
          </cell>
          <cell r="M8171" t="str">
            <v>M</v>
          </cell>
          <cell r="AB8171" t="str">
            <v>serum</v>
          </cell>
          <cell r="AF8171">
            <v>1</v>
          </cell>
        </row>
        <row r="8172">
          <cell r="A8172" t="str">
            <v>IS_alqt_plus</v>
          </cell>
          <cell r="K8172" t="str">
            <v>PCOQ</v>
          </cell>
          <cell r="M8172" t="str">
            <v>F</v>
          </cell>
          <cell r="AB8172" t="str">
            <v>serum</v>
          </cell>
          <cell r="AF8172">
            <v>1.2</v>
          </cell>
        </row>
        <row r="8173">
          <cell r="A8173" t="str">
            <v>IS_alqt_plus</v>
          </cell>
          <cell r="K8173" t="str">
            <v>PCOQ</v>
          </cell>
          <cell r="M8173" t="str">
            <v>F</v>
          </cell>
          <cell r="AB8173" t="str">
            <v>serum</v>
          </cell>
          <cell r="AF8173">
            <v>1.5</v>
          </cell>
        </row>
        <row r="8174">
          <cell r="A8174" t="str">
            <v>IS_alqt_plus</v>
          </cell>
          <cell r="K8174" t="str">
            <v>PCOQ</v>
          </cell>
          <cell r="M8174" t="str">
            <v>F</v>
          </cell>
          <cell r="AB8174" t="str">
            <v>serum</v>
          </cell>
          <cell r="AF8174">
            <v>1.5</v>
          </cell>
        </row>
        <row r="8175">
          <cell r="A8175" t="str">
            <v>IS_alqt_plus</v>
          </cell>
          <cell r="K8175" t="str">
            <v>PCOQ</v>
          </cell>
          <cell r="M8175" t="str">
            <v>F</v>
          </cell>
          <cell r="AB8175" t="str">
            <v>WB</v>
          </cell>
          <cell r="AF8175">
            <v>0.9</v>
          </cell>
        </row>
        <row r="8176">
          <cell r="A8176" t="str">
            <v>IS_alqt_plus</v>
          </cell>
          <cell r="K8176" t="str">
            <v>PCOQ</v>
          </cell>
          <cell r="M8176" t="str">
            <v>M</v>
          </cell>
          <cell r="AB8176" t="str">
            <v>WB</v>
          </cell>
          <cell r="AF8176">
            <v>0.75</v>
          </cell>
        </row>
        <row r="8177">
          <cell r="A8177" t="str">
            <v>IS_alqt_plus</v>
          </cell>
          <cell r="K8177" t="str">
            <v>PCOQ</v>
          </cell>
          <cell r="M8177" t="str">
            <v>M</v>
          </cell>
          <cell r="AB8177" t="str">
            <v>WB</v>
          </cell>
          <cell r="AF8177">
            <v>0.5</v>
          </cell>
        </row>
        <row r="8178">
          <cell r="A8178" t="str">
            <v>IS_alqt_plus</v>
          </cell>
          <cell r="K8178" t="str">
            <v>PCOQ</v>
          </cell>
          <cell r="M8178" t="str">
            <v>F</v>
          </cell>
          <cell r="AB8178" t="str">
            <v>WB</v>
          </cell>
          <cell r="AF8178">
            <v>0.75</v>
          </cell>
        </row>
        <row r="8179">
          <cell r="A8179" t="str">
            <v>IS_alqt_plus</v>
          </cell>
          <cell r="K8179" t="str">
            <v>PCOQ</v>
          </cell>
          <cell r="M8179" t="str">
            <v>F</v>
          </cell>
          <cell r="AB8179" t="str">
            <v>WB</v>
          </cell>
          <cell r="AF8179">
            <v>1</v>
          </cell>
        </row>
        <row r="8180">
          <cell r="A8180" t="str">
            <v>IS_alqt_plus</v>
          </cell>
          <cell r="K8180" t="str">
            <v>PCOQ</v>
          </cell>
          <cell r="M8180" t="str">
            <v>F</v>
          </cell>
          <cell r="AB8180" t="str">
            <v>WB</v>
          </cell>
          <cell r="AF8180">
            <v>1</v>
          </cell>
        </row>
        <row r="8181">
          <cell r="A8181" t="str">
            <v>IS_alqt_plus</v>
          </cell>
          <cell r="K8181" t="str">
            <v>PCOQ</v>
          </cell>
          <cell r="M8181" t="str">
            <v>M</v>
          </cell>
          <cell r="AB8181" t="str">
            <v>WB</v>
          </cell>
          <cell r="AF8181">
            <v>0.75</v>
          </cell>
        </row>
        <row r="8182">
          <cell r="A8182" t="str">
            <v>IS_alqt_plus</v>
          </cell>
          <cell r="K8182" t="str">
            <v>PCOQ</v>
          </cell>
          <cell r="M8182" t="str">
            <v>F</v>
          </cell>
          <cell r="AB8182" t="str">
            <v>WB</v>
          </cell>
          <cell r="AF8182">
            <v>0.25</v>
          </cell>
        </row>
        <row r="8183">
          <cell r="A8183" t="str">
            <v>IS_alqt_plus</v>
          </cell>
          <cell r="K8183" t="str">
            <v>PCOQ</v>
          </cell>
          <cell r="M8183" t="str">
            <v>M</v>
          </cell>
          <cell r="AB8183" t="str">
            <v>WB</v>
          </cell>
          <cell r="AF8183">
            <v>0.85</v>
          </cell>
        </row>
        <row r="8184">
          <cell r="A8184" t="str">
            <v>IS_alqt_plus</v>
          </cell>
          <cell r="K8184" t="str">
            <v>PCOQ</v>
          </cell>
          <cell r="M8184" t="str">
            <v>M</v>
          </cell>
          <cell r="AB8184" t="str">
            <v>WB</v>
          </cell>
          <cell r="AF8184">
            <v>1</v>
          </cell>
        </row>
        <row r="8185">
          <cell r="A8185" t="str">
            <v>gone</v>
          </cell>
          <cell r="K8185" t="str">
            <v>PCOQ</v>
          </cell>
          <cell r="M8185" t="str">
            <v>M</v>
          </cell>
          <cell r="AB8185" t="str">
            <v>WB</v>
          </cell>
          <cell r="AF8185">
            <v>0</v>
          </cell>
        </row>
        <row r="8186">
          <cell r="A8186" t="str">
            <v>IS_alqt_plus</v>
          </cell>
          <cell r="K8186" t="str">
            <v>PCOQ</v>
          </cell>
          <cell r="M8186" t="str">
            <v>F</v>
          </cell>
          <cell r="AB8186" t="str">
            <v>serum</v>
          </cell>
          <cell r="AF8186">
            <v>1.5</v>
          </cell>
        </row>
        <row r="8187">
          <cell r="A8187" t="str">
            <v>IS_alqt_plus</v>
          </cell>
          <cell r="K8187" t="str">
            <v>PCOQ</v>
          </cell>
          <cell r="M8187" t="str">
            <v>F</v>
          </cell>
          <cell r="AB8187" t="str">
            <v>serum</v>
          </cell>
          <cell r="AF8187">
            <v>1.4</v>
          </cell>
        </row>
        <row r="8188">
          <cell r="A8188" t="str">
            <v>IS_alqt_plus</v>
          </cell>
          <cell r="K8188" t="str">
            <v>PCOQ</v>
          </cell>
          <cell r="M8188" t="str">
            <v>F</v>
          </cell>
          <cell r="AB8188" t="str">
            <v>serum</v>
          </cell>
          <cell r="AF8188">
            <v>1.2</v>
          </cell>
        </row>
        <row r="8189">
          <cell r="A8189" t="str">
            <v>IS_alqt_plus</v>
          </cell>
          <cell r="K8189" t="str">
            <v>EFLA</v>
          </cell>
          <cell r="M8189" t="str">
            <v>M</v>
          </cell>
          <cell r="AB8189" t="str">
            <v>serum</v>
          </cell>
          <cell r="AF8189">
            <v>0.2</v>
          </cell>
        </row>
        <row r="8190">
          <cell r="A8190" t="str">
            <v>IS_alqt_plus</v>
          </cell>
          <cell r="K8190" t="str">
            <v>EFLA</v>
          </cell>
          <cell r="M8190" t="str">
            <v>M</v>
          </cell>
          <cell r="AB8190" t="str">
            <v>serum</v>
          </cell>
          <cell r="AF8190">
            <v>0.2</v>
          </cell>
        </row>
        <row r="8191">
          <cell r="A8191" t="str">
            <v>IS_alqt_plus</v>
          </cell>
          <cell r="K8191" t="str">
            <v>EFLA</v>
          </cell>
          <cell r="M8191" t="str">
            <v>M</v>
          </cell>
          <cell r="AB8191" t="str">
            <v>serum</v>
          </cell>
          <cell r="AF8191">
            <v>0.2</v>
          </cell>
        </row>
        <row r="8192">
          <cell r="A8192" t="str">
            <v>IS_alqt_plus</v>
          </cell>
          <cell r="K8192" t="str">
            <v>EFLA</v>
          </cell>
          <cell r="M8192" t="str">
            <v>M</v>
          </cell>
          <cell r="AB8192" t="str">
            <v>serum</v>
          </cell>
          <cell r="AF8192">
            <v>0.2</v>
          </cell>
        </row>
        <row r="8193">
          <cell r="A8193" t="str">
            <v>IS_alqt_plus</v>
          </cell>
          <cell r="K8193" t="str">
            <v>EFLA</v>
          </cell>
          <cell r="M8193" t="str">
            <v>M</v>
          </cell>
          <cell r="AB8193" t="str">
            <v>serum</v>
          </cell>
          <cell r="AF8193">
            <v>0.2</v>
          </cell>
        </row>
        <row r="8194">
          <cell r="A8194" t="str">
            <v>gone</v>
          </cell>
          <cell r="K8194" t="str">
            <v>PCOQ</v>
          </cell>
          <cell r="M8194" t="str">
            <v>M</v>
          </cell>
          <cell r="AB8194" t="str">
            <v>serum</v>
          </cell>
          <cell r="AF8194">
            <v>0</v>
          </cell>
        </row>
        <row r="8195">
          <cell r="A8195" t="str">
            <v>IS_alqt_plus</v>
          </cell>
          <cell r="K8195" t="str">
            <v>EFLA</v>
          </cell>
          <cell r="M8195" t="str">
            <v>M</v>
          </cell>
          <cell r="AB8195" t="str">
            <v>WB</v>
          </cell>
          <cell r="AF8195">
            <v>1</v>
          </cell>
        </row>
        <row r="8196">
          <cell r="A8196" t="str">
            <v>IS_alqt_plus</v>
          </cell>
          <cell r="K8196" t="str">
            <v>PCOQ</v>
          </cell>
          <cell r="M8196" t="str">
            <v>M</v>
          </cell>
          <cell r="AB8196" t="str">
            <v>WB</v>
          </cell>
          <cell r="AF8196">
            <v>1</v>
          </cell>
        </row>
        <row r="8197">
          <cell r="A8197" t="str">
            <v>IS_alqt_plus</v>
          </cell>
          <cell r="K8197" t="str">
            <v>PCOQ</v>
          </cell>
          <cell r="M8197" t="str">
            <v>F</v>
          </cell>
          <cell r="AB8197" t="str">
            <v>WB</v>
          </cell>
          <cell r="AF8197">
            <v>0.25</v>
          </cell>
        </row>
        <row r="8198">
          <cell r="A8198" t="str">
            <v>IS_alqt_plus</v>
          </cell>
          <cell r="K8198" t="str">
            <v>VRUB</v>
          </cell>
          <cell r="M8198" t="str">
            <v>F</v>
          </cell>
          <cell r="AB8198" t="str">
            <v>WB</v>
          </cell>
          <cell r="AF8198">
            <v>0.5</v>
          </cell>
        </row>
        <row r="8199">
          <cell r="A8199" t="str">
            <v>IS_alqt_plus</v>
          </cell>
          <cell r="K8199" t="str">
            <v>VRUB</v>
          </cell>
          <cell r="M8199" t="str">
            <v>F</v>
          </cell>
          <cell r="AB8199" t="str">
            <v>WB</v>
          </cell>
          <cell r="AF8199">
            <v>0.5</v>
          </cell>
        </row>
        <row r="8200">
          <cell r="A8200" t="str">
            <v>IS_alqt_plus</v>
          </cell>
          <cell r="K8200" t="str">
            <v>VRUB</v>
          </cell>
          <cell r="M8200" t="str">
            <v>F</v>
          </cell>
          <cell r="AB8200" t="str">
            <v>WB</v>
          </cell>
          <cell r="AF8200">
            <v>0.6</v>
          </cell>
        </row>
        <row r="8201">
          <cell r="A8201" t="str">
            <v>IS_alqt_plus</v>
          </cell>
          <cell r="K8201" t="str">
            <v>VRUB</v>
          </cell>
          <cell r="M8201" t="str">
            <v>F</v>
          </cell>
          <cell r="AB8201" t="str">
            <v>WB</v>
          </cell>
          <cell r="AF8201">
            <v>0.7</v>
          </cell>
        </row>
        <row r="8202">
          <cell r="A8202" t="str">
            <v>IS_alqt_plus</v>
          </cell>
          <cell r="K8202" t="str">
            <v>VRUB</v>
          </cell>
          <cell r="M8202" t="str">
            <v>F</v>
          </cell>
          <cell r="AB8202" t="str">
            <v>WB</v>
          </cell>
          <cell r="AF8202">
            <v>0.8</v>
          </cell>
        </row>
        <row r="8203">
          <cell r="A8203" t="str">
            <v>IS_alqt_plus</v>
          </cell>
          <cell r="K8203" t="str">
            <v>VRUB</v>
          </cell>
          <cell r="M8203" t="str">
            <v>F</v>
          </cell>
          <cell r="AB8203" t="str">
            <v>WB</v>
          </cell>
          <cell r="AF8203">
            <v>0.9</v>
          </cell>
        </row>
        <row r="8204">
          <cell r="A8204" t="str">
            <v>IS_alqt_plus</v>
          </cell>
          <cell r="K8204" t="str">
            <v>VRUB</v>
          </cell>
          <cell r="M8204" t="str">
            <v>F</v>
          </cell>
          <cell r="AB8204" t="str">
            <v>WB</v>
          </cell>
          <cell r="AF8204">
            <v>0.9</v>
          </cell>
        </row>
        <row r="8205">
          <cell r="A8205" t="str">
            <v>IS_alqt_plus</v>
          </cell>
          <cell r="K8205" t="str">
            <v>VRUB</v>
          </cell>
          <cell r="M8205" t="str">
            <v>F</v>
          </cell>
          <cell r="AB8205" t="str">
            <v>WB</v>
          </cell>
          <cell r="AF8205">
            <v>0.9</v>
          </cell>
        </row>
        <row r="8206">
          <cell r="A8206" t="str">
            <v>IS_alqt_plus</v>
          </cell>
          <cell r="K8206" t="str">
            <v>VRUB</v>
          </cell>
          <cell r="M8206" t="str">
            <v>F</v>
          </cell>
          <cell r="AB8206" t="str">
            <v>WB</v>
          </cell>
          <cell r="AF8206">
            <v>0.9</v>
          </cell>
        </row>
        <row r="8207">
          <cell r="A8207" t="str">
            <v>IS_alqt_plus</v>
          </cell>
          <cell r="K8207" t="str">
            <v>VRUB</v>
          </cell>
          <cell r="M8207" t="str">
            <v>F</v>
          </cell>
          <cell r="AB8207" t="str">
            <v>WB</v>
          </cell>
          <cell r="AF8207">
            <v>0.7</v>
          </cell>
        </row>
        <row r="8208">
          <cell r="A8208" t="str">
            <v>IS_alqt_plus</v>
          </cell>
          <cell r="K8208" t="str">
            <v>VRUB</v>
          </cell>
          <cell r="M8208" t="str">
            <v>F</v>
          </cell>
          <cell r="AB8208" t="str">
            <v>WB</v>
          </cell>
          <cell r="AF8208">
            <v>0.9</v>
          </cell>
        </row>
        <row r="8209">
          <cell r="A8209" t="str">
            <v>IS_alqt_plus</v>
          </cell>
          <cell r="K8209" t="str">
            <v>VRUB</v>
          </cell>
          <cell r="M8209" t="str">
            <v>F</v>
          </cell>
          <cell r="AB8209" t="str">
            <v>WB</v>
          </cell>
          <cell r="AF8209">
            <v>1</v>
          </cell>
        </row>
        <row r="8210">
          <cell r="A8210" t="str">
            <v>IS_alqt_plus</v>
          </cell>
          <cell r="K8210" t="str">
            <v>VRUB</v>
          </cell>
          <cell r="M8210" t="str">
            <v>F</v>
          </cell>
          <cell r="AB8210" t="str">
            <v>WB</v>
          </cell>
          <cell r="AF8210">
            <v>0.9</v>
          </cell>
        </row>
        <row r="8211">
          <cell r="A8211" t="str">
            <v>IS_alqt_plus</v>
          </cell>
          <cell r="K8211" t="str">
            <v>VRUB</v>
          </cell>
          <cell r="M8211" t="str">
            <v>F</v>
          </cell>
          <cell r="AB8211" t="str">
            <v>WB</v>
          </cell>
          <cell r="AF8211">
            <v>1</v>
          </cell>
        </row>
        <row r="8212">
          <cell r="A8212" t="str">
            <v>IS_alqt_plus</v>
          </cell>
          <cell r="K8212" t="str">
            <v>VRUB</v>
          </cell>
          <cell r="M8212" t="str">
            <v>F</v>
          </cell>
          <cell r="AB8212" t="str">
            <v>WB</v>
          </cell>
          <cell r="AF8212">
            <v>1</v>
          </cell>
        </row>
        <row r="8213">
          <cell r="A8213" t="str">
            <v>IS_alqt_plus</v>
          </cell>
          <cell r="K8213" t="str">
            <v>VRUB</v>
          </cell>
          <cell r="M8213" t="str">
            <v>F</v>
          </cell>
          <cell r="AB8213" t="str">
            <v>WB</v>
          </cell>
          <cell r="AF8213">
            <v>1</v>
          </cell>
        </row>
        <row r="8214">
          <cell r="A8214" t="str">
            <v>IS_alqt_plus</v>
          </cell>
          <cell r="K8214" t="str">
            <v>VRUB</v>
          </cell>
          <cell r="M8214" t="str">
            <v>F</v>
          </cell>
          <cell r="AB8214" t="str">
            <v>WB</v>
          </cell>
          <cell r="AF8214">
            <v>1</v>
          </cell>
        </row>
        <row r="8215">
          <cell r="A8215" t="str">
            <v>IS_alqt_plus</v>
          </cell>
          <cell r="K8215" t="str">
            <v>VRUB</v>
          </cell>
          <cell r="M8215" t="str">
            <v>F</v>
          </cell>
          <cell r="AB8215" t="str">
            <v>WB</v>
          </cell>
          <cell r="AF8215">
            <v>1</v>
          </cell>
        </row>
        <row r="8216">
          <cell r="A8216" t="str">
            <v>IS_alqt_plus</v>
          </cell>
          <cell r="K8216" t="str">
            <v>VRUB</v>
          </cell>
          <cell r="M8216" t="str">
            <v>F</v>
          </cell>
          <cell r="AB8216" t="str">
            <v>WB</v>
          </cell>
          <cell r="AF8216">
            <v>0.8</v>
          </cell>
        </row>
        <row r="8217">
          <cell r="A8217" t="str">
            <v>IS_alqt_plus</v>
          </cell>
          <cell r="K8217" t="str">
            <v>VRUB</v>
          </cell>
          <cell r="M8217" t="str">
            <v>F</v>
          </cell>
          <cell r="AB8217" t="str">
            <v>WB</v>
          </cell>
          <cell r="AF8217">
            <v>0.9</v>
          </cell>
        </row>
        <row r="8218">
          <cell r="A8218" t="str">
            <v>IS_alqt_plus</v>
          </cell>
          <cell r="K8218" t="str">
            <v>VRUB</v>
          </cell>
          <cell r="M8218" t="str">
            <v>F</v>
          </cell>
          <cell r="AB8218" t="str">
            <v>WB</v>
          </cell>
          <cell r="AF8218">
            <v>0.7</v>
          </cell>
        </row>
        <row r="8219">
          <cell r="A8219" t="str">
            <v>IS_alqt_plus</v>
          </cell>
          <cell r="K8219" t="str">
            <v>VRUB</v>
          </cell>
          <cell r="M8219" t="str">
            <v>F</v>
          </cell>
          <cell r="AB8219" t="str">
            <v>WB</v>
          </cell>
          <cell r="AF8219">
            <v>0.7</v>
          </cell>
        </row>
        <row r="8220">
          <cell r="A8220" t="str">
            <v>IS_alqt_plus</v>
          </cell>
          <cell r="K8220" t="str">
            <v>VRUB</v>
          </cell>
          <cell r="M8220" t="str">
            <v>F</v>
          </cell>
          <cell r="AB8220" t="str">
            <v>WB</v>
          </cell>
          <cell r="AF8220">
            <v>0.8</v>
          </cell>
        </row>
        <row r="8221">
          <cell r="A8221" t="str">
            <v>IS_alqt_plus</v>
          </cell>
          <cell r="K8221" t="str">
            <v>VRUB</v>
          </cell>
          <cell r="M8221" t="str">
            <v>F</v>
          </cell>
          <cell r="AB8221" t="str">
            <v>WB</v>
          </cell>
          <cell r="AF8221">
            <v>1</v>
          </cell>
        </row>
        <row r="8222">
          <cell r="A8222" t="str">
            <v>gone</v>
          </cell>
          <cell r="K8222" t="str">
            <v>VRUB</v>
          </cell>
          <cell r="M8222" t="str">
            <v>F</v>
          </cell>
          <cell r="AB8222" t="str">
            <v>WB</v>
          </cell>
          <cell r="AF8222">
            <v>0</v>
          </cell>
        </row>
        <row r="8223">
          <cell r="A8223" t="str">
            <v>IS_alqt_plus</v>
          </cell>
          <cell r="K8223" t="str">
            <v>VRUB</v>
          </cell>
          <cell r="M8223" t="str">
            <v>F</v>
          </cell>
          <cell r="AB8223" t="str">
            <v>WB</v>
          </cell>
          <cell r="AF8223">
            <v>1.5</v>
          </cell>
        </row>
        <row r="8224">
          <cell r="A8224" t="str">
            <v>IS_alqt_plus</v>
          </cell>
          <cell r="K8224" t="str">
            <v>VRUB</v>
          </cell>
          <cell r="M8224" t="str">
            <v>F</v>
          </cell>
          <cell r="AB8224" t="str">
            <v>WB</v>
          </cell>
          <cell r="AF8224">
            <v>1.5</v>
          </cell>
        </row>
        <row r="8225">
          <cell r="A8225" t="str">
            <v>IS_alqt_plus</v>
          </cell>
          <cell r="K8225" t="str">
            <v>VRUB</v>
          </cell>
          <cell r="M8225" t="str">
            <v>F</v>
          </cell>
          <cell r="AB8225" t="str">
            <v>WB</v>
          </cell>
          <cell r="AF8225">
            <v>1.5</v>
          </cell>
        </row>
        <row r="8226">
          <cell r="A8226" t="str">
            <v>IS_alqt_plus</v>
          </cell>
          <cell r="K8226" t="str">
            <v>VRUB</v>
          </cell>
          <cell r="M8226" t="str">
            <v>F</v>
          </cell>
          <cell r="AB8226" t="str">
            <v>WB</v>
          </cell>
          <cell r="AF8226">
            <v>1.5</v>
          </cell>
        </row>
        <row r="8227">
          <cell r="A8227" t="str">
            <v>IS_alqt_plus</v>
          </cell>
          <cell r="K8227" t="str">
            <v>VRUB</v>
          </cell>
          <cell r="M8227" t="str">
            <v>F</v>
          </cell>
          <cell r="AB8227" t="str">
            <v>WB</v>
          </cell>
          <cell r="AF8227">
            <v>1.5</v>
          </cell>
        </row>
        <row r="8228">
          <cell r="A8228" t="str">
            <v>IS_alqt_plus</v>
          </cell>
          <cell r="K8228" t="str">
            <v>VRUB</v>
          </cell>
          <cell r="M8228" t="str">
            <v>F</v>
          </cell>
          <cell r="AB8228" t="str">
            <v>WB</v>
          </cell>
          <cell r="AF8228">
            <v>1.5</v>
          </cell>
        </row>
        <row r="8229">
          <cell r="A8229" t="str">
            <v>IS_alqt_plus</v>
          </cell>
          <cell r="K8229" t="str">
            <v>VRUB</v>
          </cell>
          <cell r="M8229" t="str">
            <v>F</v>
          </cell>
          <cell r="AB8229" t="str">
            <v>WB</v>
          </cell>
          <cell r="AF8229">
            <v>1.5</v>
          </cell>
        </row>
        <row r="8230">
          <cell r="A8230" t="str">
            <v>IS_alqt_plus</v>
          </cell>
          <cell r="K8230" t="str">
            <v>VRUB</v>
          </cell>
          <cell r="M8230" t="str">
            <v>F</v>
          </cell>
          <cell r="AB8230" t="str">
            <v>WB</v>
          </cell>
          <cell r="AF8230">
            <v>1.4</v>
          </cell>
        </row>
        <row r="8231">
          <cell r="A8231" t="str">
            <v>IS_alqt_plus</v>
          </cell>
          <cell r="K8231" t="str">
            <v>VRUB</v>
          </cell>
          <cell r="M8231" t="str">
            <v>F</v>
          </cell>
          <cell r="AB8231" t="str">
            <v>WB</v>
          </cell>
          <cell r="AF8231">
            <v>1.5</v>
          </cell>
        </row>
        <row r="8232">
          <cell r="A8232" t="str">
            <v>IS_alqt_plus</v>
          </cell>
          <cell r="K8232" t="str">
            <v>VRUB</v>
          </cell>
          <cell r="M8232" t="str">
            <v>F</v>
          </cell>
          <cell r="AB8232" t="str">
            <v>WB</v>
          </cell>
          <cell r="AF8232">
            <v>1.5</v>
          </cell>
        </row>
        <row r="8233">
          <cell r="A8233" t="str">
            <v>IS_alqt_plus</v>
          </cell>
          <cell r="K8233" t="str">
            <v>VRUB</v>
          </cell>
          <cell r="M8233" t="str">
            <v>F</v>
          </cell>
          <cell r="AB8233" t="str">
            <v>WB</v>
          </cell>
          <cell r="AF8233">
            <v>1.5</v>
          </cell>
        </row>
        <row r="8234">
          <cell r="A8234" t="str">
            <v>IS_alqt_plus</v>
          </cell>
          <cell r="K8234" t="str">
            <v>VRUB</v>
          </cell>
          <cell r="M8234" t="str">
            <v>F</v>
          </cell>
          <cell r="AB8234" t="str">
            <v>WB</v>
          </cell>
          <cell r="AF8234">
            <v>1.5</v>
          </cell>
        </row>
        <row r="8235">
          <cell r="A8235" t="str">
            <v>IS_alqt_plus</v>
          </cell>
          <cell r="K8235" t="str">
            <v>VRUB</v>
          </cell>
          <cell r="M8235" t="str">
            <v>F</v>
          </cell>
          <cell r="AB8235" t="str">
            <v>WB</v>
          </cell>
          <cell r="AF8235">
            <v>1.5</v>
          </cell>
        </row>
        <row r="8236">
          <cell r="A8236" t="str">
            <v>IS_alqt_plus</v>
          </cell>
          <cell r="K8236" t="str">
            <v>VRUB</v>
          </cell>
          <cell r="M8236" t="str">
            <v>F</v>
          </cell>
          <cell r="AB8236" t="str">
            <v>WB</v>
          </cell>
          <cell r="AF8236">
            <v>1.5</v>
          </cell>
        </row>
        <row r="8237">
          <cell r="A8237" t="str">
            <v>IS_alqt_plus</v>
          </cell>
          <cell r="K8237" t="str">
            <v>VRUB</v>
          </cell>
          <cell r="M8237" t="str">
            <v>F</v>
          </cell>
          <cell r="AB8237" t="str">
            <v>WB</v>
          </cell>
          <cell r="AF8237">
            <v>1.5</v>
          </cell>
        </row>
        <row r="8238">
          <cell r="A8238" t="str">
            <v>IS_alqt_plus</v>
          </cell>
          <cell r="K8238" t="str">
            <v>VRUB</v>
          </cell>
          <cell r="M8238" t="str">
            <v>F</v>
          </cell>
          <cell r="AB8238" t="str">
            <v>WB</v>
          </cell>
          <cell r="AF8238">
            <v>1.5</v>
          </cell>
        </row>
        <row r="8239">
          <cell r="A8239" t="str">
            <v>IS_alqt_plus</v>
          </cell>
          <cell r="K8239" t="str">
            <v>VRUB</v>
          </cell>
          <cell r="M8239" t="str">
            <v>F</v>
          </cell>
          <cell r="AB8239" t="str">
            <v>WB</v>
          </cell>
          <cell r="AF8239">
            <v>1.5</v>
          </cell>
        </row>
        <row r="8240">
          <cell r="A8240" t="str">
            <v>IS_alqt_plus</v>
          </cell>
          <cell r="K8240" t="str">
            <v>VRUB</v>
          </cell>
          <cell r="M8240" t="str">
            <v>F</v>
          </cell>
          <cell r="AB8240" t="str">
            <v>WB</v>
          </cell>
          <cell r="AF8240">
            <v>1.5</v>
          </cell>
        </row>
        <row r="8241">
          <cell r="A8241" t="str">
            <v>IS_alqt_plus</v>
          </cell>
          <cell r="K8241" t="str">
            <v>VRUB</v>
          </cell>
          <cell r="M8241" t="str">
            <v>F</v>
          </cell>
          <cell r="AB8241" t="str">
            <v>WB</v>
          </cell>
          <cell r="AF8241">
            <v>1.5</v>
          </cell>
        </row>
        <row r="8242">
          <cell r="A8242" t="str">
            <v>IS_alqt_plus</v>
          </cell>
          <cell r="K8242" t="str">
            <v>VRUB</v>
          </cell>
          <cell r="M8242" t="str">
            <v>F</v>
          </cell>
          <cell r="AB8242" t="str">
            <v>serum</v>
          </cell>
          <cell r="AF8242">
            <v>1.5</v>
          </cell>
        </row>
        <row r="8243">
          <cell r="A8243" t="str">
            <v>IS_alqt_plus</v>
          </cell>
          <cell r="K8243" t="str">
            <v>VRUB</v>
          </cell>
          <cell r="M8243" t="str">
            <v>F</v>
          </cell>
          <cell r="AB8243" t="str">
            <v>serum</v>
          </cell>
          <cell r="AF8243">
            <v>1.5</v>
          </cell>
        </row>
        <row r="8244">
          <cell r="A8244" t="str">
            <v>IS_alqt_plus</v>
          </cell>
          <cell r="K8244" t="str">
            <v>VRUB</v>
          </cell>
          <cell r="M8244" t="str">
            <v>F</v>
          </cell>
          <cell r="AB8244" t="str">
            <v>serum</v>
          </cell>
          <cell r="AF8244">
            <v>1.5</v>
          </cell>
        </row>
        <row r="8245">
          <cell r="A8245" t="str">
            <v>IS_alqt_plus</v>
          </cell>
          <cell r="K8245" t="str">
            <v>VRUB</v>
          </cell>
          <cell r="M8245" t="str">
            <v>F</v>
          </cell>
          <cell r="AB8245" t="str">
            <v>serum</v>
          </cell>
          <cell r="AF8245">
            <v>1.5</v>
          </cell>
        </row>
        <row r="8246">
          <cell r="A8246" t="str">
            <v>IS_alqt_plus</v>
          </cell>
          <cell r="K8246" t="str">
            <v>VRUB</v>
          </cell>
          <cell r="M8246" t="str">
            <v>F</v>
          </cell>
          <cell r="AB8246" t="str">
            <v>serum</v>
          </cell>
          <cell r="AF8246">
            <v>1.8</v>
          </cell>
        </row>
        <row r="8247">
          <cell r="A8247" t="str">
            <v>IS_alqt_plus</v>
          </cell>
          <cell r="K8247" t="str">
            <v>VRUB</v>
          </cell>
          <cell r="M8247" t="str">
            <v>F</v>
          </cell>
          <cell r="AB8247" t="str">
            <v>serum</v>
          </cell>
          <cell r="AF8247">
            <v>1.8</v>
          </cell>
        </row>
        <row r="8248">
          <cell r="A8248" t="str">
            <v>IS_alqt_plus</v>
          </cell>
          <cell r="K8248" t="str">
            <v>VRUB</v>
          </cell>
          <cell r="M8248" t="str">
            <v>F</v>
          </cell>
          <cell r="AB8248" t="str">
            <v>serum</v>
          </cell>
          <cell r="AF8248">
            <v>1.5</v>
          </cell>
        </row>
        <row r="8249">
          <cell r="A8249" t="str">
            <v>IS_alqt_plus</v>
          </cell>
          <cell r="K8249" t="str">
            <v>VRUB</v>
          </cell>
          <cell r="M8249" t="str">
            <v>F</v>
          </cell>
          <cell r="AB8249" t="str">
            <v>serum</v>
          </cell>
          <cell r="AF8249">
            <v>1.5</v>
          </cell>
        </row>
        <row r="8250">
          <cell r="A8250" t="str">
            <v>IS_alqt_plus</v>
          </cell>
          <cell r="K8250" t="str">
            <v>VRUB</v>
          </cell>
          <cell r="M8250" t="str">
            <v>F</v>
          </cell>
          <cell r="AB8250" t="str">
            <v>serum</v>
          </cell>
          <cell r="AF8250">
            <v>1.5</v>
          </cell>
        </row>
        <row r="8251">
          <cell r="A8251" t="str">
            <v>IS_alqt_plus</v>
          </cell>
          <cell r="K8251" t="str">
            <v>VRUB</v>
          </cell>
          <cell r="M8251" t="str">
            <v>F</v>
          </cell>
          <cell r="AB8251" t="str">
            <v>serum</v>
          </cell>
          <cell r="AF8251">
            <v>1.5</v>
          </cell>
        </row>
        <row r="8252">
          <cell r="A8252" t="str">
            <v>IS_alqt_plus</v>
          </cell>
          <cell r="K8252" t="str">
            <v>VRUB</v>
          </cell>
          <cell r="M8252" t="str">
            <v>F</v>
          </cell>
          <cell r="AB8252" t="str">
            <v>serum</v>
          </cell>
          <cell r="AF8252">
            <v>1.5</v>
          </cell>
        </row>
        <row r="8253">
          <cell r="A8253" t="str">
            <v>IS_alqt_plus</v>
          </cell>
          <cell r="K8253" t="str">
            <v>VRUB</v>
          </cell>
          <cell r="M8253" t="str">
            <v>F</v>
          </cell>
          <cell r="AB8253" t="str">
            <v>serum</v>
          </cell>
          <cell r="AF8253">
            <v>1.5</v>
          </cell>
        </row>
        <row r="8254">
          <cell r="A8254" t="str">
            <v>IS_alqt_plus</v>
          </cell>
          <cell r="K8254" t="str">
            <v>VRUB</v>
          </cell>
          <cell r="M8254" t="str">
            <v>F</v>
          </cell>
          <cell r="AB8254" t="str">
            <v>serum</v>
          </cell>
          <cell r="AF8254">
            <v>1.5</v>
          </cell>
        </row>
        <row r="8255">
          <cell r="A8255" t="str">
            <v>IS_alqt_plus</v>
          </cell>
          <cell r="K8255" t="str">
            <v>VRUB</v>
          </cell>
          <cell r="M8255" t="str">
            <v>F</v>
          </cell>
          <cell r="AB8255" t="str">
            <v>serum</v>
          </cell>
          <cell r="AF8255">
            <v>1.5</v>
          </cell>
        </row>
        <row r="8256">
          <cell r="A8256" t="str">
            <v>IS_alqt_plus</v>
          </cell>
          <cell r="K8256" t="str">
            <v>VRUB</v>
          </cell>
          <cell r="M8256" t="str">
            <v>F</v>
          </cell>
          <cell r="AB8256" t="str">
            <v>serum</v>
          </cell>
          <cell r="AF8256">
            <v>1.5</v>
          </cell>
        </row>
        <row r="8257">
          <cell r="A8257" t="str">
            <v>IS_alqt_plus</v>
          </cell>
          <cell r="K8257" t="str">
            <v>VRUB</v>
          </cell>
          <cell r="M8257" t="str">
            <v>F</v>
          </cell>
          <cell r="AB8257" t="str">
            <v>serum</v>
          </cell>
          <cell r="AF8257">
            <v>1.5</v>
          </cell>
        </row>
        <row r="8258">
          <cell r="A8258" t="str">
            <v>IS_alqt_plus</v>
          </cell>
          <cell r="K8258" t="str">
            <v>VRUB</v>
          </cell>
          <cell r="M8258" t="str">
            <v>F</v>
          </cell>
          <cell r="AB8258" t="str">
            <v>serum</v>
          </cell>
          <cell r="AF8258">
            <v>1.5</v>
          </cell>
        </row>
        <row r="8259">
          <cell r="A8259" t="str">
            <v>IS_alqt_plus</v>
          </cell>
          <cell r="K8259" t="str">
            <v>VRUB</v>
          </cell>
          <cell r="M8259" t="str">
            <v>F</v>
          </cell>
          <cell r="AB8259" t="str">
            <v>serum</v>
          </cell>
          <cell r="AF8259">
            <v>1.5</v>
          </cell>
        </row>
        <row r="8260">
          <cell r="A8260" t="str">
            <v>IS_alqt_plus</v>
          </cell>
          <cell r="K8260" t="str">
            <v>VRUB</v>
          </cell>
          <cell r="M8260" t="str">
            <v>F</v>
          </cell>
          <cell r="AB8260" t="str">
            <v>serum</v>
          </cell>
          <cell r="AF8260">
            <v>1.5</v>
          </cell>
        </row>
        <row r="8261">
          <cell r="A8261" t="str">
            <v>IS_alqt_plus</v>
          </cell>
          <cell r="K8261" t="str">
            <v>VRUB</v>
          </cell>
          <cell r="M8261" t="str">
            <v>F</v>
          </cell>
          <cell r="AB8261" t="str">
            <v>serum</v>
          </cell>
          <cell r="AF8261">
            <v>1.5</v>
          </cell>
        </row>
        <row r="8262">
          <cell r="A8262" t="str">
            <v>IS_alqt_plus</v>
          </cell>
          <cell r="K8262" t="str">
            <v>VRUB</v>
          </cell>
          <cell r="M8262" t="str">
            <v>F</v>
          </cell>
          <cell r="AB8262" t="str">
            <v>serum</v>
          </cell>
          <cell r="AF8262">
            <v>1.5</v>
          </cell>
        </row>
        <row r="8263">
          <cell r="A8263" t="str">
            <v>IS_alqt_plus</v>
          </cell>
          <cell r="K8263" t="str">
            <v>VRUB</v>
          </cell>
          <cell r="M8263" t="str">
            <v>F</v>
          </cell>
          <cell r="AB8263" t="str">
            <v>serum</v>
          </cell>
          <cell r="AF8263">
            <v>1.5</v>
          </cell>
        </row>
        <row r="8264">
          <cell r="A8264" t="str">
            <v>IS_alqt_plus</v>
          </cell>
          <cell r="K8264" t="str">
            <v>VRUB</v>
          </cell>
          <cell r="M8264" t="str">
            <v>F</v>
          </cell>
          <cell r="AB8264" t="str">
            <v>serum</v>
          </cell>
          <cell r="AF8264">
            <v>1.5</v>
          </cell>
        </row>
        <row r="8265">
          <cell r="A8265" t="str">
            <v>IS_alqt_plus</v>
          </cell>
          <cell r="K8265" t="str">
            <v>VRUB</v>
          </cell>
          <cell r="M8265" t="str">
            <v>F</v>
          </cell>
          <cell r="AB8265" t="str">
            <v>serum</v>
          </cell>
          <cell r="AF8265">
            <v>1.5</v>
          </cell>
        </row>
        <row r="8266">
          <cell r="A8266" t="str">
            <v>IS_alqt_plus</v>
          </cell>
          <cell r="K8266" t="str">
            <v>VRUB</v>
          </cell>
          <cell r="M8266" t="str">
            <v>F</v>
          </cell>
          <cell r="AB8266" t="str">
            <v>serum</v>
          </cell>
          <cell r="AF8266">
            <v>1.5</v>
          </cell>
        </row>
        <row r="8267">
          <cell r="A8267" t="str">
            <v>IS_alqt_plus</v>
          </cell>
          <cell r="K8267" t="str">
            <v>VRUB</v>
          </cell>
          <cell r="M8267" t="str">
            <v>F</v>
          </cell>
          <cell r="AB8267" t="str">
            <v>serum</v>
          </cell>
          <cell r="AF8267">
            <v>1.5</v>
          </cell>
        </row>
        <row r="8268">
          <cell r="A8268" t="str">
            <v>IS_alqt_plus</v>
          </cell>
          <cell r="K8268" t="str">
            <v>VRUB</v>
          </cell>
          <cell r="M8268" t="str">
            <v>F</v>
          </cell>
          <cell r="AB8268" t="str">
            <v>serum</v>
          </cell>
          <cell r="AF8268">
            <v>1.5</v>
          </cell>
        </row>
        <row r="8269">
          <cell r="A8269" t="str">
            <v>IS_alqt_plus</v>
          </cell>
          <cell r="K8269" t="str">
            <v>VRUB</v>
          </cell>
          <cell r="M8269" t="str">
            <v>F</v>
          </cell>
          <cell r="AB8269" t="str">
            <v>serum</v>
          </cell>
          <cell r="AF8269">
            <v>1.5</v>
          </cell>
        </row>
        <row r="8270">
          <cell r="A8270" t="str">
            <v>IS_alqt_plus</v>
          </cell>
          <cell r="K8270" t="str">
            <v>VRUB</v>
          </cell>
          <cell r="M8270" t="str">
            <v>F</v>
          </cell>
          <cell r="AB8270" t="str">
            <v>serum</v>
          </cell>
          <cell r="AF8270">
            <v>1.5</v>
          </cell>
        </row>
        <row r="8271">
          <cell r="A8271" t="str">
            <v>IS_alqt_plus</v>
          </cell>
          <cell r="K8271" t="str">
            <v>VRUB</v>
          </cell>
          <cell r="M8271" t="str">
            <v>F</v>
          </cell>
          <cell r="AB8271" t="str">
            <v>serum</v>
          </cell>
          <cell r="AF8271">
            <v>1.5</v>
          </cell>
        </row>
        <row r="8272">
          <cell r="A8272" t="str">
            <v>IS_alqt_plus</v>
          </cell>
          <cell r="K8272" t="str">
            <v>VRUB</v>
          </cell>
          <cell r="M8272" t="str">
            <v>F</v>
          </cell>
          <cell r="AB8272" t="str">
            <v>serum</v>
          </cell>
          <cell r="AF8272">
            <v>1.5</v>
          </cell>
        </row>
        <row r="8273">
          <cell r="A8273" t="str">
            <v>IS_alqt_plus</v>
          </cell>
          <cell r="K8273" t="str">
            <v>VRUB</v>
          </cell>
          <cell r="M8273" t="str">
            <v>F</v>
          </cell>
          <cell r="AB8273" t="str">
            <v>serum</v>
          </cell>
          <cell r="AF8273">
            <v>1.5</v>
          </cell>
        </row>
        <row r="8274">
          <cell r="A8274" t="str">
            <v>IS_alqt_plus</v>
          </cell>
          <cell r="K8274" t="str">
            <v>VRUB</v>
          </cell>
          <cell r="M8274" t="str">
            <v>F</v>
          </cell>
          <cell r="AB8274" t="str">
            <v>serum</v>
          </cell>
          <cell r="AF8274">
            <v>1</v>
          </cell>
        </row>
        <row r="8275">
          <cell r="A8275" t="str">
            <v>unk</v>
          </cell>
          <cell r="K8275" t="str">
            <v>VRUB</v>
          </cell>
          <cell r="M8275" t="str">
            <v>F</v>
          </cell>
          <cell r="AB8275" t="str">
            <v>serum</v>
          </cell>
          <cell r="AF8275">
            <v>1.5</v>
          </cell>
        </row>
        <row r="8276">
          <cell r="A8276" t="str">
            <v>IS_alqt_plus</v>
          </cell>
          <cell r="K8276" t="str">
            <v>PCOQ</v>
          </cell>
          <cell r="M8276" t="str">
            <v>F</v>
          </cell>
          <cell r="AB8276" t="str">
            <v>WB</v>
          </cell>
          <cell r="AF8276">
            <v>0.9</v>
          </cell>
        </row>
        <row r="8277">
          <cell r="A8277" t="str">
            <v>IS_alqt_plus</v>
          </cell>
          <cell r="K8277" t="str">
            <v>LCAT</v>
          </cell>
          <cell r="M8277" t="str">
            <v>M</v>
          </cell>
          <cell r="AB8277" t="str">
            <v>serum</v>
          </cell>
          <cell r="AF8277">
            <v>1</v>
          </cell>
        </row>
        <row r="8278">
          <cell r="A8278" t="str">
            <v>IS_alqt_minus</v>
          </cell>
          <cell r="K8278" t="str">
            <v>MMUR</v>
          </cell>
          <cell r="M8278" t="str">
            <v>F</v>
          </cell>
          <cell r="AB8278" t="str">
            <v>WB</v>
          </cell>
          <cell r="AF8278">
            <v>0.1</v>
          </cell>
        </row>
        <row r="8279">
          <cell r="A8279" t="str">
            <v>gone</v>
          </cell>
          <cell r="K8279" t="str">
            <v>VVV</v>
          </cell>
          <cell r="M8279" t="str">
            <v>M</v>
          </cell>
          <cell r="AB8279" t="str">
            <v>WB</v>
          </cell>
          <cell r="AF8279">
            <v>0</v>
          </cell>
        </row>
        <row r="8280">
          <cell r="A8280" t="str">
            <v>gone</v>
          </cell>
          <cell r="K8280" t="str">
            <v>VVV</v>
          </cell>
          <cell r="M8280" t="str">
            <v>M</v>
          </cell>
          <cell r="AB8280" t="str">
            <v>serum</v>
          </cell>
          <cell r="AF8280">
            <v>0</v>
          </cell>
        </row>
        <row r="8281">
          <cell r="A8281" t="str">
            <v>IS_alqt_plus</v>
          </cell>
          <cell r="K8281" t="str">
            <v>EFLA</v>
          </cell>
          <cell r="M8281" t="str">
            <v>M</v>
          </cell>
          <cell r="AB8281" t="str">
            <v>serum</v>
          </cell>
          <cell r="AF8281">
            <v>1.5</v>
          </cell>
        </row>
        <row r="8282">
          <cell r="A8282" t="str">
            <v>IS_alqt_plus</v>
          </cell>
          <cell r="K8282" t="str">
            <v>EFLA</v>
          </cell>
          <cell r="M8282" t="str">
            <v>M</v>
          </cell>
          <cell r="AB8282" t="str">
            <v>serum</v>
          </cell>
          <cell r="AF8282">
            <v>1.5</v>
          </cell>
        </row>
        <row r="8283">
          <cell r="A8283" t="str">
            <v>IS_alqt_plus</v>
          </cell>
          <cell r="K8283" t="str">
            <v>EFLA</v>
          </cell>
          <cell r="M8283" t="str">
            <v>M</v>
          </cell>
          <cell r="AB8283" t="str">
            <v>serum</v>
          </cell>
          <cell r="AF8283">
            <v>1.5</v>
          </cell>
        </row>
        <row r="8284">
          <cell r="A8284" t="str">
            <v>IS_alqt_plus</v>
          </cell>
          <cell r="K8284" t="str">
            <v>EFLA</v>
          </cell>
          <cell r="M8284" t="str">
            <v>M</v>
          </cell>
          <cell r="AB8284" t="str">
            <v>serum</v>
          </cell>
          <cell r="AF8284">
            <v>1.5</v>
          </cell>
        </row>
        <row r="8285">
          <cell r="A8285" t="str">
            <v>IS_alqt_plus</v>
          </cell>
          <cell r="K8285" t="str">
            <v>EFLA</v>
          </cell>
          <cell r="M8285" t="str">
            <v>M</v>
          </cell>
          <cell r="AB8285" t="str">
            <v>serum</v>
          </cell>
          <cell r="AF8285">
            <v>0.5</v>
          </cell>
        </row>
        <row r="8286">
          <cell r="A8286" t="str">
            <v>IS_alqt_plus</v>
          </cell>
          <cell r="K8286" t="str">
            <v>EFLA</v>
          </cell>
          <cell r="M8286" t="str">
            <v>M</v>
          </cell>
          <cell r="AB8286" t="str">
            <v>serum</v>
          </cell>
          <cell r="AF8286">
            <v>1.5</v>
          </cell>
        </row>
        <row r="8287">
          <cell r="A8287" t="str">
            <v>IS_alqt_plus</v>
          </cell>
          <cell r="K8287" t="str">
            <v>EFLA</v>
          </cell>
          <cell r="M8287" t="str">
            <v>M</v>
          </cell>
          <cell r="AB8287" t="str">
            <v>serum</v>
          </cell>
          <cell r="AF8287">
            <v>1.5</v>
          </cell>
        </row>
        <row r="8288">
          <cell r="A8288" t="str">
            <v>IS_alqt_plus</v>
          </cell>
          <cell r="K8288" t="str">
            <v>EFLA</v>
          </cell>
          <cell r="M8288" t="str">
            <v>M</v>
          </cell>
          <cell r="AB8288" t="str">
            <v>serum</v>
          </cell>
          <cell r="AF8288">
            <v>1.5</v>
          </cell>
        </row>
        <row r="8289">
          <cell r="A8289" t="str">
            <v>IS_alqt_plus</v>
          </cell>
          <cell r="K8289" t="str">
            <v>EFLA</v>
          </cell>
          <cell r="M8289" t="str">
            <v>M</v>
          </cell>
          <cell r="AB8289" t="str">
            <v>serum</v>
          </cell>
          <cell r="AF8289">
            <v>1.5</v>
          </cell>
        </row>
        <row r="8290">
          <cell r="A8290" t="str">
            <v>IS_alqt_plus</v>
          </cell>
          <cell r="K8290" t="str">
            <v>EFLA</v>
          </cell>
          <cell r="M8290" t="str">
            <v>M</v>
          </cell>
          <cell r="AB8290" t="str">
            <v>serum</v>
          </cell>
          <cell r="AF8290">
            <v>1.5</v>
          </cell>
        </row>
        <row r="8291">
          <cell r="A8291" t="str">
            <v>IS_alqt_plus</v>
          </cell>
          <cell r="K8291" t="str">
            <v>EFLA</v>
          </cell>
          <cell r="M8291" t="str">
            <v>M</v>
          </cell>
          <cell r="AB8291" t="str">
            <v>serum</v>
          </cell>
          <cell r="AF8291">
            <v>1.5</v>
          </cell>
        </row>
        <row r="8292">
          <cell r="A8292" t="str">
            <v>IS_alqt_plus</v>
          </cell>
          <cell r="K8292" t="str">
            <v>EFLA</v>
          </cell>
          <cell r="M8292" t="str">
            <v>M</v>
          </cell>
          <cell r="AB8292" t="str">
            <v>serum</v>
          </cell>
          <cell r="AF8292">
            <v>1.5</v>
          </cell>
        </row>
        <row r="8293">
          <cell r="A8293" t="str">
            <v>IS_alqt_plus</v>
          </cell>
          <cell r="K8293" t="str">
            <v>EFLA</v>
          </cell>
          <cell r="M8293" t="str">
            <v>M</v>
          </cell>
          <cell r="AB8293" t="str">
            <v>serum</v>
          </cell>
          <cell r="AF8293">
            <v>1.5</v>
          </cell>
        </row>
        <row r="8294">
          <cell r="A8294" t="str">
            <v>IS_alqt_plus</v>
          </cell>
          <cell r="K8294" t="str">
            <v>EFLA</v>
          </cell>
          <cell r="M8294" t="str">
            <v>M</v>
          </cell>
          <cell r="AB8294" t="str">
            <v>serum</v>
          </cell>
          <cell r="AF8294">
            <v>1.5</v>
          </cell>
        </row>
        <row r="8295">
          <cell r="A8295" t="str">
            <v>IS_alqt_plus</v>
          </cell>
          <cell r="K8295" t="str">
            <v>EFLA</v>
          </cell>
          <cell r="M8295" t="str">
            <v>M</v>
          </cell>
          <cell r="AB8295" t="str">
            <v>serum</v>
          </cell>
          <cell r="AF8295">
            <v>1.5</v>
          </cell>
        </row>
        <row r="8296">
          <cell r="A8296" t="str">
            <v>IS_alqt_plus</v>
          </cell>
          <cell r="K8296" t="str">
            <v>EMON</v>
          </cell>
          <cell r="M8296" t="str">
            <v>M</v>
          </cell>
          <cell r="AB8296" t="str">
            <v>WB</v>
          </cell>
          <cell r="AF8296">
            <v>0.75</v>
          </cell>
        </row>
        <row r="8297">
          <cell r="A8297" t="str">
            <v>IS_alqt_plus</v>
          </cell>
          <cell r="K8297" t="str">
            <v>EFLA</v>
          </cell>
          <cell r="M8297" t="str">
            <v>M</v>
          </cell>
          <cell r="AB8297" t="str">
            <v>WB</v>
          </cell>
          <cell r="AF8297">
            <v>0.2</v>
          </cell>
        </row>
        <row r="8298">
          <cell r="A8298" t="str">
            <v>IS_alqt_plus</v>
          </cell>
          <cell r="K8298" t="str">
            <v>EFLA</v>
          </cell>
          <cell r="M8298" t="str">
            <v>M</v>
          </cell>
          <cell r="AB8298" t="str">
            <v>WB</v>
          </cell>
          <cell r="AF8298">
            <v>0.2</v>
          </cell>
        </row>
        <row r="8299">
          <cell r="A8299" t="str">
            <v>IS_alqt_plus</v>
          </cell>
          <cell r="K8299" t="str">
            <v>EFLA</v>
          </cell>
          <cell r="M8299" t="str">
            <v>M</v>
          </cell>
          <cell r="AB8299" t="str">
            <v>WB</v>
          </cell>
          <cell r="AF8299">
            <v>0.2</v>
          </cell>
        </row>
        <row r="8300">
          <cell r="A8300" t="str">
            <v>IS_alqt_plus</v>
          </cell>
          <cell r="K8300" t="str">
            <v>EFLA</v>
          </cell>
          <cell r="M8300" t="str">
            <v>M</v>
          </cell>
          <cell r="AB8300" t="str">
            <v>WB</v>
          </cell>
          <cell r="AF8300">
            <v>0.2</v>
          </cell>
        </row>
        <row r="8301">
          <cell r="A8301" t="str">
            <v>IS_alqt_plus</v>
          </cell>
          <cell r="K8301" t="str">
            <v>EFLA</v>
          </cell>
          <cell r="M8301" t="str">
            <v>M</v>
          </cell>
          <cell r="AB8301" t="str">
            <v>WB</v>
          </cell>
          <cell r="AF8301">
            <v>1</v>
          </cell>
        </row>
        <row r="8302">
          <cell r="A8302" t="str">
            <v>IS_alqt_plus</v>
          </cell>
          <cell r="K8302" t="str">
            <v>EFLA</v>
          </cell>
          <cell r="M8302" t="str">
            <v>M</v>
          </cell>
          <cell r="AB8302" t="str">
            <v>WB</v>
          </cell>
          <cell r="AF8302">
            <v>1</v>
          </cell>
        </row>
        <row r="8303">
          <cell r="A8303" t="str">
            <v>gone</v>
          </cell>
          <cell r="K8303" t="str">
            <v>EFLA</v>
          </cell>
          <cell r="M8303" t="str">
            <v>M</v>
          </cell>
          <cell r="AB8303" t="str">
            <v>WB</v>
          </cell>
          <cell r="AF8303">
            <v>0</v>
          </cell>
        </row>
        <row r="8304">
          <cell r="A8304" t="str">
            <v>gone</v>
          </cell>
          <cell r="K8304" t="str">
            <v>EFLA</v>
          </cell>
          <cell r="M8304" t="str">
            <v>M</v>
          </cell>
          <cell r="AB8304" t="str">
            <v>WB</v>
          </cell>
          <cell r="AF8304">
            <v>0</v>
          </cell>
        </row>
        <row r="8305">
          <cell r="A8305" t="str">
            <v>IS_alqt_plus</v>
          </cell>
          <cell r="K8305" t="str">
            <v>EFLA</v>
          </cell>
          <cell r="M8305" t="str">
            <v>M</v>
          </cell>
          <cell r="AB8305" t="str">
            <v>WB</v>
          </cell>
          <cell r="AF8305">
            <v>1</v>
          </cell>
        </row>
        <row r="8306">
          <cell r="A8306" t="str">
            <v>IS_alqt_plus</v>
          </cell>
          <cell r="K8306" t="str">
            <v>EFLA</v>
          </cell>
          <cell r="M8306" t="str">
            <v>M</v>
          </cell>
          <cell r="AB8306" t="str">
            <v>WB</v>
          </cell>
          <cell r="AF8306">
            <v>1</v>
          </cell>
        </row>
        <row r="8307">
          <cell r="A8307" t="str">
            <v>IS_alqt_plus</v>
          </cell>
          <cell r="K8307" t="str">
            <v>EFLA</v>
          </cell>
          <cell r="M8307" t="str">
            <v>M</v>
          </cell>
          <cell r="AB8307" t="str">
            <v>WB</v>
          </cell>
          <cell r="AF8307">
            <v>1</v>
          </cell>
        </row>
        <row r="8308">
          <cell r="A8308" t="str">
            <v>IS_alqt_plus</v>
          </cell>
          <cell r="K8308" t="str">
            <v>EFLA</v>
          </cell>
          <cell r="M8308" t="str">
            <v>M</v>
          </cell>
          <cell r="AB8308" t="str">
            <v>WB</v>
          </cell>
          <cell r="AF8308">
            <v>1</v>
          </cell>
        </row>
        <row r="8309">
          <cell r="A8309" t="str">
            <v>IS_alqt_plus</v>
          </cell>
          <cell r="K8309" t="str">
            <v>EFLA</v>
          </cell>
          <cell r="M8309" t="str">
            <v>M</v>
          </cell>
          <cell r="AB8309" t="str">
            <v>WB</v>
          </cell>
          <cell r="AF8309">
            <v>1</v>
          </cell>
        </row>
        <row r="8310">
          <cell r="A8310" t="str">
            <v>IS_alqt_plus</v>
          </cell>
          <cell r="K8310" t="str">
            <v>EFLA</v>
          </cell>
          <cell r="M8310" t="str">
            <v>M</v>
          </cell>
          <cell r="AB8310" t="str">
            <v>WB</v>
          </cell>
          <cell r="AF8310">
            <v>1.2</v>
          </cell>
        </row>
        <row r="8311">
          <cell r="A8311" t="str">
            <v>IS_alqt_plus</v>
          </cell>
          <cell r="K8311" t="str">
            <v>EFLA</v>
          </cell>
          <cell r="M8311" t="str">
            <v>M</v>
          </cell>
          <cell r="AB8311" t="str">
            <v>WB</v>
          </cell>
          <cell r="AF8311">
            <v>1</v>
          </cell>
        </row>
        <row r="8312">
          <cell r="A8312" t="str">
            <v>IS_alqt_plus</v>
          </cell>
          <cell r="K8312" t="str">
            <v>EFLA</v>
          </cell>
          <cell r="M8312" t="str">
            <v>M</v>
          </cell>
          <cell r="AB8312" t="str">
            <v>WB</v>
          </cell>
          <cell r="AF8312">
            <v>1</v>
          </cell>
        </row>
        <row r="8313">
          <cell r="A8313" t="str">
            <v>IS_alqt_plus</v>
          </cell>
          <cell r="K8313" t="str">
            <v>EFLA</v>
          </cell>
          <cell r="M8313" t="str">
            <v>M</v>
          </cell>
          <cell r="AB8313" t="str">
            <v>WB</v>
          </cell>
          <cell r="AF8313">
            <v>1.3</v>
          </cell>
        </row>
        <row r="8314">
          <cell r="A8314" t="str">
            <v>IS_alqt_plus</v>
          </cell>
          <cell r="K8314" t="str">
            <v>EFLA</v>
          </cell>
          <cell r="M8314" t="str">
            <v>M</v>
          </cell>
          <cell r="AB8314" t="str">
            <v>WB</v>
          </cell>
          <cell r="AF8314">
            <v>1</v>
          </cell>
        </row>
        <row r="8315">
          <cell r="A8315" t="str">
            <v>IS_alqt_plus</v>
          </cell>
          <cell r="K8315" t="str">
            <v>EFLA</v>
          </cell>
          <cell r="M8315" t="str">
            <v>M</v>
          </cell>
          <cell r="AB8315" t="str">
            <v>WB</v>
          </cell>
          <cell r="AF8315">
            <v>1</v>
          </cell>
        </row>
        <row r="8316">
          <cell r="A8316" t="str">
            <v>IS_alqt_plus</v>
          </cell>
          <cell r="K8316" t="str">
            <v>EFLA</v>
          </cell>
          <cell r="M8316" t="str">
            <v>M</v>
          </cell>
          <cell r="AB8316" t="str">
            <v>WB</v>
          </cell>
          <cell r="AF8316">
            <v>1</v>
          </cell>
        </row>
        <row r="8317">
          <cell r="A8317" t="str">
            <v>IS_alqt_plus</v>
          </cell>
          <cell r="K8317" t="str">
            <v>EFLA</v>
          </cell>
          <cell r="M8317" t="str">
            <v>M</v>
          </cell>
          <cell r="AB8317" t="str">
            <v>WB</v>
          </cell>
          <cell r="AF8317">
            <v>1</v>
          </cell>
        </row>
        <row r="8318">
          <cell r="A8318" t="str">
            <v>IS_alqt_plus</v>
          </cell>
          <cell r="K8318" t="str">
            <v>EFLA</v>
          </cell>
          <cell r="M8318" t="str">
            <v>M</v>
          </cell>
          <cell r="AB8318" t="str">
            <v>WB</v>
          </cell>
          <cell r="AF8318">
            <v>1</v>
          </cell>
        </row>
        <row r="8319">
          <cell r="A8319" t="str">
            <v>IS_alqt_plus</v>
          </cell>
          <cell r="K8319" t="str">
            <v>EFLA</v>
          </cell>
          <cell r="M8319" t="str">
            <v>M</v>
          </cell>
          <cell r="AB8319" t="str">
            <v>WB</v>
          </cell>
          <cell r="AF8319">
            <v>0.75</v>
          </cell>
        </row>
        <row r="8320">
          <cell r="A8320" t="str">
            <v>IS_alqt_plus</v>
          </cell>
          <cell r="K8320" t="str">
            <v>EFLA</v>
          </cell>
          <cell r="M8320" t="str">
            <v>M</v>
          </cell>
          <cell r="AB8320" t="str">
            <v>WB</v>
          </cell>
          <cell r="AF8320">
            <v>1</v>
          </cell>
        </row>
        <row r="8321">
          <cell r="A8321" t="str">
            <v>IS_alqt_plus</v>
          </cell>
          <cell r="K8321" t="str">
            <v>EFLA</v>
          </cell>
          <cell r="M8321" t="str">
            <v>M</v>
          </cell>
          <cell r="AB8321" t="str">
            <v>WB</v>
          </cell>
          <cell r="AF8321">
            <v>1</v>
          </cell>
        </row>
        <row r="8322">
          <cell r="A8322" t="str">
            <v>IS_alqt_plus</v>
          </cell>
          <cell r="K8322" t="str">
            <v>EFLA</v>
          </cell>
          <cell r="M8322" t="str">
            <v>M</v>
          </cell>
          <cell r="AB8322" t="str">
            <v>WB</v>
          </cell>
          <cell r="AF8322">
            <v>1</v>
          </cell>
        </row>
        <row r="8323">
          <cell r="A8323" t="str">
            <v>IS_alqt_plus</v>
          </cell>
          <cell r="K8323" t="str">
            <v>EMON</v>
          </cell>
          <cell r="M8323" t="str">
            <v>M</v>
          </cell>
          <cell r="AB8323" t="str">
            <v>WB</v>
          </cell>
          <cell r="AF8323">
            <v>0.8</v>
          </cell>
        </row>
        <row r="8324">
          <cell r="A8324" t="str">
            <v>unk</v>
          </cell>
          <cell r="K8324" t="str">
            <v>VVV</v>
          </cell>
          <cell r="M8324" t="str">
            <v>M</v>
          </cell>
          <cell r="AB8324" t="str">
            <v>WB</v>
          </cell>
          <cell r="AF8324">
            <v>1</v>
          </cell>
        </row>
        <row r="8325">
          <cell r="A8325" t="str">
            <v>IS_alqt_plus</v>
          </cell>
          <cell r="K8325" t="str">
            <v>PCOQ</v>
          </cell>
          <cell r="M8325" t="str">
            <v>M</v>
          </cell>
          <cell r="AB8325" t="str">
            <v>WB</v>
          </cell>
          <cell r="AF8325">
            <v>0.8</v>
          </cell>
        </row>
        <row r="8326">
          <cell r="A8326" t="str">
            <v>gone</v>
          </cell>
          <cell r="K8326" t="str">
            <v>ERUB</v>
          </cell>
          <cell r="M8326" t="str">
            <v>M</v>
          </cell>
          <cell r="AB8326" t="str">
            <v>WB</v>
          </cell>
          <cell r="AF8326">
            <v>0</v>
          </cell>
        </row>
        <row r="8327">
          <cell r="A8327" t="str">
            <v>IS_alqt_plus</v>
          </cell>
          <cell r="K8327" t="str">
            <v>ERUB</v>
          </cell>
          <cell r="M8327" t="str">
            <v>M</v>
          </cell>
          <cell r="AB8327" t="str">
            <v>WB</v>
          </cell>
          <cell r="AF8327">
            <v>1.3</v>
          </cell>
        </row>
        <row r="8328">
          <cell r="A8328" t="str">
            <v>IS_alqt_plus</v>
          </cell>
          <cell r="K8328" t="str">
            <v>ERUB</v>
          </cell>
          <cell r="M8328" t="str">
            <v>M</v>
          </cell>
          <cell r="AB8328" t="str">
            <v>WB</v>
          </cell>
          <cell r="AF8328">
            <v>1.3</v>
          </cell>
        </row>
        <row r="8329">
          <cell r="A8329" t="str">
            <v>IS_alqt_plus</v>
          </cell>
          <cell r="K8329" t="str">
            <v>ERUB</v>
          </cell>
          <cell r="M8329" t="str">
            <v>M</v>
          </cell>
          <cell r="AB8329" t="str">
            <v>WB</v>
          </cell>
          <cell r="AF8329">
            <v>1</v>
          </cell>
        </row>
        <row r="8330">
          <cell r="A8330" t="str">
            <v>IS_alqt_plus</v>
          </cell>
          <cell r="K8330" t="str">
            <v>ERUB</v>
          </cell>
          <cell r="M8330" t="str">
            <v>M</v>
          </cell>
          <cell r="AB8330" t="str">
            <v>WB</v>
          </cell>
          <cell r="AF8330">
            <v>1</v>
          </cell>
        </row>
        <row r="8331">
          <cell r="A8331" t="str">
            <v>IS_alqt_plus</v>
          </cell>
          <cell r="K8331" t="str">
            <v>ERUB</v>
          </cell>
          <cell r="M8331" t="str">
            <v>M</v>
          </cell>
          <cell r="AB8331" t="str">
            <v>WB</v>
          </cell>
          <cell r="AF8331">
            <v>1</v>
          </cell>
        </row>
        <row r="8332">
          <cell r="A8332" t="str">
            <v>IS_alqt_plus</v>
          </cell>
          <cell r="K8332" t="str">
            <v>ERUB</v>
          </cell>
          <cell r="M8332" t="str">
            <v>M</v>
          </cell>
          <cell r="AB8332" t="str">
            <v>WB</v>
          </cell>
          <cell r="AF8332">
            <v>1</v>
          </cell>
        </row>
        <row r="8333">
          <cell r="A8333" t="str">
            <v>IS_alqt_plus</v>
          </cell>
          <cell r="K8333" t="str">
            <v>ERUB</v>
          </cell>
          <cell r="M8333" t="str">
            <v>M</v>
          </cell>
          <cell r="AB8333" t="str">
            <v>WB</v>
          </cell>
          <cell r="AF8333">
            <v>1</v>
          </cell>
        </row>
        <row r="8334">
          <cell r="A8334" t="str">
            <v>IS_alqt_plus</v>
          </cell>
          <cell r="K8334" t="str">
            <v>ERUB</v>
          </cell>
          <cell r="M8334" t="str">
            <v>M</v>
          </cell>
          <cell r="AB8334" t="str">
            <v>WB</v>
          </cell>
          <cell r="AF8334">
            <v>1</v>
          </cell>
        </row>
        <row r="8335">
          <cell r="A8335" t="str">
            <v>IS_alqt_plus</v>
          </cell>
          <cell r="K8335" t="str">
            <v>ERUB</v>
          </cell>
          <cell r="M8335" t="str">
            <v>M</v>
          </cell>
          <cell r="AB8335" t="str">
            <v>WB</v>
          </cell>
          <cell r="AF8335">
            <v>1</v>
          </cell>
        </row>
        <row r="8336">
          <cell r="A8336" t="str">
            <v>IS_alqt_plus</v>
          </cell>
          <cell r="K8336" t="str">
            <v>ERUB</v>
          </cell>
          <cell r="M8336" t="str">
            <v>M</v>
          </cell>
          <cell r="AB8336" t="str">
            <v>WB</v>
          </cell>
          <cell r="AF8336">
            <v>1.2</v>
          </cell>
        </row>
        <row r="8337">
          <cell r="A8337" t="str">
            <v>IS_alqt_plus</v>
          </cell>
          <cell r="K8337" t="str">
            <v>ERUB</v>
          </cell>
          <cell r="M8337" t="str">
            <v>M</v>
          </cell>
          <cell r="AB8337" t="str">
            <v>WB</v>
          </cell>
          <cell r="AF8337">
            <v>1.2</v>
          </cell>
        </row>
        <row r="8338">
          <cell r="A8338" t="str">
            <v>IS_alqt_plus</v>
          </cell>
          <cell r="K8338" t="str">
            <v>ERUB</v>
          </cell>
          <cell r="M8338" t="str">
            <v>M</v>
          </cell>
          <cell r="AB8338" t="str">
            <v>WB</v>
          </cell>
          <cell r="AF8338">
            <v>1</v>
          </cell>
        </row>
        <row r="8339">
          <cell r="A8339" t="str">
            <v>IS_alqt_plus</v>
          </cell>
          <cell r="K8339" t="str">
            <v>ERUB</v>
          </cell>
          <cell r="M8339" t="str">
            <v>M</v>
          </cell>
          <cell r="AB8339" t="str">
            <v>WB</v>
          </cell>
          <cell r="AF8339">
            <v>1</v>
          </cell>
        </row>
        <row r="8340">
          <cell r="A8340" t="str">
            <v>IS_alqt_plus</v>
          </cell>
          <cell r="K8340" t="str">
            <v>ERUB</v>
          </cell>
          <cell r="M8340" t="str">
            <v>M</v>
          </cell>
          <cell r="AB8340" t="str">
            <v>WB</v>
          </cell>
          <cell r="AF8340">
            <v>1.2</v>
          </cell>
        </row>
        <row r="8341">
          <cell r="A8341" t="str">
            <v>IS_alqt_plus</v>
          </cell>
          <cell r="K8341" t="str">
            <v>ERUB</v>
          </cell>
          <cell r="M8341" t="str">
            <v>M</v>
          </cell>
          <cell r="AB8341" t="str">
            <v>WB</v>
          </cell>
          <cell r="AF8341">
            <v>1</v>
          </cell>
        </row>
        <row r="8342">
          <cell r="A8342" t="str">
            <v>IS_alqt_plus</v>
          </cell>
          <cell r="K8342" t="str">
            <v>ERUB</v>
          </cell>
          <cell r="M8342" t="str">
            <v>M</v>
          </cell>
          <cell r="AB8342" t="str">
            <v>WB</v>
          </cell>
          <cell r="AF8342">
            <v>1</v>
          </cell>
        </row>
        <row r="8343">
          <cell r="A8343" t="str">
            <v>IS_alqt_plus</v>
          </cell>
          <cell r="K8343" t="str">
            <v>ERUB</v>
          </cell>
          <cell r="M8343" t="str">
            <v>M</v>
          </cell>
          <cell r="AB8343" t="str">
            <v>WB</v>
          </cell>
          <cell r="AF8343">
            <v>1</v>
          </cell>
        </row>
        <row r="8344">
          <cell r="A8344" t="str">
            <v>IS_alqt_plus</v>
          </cell>
          <cell r="K8344" t="str">
            <v>ERUB</v>
          </cell>
          <cell r="M8344" t="str">
            <v>M</v>
          </cell>
          <cell r="AB8344" t="str">
            <v>WB</v>
          </cell>
          <cell r="AF8344">
            <v>1.2</v>
          </cell>
        </row>
        <row r="8345">
          <cell r="A8345" t="str">
            <v>IS_alqt_plus</v>
          </cell>
          <cell r="K8345" t="str">
            <v>ERUB</v>
          </cell>
          <cell r="M8345" t="str">
            <v>M</v>
          </cell>
          <cell r="AB8345" t="str">
            <v>WB</v>
          </cell>
          <cell r="AF8345">
            <v>1.3</v>
          </cell>
        </row>
        <row r="8346">
          <cell r="A8346" t="str">
            <v>IS_alqt_plus</v>
          </cell>
          <cell r="K8346" t="str">
            <v>ERUB</v>
          </cell>
          <cell r="M8346" t="str">
            <v>M</v>
          </cell>
          <cell r="AB8346" t="str">
            <v>WB</v>
          </cell>
          <cell r="AF8346">
            <v>1</v>
          </cell>
        </row>
        <row r="8347">
          <cell r="A8347" t="str">
            <v>IS_alqt_plus</v>
          </cell>
          <cell r="K8347" t="str">
            <v>ERUB</v>
          </cell>
          <cell r="M8347" t="str">
            <v>M</v>
          </cell>
          <cell r="AB8347" t="str">
            <v>WB</v>
          </cell>
          <cell r="AF8347">
            <v>1</v>
          </cell>
        </row>
        <row r="8348">
          <cell r="A8348" t="str">
            <v>IS_alqt_plus</v>
          </cell>
          <cell r="K8348" t="str">
            <v>ERUB</v>
          </cell>
          <cell r="M8348" t="str">
            <v>M</v>
          </cell>
          <cell r="AB8348" t="str">
            <v>WB</v>
          </cell>
          <cell r="AF8348">
            <v>1.3</v>
          </cell>
        </row>
        <row r="8349">
          <cell r="A8349" t="str">
            <v>IS_alqt_plus</v>
          </cell>
          <cell r="K8349" t="str">
            <v>ERUB</v>
          </cell>
          <cell r="M8349" t="str">
            <v>M</v>
          </cell>
          <cell r="AB8349" t="str">
            <v>WB</v>
          </cell>
          <cell r="AF8349">
            <v>1</v>
          </cell>
        </row>
        <row r="8350">
          <cell r="A8350" t="str">
            <v>IS_alqt_plus</v>
          </cell>
          <cell r="K8350" t="str">
            <v>ERUB</v>
          </cell>
          <cell r="M8350" t="str">
            <v>M</v>
          </cell>
          <cell r="AB8350" t="str">
            <v>WB</v>
          </cell>
          <cell r="AF8350">
            <v>1</v>
          </cell>
        </row>
        <row r="8351">
          <cell r="A8351" t="str">
            <v>IS_alqt_plus</v>
          </cell>
          <cell r="K8351" t="str">
            <v>LCAT</v>
          </cell>
          <cell r="M8351" t="str">
            <v>F</v>
          </cell>
          <cell r="AB8351" t="str">
            <v>serum</v>
          </cell>
          <cell r="AF8351">
            <v>0.6</v>
          </cell>
        </row>
        <row r="8352">
          <cell r="A8352" t="str">
            <v>IS_alqt_plus</v>
          </cell>
          <cell r="K8352" t="str">
            <v>ERUB</v>
          </cell>
          <cell r="M8352" t="str">
            <v>M</v>
          </cell>
          <cell r="AB8352" t="str">
            <v>serum</v>
          </cell>
          <cell r="AF8352">
            <v>1</v>
          </cell>
        </row>
        <row r="8353">
          <cell r="A8353" t="str">
            <v>IS_alqt_plus</v>
          </cell>
          <cell r="K8353" t="str">
            <v>ERUB</v>
          </cell>
          <cell r="M8353" t="str">
            <v>M</v>
          </cell>
          <cell r="AB8353" t="str">
            <v>serum</v>
          </cell>
          <cell r="AF8353">
            <v>1</v>
          </cell>
        </row>
        <row r="8354">
          <cell r="A8354" t="str">
            <v>IS_alqt_plus</v>
          </cell>
          <cell r="K8354" t="str">
            <v>ERUB</v>
          </cell>
          <cell r="M8354" t="str">
            <v>M</v>
          </cell>
          <cell r="AB8354" t="str">
            <v>serum</v>
          </cell>
          <cell r="AF8354">
            <v>1</v>
          </cell>
        </row>
        <row r="8355">
          <cell r="A8355" t="str">
            <v>IS_alqt_plus</v>
          </cell>
          <cell r="K8355" t="str">
            <v>ERUB</v>
          </cell>
          <cell r="M8355" t="str">
            <v>M</v>
          </cell>
          <cell r="AB8355" t="str">
            <v>serum</v>
          </cell>
          <cell r="AF8355">
            <v>1.1000000000000001</v>
          </cell>
        </row>
        <row r="8356">
          <cell r="A8356" t="str">
            <v>IS_alqt_plus</v>
          </cell>
          <cell r="K8356" t="str">
            <v>ERUB</v>
          </cell>
          <cell r="M8356" t="str">
            <v>M</v>
          </cell>
          <cell r="AB8356" t="str">
            <v>serum</v>
          </cell>
          <cell r="AF8356">
            <v>1.3</v>
          </cell>
        </row>
        <row r="8357">
          <cell r="A8357" t="str">
            <v>IS_alqt_plus</v>
          </cell>
          <cell r="K8357" t="str">
            <v>ERUB</v>
          </cell>
          <cell r="M8357" t="str">
            <v>M</v>
          </cell>
          <cell r="AB8357" t="str">
            <v>serum</v>
          </cell>
          <cell r="AF8357">
            <v>1.3</v>
          </cell>
        </row>
        <row r="8358">
          <cell r="A8358" t="str">
            <v>IS_alqt_plus</v>
          </cell>
          <cell r="K8358" t="str">
            <v>ERUB</v>
          </cell>
          <cell r="M8358" t="str">
            <v>M</v>
          </cell>
          <cell r="AB8358" t="str">
            <v>serum</v>
          </cell>
          <cell r="AF8358">
            <v>1.4</v>
          </cell>
        </row>
        <row r="8359">
          <cell r="A8359" t="str">
            <v>IS_alqt_plus</v>
          </cell>
          <cell r="K8359" t="str">
            <v>ERUB</v>
          </cell>
          <cell r="M8359" t="str">
            <v>M</v>
          </cell>
          <cell r="AB8359" t="str">
            <v>serum</v>
          </cell>
          <cell r="AF8359">
            <v>1.2</v>
          </cell>
        </row>
        <row r="8360">
          <cell r="A8360" t="str">
            <v>IS_alqt_plus</v>
          </cell>
          <cell r="K8360" t="str">
            <v>ERUB</v>
          </cell>
          <cell r="M8360" t="str">
            <v>M</v>
          </cell>
          <cell r="AB8360" t="str">
            <v>serum</v>
          </cell>
          <cell r="AF8360">
            <v>1.4</v>
          </cell>
        </row>
        <row r="8361">
          <cell r="A8361" t="str">
            <v>IS_alqt_plus</v>
          </cell>
          <cell r="K8361" t="str">
            <v>ERUB</v>
          </cell>
          <cell r="M8361" t="str">
            <v>M</v>
          </cell>
          <cell r="AB8361" t="str">
            <v>serum</v>
          </cell>
          <cell r="AF8361">
            <v>1.2</v>
          </cell>
        </row>
        <row r="8362">
          <cell r="A8362" t="str">
            <v>IS_alqt_plus</v>
          </cell>
          <cell r="K8362" t="str">
            <v>ERUB</v>
          </cell>
          <cell r="M8362" t="str">
            <v>M</v>
          </cell>
          <cell r="AB8362" t="str">
            <v>serum</v>
          </cell>
          <cell r="AF8362">
            <v>1.2</v>
          </cell>
        </row>
        <row r="8363">
          <cell r="A8363" t="str">
            <v>IS_alqt_plus</v>
          </cell>
          <cell r="K8363" t="str">
            <v>ERUB</v>
          </cell>
          <cell r="M8363" t="str">
            <v>M</v>
          </cell>
          <cell r="AB8363" t="str">
            <v>serum</v>
          </cell>
          <cell r="AF8363">
            <v>1.2</v>
          </cell>
        </row>
        <row r="8364">
          <cell r="A8364" t="str">
            <v>IS_alqt_plus</v>
          </cell>
          <cell r="K8364" t="str">
            <v>ERUB</v>
          </cell>
          <cell r="M8364" t="str">
            <v>M</v>
          </cell>
          <cell r="AB8364" t="str">
            <v>serum</v>
          </cell>
          <cell r="AF8364">
            <v>1.2</v>
          </cell>
        </row>
        <row r="8365">
          <cell r="A8365" t="str">
            <v>IS_alqt_plus</v>
          </cell>
          <cell r="K8365" t="str">
            <v>ERUB</v>
          </cell>
          <cell r="M8365" t="str">
            <v>M</v>
          </cell>
          <cell r="AB8365" t="str">
            <v>serum</v>
          </cell>
          <cell r="AF8365">
            <v>1.3</v>
          </cell>
        </row>
        <row r="8366">
          <cell r="A8366" t="str">
            <v>IS_alqt_plus</v>
          </cell>
          <cell r="K8366" t="str">
            <v>ERUB</v>
          </cell>
          <cell r="M8366" t="str">
            <v>M</v>
          </cell>
          <cell r="AB8366" t="str">
            <v>serum</v>
          </cell>
          <cell r="AF8366">
            <v>1.3</v>
          </cell>
        </row>
        <row r="8367">
          <cell r="A8367" t="str">
            <v>IS_alqt_plus</v>
          </cell>
          <cell r="K8367" t="str">
            <v>ERUB</v>
          </cell>
          <cell r="M8367" t="str">
            <v>M</v>
          </cell>
          <cell r="AB8367" t="str">
            <v>serum</v>
          </cell>
          <cell r="AF8367">
            <v>1.4</v>
          </cell>
        </row>
        <row r="8368">
          <cell r="A8368" t="str">
            <v>IS_alqt_plus</v>
          </cell>
          <cell r="K8368" t="str">
            <v>ERUB</v>
          </cell>
          <cell r="M8368" t="str">
            <v>M</v>
          </cell>
          <cell r="AB8368" t="str">
            <v>serum</v>
          </cell>
          <cell r="AF8368">
            <v>1.4</v>
          </cell>
        </row>
        <row r="8369">
          <cell r="A8369" t="str">
            <v>IS_alqt_plus</v>
          </cell>
          <cell r="K8369" t="str">
            <v>MMUR</v>
          </cell>
          <cell r="M8369" t="str">
            <v>F</v>
          </cell>
          <cell r="AB8369" t="str">
            <v>serum</v>
          </cell>
          <cell r="AF8369">
            <v>0.25</v>
          </cell>
        </row>
        <row r="8370">
          <cell r="A8370" t="str">
            <v>IS_alqt_plus</v>
          </cell>
          <cell r="K8370" t="str">
            <v>MMUR</v>
          </cell>
          <cell r="M8370" t="str">
            <v>F</v>
          </cell>
          <cell r="AB8370" t="str">
            <v>serum</v>
          </cell>
          <cell r="AF8370">
            <v>0.5</v>
          </cell>
        </row>
        <row r="8371">
          <cell r="A8371" t="str">
            <v>IS_alqt_plus</v>
          </cell>
          <cell r="K8371" t="str">
            <v>MMUR</v>
          </cell>
          <cell r="M8371" t="str">
            <v>F</v>
          </cell>
          <cell r="AB8371" t="str">
            <v>WB</v>
          </cell>
          <cell r="AF8371">
            <v>0.5</v>
          </cell>
        </row>
        <row r="8372">
          <cell r="A8372" t="str">
            <v>IS_alqt_plus</v>
          </cell>
          <cell r="K8372" t="str">
            <v>MMUR</v>
          </cell>
          <cell r="M8372" t="str">
            <v>F</v>
          </cell>
          <cell r="AB8372" t="str">
            <v>WB</v>
          </cell>
          <cell r="AF8372">
            <v>0.2</v>
          </cell>
        </row>
        <row r="8373">
          <cell r="A8373" t="str">
            <v>IS_alqt_plus</v>
          </cell>
          <cell r="K8373" t="str">
            <v>DMAD</v>
          </cell>
          <cell r="M8373" t="str">
            <v>F</v>
          </cell>
          <cell r="AB8373" t="str">
            <v>serum</v>
          </cell>
          <cell r="AF8373">
            <v>1.3</v>
          </cell>
        </row>
        <row r="8374">
          <cell r="A8374" t="str">
            <v>IS_alqt_plus</v>
          </cell>
          <cell r="K8374" t="str">
            <v>DMAD</v>
          </cell>
          <cell r="M8374" t="str">
            <v>F</v>
          </cell>
          <cell r="AB8374" t="str">
            <v>serum</v>
          </cell>
          <cell r="AF8374">
            <v>0.5</v>
          </cell>
        </row>
        <row r="8375">
          <cell r="A8375" t="str">
            <v>IS_alqt_plus</v>
          </cell>
          <cell r="K8375" t="str">
            <v>DMAD</v>
          </cell>
          <cell r="M8375" t="str">
            <v>F</v>
          </cell>
          <cell r="AB8375" t="str">
            <v>WB</v>
          </cell>
          <cell r="AF8375">
            <v>0.9</v>
          </cell>
        </row>
        <row r="8376">
          <cell r="A8376" t="str">
            <v>gone</v>
          </cell>
          <cell r="K8376" t="str">
            <v>DMAD</v>
          </cell>
          <cell r="M8376" t="str">
            <v>F</v>
          </cell>
          <cell r="AB8376" t="str">
            <v>WB</v>
          </cell>
          <cell r="AF8376">
            <v>0</v>
          </cell>
        </row>
        <row r="8377">
          <cell r="A8377" t="str">
            <v>IS_alqt_plus</v>
          </cell>
          <cell r="K8377" t="str">
            <v>MMUR</v>
          </cell>
          <cell r="M8377" t="str">
            <v>M</v>
          </cell>
          <cell r="AB8377" t="str">
            <v>WB</v>
          </cell>
          <cell r="AF8377">
            <v>0.9</v>
          </cell>
        </row>
        <row r="8378">
          <cell r="A8378" t="str">
            <v>IS_alqt_plus</v>
          </cell>
          <cell r="K8378" t="str">
            <v>PCOQ</v>
          </cell>
          <cell r="M8378" t="str">
            <v>F</v>
          </cell>
          <cell r="AB8378" t="str">
            <v>WB</v>
          </cell>
          <cell r="AF8378">
            <v>1</v>
          </cell>
        </row>
        <row r="8379">
          <cell r="A8379" t="str">
            <v>IS_alqt_plus</v>
          </cell>
          <cell r="K8379" t="str">
            <v>PCOQ</v>
          </cell>
          <cell r="M8379" t="str">
            <v>F</v>
          </cell>
          <cell r="AB8379" t="str">
            <v>serum</v>
          </cell>
          <cell r="AF8379">
            <v>0.3</v>
          </cell>
        </row>
        <row r="8380">
          <cell r="A8380" t="str">
            <v>IS_alqt_plus</v>
          </cell>
          <cell r="K8380" t="str">
            <v>DMAD</v>
          </cell>
          <cell r="M8380" t="str">
            <v>F</v>
          </cell>
          <cell r="AB8380" t="str">
            <v>serum</v>
          </cell>
          <cell r="AF8380">
            <v>0.8</v>
          </cell>
        </row>
        <row r="8381">
          <cell r="A8381" t="str">
            <v>IS_alqt_plus</v>
          </cell>
          <cell r="K8381" t="str">
            <v>DMAD</v>
          </cell>
          <cell r="M8381" t="str">
            <v>F</v>
          </cell>
          <cell r="AB8381" t="str">
            <v>WB</v>
          </cell>
          <cell r="AF8381">
            <v>0.25</v>
          </cell>
        </row>
        <row r="8382">
          <cell r="A8382" t="str">
            <v>gone</v>
          </cell>
          <cell r="K8382" t="str">
            <v>PCOQ</v>
          </cell>
          <cell r="M8382" t="str">
            <v>F</v>
          </cell>
          <cell r="AB8382" t="str">
            <v>serum</v>
          </cell>
          <cell r="AF8382">
            <v>0</v>
          </cell>
        </row>
        <row r="8383">
          <cell r="A8383" t="str">
            <v>IS_alqt_plus</v>
          </cell>
          <cell r="K8383" t="str">
            <v>PCOQ</v>
          </cell>
          <cell r="M8383" t="str">
            <v>F</v>
          </cell>
          <cell r="AB8383" t="str">
            <v>WB</v>
          </cell>
          <cell r="AF8383">
            <v>0.75</v>
          </cell>
        </row>
        <row r="8384">
          <cell r="A8384" t="str">
            <v>IS_alqt_plus</v>
          </cell>
          <cell r="K8384" t="str">
            <v>LCAT</v>
          </cell>
          <cell r="M8384" t="str">
            <v>M</v>
          </cell>
          <cell r="AB8384" t="str">
            <v>Fluid- pericardial</v>
          </cell>
          <cell r="AF8384">
            <v>1</v>
          </cell>
        </row>
        <row r="8385">
          <cell r="A8385" t="str">
            <v>IS_alqt_plus</v>
          </cell>
          <cell r="K8385" t="str">
            <v>LCAT</v>
          </cell>
          <cell r="M8385" t="str">
            <v>M</v>
          </cell>
          <cell r="AB8385" t="str">
            <v>Fluid- pericardial</v>
          </cell>
          <cell r="AF8385">
            <v>1</v>
          </cell>
        </row>
        <row r="8386">
          <cell r="A8386" t="str">
            <v>IS_alqt_plus</v>
          </cell>
          <cell r="K8386" t="str">
            <v>LCAT</v>
          </cell>
          <cell r="M8386" t="str">
            <v>M</v>
          </cell>
          <cell r="AB8386" t="str">
            <v>Fluid- pericardial</v>
          </cell>
          <cell r="AF8386">
            <v>1</v>
          </cell>
        </row>
        <row r="8387">
          <cell r="A8387" t="str">
            <v>IS_alqt_plus</v>
          </cell>
          <cell r="K8387" t="str">
            <v>LCAT</v>
          </cell>
          <cell r="M8387" t="str">
            <v>M</v>
          </cell>
          <cell r="AB8387" t="str">
            <v>Fluid- pericardial</v>
          </cell>
          <cell r="AF8387">
            <v>1</v>
          </cell>
        </row>
        <row r="8388">
          <cell r="A8388" t="str">
            <v>IS_alqt_plus</v>
          </cell>
          <cell r="K8388" t="str">
            <v>LCAT</v>
          </cell>
          <cell r="M8388" t="str">
            <v>M</v>
          </cell>
          <cell r="AB8388" t="str">
            <v>Fluid- pericardial</v>
          </cell>
          <cell r="AF8388">
            <v>1</v>
          </cell>
        </row>
        <row r="8389">
          <cell r="A8389" t="str">
            <v>IS_alqt_plus</v>
          </cell>
          <cell r="K8389" t="str">
            <v>LCAT</v>
          </cell>
          <cell r="M8389" t="str">
            <v>M</v>
          </cell>
          <cell r="AB8389" t="str">
            <v>Fluid- pericardial</v>
          </cell>
          <cell r="AF8389">
            <v>1</v>
          </cell>
        </row>
        <row r="8390">
          <cell r="A8390" t="str">
            <v>IS_alqt_plus</v>
          </cell>
          <cell r="K8390" t="str">
            <v>LCAT</v>
          </cell>
          <cell r="M8390" t="str">
            <v>M</v>
          </cell>
          <cell r="AB8390" t="str">
            <v>Fluid- pericardial</v>
          </cell>
          <cell r="AF8390">
            <v>1</v>
          </cell>
        </row>
        <row r="8391">
          <cell r="A8391" t="str">
            <v>IS_alqt_plus</v>
          </cell>
          <cell r="K8391" t="str">
            <v>ERUB</v>
          </cell>
          <cell r="M8391" t="str">
            <v>F</v>
          </cell>
          <cell r="AB8391" t="str">
            <v>WB</v>
          </cell>
          <cell r="AF8391">
            <v>0.2</v>
          </cell>
        </row>
        <row r="8392">
          <cell r="A8392" t="str">
            <v>IS_alqt_plus</v>
          </cell>
          <cell r="K8392" t="str">
            <v>PCOQ</v>
          </cell>
          <cell r="M8392" t="str">
            <v>F</v>
          </cell>
          <cell r="AB8392" t="str">
            <v>WB</v>
          </cell>
          <cell r="AF8392">
            <v>0.4</v>
          </cell>
        </row>
        <row r="8393">
          <cell r="A8393" t="str">
            <v>IS_alqt_plus</v>
          </cell>
          <cell r="K8393" t="str">
            <v>EMAC</v>
          </cell>
          <cell r="M8393" t="str">
            <v>M</v>
          </cell>
          <cell r="AB8393" t="str">
            <v>serum</v>
          </cell>
          <cell r="AF8393">
            <v>1.5</v>
          </cell>
        </row>
        <row r="8394">
          <cell r="A8394" t="str">
            <v>IS_alqt_plus</v>
          </cell>
          <cell r="K8394" t="str">
            <v>EMAC</v>
          </cell>
          <cell r="M8394" t="str">
            <v>M</v>
          </cell>
          <cell r="AB8394" t="str">
            <v>serum</v>
          </cell>
          <cell r="AF8394">
            <v>1.5</v>
          </cell>
        </row>
        <row r="8395">
          <cell r="A8395" t="str">
            <v>IS_alqt_plus</v>
          </cell>
          <cell r="K8395" t="str">
            <v>EMAC</v>
          </cell>
          <cell r="M8395" t="str">
            <v>M</v>
          </cell>
          <cell r="AB8395" t="str">
            <v>serum</v>
          </cell>
          <cell r="AF8395">
            <v>1</v>
          </cell>
        </row>
        <row r="8396">
          <cell r="A8396" t="str">
            <v>IS_alqt_plus</v>
          </cell>
          <cell r="K8396" t="str">
            <v>EMAC</v>
          </cell>
          <cell r="M8396" t="str">
            <v>M</v>
          </cell>
          <cell r="AB8396" t="str">
            <v>serum</v>
          </cell>
          <cell r="AF8396">
            <v>1.5</v>
          </cell>
        </row>
        <row r="8397">
          <cell r="A8397" t="str">
            <v>IS_alqt_plus</v>
          </cell>
          <cell r="K8397" t="str">
            <v>EMAC</v>
          </cell>
          <cell r="M8397" t="str">
            <v>M</v>
          </cell>
          <cell r="AB8397" t="str">
            <v>serum</v>
          </cell>
          <cell r="AF8397">
            <v>1.5</v>
          </cell>
        </row>
        <row r="8398">
          <cell r="A8398" t="str">
            <v>IS_alqt_plus</v>
          </cell>
          <cell r="K8398" t="str">
            <v>EMAC</v>
          </cell>
          <cell r="M8398" t="str">
            <v>M</v>
          </cell>
          <cell r="AB8398" t="str">
            <v>serum</v>
          </cell>
          <cell r="AF8398">
            <v>1.5</v>
          </cell>
        </row>
        <row r="8399">
          <cell r="A8399" t="str">
            <v>IS_alqt_plus</v>
          </cell>
          <cell r="K8399" t="str">
            <v>EMAC</v>
          </cell>
          <cell r="M8399" t="str">
            <v>M</v>
          </cell>
          <cell r="AB8399" t="str">
            <v>serum</v>
          </cell>
          <cell r="AF8399">
            <v>1.5</v>
          </cell>
        </row>
        <row r="8400">
          <cell r="A8400" t="str">
            <v>IS_alqt_plus</v>
          </cell>
          <cell r="K8400" t="str">
            <v>EMAC</v>
          </cell>
          <cell r="M8400" t="str">
            <v>M</v>
          </cell>
          <cell r="AB8400" t="str">
            <v>serum</v>
          </cell>
          <cell r="AF8400">
            <v>0.5</v>
          </cell>
        </row>
        <row r="8401">
          <cell r="A8401" t="str">
            <v>IS_alqt_plus</v>
          </cell>
          <cell r="K8401" t="str">
            <v>EMAC</v>
          </cell>
          <cell r="M8401" t="str">
            <v>M</v>
          </cell>
          <cell r="AB8401" t="str">
            <v>serum</v>
          </cell>
          <cell r="AF8401">
            <v>1.5</v>
          </cell>
        </row>
        <row r="8402">
          <cell r="A8402" t="str">
            <v>IS_alqt_plus</v>
          </cell>
          <cell r="K8402" t="str">
            <v>EMAC</v>
          </cell>
          <cell r="M8402" t="str">
            <v>M</v>
          </cell>
          <cell r="AB8402" t="str">
            <v>serum</v>
          </cell>
          <cell r="AF8402">
            <v>1.5</v>
          </cell>
        </row>
        <row r="8403">
          <cell r="A8403" t="str">
            <v>IS_alqt_plus</v>
          </cell>
          <cell r="K8403" t="str">
            <v>EMAC</v>
          </cell>
          <cell r="M8403" t="str">
            <v>M</v>
          </cell>
          <cell r="AB8403" t="str">
            <v>serum</v>
          </cell>
          <cell r="AF8403">
            <v>1.5</v>
          </cell>
        </row>
        <row r="8404">
          <cell r="A8404" t="str">
            <v>IS_alqt_plus</v>
          </cell>
          <cell r="K8404" t="str">
            <v>EMAC</v>
          </cell>
          <cell r="M8404" t="str">
            <v>M</v>
          </cell>
          <cell r="AB8404" t="str">
            <v>serum</v>
          </cell>
          <cell r="AF8404">
            <v>1.5</v>
          </cell>
        </row>
        <row r="8405">
          <cell r="A8405" t="str">
            <v>IS_alqt_plus</v>
          </cell>
          <cell r="K8405" t="str">
            <v>EMAC</v>
          </cell>
          <cell r="M8405" t="str">
            <v>M</v>
          </cell>
          <cell r="AB8405" t="str">
            <v>serum</v>
          </cell>
          <cell r="AF8405">
            <v>1.5</v>
          </cell>
        </row>
        <row r="8406">
          <cell r="A8406" t="str">
            <v>IS_alqt_plus</v>
          </cell>
          <cell r="K8406" t="str">
            <v>EMAC</v>
          </cell>
          <cell r="M8406" t="str">
            <v>M</v>
          </cell>
          <cell r="AB8406" t="str">
            <v>serum</v>
          </cell>
          <cell r="AF8406">
            <v>1.5</v>
          </cell>
        </row>
        <row r="8407">
          <cell r="A8407" t="str">
            <v>IS_alqt_plus</v>
          </cell>
          <cell r="K8407" t="str">
            <v>EMAC</v>
          </cell>
          <cell r="M8407" t="str">
            <v>M</v>
          </cell>
          <cell r="AB8407" t="str">
            <v>serum</v>
          </cell>
          <cell r="AF8407">
            <v>1.5</v>
          </cell>
        </row>
        <row r="8408">
          <cell r="A8408" t="str">
            <v>IS_alqt_plus</v>
          </cell>
          <cell r="K8408" t="str">
            <v>EMAC</v>
          </cell>
          <cell r="M8408" t="str">
            <v>M</v>
          </cell>
          <cell r="AB8408" t="str">
            <v>WB</v>
          </cell>
          <cell r="AF8408">
            <v>0.2</v>
          </cell>
        </row>
        <row r="8409">
          <cell r="A8409" t="str">
            <v>IS_alqt_plus</v>
          </cell>
          <cell r="K8409" t="str">
            <v>EMAC</v>
          </cell>
          <cell r="M8409" t="str">
            <v>M</v>
          </cell>
          <cell r="AB8409" t="str">
            <v>WB</v>
          </cell>
          <cell r="AF8409">
            <v>1.5</v>
          </cell>
        </row>
        <row r="8410">
          <cell r="A8410" t="str">
            <v>IS_alqt_plus</v>
          </cell>
          <cell r="K8410" t="str">
            <v>EMAC</v>
          </cell>
          <cell r="M8410" t="str">
            <v>M</v>
          </cell>
          <cell r="AB8410" t="str">
            <v>WB</v>
          </cell>
          <cell r="AF8410">
            <v>1.5</v>
          </cell>
        </row>
        <row r="8411">
          <cell r="A8411" t="str">
            <v>IS_alqt_plus</v>
          </cell>
          <cell r="K8411" t="str">
            <v>EMAC</v>
          </cell>
          <cell r="M8411" t="str">
            <v>M</v>
          </cell>
          <cell r="AB8411" t="str">
            <v>WB</v>
          </cell>
          <cell r="AF8411">
            <v>1.5</v>
          </cell>
        </row>
        <row r="8412">
          <cell r="A8412" t="str">
            <v>IS_alqt_plus</v>
          </cell>
          <cell r="K8412" t="str">
            <v>EMAC</v>
          </cell>
          <cell r="M8412" t="str">
            <v>M</v>
          </cell>
          <cell r="AB8412" t="str">
            <v>WB</v>
          </cell>
          <cell r="AF8412">
            <v>1.5</v>
          </cell>
        </row>
        <row r="8413">
          <cell r="A8413" t="str">
            <v>IS_alqt_plus</v>
          </cell>
          <cell r="K8413" t="str">
            <v>EMAC</v>
          </cell>
          <cell r="M8413" t="str">
            <v>M</v>
          </cell>
          <cell r="AB8413" t="str">
            <v>WB</v>
          </cell>
          <cell r="AF8413">
            <v>1.5</v>
          </cell>
        </row>
        <row r="8414">
          <cell r="A8414" t="str">
            <v>IS_alqt_plus</v>
          </cell>
          <cell r="K8414" t="str">
            <v>EMAC</v>
          </cell>
          <cell r="M8414" t="str">
            <v>M</v>
          </cell>
          <cell r="AB8414" t="str">
            <v>WB</v>
          </cell>
          <cell r="AF8414">
            <v>1.5</v>
          </cell>
        </row>
        <row r="8415">
          <cell r="A8415" t="str">
            <v>IS_alqt_plus</v>
          </cell>
          <cell r="K8415" t="str">
            <v>EMAC</v>
          </cell>
          <cell r="M8415" t="str">
            <v>M</v>
          </cell>
          <cell r="AB8415" t="str">
            <v>WB</v>
          </cell>
          <cell r="AF8415">
            <v>1.5</v>
          </cell>
        </row>
        <row r="8416">
          <cell r="A8416" t="str">
            <v>IS_alqt_plus</v>
          </cell>
          <cell r="K8416" t="str">
            <v>EMAC</v>
          </cell>
          <cell r="M8416" t="str">
            <v>M</v>
          </cell>
          <cell r="AB8416" t="str">
            <v>WB</v>
          </cell>
          <cell r="AF8416">
            <v>1.5</v>
          </cell>
        </row>
        <row r="8417">
          <cell r="A8417" t="str">
            <v>IS_alqt_plus</v>
          </cell>
          <cell r="K8417" t="str">
            <v>EMAC</v>
          </cell>
          <cell r="M8417" t="str">
            <v>M</v>
          </cell>
          <cell r="AB8417" t="str">
            <v>WB</v>
          </cell>
          <cell r="AF8417">
            <v>1.5</v>
          </cell>
        </row>
        <row r="8418">
          <cell r="A8418" t="str">
            <v>IS_alqt_plus</v>
          </cell>
          <cell r="K8418" t="str">
            <v>EMAC</v>
          </cell>
          <cell r="M8418" t="str">
            <v>M</v>
          </cell>
          <cell r="AB8418" t="str">
            <v>WB</v>
          </cell>
          <cell r="AF8418">
            <v>1.2</v>
          </cell>
        </row>
        <row r="8419">
          <cell r="A8419" t="str">
            <v>IS_alqt_plus</v>
          </cell>
          <cell r="K8419" t="str">
            <v>EMAC</v>
          </cell>
          <cell r="M8419" t="str">
            <v>M</v>
          </cell>
          <cell r="AB8419" t="str">
            <v>WB</v>
          </cell>
          <cell r="AF8419">
            <v>1.5</v>
          </cell>
        </row>
        <row r="8420">
          <cell r="A8420" t="str">
            <v>IS_alqt_plus</v>
          </cell>
          <cell r="K8420" t="str">
            <v>EMAC</v>
          </cell>
          <cell r="M8420" t="str">
            <v>M</v>
          </cell>
          <cell r="AB8420" t="str">
            <v>WB</v>
          </cell>
          <cell r="AF8420">
            <v>1.5</v>
          </cell>
        </row>
        <row r="8421">
          <cell r="A8421" t="str">
            <v>IS_alqt_plus</v>
          </cell>
          <cell r="K8421" t="str">
            <v>EMAC</v>
          </cell>
          <cell r="M8421" t="str">
            <v>M</v>
          </cell>
          <cell r="AB8421" t="str">
            <v>WB</v>
          </cell>
          <cell r="AF8421">
            <v>1.5</v>
          </cell>
        </row>
        <row r="8422">
          <cell r="A8422" t="str">
            <v>IS_alqt_plus</v>
          </cell>
          <cell r="K8422" t="str">
            <v>EMAC</v>
          </cell>
          <cell r="M8422" t="str">
            <v>M</v>
          </cell>
          <cell r="AB8422" t="str">
            <v>WB</v>
          </cell>
          <cell r="AF8422">
            <v>1.5</v>
          </cell>
        </row>
        <row r="8423">
          <cell r="A8423" t="str">
            <v>IS_alqt_plus</v>
          </cell>
          <cell r="K8423" t="str">
            <v>EMAC</v>
          </cell>
          <cell r="M8423" t="str">
            <v>M</v>
          </cell>
          <cell r="AB8423" t="str">
            <v>WB</v>
          </cell>
          <cell r="AF8423">
            <v>1.5</v>
          </cell>
        </row>
        <row r="8424">
          <cell r="A8424" t="str">
            <v>IS_alqt_plus</v>
          </cell>
          <cell r="K8424" t="str">
            <v>EMAC</v>
          </cell>
          <cell r="M8424" t="str">
            <v>M</v>
          </cell>
          <cell r="AB8424" t="str">
            <v>WB</v>
          </cell>
          <cell r="AF8424">
            <v>1</v>
          </cell>
        </row>
        <row r="8425">
          <cell r="A8425" t="str">
            <v>IS_alqt_plus</v>
          </cell>
          <cell r="K8425" t="str">
            <v>EMAC</v>
          </cell>
          <cell r="M8425" t="str">
            <v>M</v>
          </cell>
          <cell r="AB8425" t="str">
            <v>WB</v>
          </cell>
          <cell r="AF8425">
            <v>1</v>
          </cell>
        </row>
        <row r="8426">
          <cell r="A8426" t="str">
            <v>IS_alqt_plus</v>
          </cell>
          <cell r="K8426" t="str">
            <v>EMAC</v>
          </cell>
          <cell r="M8426" t="str">
            <v>M</v>
          </cell>
          <cell r="AB8426" t="str">
            <v>WB</v>
          </cell>
          <cell r="AF8426">
            <v>1.5</v>
          </cell>
        </row>
        <row r="8427">
          <cell r="A8427" t="str">
            <v>IS_alqt_plus</v>
          </cell>
          <cell r="K8427" t="str">
            <v>EMAC</v>
          </cell>
          <cell r="M8427" t="str">
            <v>M</v>
          </cell>
          <cell r="AB8427" t="str">
            <v>WB</v>
          </cell>
          <cell r="AF8427">
            <v>1.5</v>
          </cell>
        </row>
        <row r="8428">
          <cell r="A8428" t="str">
            <v>IS_alqt_plus</v>
          </cell>
          <cell r="K8428" t="str">
            <v>EMAC</v>
          </cell>
          <cell r="M8428" t="str">
            <v>M</v>
          </cell>
          <cell r="AB8428" t="str">
            <v>WB</v>
          </cell>
          <cell r="AF8428">
            <v>1.5</v>
          </cell>
        </row>
        <row r="8429">
          <cell r="A8429" t="str">
            <v>IS_alqt_plus</v>
          </cell>
          <cell r="K8429" t="str">
            <v>EMAC</v>
          </cell>
          <cell r="M8429" t="str">
            <v>M</v>
          </cell>
          <cell r="AB8429" t="str">
            <v>WB</v>
          </cell>
          <cell r="AF8429">
            <v>1</v>
          </cell>
        </row>
        <row r="8430">
          <cell r="A8430" t="str">
            <v>IS_alqt_plus</v>
          </cell>
          <cell r="K8430" t="str">
            <v>EMAC</v>
          </cell>
          <cell r="M8430" t="str">
            <v>M</v>
          </cell>
          <cell r="AB8430" t="str">
            <v>WB</v>
          </cell>
          <cell r="AF8430">
            <v>1.5</v>
          </cell>
        </row>
        <row r="8431">
          <cell r="A8431" t="str">
            <v>IS_alqt_plus</v>
          </cell>
          <cell r="K8431" t="str">
            <v>EMAC</v>
          </cell>
          <cell r="M8431" t="str">
            <v>M</v>
          </cell>
          <cell r="AB8431" t="str">
            <v>WB</v>
          </cell>
          <cell r="AF8431">
            <v>1.5</v>
          </cell>
        </row>
        <row r="8432">
          <cell r="A8432" t="str">
            <v>IS_alqt_plus</v>
          </cell>
          <cell r="K8432" t="str">
            <v>EMAC</v>
          </cell>
          <cell r="M8432" t="str">
            <v>M</v>
          </cell>
          <cell r="AB8432" t="str">
            <v>WB</v>
          </cell>
          <cell r="AF8432">
            <v>1</v>
          </cell>
        </row>
        <row r="8433">
          <cell r="A8433" t="str">
            <v>IS_alqt_plus</v>
          </cell>
          <cell r="K8433" t="str">
            <v>EMAC</v>
          </cell>
          <cell r="M8433" t="str">
            <v>M</v>
          </cell>
          <cell r="AB8433" t="str">
            <v>WB</v>
          </cell>
          <cell r="AF8433">
            <v>1.5</v>
          </cell>
        </row>
        <row r="8434">
          <cell r="A8434" t="str">
            <v>IS_alqt_plus</v>
          </cell>
          <cell r="K8434" t="str">
            <v>EMAC</v>
          </cell>
          <cell r="M8434" t="str">
            <v>M</v>
          </cell>
          <cell r="AB8434" t="str">
            <v>WB</v>
          </cell>
          <cell r="AF8434">
            <v>1.5</v>
          </cell>
        </row>
        <row r="8435">
          <cell r="A8435" t="str">
            <v>IS_alqt_plus</v>
          </cell>
          <cell r="K8435" t="str">
            <v>EMAC</v>
          </cell>
          <cell r="M8435" t="str">
            <v>M</v>
          </cell>
          <cell r="AB8435" t="str">
            <v>WB</v>
          </cell>
          <cell r="AF8435">
            <v>1.5</v>
          </cell>
        </row>
        <row r="8436">
          <cell r="A8436" t="str">
            <v>IS_alqt_plus</v>
          </cell>
          <cell r="K8436" t="str">
            <v>EMAC</v>
          </cell>
          <cell r="M8436" t="str">
            <v>M</v>
          </cell>
          <cell r="AB8436" t="str">
            <v>WB</v>
          </cell>
          <cell r="AF8436">
            <v>1.5</v>
          </cell>
        </row>
        <row r="8437">
          <cell r="A8437" t="str">
            <v>IS_alqt_plus</v>
          </cell>
          <cell r="K8437" t="str">
            <v>EMAC</v>
          </cell>
          <cell r="M8437" t="str">
            <v>M</v>
          </cell>
          <cell r="AB8437" t="str">
            <v>WB</v>
          </cell>
          <cell r="AF8437">
            <v>1.5</v>
          </cell>
        </row>
        <row r="8438">
          <cell r="A8438" t="str">
            <v>IS_alqt_plus</v>
          </cell>
          <cell r="K8438" t="str">
            <v>EMAC</v>
          </cell>
          <cell r="M8438" t="str">
            <v>M</v>
          </cell>
          <cell r="AB8438" t="str">
            <v>WB</v>
          </cell>
          <cell r="AF8438">
            <v>1.5</v>
          </cell>
        </row>
        <row r="8439">
          <cell r="A8439" t="str">
            <v>IS_alqt_plus</v>
          </cell>
          <cell r="K8439" t="str">
            <v>EMAC</v>
          </cell>
          <cell r="M8439" t="str">
            <v>M</v>
          </cell>
          <cell r="AB8439" t="str">
            <v>WB</v>
          </cell>
          <cell r="AF8439">
            <v>1</v>
          </cell>
        </row>
        <row r="8440">
          <cell r="A8440" t="str">
            <v>IS_alqt_plus</v>
          </cell>
          <cell r="K8440" t="str">
            <v>EMAC</v>
          </cell>
          <cell r="M8440" t="str">
            <v>M</v>
          </cell>
          <cell r="AB8440" t="str">
            <v>WB</v>
          </cell>
          <cell r="AF8440">
            <v>1.5</v>
          </cell>
        </row>
        <row r="8441">
          <cell r="A8441" t="str">
            <v>IS_alqt_plus</v>
          </cell>
          <cell r="K8441" t="str">
            <v>EMAC</v>
          </cell>
          <cell r="M8441" t="str">
            <v>M</v>
          </cell>
          <cell r="AB8441" t="str">
            <v>WB</v>
          </cell>
          <cell r="AF8441">
            <v>1.5</v>
          </cell>
        </row>
        <row r="8442">
          <cell r="A8442" t="str">
            <v>IS_alqt_plus</v>
          </cell>
          <cell r="K8442" t="str">
            <v>EMAC</v>
          </cell>
          <cell r="M8442" t="str">
            <v>M</v>
          </cell>
          <cell r="AB8442" t="str">
            <v>WB</v>
          </cell>
          <cell r="AF8442">
            <v>1.5</v>
          </cell>
        </row>
        <row r="8443">
          <cell r="A8443" t="str">
            <v>IS_alqt_plus</v>
          </cell>
          <cell r="K8443" t="str">
            <v>EMAC</v>
          </cell>
          <cell r="M8443" t="str">
            <v>M</v>
          </cell>
          <cell r="AB8443" t="str">
            <v>WB</v>
          </cell>
          <cell r="AF8443">
            <v>0.2</v>
          </cell>
        </row>
        <row r="8444">
          <cell r="A8444" t="str">
            <v>IS_alqt_plus</v>
          </cell>
          <cell r="K8444" t="str">
            <v>EMAC</v>
          </cell>
          <cell r="M8444" t="str">
            <v>M</v>
          </cell>
          <cell r="AB8444" t="str">
            <v>WB</v>
          </cell>
          <cell r="AF8444">
            <v>0.2</v>
          </cell>
        </row>
        <row r="8445">
          <cell r="A8445" t="str">
            <v>IS_alqt_plus</v>
          </cell>
          <cell r="K8445" t="str">
            <v>EMAC</v>
          </cell>
          <cell r="M8445" t="str">
            <v>M</v>
          </cell>
          <cell r="AB8445" t="str">
            <v>WB</v>
          </cell>
          <cell r="AF8445">
            <v>0.2</v>
          </cell>
        </row>
        <row r="8446">
          <cell r="A8446" t="str">
            <v>IS_alqt_plus</v>
          </cell>
          <cell r="K8446" t="str">
            <v>EMAC</v>
          </cell>
          <cell r="M8446" t="str">
            <v>M</v>
          </cell>
          <cell r="AB8446" t="str">
            <v>WB</v>
          </cell>
          <cell r="AF8446">
            <v>0.2</v>
          </cell>
        </row>
        <row r="8447">
          <cell r="A8447" t="str">
            <v>IS_alqt_plus</v>
          </cell>
          <cell r="K8447" t="str">
            <v>EMAC</v>
          </cell>
          <cell r="M8447" t="str">
            <v>M</v>
          </cell>
          <cell r="AB8447" t="str">
            <v>WB</v>
          </cell>
          <cell r="AF8447">
            <v>0.2</v>
          </cell>
        </row>
        <row r="8448">
          <cell r="A8448" t="str">
            <v>IS_alqt_plus</v>
          </cell>
          <cell r="K8448" t="str">
            <v>ECOR</v>
          </cell>
          <cell r="M8448" t="str">
            <v>F</v>
          </cell>
          <cell r="AB8448" t="str">
            <v>serum</v>
          </cell>
          <cell r="AF8448">
            <v>0.6</v>
          </cell>
        </row>
        <row r="8449">
          <cell r="A8449" t="str">
            <v>gone</v>
          </cell>
          <cell r="K8449" t="str">
            <v>PCOQ</v>
          </cell>
          <cell r="M8449" t="str">
            <v>M</v>
          </cell>
          <cell r="AB8449" t="str">
            <v>serum</v>
          </cell>
          <cell r="AF8449">
            <v>0</v>
          </cell>
        </row>
        <row r="8450">
          <cell r="A8450" t="str">
            <v>IS_alqt_plus</v>
          </cell>
          <cell r="K8450" t="str">
            <v>PCOQ</v>
          </cell>
          <cell r="M8450" t="str">
            <v>F</v>
          </cell>
          <cell r="AB8450" t="str">
            <v>WB</v>
          </cell>
          <cell r="AF8450">
            <v>0.5</v>
          </cell>
        </row>
        <row r="8451">
          <cell r="A8451" t="str">
            <v>IS_alqt_minus</v>
          </cell>
          <cell r="K8451" t="str">
            <v>CMED</v>
          </cell>
          <cell r="M8451" t="str">
            <v>M</v>
          </cell>
          <cell r="AB8451" t="str">
            <v>WB</v>
          </cell>
          <cell r="AF8451">
            <v>0.1</v>
          </cell>
        </row>
        <row r="8452">
          <cell r="A8452" t="str">
            <v>IS_alqt_minus</v>
          </cell>
          <cell r="K8452" t="str">
            <v>CMED</v>
          </cell>
          <cell r="M8452" t="str">
            <v>F</v>
          </cell>
          <cell r="AB8452" t="str">
            <v>WB</v>
          </cell>
          <cell r="AF8452">
            <v>0.1</v>
          </cell>
        </row>
        <row r="8453">
          <cell r="A8453" t="str">
            <v>IS_alqt_plus</v>
          </cell>
          <cell r="K8453" t="str">
            <v>ECOR</v>
          </cell>
          <cell r="M8453" t="str">
            <v>M</v>
          </cell>
          <cell r="AB8453" t="str">
            <v>WB</v>
          </cell>
          <cell r="AF8453">
            <v>0.8</v>
          </cell>
        </row>
        <row r="8454">
          <cell r="A8454" t="str">
            <v>IS_alqt_plus</v>
          </cell>
          <cell r="K8454" t="str">
            <v>PCOQ</v>
          </cell>
          <cell r="M8454" t="str">
            <v>M</v>
          </cell>
          <cell r="AB8454" t="str">
            <v>serum</v>
          </cell>
          <cell r="AF8454">
            <v>0.8</v>
          </cell>
        </row>
        <row r="8455">
          <cell r="A8455" t="str">
            <v>IS_alqt_plus</v>
          </cell>
          <cell r="K8455" t="str">
            <v>PCOQ</v>
          </cell>
          <cell r="M8455" t="str">
            <v>F</v>
          </cell>
          <cell r="AB8455" t="str">
            <v>WB</v>
          </cell>
          <cell r="AF8455">
            <v>0.5</v>
          </cell>
        </row>
        <row r="8456">
          <cell r="A8456" t="str">
            <v>IS_alqt_plus</v>
          </cell>
          <cell r="K8456" t="str">
            <v>PCOQ</v>
          </cell>
          <cell r="M8456" t="str">
            <v>F</v>
          </cell>
          <cell r="AB8456" t="str">
            <v>WB</v>
          </cell>
          <cell r="AF8456">
            <v>1</v>
          </cell>
        </row>
        <row r="8457">
          <cell r="A8457" t="str">
            <v>IS_alqt_plus</v>
          </cell>
          <cell r="K8457" t="str">
            <v>PCOQ</v>
          </cell>
          <cell r="M8457" t="str">
            <v>M</v>
          </cell>
          <cell r="AB8457" t="str">
            <v>serum</v>
          </cell>
          <cell r="AF8457">
            <v>0.8</v>
          </cell>
        </row>
        <row r="8458">
          <cell r="A8458" t="str">
            <v>IS_alqt_plus</v>
          </cell>
          <cell r="K8458" t="str">
            <v>PCOQ</v>
          </cell>
          <cell r="M8458" t="str">
            <v>F</v>
          </cell>
          <cell r="AB8458" t="str">
            <v>WB</v>
          </cell>
          <cell r="AF8458">
            <v>0.7</v>
          </cell>
        </row>
        <row r="8459">
          <cell r="A8459" t="str">
            <v>unk</v>
          </cell>
          <cell r="K8459" t="str">
            <v>PCOQ</v>
          </cell>
          <cell r="M8459" t="str">
            <v>F</v>
          </cell>
          <cell r="AB8459" t="str">
            <v>WB</v>
          </cell>
          <cell r="AF8459" t="str">
            <v>.</v>
          </cell>
        </row>
        <row r="8460">
          <cell r="A8460" t="str">
            <v>IS_alqt_plus</v>
          </cell>
          <cell r="K8460" t="str">
            <v>PCOQ</v>
          </cell>
          <cell r="M8460" t="str">
            <v>F</v>
          </cell>
          <cell r="AB8460" t="str">
            <v>serum</v>
          </cell>
          <cell r="AF8460">
            <v>1</v>
          </cell>
        </row>
        <row r="8461">
          <cell r="A8461" t="str">
            <v>unk</v>
          </cell>
          <cell r="K8461" t="str">
            <v>PCOQ</v>
          </cell>
          <cell r="M8461" t="str">
            <v>F</v>
          </cell>
          <cell r="AB8461" t="str">
            <v>serum</v>
          </cell>
          <cell r="AF8461">
            <v>1</v>
          </cell>
        </row>
        <row r="8462">
          <cell r="A8462" t="str">
            <v>IS_alqt_plus</v>
          </cell>
          <cell r="K8462" t="str">
            <v>DMAD</v>
          </cell>
          <cell r="M8462" t="str">
            <v>F</v>
          </cell>
          <cell r="AB8462" t="str">
            <v>serum</v>
          </cell>
          <cell r="AF8462">
            <v>1</v>
          </cell>
        </row>
        <row r="8463">
          <cell r="A8463" t="str">
            <v>IS_alqt_plus</v>
          </cell>
          <cell r="K8463" t="str">
            <v>DMAD</v>
          </cell>
          <cell r="M8463" t="str">
            <v>F</v>
          </cell>
          <cell r="AB8463" t="str">
            <v>WB</v>
          </cell>
          <cell r="AF8463">
            <v>0.4</v>
          </cell>
        </row>
        <row r="8464">
          <cell r="A8464" t="str">
            <v>IS_alqt_minus</v>
          </cell>
          <cell r="K8464" t="str">
            <v>CMED</v>
          </cell>
          <cell r="M8464" t="str">
            <v>M</v>
          </cell>
          <cell r="AB8464" t="str">
            <v>plasma</v>
          </cell>
          <cell r="AF8464">
            <v>0.1</v>
          </cell>
        </row>
        <row r="8465">
          <cell r="A8465" t="str">
            <v>IS_alqt_minus</v>
          </cell>
          <cell r="K8465" t="str">
            <v>CMED</v>
          </cell>
          <cell r="M8465" t="str">
            <v>F</v>
          </cell>
          <cell r="AB8465" t="str">
            <v>plasma</v>
          </cell>
          <cell r="AF8465">
            <v>0.1</v>
          </cell>
        </row>
        <row r="8466">
          <cell r="A8466" t="str">
            <v>IS_alqt_plus</v>
          </cell>
          <cell r="K8466" t="str">
            <v>CMED</v>
          </cell>
          <cell r="M8466" t="str">
            <v>M</v>
          </cell>
          <cell r="AB8466" t="str">
            <v>plasma</v>
          </cell>
          <cell r="AF8466">
            <v>0.3</v>
          </cell>
        </row>
        <row r="8467">
          <cell r="A8467" t="str">
            <v>IS_alqt_minus</v>
          </cell>
          <cell r="K8467" t="str">
            <v>CMED</v>
          </cell>
          <cell r="M8467" t="str">
            <v>F</v>
          </cell>
          <cell r="AB8467" t="str">
            <v>plasma</v>
          </cell>
          <cell r="AF8467">
            <v>0.1</v>
          </cell>
        </row>
        <row r="8468">
          <cell r="A8468" t="str">
            <v>IS_alqt_plus</v>
          </cell>
          <cell r="K8468" t="str">
            <v>PCOQ</v>
          </cell>
          <cell r="M8468" t="str">
            <v>M</v>
          </cell>
          <cell r="AB8468" t="str">
            <v>WB</v>
          </cell>
          <cell r="AF8468">
            <v>0.7</v>
          </cell>
        </row>
        <row r="8469">
          <cell r="A8469" t="str">
            <v>IS_alqt_plus</v>
          </cell>
          <cell r="K8469" t="str">
            <v>PCOQ</v>
          </cell>
          <cell r="M8469" t="str">
            <v>F</v>
          </cell>
          <cell r="AB8469" t="str">
            <v>WB</v>
          </cell>
          <cell r="AF8469">
            <v>0.4</v>
          </cell>
        </row>
        <row r="8470">
          <cell r="A8470" t="str">
            <v>IS_alqt_plus</v>
          </cell>
          <cell r="K8470" t="str">
            <v>PCOQ</v>
          </cell>
          <cell r="M8470" t="str">
            <v>F</v>
          </cell>
          <cell r="AB8470" t="str">
            <v>serum</v>
          </cell>
          <cell r="AF8470">
            <v>1</v>
          </cell>
        </row>
        <row r="8471">
          <cell r="A8471" t="str">
            <v>IS_alqt_plus</v>
          </cell>
          <cell r="K8471" t="str">
            <v>PCOQ</v>
          </cell>
          <cell r="M8471" t="str">
            <v>F</v>
          </cell>
          <cell r="AB8471" t="str">
            <v>serum</v>
          </cell>
          <cell r="AF8471">
            <v>1</v>
          </cell>
        </row>
        <row r="8472">
          <cell r="A8472" t="str">
            <v>IS_alqt_plus</v>
          </cell>
          <cell r="K8472" t="str">
            <v>CMED</v>
          </cell>
          <cell r="M8472" t="str">
            <v>F</v>
          </cell>
          <cell r="AB8472" t="str">
            <v>plasma</v>
          </cell>
          <cell r="AF8472">
            <v>0.2</v>
          </cell>
        </row>
        <row r="8473">
          <cell r="A8473" t="str">
            <v>IS_alqt_minus</v>
          </cell>
          <cell r="K8473" t="str">
            <v>CMED</v>
          </cell>
          <cell r="M8473" t="str">
            <v>M</v>
          </cell>
          <cell r="AB8473" t="str">
            <v>plasma</v>
          </cell>
          <cell r="AF8473">
            <v>0.1</v>
          </cell>
        </row>
        <row r="8474">
          <cell r="A8474" t="str">
            <v>IS_alqt_minus</v>
          </cell>
          <cell r="K8474" t="str">
            <v>CMED</v>
          </cell>
          <cell r="M8474" t="str">
            <v>M</v>
          </cell>
          <cell r="AB8474" t="str">
            <v>plasma</v>
          </cell>
          <cell r="AF8474">
            <v>0.1</v>
          </cell>
        </row>
        <row r="8475">
          <cell r="A8475" t="str">
            <v>IS_alqt_minus</v>
          </cell>
          <cell r="K8475" t="str">
            <v>MMUR</v>
          </cell>
          <cell r="M8475" t="str">
            <v>F</v>
          </cell>
          <cell r="AB8475" t="str">
            <v>plasma</v>
          </cell>
          <cell r="AF8475">
            <v>0.1</v>
          </cell>
        </row>
        <row r="8476">
          <cell r="A8476" t="str">
            <v>IS_alqt_minus</v>
          </cell>
          <cell r="K8476" t="str">
            <v>MMUR</v>
          </cell>
          <cell r="M8476" t="str">
            <v>M</v>
          </cell>
          <cell r="AB8476" t="str">
            <v>plasma</v>
          </cell>
          <cell r="AF8476">
            <v>0.1</v>
          </cell>
        </row>
        <row r="8477">
          <cell r="A8477" t="str">
            <v>IS_alqt_minus</v>
          </cell>
          <cell r="K8477" t="str">
            <v>MMUR</v>
          </cell>
          <cell r="M8477" t="str">
            <v>F</v>
          </cell>
          <cell r="AB8477" t="str">
            <v>plasma</v>
          </cell>
          <cell r="AF8477">
            <v>0.1</v>
          </cell>
        </row>
        <row r="8478">
          <cell r="A8478" t="str">
            <v>IS_alqt_minus</v>
          </cell>
          <cell r="K8478" t="str">
            <v>MMUR</v>
          </cell>
          <cell r="M8478" t="str">
            <v>M</v>
          </cell>
          <cell r="AB8478" t="str">
            <v>plasma</v>
          </cell>
          <cell r="AF8478">
            <v>0.1</v>
          </cell>
        </row>
        <row r="8479">
          <cell r="A8479" t="str">
            <v>IS_alqt_minus</v>
          </cell>
          <cell r="K8479" t="str">
            <v>MMUR</v>
          </cell>
          <cell r="M8479" t="str">
            <v>F</v>
          </cell>
          <cell r="AB8479" t="str">
            <v>plasma</v>
          </cell>
          <cell r="AF8479">
            <v>0.1</v>
          </cell>
        </row>
        <row r="8480">
          <cell r="A8480" t="str">
            <v>IS_alqt_minus</v>
          </cell>
          <cell r="K8480" t="str">
            <v>MMUR</v>
          </cell>
          <cell r="M8480" t="str">
            <v>M</v>
          </cell>
          <cell r="AB8480" t="str">
            <v>plasma</v>
          </cell>
          <cell r="AF8480">
            <v>0.1</v>
          </cell>
        </row>
        <row r="8481">
          <cell r="A8481" t="str">
            <v>IS_alqt_plus</v>
          </cell>
          <cell r="K8481" t="str">
            <v>VVV</v>
          </cell>
          <cell r="M8481" t="str">
            <v>M</v>
          </cell>
          <cell r="AB8481" t="str">
            <v>WB</v>
          </cell>
          <cell r="AF8481">
            <v>1</v>
          </cell>
        </row>
        <row r="8482">
          <cell r="A8482" t="str">
            <v>IS_alqt_plus</v>
          </cell>
          <cell r="K8482" t="str">
            <v>PCOQ</v>
          </cell>
          <cell r="M8482" t="str">
            <v>M</v>
          </cell>
          <cell r="AB8482" t="str">
            <v>WB</v>
          </cell>
          <cell r="AF8482">
            <v>0.75</v>
          </cell>
        </row>
        <row r="8483">
          <cell r="A8483" t="str">
            <v>unk</v>
          </cell>
          <cell r="K8483" t="str">
            <v>PCOQ</v>
          </cell>
          <cell r="M8483" t="str">
            <v>F</v>
          </cell>
          <cell r="AB8483" t="str">
            <v>serum</v>
          </cell>
          <cell r="AF8483">
            <v>1</v>
          </cell>
        </row>
        <row r="8484">
          <cell r="A8484" t="str">
            <v>IS_alqt_plus</v>
          </cell>
          <cell r="K8484" t="str">
            <v>EFLA</v>
          </cell>
          <cell r="M8484" t="str">
            <v>M</v>
          </cell>
          <cell r="AB8484" t="str">
            <v>serum</v>
          </cell>
          <cell r="AF8484">
            <v>0.3</v>
          </cell>
        </row>
        <row r="8485">
          <cell r="A8485" t="str">
            <v>IS_alqt_plus</v>
          </cell>
          <cell r="K8485" t="str">
            <v>EFLA</v>
          </cell>
          <cell r="M8485" t="str">
            <v>M</v>
          </cell>
          <cell r="AB8485" t="str">
            <v>serum</v>
          </cell>
          <cell r="AF8485">
            <v>0.2</v>
          </cell>
        </row>
        <row r="8486">
          <cell r="A8486" t="str">
            <v>IS_alqt_plus</v>
          </cell>
          <cell r="K8486" t="str">
            <v>EFLA</v>
          </cell>
          <cell r="M8486" t="str">
            <v>M</v>
          </cell>
          <cell r="AB8486" t="str">
            <v>serum</v>
          </cell>
          <cell r="AF8486">
            <v>0.2</v>
          </cell>
        </row>
        <row r="8487">
          <cell r="A8487" t="str">
            <v>IS_alqt_plus</v>
          </cell>
          <cell r="K8487" t="str">
            <v>EFLA</v>
          </cell>
          <cell r="M8487" t="str">
            <v>M</v>
          </cell>
          <cell r="AB8487" t="str">
            <v>serum</v>
          </cell>
          <cell r="AF8487">
            <v>0.2</v>
          </cell>
        </row>
        <row r="8488">
          <cell r="A8488" t="str">
            <v>IS_alqt_plus</v>
          </cell>
          <cell r="K8488" t="str">
            <v>EFLA</v>
          </cell>
          <cell r="M8488" t="str">
            <v>M</v>
          </cell>
          <cell r="AB8488" t="str">
            <v>serum</v>
          </cell>
          <cell r="AF8488">
            <v>0.2</v>
          </cell>
        </row>
        <row r="8489">
          <cell r="A8489" t="str">
            <v>IS_alqt_plus</v>
          </cell>
          <cell r="K8489" t="str">
            <v>EFLA</v>
          </cell>
          <cell r="M8489" t="str">
            <v>F</v>
          </cell>
          <cell r="AB8489" t="str">
            <v>serum</v>
          </cell>
          <cell r="AF8489">
            <v>1.5</v>
          </cell>
        </row>
        <row r="8490">
          <cell r="A8490" t="str">
            <v>IS_alqt_plus</v>
          </cell>
          <cell r="K8490" t="str">
            <v>EFLA</v>
          </cell>
          <cell r="M8490" t="str">
            <v>F</v>
          </cell>
          <cell r="AB8490" t="str">
            <v>serum</v>
          </cell>
          <cell r="AF8490">
            <v>0.6</v>
          </cell>
        </row>
        <row r="8491">
          <cell r="A8491" t="str">
            <v>IS_alqt_plus</v>
          </cell>
          <cell r="K8491" t="str">
            <v>EFLA</v>
          </cell>
          <cell r="M8491" t="str">
            <v>F</v>
          </cell>
          <cell r="AB8491" t="str">
            <v>serum</v>
          </cell>
          <cell r="AF8491">
            <v>1.5</v>
          </cell>
        </row>
        <row r="8492">
          <cell r="A8492" t="str">
            <v>IS_alqt_plus</v>
          </cell>
          <cell r="K8492" t="str">
            <v>EFLA</v>
          </cell>
          <cell r="M8492" t="str">
            <v>M</v>
          </cell>
          <cell r="AB8492" t="str">
            <v>WB</v>
          </cell>
          <cell r="AF8492">
            <v>0.75</v>
          </cell>
        </row>
        <row r="8493">
          <cell r="A8493" t="str">
            <v>gone</v>
          </cell>
          <cell r="K8493" t="str">
            <v>EFLA</v>
          </cell>
          <cell r="M8493" t="str">
            <v>F</v>
          </cell>
          <cell r="AB8493" t="str">
            <v>WB</v>
          </cell>
          <cell r="AF8493">
            <v>0</v>
          </cell>
        </row>
        <row r="8494">
          <cell r="A8494" t="str">
            <v>IS_alqt_plus</v>
          </cell>
          <cell r="K8494" t="str">
            <v>EFLA</v>
          </cell>
          <cell r="M8494" t="str">
            <v>F</v>
          </cell>
          <cell r="AB8494" t="str">
            <v>WB</v>
          </cell>
          <cell r="AF8494">
            <v>1</v>
          </cell>
        </row>
        <row r="8495">
          <cell r="A8495" t="str">
            <v>IS_alqt_plus</v>
          </cell>
          <cell r="K8495" t="str">
            <v>EFLA</v>
          </cell>
          <cell r="M8495" t="str">
            <v>F</v>
          </cell>
          <cell r="AB8495" t="str">
            <v>WB</v>
          </cell>
          <cell r="AF8495">
            <v>1.5</v>
          </cell>
        </row>
        <row r="8496">
          <cell r="A8496" t="str">
            <v>unk</v>
          </cell>
          <cell r="K8496" t="str">
            <v>DMAD</v>
          </cell>
          <cell r="M8496" t="str">
            <v>F</v>
          </cell>
          <cell r="AB8496" t="str">
            <v>serum</v>
          </cell>
          <cell r="AF8496">
            <v>1</v>
          </cell>
        </row>
        <row r="8497">
          <cell r="A8497" t="str">
            <v>IS_alqt_plus</v>
          </cell>
          <cell r="K8497" t="str">
            <v>DMAD</v>
          </cell>
          <cell r="M8497" t="str">
            <v>F</v>
          </cell>
          <cell r="AB8497" t="str">
            <v>WB</v>
          </cell>
          <cell r="AF8497">
            <v>0.85</v>
          </cell>
        </row>
        <row r="8498">
          <cell r="A8498" t="str">
            <v>IS_alqt_plus</v>
          </cell>
          <cell r="K8498" t="str">
            <v>PCOQ</v>
          </cell>
          <cell r="M8498" t="str">
            <v>M</v>
          </cell>
          <cell r="AB8498" t="str">
            <v>serum</v>
          </cell>
          <cell r="AF8498">
            <v>0.9</v>
          </cell>
        </row>
        <row r="8499">
          <cell r="A8499" t="str">
            <v>IS_alqt_plus</v>
          </cell>
          <cell r="K8499" t="str">
            <v>PCOQ</v>
          </cell>
          <cell r="M8499" t="str">
            <v>M</v>
          </cell>
          <cell r="AB8499" t="str">
            <v>WB</v>
          </cell>
          <cell r="AF8499">
            <v>0.75</v>
          </cell>
        </row>
        <row r="8500">
          <cell r="A8500" t="str">
            <v>IS_alqt_plus</v>
          </cell>
          <cell r="K8500" t="str">
            <v>PCOQ</v>
          </cell>
          <cell r="M8500" t="str">
            <v>M</v>
          </cell>
          <cell r="AB8500" t="str">
            <v>WB</v>
          </cell>
          <cell r="AF8500">
            <v>0.2</v>
          </cell>
        </row>
        <row r="8501">
          <cell r="A8501" t="str">
            <v>IS_alqt_plus</v>
          </cell>
          <cell r="K8501" t="str">
            <v>PCOQ</v>
          </cell>
          <cell r="M8501" t="str">
            <v>M</v>
          </cell>
          <cell r="AB8501" t="str">
            <v>WB</v>
          </cell>
          <cell r="AF8501">
            <v>0.3</v>
          </cell>
        </row>
        <row r="8502">
          <cell r="A8502" t="str">
            <v>IS_alqt_plus</v>
          </cell>
          <cell r="K8502" t="str">
            <v>PCOQ</v>
          </cell>
          <cell r="M8502" t="str">
            <v>M</v>
          </cell>
          <cell r="AB8502" t="str">
            <v>serum</v>
          </cell>
          <cell r="AF8502">
            <v>1</v>
          </cell>
        </row>
        <row r="8503">
          <cell r="A8503" t="str">
            <v>IS_alqt_plus</v>
          </cell>
          <cell r="K8503" t="str">
            <v>PCOQ</v>
          </cell>
          <cell r="M8503" t="str">
            <v>F</v>
          </cell>
          <cell r="AB8503" t="str">
            <v>serum</v>
          </cell>
          <cell r="AF8503">
            <v>0.75</v>
          </cell>
        </row>
        <row r="8504">
          <cell r="A8504" t="str">
            <v>IS_alqt_plus</v>
          </cell>
          <cell r="K8504" t="str">
            <v>PCOQ</v>
          </cell>
          <cell r="M8504" t="str">
            <v>M</v>
          </cell>
          <cell r="AB8504" t="str">
            <v>WB</v>
          </cell>
          <cell r="AF8504">
            <v>0.3</v>
          </cell>
        </row>
        <row r="8505">
          <cell r="A8505" t="str">
            <v>IS_alqt_plus</v>
          </cell>
          <cell r="K8505" t="str">
            <v>PCOQ</v>
          </cell>
          <cell r="M8505" t="str">
            <v>M</v>
          </cell>
          <cell r="AB8505" t="str">
            <v>WB</v>
          </cell>
          <cell r="AF8505">
            <v>0.75</v>
          </cell>
        </row>
        <row r="8506">
          <cell r="A8506" t="str">
            <v>gone</v>
          </cell>
          <cell r="K8506" t="str">
            <v>PCOQ</v>
          </cell>
          <cell r="M8506" t="str">
            <v>F</v>
          </cell>
          <cell r="AB8506" t="str">
            <v>WB</v>
          </cell>
          <cell r="AF8506">
            <v>0</v>
          </cell>
        </row>
        <row r="8507">
          <cell r="A8507" t="str">
            <v>gone</v>
          </cell>
          <cell r="K8507" t="str">
            <v>PCOQ</v>
          </cell>
          <cell r="M8507" t="str">
            <v>F</v>
          </cell>
          <cell r="AB8507" t="str">
            <v>WB</v>
          </cell>
          <cell r="AF8507">
            <v>0</v>
          </cell>
        </row>
        <row r="8508">
          <cell r="A8508" t="str">
            <v>gone</v>
          </cell>
          <cell r="K8508" t="str">
            <v>DMAD</v>
          </cell>
          <cell r="M8508" t="str">
            <v>M</v>
          </cell>
          <cell r="AB8508" t="str">
            <v>WB</v>
          </cell>
          <cell r="AF8508">
            <v>0</v>
          </cell>
        </row>
        <row r="8509">
          <cell r="A8509" t="str">
            <v>IS_alqt_plus</v>
          </cell>
          <cell r="K8509" t="str">
            <v>VRUB</v>
          </cell>
          <cell r="M8509" t="str">
            <v>M</v>
          </cell>
          <cell r="AB8509" t="str">
            <v>WB</v>
          </cell>
          <cell r="AF8509">
            <v>1</v>
          </cell>
        </row>
        <row r="8510">
          <cell r="A8510" t="str">
            <v>IS_alqt_plus</v>
          </cell>
          <cell r="K8510" t="str">
            <v>VRUB</v>
          </cell>
          <cell r="M8510" t="str">
            <v>M</v>
          </cell>
          <cell r="AB8510" t="str">
            <v>serum</v>
          </cell>
          <cell r="AF8510">
            <v>1</v>
          </cell>
        </row>
        <row r="8511">
          <cell r="A8511" t="str">
            <v>IS_alqt_plus</v>
          </cell>
          <cell r="K8511" t="str">
            <v>VVV</v>
          </cell>
          <cell r="M8511" t="str">
            <v>M</v>
          </cell>
          <cell r="AB8511" t="str">
            <v>serum</v>
          </cell>
          <cell r="AF8511">
            <v>0.5</v>
          </cell>
        </row>
        <row r="8512">
          <cell r="A8512" t="str">
            <v>IS_alqt_plus</v>
          </cell>
          <cell r="K8512" t="str">
            <v>LCAT</v>
          </cell>
          <cell r="M8512" t="str">
            <v>F</v>
          </cell>
          <cell r="AB8512" t="str">
            <v xml:space="preserve">serum </v>
          </cell>
          <cell r="AF8512">
            <v>1</v>
          </cell>
        </row>
        <row r="8513">
          <cell r="A8513" t="str">
            <v>IS_alqt_plus</v>
          </cell>
          <cell r="K8513" t="str">
            <v>GMOH</v>
          </cell>
          <cell r="M8513" t="str">
            <v>F</v>
          </cell>
          <cell r="AB8513" t="str">
            <v>WB</v>
          </cell>
          <cell r="AF8513">
            <v>0.2</v>
          </cell>
        </row>
        <row r="8514">
          <cell r="A8514" t="str">
            <v>IS_alqt_plus</v>
          </cell>
          <cell r="K8514" t="str">
            <v>PCOQ</v>
          </cell>
          <cell r="M8514" t="str">
            <v>F</v>
          </cell>
          <cell r="AB8514" t="str">
            <v>WB</v>
          </cell>
          <cell r="AF8514">
            <v>0.6</v>
          </cell>
        </row>
        <row r="8515">
          <cell r="A8515" t="str">
            <v>IS_alqt_plus</v>
          </cell>
          <cell r="K8515" t="str">
            <v>PCOQ</v>
          </cell>
          <cell r="M8515" t="str">
            <v>F</v>
          </cell>
          <cell r="AB8515" t="str">
            <v>WB</v>
          </cell>
          <cell r="AF8515">
            <v>0.65</v>
          </cell>
        </row>
        <row r="8516">
          <cell r="A8516" t="str">
            <v>IS_alqt_plus</v>
          </cell>
          <cell r="K8516" t="str">
            <v>PCOQ</v>
          </cell>
          <cell r="M8516" t="str">
            <v>F</v>
          </cell>
          <cell r="AB8516" t="str">
            <v>WB</v>
          </cell>
          <cell r="AF8516">
            <v>0.75</v>
          </cell>
        </row>
        <row r="8517">
          <cell r="A8517" t="str">
            <v>IS_alqt_plus</v>
          </cell>
          <cell r="K8517" t="str">
            <v>PCOQ</v>
          </cell>
          <cell r="M8517" t="str">
            <v>F</v>
          </cell>
          <cell r="AB8517" t="str">
            <v>WB</v>
          </cell>
          <cell r="AF8517">
            <v>0.25</v>
          </cell>
        </row>
        <row r="8518">
          <cell r="A8518" t="str">
            <v>IS_alqt_plus</v>
          </cell>
          <cell r="K8518" t="str">
            <v>PCOQ</v>
          </cell>
          <cell r="M8518" t="str">
            <v>M</v>
          </cell>
          <cell r="AB8518" t="str">
            <v>WB</v>
          </cell>
          <cell r="AF8518">
            <v>0.55000000000000004</v>
          </cell>
        </row>
        <row r="8519">
          <cell r="A8519" t="str">
            <v>IS_alqt_plus</v>
          </cell>
          <cell r="K8519" t="str">
            <v>PCOQ</v>
          </cell>
          <cell r="M8519" t="str">
            <v>F</v>
          </cell>
          <cell r="AB8519" t="str">
            <v>WB</v>
          </cell>
          <cell r="AF8519">
            <v>0.6</v>
          </cell>
        </row>
        <row r="8520">
          <cell r="A8520" t="str">
            <v>IS_alqt_plus</v>
          </cell>
          <cell r="K8520" t="str">
            <v>PCOQ</v>
          </cell>
          <cell r="M8520" t="str">
            <v>F</v>
          </cell>
          <cell r="AB8520" t="str">
            <v>WB</v>
          </cell>
          <cell r="AF8520">
            <v>0.3</v>
          </cell>
        </row>
        <row r="8521">
          <cell r="A8521" t="str">
            <v>IS_alqt_plus</v>
          </cell>
          <cell r="K8521" t="str">
            <v>PCOQ</v>
          </cell>
          <cell r="M8521" t="str">
            <v>M</v>
          </cell>
          <cell r="AB8521" t="str">
            <v>WB</v>
          </cell>
          <cell r="AF8521">
            <v>0.65</v>
          </cell>
        </row>
        <row r="8522">
          <cell r="A8522" t="str">
            <v>IS_alqt_plus</v>
          </cell>
          <cell r="K8522" t="str">
            <v>PCOQ</v>
          </cell>
          <cell r="M8522" t="str">
            <v>F</v>
          </cell>
          <cell r="AB8522" t="str">
            <v>WB</v>
          </cell>
          <cell r="AF8522">
            <v>1.1000000000000001</v>
          </cell>
        </row>
        <row r="8523">
          <cell r="A8523" t="str">
            <v>IS_alqt_plus</v>
          </cell>
          <cell r="K8523" t="str">
            <v>PCOQ</v>
          </cell>
          <cell r="M8523" t="str">
            <v>M</v>
          </cell>
          <cell r="AB8523" t="str">
            <v>WB</v>
          </cell>
          <cell r="AF8523">
            <v>0.5</v>
          </cell>
        </row>
        <row r="8524">
          <cell r="A8524" t="str">
            <v>IS_alqt_plus</v>
          </cell>
          <cell r="K8524" t="str">
            <v>PCOQ</v>
          </cell>
          <cell r="M8524" t="str">
            <v>M</v>
          </cell>
          <cell r="AB8524" t="str">
            <v>WB</v>
          </cell>
          <cell r="AF8524">
            <v>0.75</v>
          </cell>
        </row>
        <row r="8525">
          <cell r="A8525" t="str">
            <v>gone</v>
          </cell>
          <cell r="K8525" t="str">
            <v>PCOQ</v>
          </cell>
          <cell r="M8525" t="str">
            <v>F</v>
          </cell>
          <cell r="AB8525" t="str">
            <v>WB</v>
          </cell>
          <cell r="AF8525">
            <v>0</v>
          </cell>
        </row>
        <row r="8526">
          <cell r="A8526" t="str">
            <v>IS_alqt_plus</v>
          </cell>
          <cell r="K8526" t="str">
            <v>PCOQ</v>
          </cell>
          <cell r="M8526" t="str">
            <v>M</v>
          </cell>
          <cell r="AB8526" t="str">
            <v>WB</v>
          </cell>
          <cell r="AF8526">
            <v>0.5</v>
          </cell>
        </row>
        <row r="8527">
          <cell r="A8527" t="str">
            <v>IS_alqt_plus</v>
          </cell>
          <cell r="K8527" t="str">
            <v>PCOQ</v>
          </cell>
          <cell r="M8527" t="str">
            <v>F</v>
          </cell>
          <cell r="AB8527" t="str">
            <v>WB</v>
          </cell>
          <cell r="AF8527">
            <v>0.8</v>
          </cell>
        </row>
        <row r="8528">
          <cell r="A8528" t="str">
            <v>IS_alqt_plus</v>
          </cell>
          <cell r="K8528" t="str">
            <v>PCOQ</v>
          </cell>
          <cell r="M8528" t="str">
            <v>M</v>
          </cell>
          <cell r="AB8528" t="str">
            <v>WB</v>
          </cell>
          <cell r="AF8528">
            <v>0.8</v>
          </cell>
        </row>
        <row r="8529">
          <cell r="A8529" t="str">
            <v>IS_alqt_plus</v>
          </cell>
          <cell r="K8529" t="str">
            <v>PCOQ</v>
          </cell>
          <cell r="M8529" t="str">
            <v>M</v>
          </cell>
          <cell r="AB8529" t="str">
            <v>WB</v>
          </cell>
          <cell r="AF8529">
            <v>1.1000000000000001</v>
          </cell>
        </row>
        <row r="8530">
          <cell r="A8530" t="str">
            <v>IS_alqt_plus</v>
          </cell>
          <cell r="K8530" t="str">
            <v>PCOQ</v>
          </cell>
          <cell r="M8530" t="str">
            <v>M</v>
          </cell>
          <cell r="AB8530" t="str">
            <v>WB</v>
          </cell>
          <cell r="AF8530">
            <v>1.1000000000000001</v>
          </cell>
        </row>
        <row r="8531">
          <cell r="A8531" t="str">
            <v>IS_alqt_plus</v>
          </cell>
          <cell r="K8531" t="str">
            <v>PCOQ</v>
          </cell>
          <cell r="M8531" t="str">
            <v>M</v>
          </cell>
          <cell r="AB8531" t="str">
            <v>WB</v>
          </cell>
          <cell r="AF8531">
            <v>1.1000000000000001</v>
          </cell>
        </row>
        <row r="8532">
          <cell r="A8532" t="str">
            <v>IS_alqt_plus</v>
          </cell>
          <cell r="K8532" t="str">
            <v>PCOQ</v>
          </cell>
          <cell r="M8532" t="str">
            <v>F</v>
          </cell>
          <cell r="AB8532" t="str">
            <v>WB</v>
          </cell>
          <cell r="AF8532">
            <v>1.2</v>
          </cell>
        </row>
        <row r="8533">
          <cell r="A8533" t="str">
            <v>gone</v>
          </cell>
          <cell r="K8533" t="str">
            <v>PCOQ</v>
          </cell>
          <cell r="M8533" t="str">
            <v>F</v>
          </cell>
          <cell r="AB8533" t="str">
            <v>WB</v>
          </cell>
          <cell r="AF8533">
            <v>0</v>
          </cell>
        </row>
        <row r="8534">
          <cell r="A8534" t="str">
            <v>IS_alqt_plus</v>
          </cell>
          <cell r="K8534" t="str">
            <v>PCOQ</v>
          </cell>
          <cell r="M8534" t="str">
            <v>M</v>
          </cell>
          <cell r="AB8534" t="str">
            <v>WB</v>
          </cell>
          <cell r="AF8534">
            <v>0.5</v>
          </cell>
        </row>
        <row r="8535">
          <cell r="A8535" t="str">
            <v>IS_alqt_plus</v>
          </cell>
          <cell r="K8535" t="str">
            <v>PCOQ</v>
          </cell>
          <cell r="M8535" t="str">
            <v>F</v>
          </cell>
          <cell r="AB8535" t="str">
            <v>WB</v>
          </cell>
          <cell r="AF8535">
            <v>1</v>
          </cell>
        </row>
        <row r="8536">
          <cell r="A8536" t="str">
            <v>IS_alqt_plus</v>
          </cell>
          <cell r="K8536" t="str">
            <v>PCOQ</v>
          </cell>
          <cell r="M8536" t="str">
            <v>M</v>
          </cell>
          <cell r="AB8536" t="str">
            <v>WB</v>
          </cell>
          <cell r="AF8536">
            <v>1</v>
          </cell>
        </row>
        <row r="8537">
          <cell r="A8537" t="str">
            <v>IS_alqt_plus</v>
          </cell>
          <cell r="K8537" t="str">
            <v>PCOQ</v>
          </cell>
          <cell r="M8537" t="str">
            <v>M</v>
          </cell>
          <cell r="AB8537" t="str">
            <v>WB</v>
          </cell>
          <cell r="AF8537">
            <v>1</v>
          </cell>
        </row>
        <row r="8538">
          <cell r="A8538" t="str">
            <v>IS_alqt_plus</v>
          </cell>
          <cell r="K8538" t="str">
            <v>PCOQ</v>
          </cell>
          <cell r="M8538" t="str">
            <v>M</v>
          </cell>
          <cell r="AB8538" t="str">
            <v>WB</v>
          </cell>
          <cell r="AF8538">
            <v>1.5</v>
          </cell>
        </row>
        <row r="8539">
          <cell r="A8539" t="str">
            <v>IS_alqt_plus</v>
          </cell>
          <cell r="K8539" t="str">
            <v>PCOQ</v>
          </cell>
          <cell r="M8539" t="str">
            <v>M</v>
          </cell>
          <cell r="AB8539" t="str">
            <v>WB</v>
          </cell>
          <cell r="AF8539">
            <v>0.6</v>
          </cell>
        </row>
        <row r="8540">
          <cell r="A8540" t="str">
            <v>IS_alqt_plus</v>
          </cell>
          <cell r="K8540" t="str">
            <v>PCOQ</v>
          </cell>
          <cell r="M8540" t="str">
            <v>M</v>
          </cell>
          <cell r="AB8540" t="str">
            <v>WB</v>
          </cell>
          <cell r="AF8540">
            <v>1.3</v>
          </cell>
        </row>
        <row r="8541">
          <cell r="A8541" t="str">
            <v>gone</v>
          </cell>
          <cell r="K8541" t="str">
            <v>PCOQ</v>
          </cell>
          <cell r="M8541" t="str">
            <v>F</v>
          </cell>
          <cell r="AB8541" t="str">
            <v>WB</v>
          </cell>
          <cell r="AF8541">
            <v>0</v>
          </cell>
        </row>
        <row r="8542">
          <cell r="A8542" t="str">
            <v>IS_alqt_plus</v>
          </cell>
          <cell r="K8542" t="str">
            <v>PCOQ</v>
          </cell>
          <cell r="M8542" t="str">
            <v>F</v>
          </cell>
          <cell r="AB8542" t="str">
            <v>WB</v>
          </cell>
          <cell r="AF8542">
            <v>0.9</v>
          </cell>
        </row>
        <row r="8543">
          <cell r="A8543" t="str">
            <v>IS_alqt_plus</v>
          </cell>
          <cell r="K8543" t="str">
            <v>PCOQ</v>
          </cell>
          <cell r="M8543" t="str">
            <v>F</v>
          </cell>
          <cell r="AB8543" t="str">
            <v>WB</v>
          </cell>
          <cell r="AF8543">
            <v>0.3</v>
          </cell>
        </row>
        <row r="8544">
          <cell r="A8544" t="str">
            <v>gone</v>
          </cell>
          <cell r="K8544" t="str">
            <v>PCOQ</v>
          </cell>
          <cell r="M8544" t="str">
            <v>F</v>
          </cell>
          <cell r="AB8544" t="str">
            <v>WB</v>
          </cell>
          <cell r="AF8544">
            <v>0</v>
          </cell>
        </row>
        <row r="8545">
          <cell r="A8545" t="str">
            <v>IS_alqt_plus</v>
          </cell>
          <cell r="K8545" t="str">
            <v>PCOQ</v>
          </cell>
          <cell r="M8545" t="str">
            <v>M</v>
          </cell>
          <cell r="AB8545" t="str">
            <v>WB</v>
          </cell>
          <cell r="AF8545">
            <v>0.2</v>
          </cell>
        </row>
        <row r="8546">
          <cell r="A8546" t="str">
            <v>IS_alqt_plus</v>
          </cell>
          <cell r="K8546" t="str">
            <v>PCOQ</v>
          </cell>
          <cell r="M8546" t="str">
            <v>M</v>
          </cell>
          <cell r="AB8546" t="str">
            <v>WB</v>
          </cell>
          <cell r="AF8546">
            <v>0.2</v>
          </cell>
        </row>
        <row r="8547">
          <cell r="A8547" t="str">
            <v>IS_alqt_plus</v>
          </cell>
          <cell r="K8547" t="str">
            <v>PCOQ</v>
          </cell>
          <cell r="M8547" t="str">
            <v>M</v>
          </cell>
          <cell r="AB8547" t="str">
            <v>WB</v>
          </cell>
          <cell r="AF8547">
            <v>0.2</v>
          </cell>
        </row>
        <row r="8548">
          <cell r="A8548" t="str">
            <v>IS_alqt_plus</v>
          </cell>
          <cell r="K8548" t="str">
            <v>PCOQ</v>
          </cell>
          <cell r="M8548" t="str">
            <v>M</v>
          </cell>
          <cell r="AB8548" t="str">
            <v>WB</v>
          </cell>
          <cell r="AF8548">
            <v>0.2</v>
          </cell>
        </row>
        <row r="8549">
          <cell r="A8549" t="str">
            <v>IS_alqt_plus</v>
          </cell>
          <cell r="K8549" t="str">
            <v>PCOQ</v>
          </cell>
          <cell r="M8549" t="str">
            <v>M</v>
          </cell>
          <cell r="AB8549" t="str">
            <v>WB</v>
          </cell>
          <cell r="AF8549">
            <v>0.2</v>
          </cell>
        </row>
        <row r="8550">
          <cell r="A8550" t="str">
            <v>IS_alqt_plus</v>
          </cell>
          <cell r="K8550" t="str">
            <v>PCOQ</v>
          </cell>
          <cell r="M8550" t="str">
            <v>F</v>
          </cell>
          <cell r="AB8550" t="str">
            <v>serum</v>
          </cell>
          <cell r="AF8550">
            <v>1.3</v>
          </cell>
        </row>
        <row r="8551">
          <cell r="A8551" t="str">
            <v>IS_alqt_plus</v>
          </cell>
          <cell r="K8551" t="str">
            <v>PCOQ</v>
          </cell>
          <cell r="M8551" t="str">
            <v>F</v>
          </cell>
          <cell r="AB8551" t="str">
            <v>serum</v>
          </cell>
          <cell r="AF8551">
            <v>1.5</v>
          </cell>
        </row>
        <row r="8552">
          <cell r="A8552" t="str">
            <v>IS_alqt_plus</v>
          </cell>
          <cell r="K8552" t="str">
            <v>PCOQ</v>
          </cell>
          <cell r="M8552" t="str">
            <v>F</v>
          </cell>
          <cell r="AB8552" t="str">
            <v>serum</v>
          </cell>
          <cell r="AF8552">
            <v>1.5</v>
          </cell>
        </row>
        <row r="8553">
          <cell r="A8553" t="str">
            <v>IS_alqt_plus</v>
          </cell>
          <cell r="K8553" t="str">
            <v>PCOQ</v>
          </cell>
          <cell r="M8553" t="str">
            <v>F</v>
          </cell>
          <cell r="AB8553" t="str">
            <v>serum</v>
          </cell>
          <cell r="AF8553">
            <v>1.5</v>
          </cell>
        </row>
        <row r="8554">
          <cell r="A8554" t="str">
            <v>IS_alqt_plus</v>
          </cell>
          <cell r="K8554" t="str">
            <v>PCOQ</v>
          </cell>
          <cell r="M8554" t="str">
            <v>F</v>
          </cell>
          <cell r="AB8554" t="str">
            <v>serum</v>
          </cell>
          <cell r="AF8554">
            <v>1.5</v>
          </cell>
        </row>
        <row r="8555">
          <cell r="A8555" t="str">
            <v>IS_alqt_plus</v>
          </cell>
          <cell r="K8555" t="str">
            <v>PCOQ</v>
          </cell>
          <cell r="M8555" t="str">
            <v>F</v>
          </cell>
          <cell r="AB8555" t="str">
            <v>serum</v>
          </cell>
          <cell r="AF8555">
            <v>1.5</v>
          </cell>
        </row>
        <row r="8556">
          <cell r="A8556" t="str">
            <v>IS_alqt_plus</v>
          </cell>
          <cell r="K8556" t="str">
            <v>PCOQ</v>
          </cell>
          <cell r="M8556" t="str">
            <v>F</v>
          </cell>
          <cell r="AB8556" t="str">
            <v>serum</v>
          </cell>
          <cell r="AF8556">
            <v>1.5</v>
          </cell>
        </row>
        <row r="8557">
          <cell r="A8557" t="str">
            <v>IS_alqt_plus</v>
          </cell>
          <cell r="K8557" t="str">
            <v>PCOQ</v>
          </cell>
          <cell r="M8557" t="str">
            <v>F</v>
          </cell>
          <cell r="AB8557" t="str">
            <v>serum</v>
          </cell>
          <cell r="AF8557">
            <v>1.5</v>
          </cell>
        </row>
        <row r="8558">
          <cell r="A8558" t="str">
            <v>IS_alqt_plus</v>
          </cell>
          <cell r="K8558" t="str">
            <v>PCOQ</v>
          </cell>
          <cell r="M8558" t="str">
            <v>F</v>
          </cell>
          <cell r="AB8558" t="str">
            <v>serum</v>
          </cell>
          <cell r="AF8558">
            <v>1.5</v>
          </cell>
        </row>
        <row r="8559">
          <cell r="A8559" t="str">
            <v>IS_alqt_plus</v>
          </cell>
          <cell r="K8559" t="str">
            <v>PCOQ</v>
          </cell>
          <cell r="M8559" t="str">
            <v>F</v>
          </cell>
          <cell r="AB8559" t="str">
            <v>serum</v>
          </cell>
          <cell r="AF8559">
            <v>1.5</v>
          </cell>
        </row>
        <row r="8560">
          <cell r="A8560" t="str">
            <v>IS_alqt_plus</v>
          </cell>
          <cell r="K8560" t="str">
            <v>PCOQ</v>
          </cell>
          <cell r="M8560" t="str">
            <v>F</v>
          </cell>
          <cell r="AB8560" t="str">
            <v>serum</v>
          </cell>
          <cell r="AF8560">
            <v>1.5</v>
          </cell>
        </row>
        <row r="8561">
          <cell r="A8561" t="str">
            <v>IS_alqt_plus</v>
          </cell>
          <cell r="K8561" t="str">
            <v>PCOQ</v>
          </cell>
          <cell r="M8561" t="str">
            <v>F</v>
          </cell>
          <cell r="AB8561" t="str">
            <v>serum</v>
          </cell>
          <cell r="AF8561">
            <v>1.5</v>
          </cell>
        </row>
        <row r="8562">
          <cell r="A8562" t="str">
            <v>IS_alqt_plus</v>
          </cell>
          <cell r="K8562" t="str">
            <v>PCOQ</v>
          </cell>
          <cell r="M8562" t="str">
            <v>F</v>
          </cell>
          <cell r="AB8562" t="str">
            <v>serum</v>
          </cell>
          <cell r="AF8562">
            <v>1.5</v>
          </cell>
        </row>
        <row r="8563">
          <cell r="A8563" t="str">
            <v>IS_alqt_plus</v>
          </cell>
          <cell r="K8563" t="str">
            <v>PCOQ</v>
          </cell>
          <cell r="M8563" t="str">
            <v>F</v>
          </cell>
          <cell r="AB8563" t="str">
            <v>serum</v>
          </cell>
          <cell r="AF8563">
            <v>1.5</v>
          </cell>
        </row>
        <row r="8564">
          <cell r="A8564" t="str">
            <v>IS_alqt_plus</v>
          </cell>
          <cell r="K8564" t="str">
            <v>PCOQ</v>
          </cell>
          <cell r="M8564" t="str">
            <v>F</v>
          </cell>
          <cell r="AB8564" t="str">
            <v>serum</v>
          </cell>
          <cell r="AF8564">
            <v>1.5</v>
          </cell>
        </row>
        <row r="8565">
          <cell r="A8565" t="str">
            <v>IS_alqt_plus</v>
          </cell>
          <cell r="K8565" t="str">
            <v>PCOQ</v>
          </cell>
          <cell r="M8565" t="str">
            <v>F</v>
          </cell>
          <cell r="AB8565" t="str">
            <v>serum</v>
          </cell>
          <cell r="AF8565">
            <v>1.5</v>
          </cell>
        </row>
        <row r="8566">
          <cell r="A8566" t="str">
            <v>IS_alqt_plus</v>
          </cell>
          <cell r="K8566" t="str">
            <v>PCOQ</v>
          </cell>
          <cell r="M8566" t="str">
            <v>F</v>
          </cell>
          <cell r="AB8566" t="str">
            <v>serum</v>
          </cell>
          <cell r="AF8566">
            <v>1.5</v>
          </cell>
        </row>
        <row r="8567">
          <cell r="A8567" t="str">
            <v>IS_alqt_plus</v>
          </cell>
          <cell r="K8567" t="str">
            <v>PCOQ</v>
          </cell>
          <cell r="M8567" t="str">
            <v>F</v>
          </cell>
          <cell r="AB8567" t="str">
            <v>serum</v>
          </cell>
          <cell r="AF8567">
            <v>1.5</v>
          </cell>
        </row>
        <row r="8568">
          <cell r="A8568" t="str">
            <v>IS_alqt_plus</v>
          </cell>
          <cell r="K8568" t="str">
            <v>PCOQ</v>
          </cell>
          <cell r="M8568" t="str">
            <v>F</v>
          </cell>
          <cell r="AB8568" t="str">
            <v>serum</v>
          </cell>
          <cell r="AF8568">
            <v>1.5</v>
          </cell>
        </row>
        <row r="8569">
          <cell r="A8569" t="str">
            <v>IS_alqt_plus</v>
          </cell>
          <cell r="K8569" t="str">
            <v>PCOQ</v>
          </cell>
          <cell r="M8569" t="str">
            <v>F</v>
          </cell>
          <cell r="AB8569" t="str">
            <v>serum</v>
          </cell>
          <cell r="AF8569">
            <v>1.5</v>
          </cell>
        </row>
        <row r="8570">
          <cell r="A8570" t="str">
            <v>IS_alqt_plus</v>
          </cell>
          <cell r="K8570" t="str">
            <v>PCOQ</v>
          </cell>
          <cell r="M8570" t="str">
            <v>F</v>
          </cell>
          <cell r="AB8570" t="str">
            <v>serum</v>
          </cell>
          <cell r="AF8570">
            <v>1.5</v>
          </cell>
        </row>
        <row r="8571">
          <cell r="A8571" t="str">
            <v>IS_alqt_plus</v>
          </cell>
          <cell r="K8571" t="str">
            <v>PCOQ</v>
          </cell>
          <cell r="M8571" t="str">
            <v>F</v>
          </cell>
          <cell r="AB8571" t="str">
            <v>serum</v>
          </cell>
          <cell r="AF8571">
            <v>1.5</v>
          </cell>
        </row>
        <row r="8572">
          <cell r="A8572" t="str">
            <v>IS_alqt_plus</v>
          </cell>
          <cell r="K8572" t="str">
            <v>PCOQ</v>
          </cell>
          <cell r="M8572" t="str">
            <v>F</v>
          </cell>
          <cell r="AB8572" t="str">
            <v>serum</v>
          </cell>
          <cell r="AF8572">
            <v>1.5</v>
          </cell>
        </row>
        <row r="8573">
          <cell r="A8573" t="str">
            <v>IS_alqt_plus</v>
          </cell>
          <cell r="K8573" t="str">
            <v>PCOQ</v>
          </cell>
          <cell r="M8573" t="str">
            <v>F</v>
          </cell>
          <cell r="AB8573" t="str">
            <v>serum</v>
          </cell>
          <cell r="AF8573">
            <v>1.5</v>
          </cell>
        </row>
        <row r="8574">
          <cell r="A8574" t="str">
            <v>IS_alqt_plus</v>
          </cell>
          <cell r="K8574" t="str">
            <v>PCOQ</v>
          </cell>
          <cell r="M8574" t="str">
            <v>F</v>
          </cell>
          <cell r="AB8574" t="str">
            <v>serum</v>
          </cell>
          <cell r="AF8574">
            <v>1.5</v>
          </cell>
        </row>
        <row r="8575">
          <cell r="A8575" t="str">
            <v>IS_alqt_plus</v>
          </cell>
          <cell r="K8575" t="str">
            <v>PCOQ</v>
          </cell>
          <cell r="M8575" t="str">
            <v>F</v>
          </cell>
          <cell r="AB8575" t="str">
            <v>serum</v>
          </cell>
          <cell r="AF8575">
            <v>1.5</v>
          </cell>
        </row>
        <row r="8576">
          <cell r="A8576" t="str">
            <v>IS_alqt_plus</v>
          </cell>
          <cell r="K8576" t="str">
            <v>PCOQ</v>
          </cell>
          <cell r="M8576" t="str">
            <v>M</v>
          </cell>
          <cell r="AB8576" t="str">
            <v>WB</v>
          </cell>
          <cell r="AF8576">
            <v>0.2</v>
          </cell>
        </row>
        <row r="8577">
          <cell r="A8577" t="str">
            <v>IS_alqt_plus</v>
          </cell>
          <cell r="K8577" t="str">
            <v>PCOQ</v>
          </cell>
          <cell r="M8577" t="str">
            <v>M</v>
          </cell>
          <cell r="AB8577" t="str">
            <v>serum</v>
          </cell>
          <cell r="AF8577">
            <v>1.4</v>
          </cell>
        </row>
        <row r="8578">
          <cell r="A8578" t="str">
            <v>IS_alqt_plus</v>
          </cell>
          <cell r="K8578" t="str">
            <v>PCOQ</v>
          </cell>
          <cell r="M8578" t="str">
            <v>M</v>
          </cell>
          <cell r="AB8578" t="str">
            <v>WB</v>
          </cell>
          <cell r="AF8578">
            <v>1</v>
          </cell>
        </row>
        <row r="8579">
          <cell r="A8579" t="str">
            <v>IS_alqt_plus</v>
          </cell>
          <cell r="K8579" t="str">
            <v>PCOQ</v>
          </cell>
          <cell r="M8579" t="str">
            <v>M</v>
          </cell>
          <cell r="AB8579" t="str">
            <v>WB</v>
          </cell>
          <cell r="AF8579">
            <v>1</v>
          </cell>
        </row>
        <row r="8580">
          <cell r="A8580" t="str">
            <v>IS_alqt_plus</v>
          </cell>
          <cell r="K8580" t="str">
            <v>PCOQ</v>
          </cell>
          <cell r="M8580" t="str">
            <v>F</v>
          </cell>
          <cell r="AB8580" t="str">
            <v>serum</v>
          </cell>
          <cell r="AF8580">
            <v>1</v>
          </cell>
        </row>
        <row r="8581">
          <cell r="A8581" t="str">
            <v>IS_alqt_plus</v>
          </cell>
          <cell r="K8581" t="str">
            <v>PCOQ</v>
          </cell>
          <cell r="M8581" t="str">
            <v>F</v>
          </cell>
          <cell r="AB8581" t="str">
            <v>serum</v>
          </cell>
          <cell r="AF8581">
            <v>1.5</v>
          </cell>
        </row>
        <row r="8582">
          <cell r="A8582" t="str">
            <v>IS_alqt_plus</v>
          </cell>
          <cell r="K8582" t="str">
            <v>EMAC</v>
          </cell>
          <cell r="M8582" t="str">
            <v>F</v>
          </cell>
          <cell r="AB8582" t="str">
            <v>serum</v>
          </cell>
          <cell r="AF8582">
            <v>1.5</v>
          </cell>
        </row>
        <row r="8583">
          <cell r="A8583" t="str">
            <v>IS_alqt_plus</v>
          </cell>
          <cell r="K8583" t="str">
            <v>EMAC</v>
          </cell>
          <cell r="M8583" t="str">
            <v>F</v>
          </cell>
          <cell r="AB8583" t="str">
            <v>serum</v>
          </cell>
          <cell r="AF8583">
            <v>1.4</v>
          </cell>
        </row>
        <row r="8584">
          <cell r="A8584" t="str">
            <v>IS_alqt_plus</v>
          </cell>
          <cell r="K8584" t="str">
            <v>EMAC</v>
          </cell>
          <cell r="M8584" t="str">
            <v>F</v>
          </cell>
          <cell r="AB8584" t="str">
            <v>serum</v>
          </cell>
          <cell r="AF8584">
            <v>1.5</v>
          </cell>
        </row>
        <row r="8585">
          <cell r="A8585" t="str">
            <v>IS_alqt_plus</v>
          </cell>
          <cell r="K8585" t="str">
            <v>EMAC</v>
          </cell>
          <cell r="M8585" t="str">
            <v>F</v>
          </cell>
          <cell r="AB8585" t="str">
            <v>serum</v>
          </cell>
          <cell r="AF8585">
            <v>1.5</v>
          </cell>
        </row>
        <row r="8586">
          <cell r="A8586" t="str">
            <v>IS_alqt_plus</v>
          </cell>
          <cell r="K8586" t="str">
            <v>EMAC</v>
          </cell>
          <cell r="M8586" t="str">
            <v>F</v>
          </cell>
          <cell r="AB8586" t="str">
            <v>serum</v>
          </cell>
          <cell r="AF8586">
            <v>1.5</v>
          </cell>
        </row>
        <row r="8587">
          <cell r="A8587" t="str">
            <v>IS_alqt_plus</v>
          </cell>
          <cell r="K8587" t="str">
            <v>EMAC</v>
          </cell>
          <cell r="M8587" t="str">
            <v>F</v>
          </cell>
          <cell r="AB8587" t="str">
            <v>serum</v>
          </cell>
          <cell r="AF8587">
            <v>1.5</v>
          </cell>
        </row>
        <row r="8588">
          <cell r="A8588" t="str">
            <v>IS_alqt_plus</v>
          </cell>
          <cell r="K8588" t="str">
            <v>EMAC</v>
          </cell>
          <cell r="M8588" t="str">
            <v>F</v>
          </cell>
          <cell r="AB8588" t="str">
            <v>serum</v>
          </cell>
          <cell r="AF8588">
            <v>1.5</v>
          </cell>
        </row>
        <row r="8589">
          <cell r="A8589" t="str">
            <v>IS_alqt_plus</v>
          </cell>
          <cell r="K8589" t="str">
            <v>EMAC</v>
          </cell>
          <cell r="M8589" t="str">
            <v>F</v>
          </cell>
          <cell r="AB8589" t="str">
            <v>serum</v>
          </cell>
          <cell r="AF8589">
            <v>1.5</v>
          </cell>
        </row>
        <row r="8590">
          <cell r="A8590" t="str">
            <v>IS_alqt_plus</v>
          </cell>
          <cell r="K8590" t="str">
            <v>EMAC</v>
          </cell>
          <cell r="M8590" t="str">
            <v>F</v>
          </cell>
          <cell r="AB8590" t="str">
            <v>serum</v>
          </cell>
          <cell r="AF8590">
            <v>1.5</v>
          </cell>
        </row>
        <row r="8591">
          <cell r="A8591" t="str">
            <v>IS_alqt_plus</v>
          </cell>
          <cell r="K8591" t="str">
            <v>EMAC</v>
          </cell>
          <cell r="M8591" t="str">
            <v>F</v>
          </cell>
          <cell r="AB8591" t="str">
            <v>serum</v>
          </cell>
          <cell r="AF8591">
            <v>1.5</v>
          </cell>
        </row>
        <row r="8592">
          <cell r="A8592" t="str">
            <v>IS_alqt_plus</v>
          </cell>
          <cell r="K8592" t="str">
            <v>EMAC</v>
          </cell>
          <cell r="M8592" t="str">
            <v>F</v>
          </cell>
          <cell r="AB8592" t="str">
            <v>serum</v>
          </cell>
          <cell r="AF8592">
            <v>1.5</v>
          </cell>
        </row>
        <row r="8593">
          <cell r="A8593" t="str">
            <v>IS_alqt_plus</v>
          </cell>
          <cell r="K8593" t="str">
            <v>EMAC</v>
          </cell>
          <cell r="M8593" t="str">
            <v>F</v>
          </cell>
          <cell r="AB8593" t="str">
            <v>serum</v>
          </cell>
          <cell r="AF8593">
            <v>1.5</v>
          </cell>
        </row>
        <row r="8594">
          <cell r="A8594" t="str">
            <v>IS_alqt_plus</v>
          </cell>
          <cell r="K8594" t="str">
            <v>EMAC</v>
          </cell>
          <cell r="M8594" t="str">
            <v>F</v>
          </cell>
          <cell r="AB8594" t="str">
            <v>serum</v>
          </cell>
          <cell r="AF8594">
            <v>1.5</v>
          </cell>
        </row>
        <row r="8595">
          <cell r="A8595" t="str">
            <v>IS_alqt_plus</v>
          </cell>
          <cell r="K8595" t="str">
            <v>EMAC</v>
          </cell>
          <cell r="M8595" t="str">
            <v>F</v>
          </cell>
          <cell r="AB8595" t="str">
            <v>serum</v>
          </cell>
          <cell r="AF8595">
            <v>1.5</v>
          </cell>
        </row>
        <row r="8596">
          <cell r="A8596" t="str">
            <v>IS_alqt_plus</v>
          </cell>
          <cell r="K8596" t="str">
            <v>EMAC</v>
          </cell>
          <cell r="M8596" t="str">
            <v>F</v>
          </cell>
          <cell r="AB8596" t="str">
            <v>serum</v>
          </cell>
          <cell r="AF8596">
            <v>1.5</v>
          </cell>
        </row>
        <row r="8597">
          <cell r="A8597" t="str">
            <v>IS_alqt_plus</v>
          </cell>
          <cell r="K8597" t="str">
            <v>EMAC</v>
          </cell>
          <cell r="M8597" t="str">
            <v>F</v>
          </cell>
          <cell r="AB8597" t="str">
            <v>serum</v>
          </cell>
          <cell r="AF8597">
            <v>1.5</v>
          </cell>
        </row>
        <row r="8598">
          <cell r="A8598" t="str">
            <v>IS_alqt_plus</v>
          </cell>
          <cell r="K8598" t="str">
            <v>EMAC</v>
          </cell>
          <cell r="M8598" t="str">
            <v>F</v>
          </cell>
          <cell r="AB8598" t="str">
            <v>serum</v>
          </cell>
          <cell r="AF8598">
            <v>1.1000000000000001</v>
          </cell>
        </row>
        <row r="8599">
          <cell r="A8599" t="str">
            <v>IS_alqt_plus</v>
          </cell>
          <cell r="K8599" t="str">
            <v>EMAC</v>
          </cell>
          <cell r="M8599" t="str">
            <v>F</v>
          </cell>
          <cell r="AB8599" t="str">
            <v>serum</v>
          </cell>
          <cell r="AF8599">
            <v>1.5</v>
          </cell>
        </row>
        <row r="8600">
          <cell r="A8600" t="str">
            <v>IS_alqt_plus</v>
          </cell>
          <cell r="K8600" t="str">
            <v>EMAC</v>
          </cell>
          <cell r="M8600" t="str">
            <v>F</v>
          </cell>
          <cell r="AB8600" t="str">
            <v>serum</v>
          </cell>
          <cell r="AF8600">
            <v>1.5</v>
          </cell>
        </row>
        <row r="8601">
          <cell r="A8601" t="str">
            <v>IS_alqt_plus</v>
          </cell>
          <cell r="K8601" t="str">
            <v>EMAC</v>
          </cell>
          <cell r="M8601" t="str">
            <v>F</v>
          </cell>
          <cell r="AB8601" t="str">
            <v>serum</v>
          </cell>
          <cell r="AF8601">
            <v>1.5</v>
          </cell>
        </row>
        <row r="8602">
          <cell r="A8602" t="str">
            <v>IS_alqt_plus</v>
          </cell>
          <cell r="K8602" t="str">
            <v>EMAC</v>
          </cell>
          <cell r="M8602" t="str">
            <v>F</v>
          </cell>
          <cell r="AB8602" t="str">
            <v>serum</v>
          </cell>
          <cell r="AF8602">
            <v>1.5</v>
          </cell>
        </row>
        <row r="8603">
          <cell r="A8603" t="str">
            <v>IS_alqt_plus</v>
          </cell>
          <cell r="K8603" t="str">
            <v>ECOR</v>
          </cell>
          <cell r="M8603" t="str">
            <v>M</v>
          </cell>
          <cell r="AB8603" t="str">
            <v>WB</v>
          </cell>
          <cell r="AF8603">
            <v>0.75</v>
          </cell>
        </row>
        <row r="8604">
          <cell r="A8604" t="str">
            <v>IS_alqt_plus</v>
          </cell>
          <cell r="K8604" t="str">
            <v>EMAC</v>
          </cell>
          <cell r="M8604" t="str">
            <v>F</v>
          </cell>
          <cell r="AB8604" t="str">
            <v>WB</v>
          </cell>
          <cell r="AF8604">
            <v>1</v>
          </cell>
        </row>
        <row r="8605">
          <cell r="A8605" t="str">
            <v>IS_alqt_plus</v>
          </cell>
          <cell r="K8605" t="str">
            <v>EMAC</v>
          </cell>
          <cell r="M8605" t="str">
            <v>F</v>
          </cell>
          <cell r="AB8605" t="str">
            <v>WB</v>
          </cell>
          <cell r="AF8605">
            <v>1.25</v>
          </cell>
        </row>
        <row r="8606">
          <cell r="A8606" t="str">
            <v>gone</v>
          </cell>
          <cell r="K8606" t="str">
            <v>EMAC</v>
          </cell>
          <cell r="M8606" t="str">
            <v>F</v>
          </cell>
          <cell r="AB8606" t="str">
            <v>WB</v>
          </cell>
          <cell r="AF8606">
            <v>0</v>
          </cell>
        </row>
        <row r="8607">
          <cell r="A8607" t="str">
            <v>IS_alqt_plus</v>
          </cell>
          <cell r="K8607" t="str">
            <v>EMAC</v>
          </cell>
          <cell r="M8607" t="str">
            <v>F</v>
          </cell>
          <cell r="AB8607" t="str">
            <v>WB</v>
          </cell>
          <cell r="AF8607">
            <v>1</v>
          </cell>
        </row>
        <row r="8608">
          <cell r="A8608" t="str">
            <v>IS_alqt_plus</v>
          </cell>
          <cell r="K8608" t="str">
            <v>EMAC</v>
          </cell>
          <cell r="M8608" t="str">
            <v>F</v>
          </cell>
          <cell r="AB8608" t="str">
            <v>WB</v>
          </cell>
          <cell r="AF8608">
            <v>1.25</v>
          </cell>
        </row>
        <row r="8609">
          <cell r="A8609" t="str">
            <v>IS_alqt_plus</v>
          </cell>
          <cell r="K8609" t="str">
            <v>EMAC</v>
          </cell>
          <cell r="M8609" t="str">
            <v>F</v>
          </cell>
          <cell r="AB8609" t="str">
            <v>WB</v>
          </cell>
          <cell r="AF8609">
            <v>1</v>
          </cell>
        </row>
        <row r="8610">
          <cell r="A8610" t="str">
            <v>IS_alqt_plus</v>
          </cell>
          <cell r="K8610" t="str">
            <v>EMAC</v>
          </cell>
          <cell r="M8610" t="str">
            <v>F</v>
          </cell>
          <cell r="AB8610" t="str">
            <v>WB</v>
          </cell>
          <cell r="AF8610">
            <v>1</v>
          </cell>
        </row>
        <row r="8611">
          <cell r="A8611" t="str">
            <v>IS_alqt_plus</v>
          </cell>
          <cell r="K8611" t="str">
            <v>EMAC</v>
          </cell>
          <cell r="M8611" t="str">
            <v>F</v>
          </cell>
          <cell r="AB8611" t="str">
            <v>WB</v>
          </cell>
          <cell r="AF8611">
            <v>1</v>
          </cell>
        </row>
        <row r="8612">
          <cell r="A8612" t="str">
            <v>IS_alqt_plus</v>
          </cell>
          <cell r="K8612" t="str">
            <v>EMAC</v>
          </cell>
          <cell r="M8612" t="str">
            <v>F</v>
          </cell>
          <cell r="AB8612" t="str">
            <v>WB</v>
          </cell>
          <cell r="AF8612">
            <v>1</v>
          </cell>
        </row>
        <row r="8613">
          <cell r="A8613" t="str">
            <v>IS_alqt_plus</v>
          </cell>
          <cell r="K8613" t="str">
            <v>EMAC</v>
          </cell>
          <cell r="M8613" t="str">
            <v>F</v>
          </cell>
          <cell r="AB8613" t="str">
            <v>WB</v>
          </cell>
          <cell r="AF8613">
            <v>1</v>
          </cell>
        </row>
        <row r="8614">
          <cell r="A8614" t="str">
            <v>IS_alqt_plus</v>
          </cell>
          <cell r="K8614" t="str">
            <v>EMAC</v>
          </cell>
          <cell r="M8614" t="str">
            <v>F</v>
          </cell>
          <cell r="AB8614" t="str">
            <v>WB</v>
          </cell>
          <cell r="AF8614">
            <v>1</v>
          </cell>
        </row>
        <row r="8615">
          <cell r="A8615" t="str">
            <v>IS_alqt_plus</v>
          </cell>
          <cell r="K8615" t="str">
            <v>EMAC</v>
          </cell>
          <cell r="M8615" t="str">
            <v>F</v>
          </cell>
          <cell r="AB8615" t="str">
            <v>WB</v>
          </cell>
          <cell r="AF8615">
            <v>1</v>
          </cell>
        </row>
        <row r="8616">
          <cell r="A8616" t="str">
            <v>IS_alqt_plus</v>
          </cell>
          <cell r="K8616" t="str">
            <v>EMAC</v>
          </cell>
          <cell r="M8616" t="str">
            <v>F</v>
          </cell>
          <cell r="AB8616" t="str">
            <v>WB</v>
          </cell>
          <cell r="AF8616">
            <v>1</v>
          </cell>
        </row>
        <row r="8617">
          <cell r="A8617" t="str">
            <v>IS_alqt_plus</v>
          </cell>
          <cell r="K8617" t="str">
            <v>EMAC</v>
          </cell>
          <cell r="M8617" t="str">
            <v>F</v>
          </cell>
          <cell r="AB8617" t="str">
            <v>WB</v>
          </cell>
          <cell r="AF8617">
            <v>1</v>
          </cell>
        </row>
        <row r="8618">
          <cell r="A8618" t="str">
            <v>IS_alqt_plus</v>
          </cell>
          <cell r="K8618" t="str">
            <v>EMAC</v>
          </cell>
          <cell r="M8618" t="str">
            <v>F</v>
          </cell>
          <cell r="AB8618" t="str">
            <v>WB</v>
          </cell>
          <cell r="AF8618">
            <v>1</v>
          </cell>
        </row>
        <row r="8619">
          <cell r="A8619" t="str">
            <v>IS_alqt_plus</v>
          </cell>
          <cell r="K8619" t="str">
            <v>EMAC</v>
          </cell>
          <cell r="M8619" t="str">
            <v>F</v>
          </cell>
          <cell r="AB8619" t="str">
            <v>WB</v>
          </cell>
          <cell r="AF8619">
            <v>1</v>
          </cell>
        </row>
        <row r="8620">
          <cell r="A8620" t="str">
            <v>IS_alqt_plus</v>
          </cell>
          <cell r="K8620" t="str">
            <v>EMAC</v>
          </cell>
          <cell r="M8620" t="str">
            <v>F</v>
          </cell>
          <cell r="AB8620" t="str">
            <v>WB</v>
          </cell>
          <cell r="AF8620">
            <v>1</v>
          </cell>
        </row>
        <row r="8621">
          <cell r="A8621" t="str">
            <v>IS_alqt_plus</v>
          </cell>
          <cell r="K8621" t="str">
            <v>EMAC</v>
          </cell>
          <cell r="M8621" t="str">
            <v>F</v>
          </cell>
          <cell r="AB8621" t="str">
            <v>WB</v>
          </cell>
          <cell r="AF8621">
            <v>1</v>
          </cell>
        </row>
        <row r="8622">
          <cell r="A8622" t="str">
            <v>IS_alqt_plus</v>
          </cell>
          <cell r="K8622" t="str">
            <v>EMAC</v>
          </cell>
          <cell r="M8622" t="str">
            <v>F</v>
          </cell>
          <cell r="AB8622" t="str">
            <v>WB</v>
          </cell>
          <cell r="AF8622">
            <v>1</v>
          </cell>
        </row>
        <row r="8623">
          <cell r="A8623" t="str">
            <v>IS_alqt_plus</v>
          </cell>
          <cell r="K8623" t="str">
            <v>EMAC</v>
          </cell>
          <cell r="M8623" t="str">
            <v>F</v>
          </cell>
          <cell r="AB8623" t="str">
            <v>WB</v>
          </cell>
          <cell r="AF8623">
            <v>1</v>
          </cell>
        </row>
        <row r="8624">
          <cell r="A8624" t="str">
            <v>IS_alqt_plus</v>
          </cell>
          <cell r="K8624" t="str">
            <v>EMAC</v>
          </cell>
          <cell r="M8624" t="str">
            <v>F</v>
          </cell>
          <cell r="AB8624" t="str">
            <v>WB</v>
          </cell>
          <cell r="AF8624">
            <v>1</v>
          </cell>
        </row>
        <row r="8625">
          <cell r="A8625" t="str">
            <v>IS_alqt_plus</v>
          </cell>
          <cell r="K8625" t="str">
            <v>EMAC</v>
          </cell>
          <cell r="M8625" t="str">
            <v>F</v>
          </cell>
          <cell r="AB8625" t="str">
            <v>WB</v>
          </cell>
          <cell r="AF8625">
            <v>1</v>
          </cell>
        </row>
        <row r="8626">
          <cell r="A8626" t="str">
            <v>IS_alqt_plus</v>
          </cell>
          <cell r="K8626" t="str">
            <v>EMAC</v>
          </cell>
          <cell r="M8626" t="str">
            <v>F</v>
          </cell>
          <cell r="AB8626" t="str">
            <v>WB</v>
          </cell>
          <cell r="AF8626">
            <v>1</v>
          </cell>
        </row>
        <row r="8627">
          <cell r="A8627" t="str">
            <v>IS_alqt_plus</v>
          </cell>
          <cell r="K8627" t="str">
            <v>EMAC</v>
          </cell>
          <cell r="M8627" t="str">
            <v>F</v>
          </cell>
          <cell r="AB8627" t="str">
            <v>WB</v>
          </cell>
          <cell r="AF8627">
            <v>1</v>
          </cell>
        </row>
        <row r="8628">
          <cell r="A8628" t="str">
            <v>IS_alqt_plus</v>
          </cell>
          <cell r="K8628" t="str">
            <v>EMAC</v>
          </cell>
          <cell r="M8628" t="str">
            <v>F</v>
          </cell>
          <cell r="AB8628" t="str">
            <v>WB</v>
          </cell>
          <cell r="AF8628">
            <v>1</v>
          </cell>
        </row>
        <row r="8629">
          <cell r="A8629" t="str">
            <v>IS_alqt_plus</v>
          </cell>
          <cell r="K8629" t="str">
            <v>EMAC</v>
          </cell>
          <cell r="M8629" t="str">
            <v>F</v>
          </cell>
          <cell r="AB8629" t="str">
            <v>WB</v>
          </cell>
          <cell r="AF8629">
            <v>1</v>
          </cell>
        </row>
        <row r="8630">
          <cell r="A8630" t="str">
            <v>IS_alqt_plus</v>
          </cell>
          <cell r="K8630" t="str">
            <v>EMAC</v>
          </cell>
          <cell r="M8630" t="str">
            <v>F</v>
          </cell>
          <cell r="AB8630" t="str">
            <v>WB</v>
          </cell>
          <cell r="AF8630">
            <v>1</v>
          </cell>
        </row>
        <row r="8631">
          <cell r="A8631" t="str">
            <v>IS_alqt_plus</v>
          </cell>
          <cell r="K8631" t="str">
            <v>EMAC</v>
          </cell>
          <cell r="M8631" t="str">
            <v>F</v>
          </cell>
          <cell r="AB8631" t="str">
            <v>WB</v>
          </cell>
          <cell r="AF8631">
            <v>1</v>
          </cell>
        </row>
        <row r="8632">
          <cell r="A8632" t="str">
            <v>IS_alqt_plus</v>
          </cell>
          <cell r="K8632" t="str">
            <v>EMAC</v>
          </cell>
          <cell r="M8632" t="str">
            <v>F</v>
          </cell>
          <cell r="AB8632" t="str">
            <v>WB</v>
          </cell>
          <cell r="AF8632">
            <v>1</v>
          </cell>
        </row>
        <row r="8633">
          <cell r="A8633" t="str">
            <v>IS_alqt_plus</v>
          </cell>
          <cell r="K8633" t="str">
            <v>EMAC</v>
          </cell>
          <cell r="M8633" t="str">
            <v>F</v>
          </cell>
          <cell r="AB8633" t="str">
            <v>WB</v>
          </cell>
          <cell r="AF8633">
            <v>1</v>
          </cell>
        </row>
        <row r="8634">
          <cell r="A8634" t="str">
            <v>IS_alqt_plus</v>
          </cell>
          <cell r="K8634" t="str">
            <v>EMAC</v>
          </cell>
          <cell r="M8634" t="str">
            <v>F</v>
          </cell>
          <cell r="AB8634" t="str">
            <v>WB</v>
          </cell>
          <cell r="AF8634">
            <v>1</v>
          </cell>
        </row>
        <row r="8635">
          <cell r="A8635" t="str">
            <v>IS_alqt_plus</v>
          </cell>
          <cell r="K8635" t="str">
            <v>EMAC</v>
          </cell>
          <cell r="M8635" t="str">
            <v>F</v>
          </cell>
          <cell r="AB8635" t="str">
            <v>WB</v>
          </cell>
          <cell r="AF8635">
            <v>1</v>
          </cell>
        </row>
        <row r="8636">
          <cell r="A8636" t="str">
            <v>IS_alqt_plus</v>
          </cell>
          <cell r="K8636" t="str">
            <v>EMAC</v>
          </cell>
          <cell r="M8636" t="str">
            <v>F</v>
          </cell>
          <cell r="AB8636" t="str">
            <v>WB</v>
          </cell>
          <cell r="AF8636">
            <v>1</v>
          </cell>
        </row>
        <row r="8637">
          <cell r="A8637" t="str">
            <v>IS_alqt_plus</v>
          </cell>
          <cell r="K8637" t="str">
            <v>EMAC</v>
          </cell>
          <cell r="M8637" t="str">
            <v>F</v>
          </cell>
          <cell r="AB8637" t="str">
            <v>WB</v>
          </cell>
          <cell r="AF8637">
            <v>1</v>
          </cell>
        </row>
        <row r="8638">
          <cell r="A8638" t="str">
            <v>IS_alqt_plus</v>
          </cell>
          <cell r="K8638" t="str">
            <v>EMAC</v>
          </cell>
          <cell r="M8638" t="str">
            <v>F</v>
          </cell>
          <cell r="AB8638" t="str">
            <v>WB</v>
          </cell>
          <cell r="AF8638">
            <v>1</v>
          </cell>
        </row>
        <row r="8639">
          <cell r="A8639" t="str">
            <v>IS_alqt_plus</v>
          </cell>
          <cell r="K8639" t="str">
            <v>EMAC</v>
          </cell>
          <cell r="M8639" t="str">
            <v>F</v>
          </cell>
          <cell r="AB8639" t="str">
            <v>WB</v>
          </cell>
          <cell r="AF8639">
            <v>1</v>
          </cell>
        </row>
        <row r="8640">
          <cell r="A8640" t="str">
            <v>IS_alqt_plus</v>
          </cell>
          <cell r="K8640" t="str">
            <v>EMAC</v>
          </cell>
          <cell r="M8640" t="str">
            <v>F</v>
          </cell>
          <cell r="AB8640" t="str">
            <v>WB</v>
          </cell>
          <cell r="AF8640">
            <v>1</v>
          </cell>
        </row>
        <row r="8641">
          <cell r="A8641" t="str">
            <v>IS_alqt_plus</v>
          </cell>
          <cell r="K8641" t="str">
            <v>EMAC</v>
          </cell>
          <cell r="M8641" t="str">
            <v>F</v>
          </cell>
          <cell r="AB8641" t="str">
            <v>WB</v>
          </cell>
          <cell r="AF8641">
            <v>1</v>
          </cell>
        </row>
        <row r="8642">
          <cell r="A8642" t="str">
            <v>IS_alqt_plus</v>
          </cell>
          <cell r="K8642" t="str">
            <v>EMAC</v>
          </cell>
          <cell r="M8642" t="str">
            <v>F</v>
          </cell>
          <cell r="AB8642" t="str">
            <v>WB</v>
          </cell>
          <cell r="AF8642">
            <v>1</v>
          </cell>
        </row>
        <row r="8643">
          <cell r="A8643" t="str">
            <v>IS_alqt_plus</v>
          </cell>
          <cell r="K8643" t="str">
            <v>EMAC</v>
          </cell>
          <cell r="M8643" t="str">
            <v>F</v>
          </cell>
          <cell r="AB8643" t="str">
            <v>WB</v>
          </cell>
          <cell r="AF8643">
            <v>1</v>
          </cell>
        </row>
        <row r="8644">
          <cell r="A8644" t="str">
            <v>IS_alqt_plus</v>
          </cell>
          <cell r="K8644" t="str">
            <v>EMAC</v>
          </cell>
          <cell r="M8644" t="str">
            <v>F</v>
          </cell>
          <cell r="AB8644" t="str">
            <v>WB</v>
          </cell>
          <cell r="AF8644">
            <v>1</v>
          </cell>
        </row>
        <row r="8645">
          <cell r="A8645" t="str">
            <v>IS_alqt_plus</v>
          </cell>
          <cell r="K8645" t="str">
            <v>EMAC</v>
          </cell>
          <cell r="M8645" t="str">
            <v>F</v>
          </cell>
          <cell r="AB8645" t="str">
            <v>WB</v>
          </cell>
          <cell r="AF8645">
            <v>1</v>
          </cell>
        </row>
        <row r="8646">
          <cell r="A8646" t="str">
            <v>IS_alqt_plus</v>
          </cell>
          <cell r="K8646" t="str">
            <v>EMAC</v>
          </cell>
          <cell r="M8646" t="str">
            <v>F</v>
          </cell>
          <cell r="AB8646" t="str">
            <v>WB</v>
          </cell>
          <cell r="AF8646">
            <v>1</v>
          </cell>
        </row>
        <row r="8647">
          <cell r="A8647" t="str">
            <v>IS_alqt_plus</v>
          </cell>
          <cell r="K8647" t="str">
            <v>EMAC</v>
          </cell>
          <cell r="M8647" t="str">
            <v>F</v>
          </cell>
          <cell r="AB8647" t="str">
            <v>WB</v>
          </cell>
          <cell r="AF8647">
            <v>1</v>
          </cell>
        </row>
        <row r="8648">
          <cell r="A8648" t="str">
            <v>IS_alqt_plus</v>
          </cell>
          <cell r="K8648" t="str">
            <v>EMAC</v>
          </cell>
          <cell r="M8648" t="str">
            <v>F</v>
          </cell>
          <cell r="AB8648" t="str">
            <v>WB</v>
          </cell>
          <cell r="AF8648">
            <v>1</v>
          </cell>
        </row>
        <row r="8649">
          <cell r="A8649" t="str">
            <v>IS_alqt_plus</v>
          </cell>
          <cell r="K8649" t="str">
            <v>EMAC</v>
          </cell>
          <cell r="M8649" t="str">
            <v>F</v>
          </cell>
          <cell r="AB8649" t="str">
            <v>WB</v>
          </cell>
          <cell r="AF8649">
            <v>1</v>
          </cell>
        </row>
        <row r="8650">
          <cell r="A8650" t="str">
            <v>IS_alqt_plus</v>
          </cell>
          <cell r="K8650" t="str">
            <v>EMAC</v>
          </cell>
          <cell r="M8650" t="str">
            <v>F</v>
          </cell>
          <cell r="AB8650" t="str">
            <v>WB</v>
          </cell>
          <cell r="AF8650">
            <v>0.2</v>
          </cell>
        </row>
        <row r="8651">
          <cell r="A8651" t="str">
            <v>IS_alqt_plus</v>
          </cell>
          <cell r="K8651" t="str">
            <v>EMAC</v>
          </cell>
          <cell r="M8651" t="str">
            <v>F</v>
          </cell>
          <cell r="AB8651" t="str">
            <v>WB</v>
          </cell>
          <cell r="AF8651">
            <v>0.2</v>
          </cell>
        </row>
        <row r="8652">
          <cell r="A8652" t="str">
            <v>IS_alqt_plus</v>
          </cell>
          <cell r="K8652" t="str">
            <v>EMAC</v>
          </cell>
          <cell r="M8652" t="str">
            <v>F</v>
          </cell>
          <cell r="AB8652" t="str">
            <v>WB</v>
          </cell>
          <cell r="AF8652">
            <v>0.2</v>
          </cell>
        </row>
        <row r="8653">
          <cell r="A8653" t="str">
            <v>unk</v>
          </cell>
          <cell r="K8653" t="str">
            <v>EMAC</v>
          </cell>
          <cell r="M8653" t="str">
            <v>F</v>
          </cell>
          <cell r="AB8653" t="str">
            <v>WB</v>
          </cell>
          <cell r="AF8653">
            <v>0.2</v>
          </cell>
        </row>
        <row r="8654">
          <cell r="A8654" t="str">
            <v>IS_alqt_plus</v>
          </cell>
          <cell r="K8654" t="str">
            <v>ECOR</v>
          </cell>
          <cell r="M8654" t="str">
            <v>M</v>
          </cell>
          <cell r="AB8654" t="str">
            <v>serum</v>
          </cell>
          <cell r="AF8654">
            <v>1.2</v>
          </cell>
        </row>
        <row r="8655">
          <cell r="A8655" t="str">
            <v>IS_alqt_plus</v>
          </cell>
          <cell r="K8655" t="str">
            <v>ECOR</v>
          </cell>
          <cell r="M8655" t="str">
            <v>M</v>
          </cell>
          <cell r="AB8655" t="str">
            <v>serum</v>
          </cell>
          <cell r="AF8655">
            <v>1.2</v>
          </cell>
        </row>
        <row r="8656">
          <cell r="A8656" t="str">
            <v>IS_alqt_plus</v>
          </cell>
          <cell r="K8656" t="str">
            <v>ECOR</v>
          </cell>
          <cell r="M8656" t="str">
            <v>M</v>
          </cell>
          <cell r="AB8656" t="str">
            <v>serum</v>
          </cell>
          <cell r="AF8656">
            <v>1.2</v>
          </cell>
        </row>
        <row r="8657">
          <cell r="A8657" t="str">
            <v>IS_alqt_plus</v>
          </cell>
          <cell r="K8657" t="str">
            <v>ECOR</v>
          </cell>
          <cell r="M8657" t="str">
            <v>M</v>
          </cell>
          <cell r="AB8657" t="str">
            <v>serum</v>
          </cell>
          <cell r="AF8657">
            <v>1.2</v>
          </cell>
        </row>
        <row r="8658">
          <cell r="A8658" t="str">
            <v>IS_alqt_plus</v>
          </cell>
          <cell r="K8658" t="str">
            <v>ECOR</v>
          </cell>
          <cell r="M8658" t="str">
            <v>M</v>
          </cell>
          <cell r="AB8658" t="str">
            <v>serum</v>
          </cell>
          <cell r="AF8658">
            <v>0.8</v>
          </cell>
        </row>
        <row r="8659">
          <cell r="A8659" t="str">
            <v>IS_alqt_plus</v>
          </cell>
          <cell r="K8659" t="str">
            <v>ECOR</v>
          </cell>
          <cell r="M8659" t="str">
            <v>M</v>
          </cell>
          <cell r="AB8659" t="str">
            <v>serum</v>
          </cell>
          <cell r="AF8659">
            <v>1</v>
          </cell>
        </row>
        <row r="8660">
          <cell r="A8660" t="str">
            <v>IS_alqt_plus</v>
          </cell>
          <cell r="K8660" t="str">
            <v>ECOR</v>
          </cell>
          <cell r="M8660" t="str">
            <v>M</v>
          </cell>
          <cell r="AB8660" t="str">
            <v>serum</v>
          </cell>
          <cell r="AF8660">
            <v>1.3</v>
          </cell>
        </row>
        <row r="8661">
          <cell r="A8661" t="str">
            <v>IS_alqt_plus</v>
          </cell>
          <cell r="K8661" t="str">
            <v>ECOR</v>
          </cell>
          <cell r="M8661" t="str">
            <v>M</v>
          </cell>
          <cell r="AB8661" t="str">
            <v>serum</v>
          </cell>
          <cell r="AF8661">
            <v>1</v>
          </cell>
        </row>
        <row r="8662">
          <cell r="A8662" t="str">
            <v>IS_alqt_plus</v>
          </cell>
          <cell r="K8662" t="str">
            <v>ECOR</v>
          </cell>
          <cell r="M8662" t="str">
            <v>M</v>
          </cell>
          <cell r="AB8662" t="str">
            <v>serum</v>
          </cell>
          <cell r="AF8662">
            <v>1.2</v>
          </cell>
        </row>
        <row r="8663">
          <cell r="A8663" t="str">
            <v>IS_alqt_plus</v>
          </cell>
          <cell r="K8663" t="str">
            <v>ECOR</v>
          </cell>
          <cell r="M8663" t="str">
            <v>M</v>
          </cell>
          <cell r="AB8663" t="str">
            <v>serum</v>
          </cell>
          <cell r="AF8663">
            <v>1.2</v>
          </cell>
        </row>
        <row r="8664">
          <cell r="A8664" t="str">
            <v>IS_alqt_plus</v>
          </cell>
          <cell r="K8664" t="str">
            <v>ECOR</v>
          </cell>
          <cell r="M8664" t="str">
            <v>M</v>
          </cell>
          <cell r="AB8664" t="str">
            <v>serum</v>
          </cell>
          <cell r="AF8664">
            <v>1</v>
          </cell>
        </row>
        <row r="8665">
          <cell r="A8665" t="str">
            <v>IS_alqt_plus</v>
          </cell>
          <cell r="K8665" t="str">
            <v>ECOR</v>
          </cell>
          <cell r="M8665" t="str">
            <v>M</v>
          </cell>
          <cell r="AB8665" t="str">
            <v>serum</v>
          </cell>
          <cell r="AF8665">
            <v>1</v>
          </cell>
        </row>
        <row r="8666">
          <cell r="A8666" t="str">
            <v>IS_alqt_plus</v>
          </cell>
          <cell r="K8666" t="str">
            <v>ECOR</v>
          </cell>
          <cell r="M8666" t="str">
            <v>M</v>
          </cell>
          <cell r="AB8666" t="str">
            <v>WB</v>
          </cell>
          <cell r="AF8666">
            <v>1</v>
          </cell>
        </row>
        <row r="8667">
          <cell r="A8667" t="str">
            <v>IS_alqt_plus</v>
          </cell>
          <cell r="K8667" t="str">
            <v>ECOR</v>
          </cell>
          <cell r="M8667" t="str">
            <v>M</v>
          </cell>
          <cell r="AB8667" t="str">
            <v>WB</v>
          </cell>
          <cell r="AF8667">
            <v>1</v>
          </cell>
        </row>
        <row r="8668">
          <cell r="A8668" t="str">
            <v>IS_alqt_plus</v>
          </cell>
          <cell r="K8668" t="str">
            <v>ECOR</v>
          </cell>
          <cell r="M8668" t="str">
            <v>M</v>
          </cell>
          <cell r="AB8668" t="str">
            <v>WB</v>
          </cell>
          <cell r="AF8668">
            <v>1.2</v>
          </cell>
        </row>
        <row r="8669">
          <cell r="A8669" t="str">
            <v>IS_alqt_plus</v>
          </cell>
          <cell r="K8669" t="str">
            <v>ECOR</v>
          </cell>
          <cell r="M8669" t="str">
            <v>M</v>
          </cell>
          <cell r="AB8669" t="str">
            <v>WB</v>
          </cell>
          <cell r="AF8669">
            <v>1</v>
          </cell>
        </row>
        <row r="8670">
          <cell r="A8670" t="str">
            <v>IS_alqt_plus</v>
          </cell>
          <cell r="K8670" t="str">
            <v>ECOR</v>
          </cell>
          <cell r="M8670" t="str">
            <v>M</v>
          </cell>
          <cell r="AB8670" t="str">
            <v>WB</v>
          </cell>
          <cell r="AF8670">
            <v>1.2</v>
          </cell>
        </row>
        <row r="8671">
          <cell r="A8671" t="str">
            <v>IS_alqt_plus</v>
          </cell>
          <cell r="K8671" t="str">
            <v>ECOR</v>
          </cell>
          <cell r="M8671" t="str">
            <v>M</v>
          </cell>
          <cell r="AB8671" t="str">
            <v>WB</v>
          </cell>
          <cell r="AF8671">
            <v>1</v>
          </cell>
        </row>
        <row r="8672">
          <cell r="A8672" t="str">
            <v>IS_alqt_plus</v>
          </cell>
          <cell r="K8672" t="str">
            <v>ECOR</v>
          </cell>
          <cell r="M8672" t="str">
            <v>M</v>
          </cell>
          <cell r="AB8672" t="str">
            <v>WB</v>
          </cell>
          <cell r="AF8672">
            <v>1</v>
          </cell>
        </row>
        <row r="8673">
          <cell r="A8673" t="str">
            <v>IS_alqt_plus</v>
          </cell>
          <cell r="K8673" t="str">
            <v>ECOR</v>
          </cell>
          <cell r="M8673" t="str">
            <v>M</v>
          </cell>
          <cell r="AB8673" t="str">
            <v>WB</v>
          </cell>
          <cell r="AF8673">
            <v>1</v>
          </cell>
        </row>
        <row r="8674">
          <cell r="A8674" t="str">
            <v>IS_alqt_plus</v>
          </cell>
          <cell r="K8674" t="str">
            <v>ECOR</v>
          </cell>
          <cell r="M8674" t="str">
            <v>M</v>
          </cell>
          <cell r="AB8674" t="str">
            <v>WB</v>
          </cell>
          <cell r="AF8674">
            <v>1</v>
          </cell>
        </row>
        <row r="8675">
          <cell r="A8675" t="str">
            <v>IS_alqt_plus</v>
          </cell>
          <cell r="K8675" t="str">
            <v>ECOR</v>
          </cell>
          <cell r="M8675" t="str">
            <v>M</v>
          </cell>
          <cell r="AB8675" t="str">
            <v>WB</v>
          </cell>
          <cell r="AF8675">
            <v>1</v>
          </cell>
        </row>
        <row r="8676">
          <cell r="A8676" t="str">
            <v>IS_alqt_plus</v>
          </cell>
          <cell r="K8676" t="str">
            <v>ECOR</v>
          </cell>
          <cell r="M8676" t="str">
            <v>M</v>
          </cell>
          <cell r="AB8676" t="str">
            <v>WB</v>
          </cell>
          <cell r="AF8676">
            <v>1</v>
          </cell>
        </row>
        <row r="8677">
          <cell r="A8677" t="str">
            <v>gone</v>
          </cell>
          <cell r="K8677" t="str">
            <v>ECOR</v>
          </cell>
          <cell r="M8677" t="str">
            <v>M</v>
          </cell>
          <cell r="AB8677" t="str">
            <v>WB</v>
          </cell>
          <cell r="AF8677">
            <v>0</v>
          </cell>
        </row>
        <row r="8678">
          <cell r="A8678" t="str">
            <v>IS_alqt_plus</v>
          </cell>
          <cell r="K8678" t="str">
            <v>ECOR</v>
          </cell>
          <cell r="M8678" t="str">
            <v>M</v>
          </cell>
          <cell r="AB8678" t="str">
            <v>WB</v>
          </cell>
          <cell r="AF8678">
            <v>1.5</v>
          </cell>
        </row>
        <row r="8679">
          <cell r="A8679" t="str">
            <v>IS_alqt_plus</v>
          </cell>
          <cell r="K8679" t="str">
            <v>ECOR</v>
          </cell>
          <cell r="M8679" t="str">
            <v>M</v>
          </cell>
          <cell r="AB8679" t="str">
            <v>WB</v>
          </cell>
          <cell r="AF8679">
            <v>1</v>
          </cell>
        </row>
        <row r="8680">
          <cell r="A8680" t="str">
            <v>IS_alqt_plus</v>
          </cell>
          <cell r="K8680" t="str">
            <v>ECOR</v>
          </cell>
          <cell r="M8680" t="str">
            <v>M</v>
          </cell>
          <cell r="AB8680" t="str">
            <v>WB</v>
          </cell>
          <cell r="AF8680">
            <v>1.5</v>
          </cell>
        </row>
        <row r="8681">
          <cell r="A8681" t="str">
            <v>IS_alqt_plus</v>
          </cell>
          <cell r="K8681" t="str">
            <v>ECOR</v>
          </cell>
          <cell r="M8681" t="str">
            <v>M</v>
          </cell>
          <cell r="AB8681" t="str">
            <v>WB</v>
          </cell>
          <cell r="AF8681">
            <v>1.5</v>
          </cell>
        </row>
        <row r="8682">
          <cell r="A8682" t="str">
            <v>IS_alqt_plus</v>
          </cell>
          <cell r="K8682" t="str">
            <v>ECOR</v>
          </cell>
          <cell r="M8682" t="str">
            <v>M</v>
          </cell>
          <cell r="AB8682" t="str">
            <v>WB</v>
          </cell>
          <cell r="AF8682">
            <v>1</v>
          </cell>
        </row>
        <row r="8683">
          <cell r="A8683" t="str">
            <v>IS_alqt_plus</v>
          </cell>
          <cell r="K8683" t="str">
            <v>ECOR</v>
          </cell>
          <cell r="M8683" t="str">
            <v>M</v>
          </cell>
          <cell r="AB8683" t="str">
            <v>WB</v>
          </cell>
          <cell r="AF8683">
            <v>1</v>
          </cell>
        </row>
        <row r="8684">
          <cell r="A8684" t="str">
            <v>IS_alqt_plus</v>
          </cell>
          <cell r="K8684" t="str">
            <v>ECOR</v>
          </cell>
          <cell r="M8684" t="str">
            <v>M</v>
          </cell>
          <cell r="AB8684" t="str">
            <v>WB</v>
          </cell>
          <cell r="AF8684">
            <v>1</v>
          </cell>
        </row>
        <row r="8685">
          <cell r="A8685" t="str">
            <v>IS_alqt_plus</v>
          </cell>
          <cell r="K8685" t="str">
            <v>ECOR</v>
          </cell>
          <cell r="M8685" t="str">
            <v>M</v>
          </cell>
          <cell r="AB8685" t="str">
            <v>WB</v>
          </cell>
          <cell r="AF8685">
            <v>1</v>
          </cell>
        </row>
        <row r="8686">
          <cell r="A8686" t="str">
            <v>IS_alqt_plus</v>
          </cell>
          <cell r="K8686" t="str">
            <v>ECOR</v>
          </cell>
          <cell r="M8686" t="str">
            <v>M</v>
          </cell>
          <cell r="AB8686" t="str">
            <v>WB</v>
          </cell>
          <cell r="AF8686">
            <v>1</v>
          </cell>
        </row>
        <row r="8687">
          <cell r="A8687" t="str">
            <v>IS_alqt_plus</v>
          </cell>
          <cell r="K8687" t="str">
            <v>ECOR</v>
          </cell>
          <cell r="M8687" t="str">
            <v>M</v>
          </cell>
          <cell r="AB8687" t="str">
            <v>WB</v>
          </cell>
          <cell r="AF8687">
            <v>1</v>
          </cell>
        </row>
        <row r="8688">
          <cell r="A8688" t="str">
            <v>IS_alqt_plus</v>
          </cell>
          <cell r="K8688" t="str">
            <v>ECOR</v>
          </cell>
          <cell r="M8688" t="str">
            <v>M</v>
          </cell>
          <cell r="AB8688" t="str">
            <v>WB</v>
          </cell>
          <cell r="AF8688">
            <v>1</v>
          </cell>
        </row>
        <row r="8689">
          <cell r="A8689" t="str">
            <v>IS_alqt_plus</v>
          </cell>
          <cell r="K8689" t="str">
            <v>ECOR</v>
          </cell>
          <cell r="M8689" t="str">
            <v>M</v>
          </cell>
          <cell r="AB8689" t="str">
            <v>WB</v>
          </cell>
          <cell r="AF8689">
            <v>1</v>
          </cell>
        </row>
        <row r="8690">
          <cell r="A8690" t="str">
            <v>IS_alqt_plus</v>
          </cell>
          <cell r="K8690" t="str">
            <v>ECOR</v>
          </cell>
          <cell r="M8690" t="str">
            <v>M</v>
          </cell>
          <cell r="AB8690" t="str">
            <v>WB</v>
          </cell>
          <cell r="AF8690">
            <v>1.2</v>
          </cell>
        </row>
        <row r="8691">
          <cell r="A8691" t="str">
            <v>IS_alqt_plus</v>
          </cell>
          <cell r="K8691" t="str">
            <v>ECOR</v>
          </cell>
          <cell r="M8691" t="str">
            <v>M</v>
          </cell>
          <cell r="AB8691" t="str">
            <v>WB</v>
          </cell>
          <cell r="AF8691">
            <v>1.5</v>
          </cell>
        </row>
        <row r="8692">
          <cell r="A8692" t="str">
            <v>IS_alqt_plus</v>
          </cell>
          <cell r="K8692" t="str">
            <v>ECOR</v>
          </cell>
          <cell r="M8692" t="str">
            <v>M</v>
          </cell>
          <cell r="AB8692" t="str">
            <v>WB</v>
          </cell>
          <cell r="AF8692">
            <v>1.5</v>
          </cell>
        </row>
        <row r="8693">
          <cell r="A8693" t="str">
            <v>IS_alqt_plus</v>
          </cell>
          <cell r="K8693" t="str">
            <v>ECOR</v>
          </cell>
          <cell r="M8693" t="str">
            <v>M</v>
          </cell>
          <cell r="AB8693" t="str">
            <v>WB</v>
          </cell>
          <cell r="AF8693">
            <v>1.5</v>
          </cell>
        </row>
        <row r="8694">
          <cell r="A8694" t="str">
            <v>IS_alqt_plus</v>
          </cell>
          <cell r="K8694" t="str">
            <v>VRUB</v>
          </cell>
          <cell r="M8694" t="str">
            <v>F</v>
          </cell>
          <cell r="AB8694" t="str">
            <v>WB</v>
          </cell>
          <cell r="AF8694">
            <v>1</v>
          </cell>
        </row>
        <row r="8695">
          <cell r="A8695" t="str">
            <v>IS_alqt_plus</v>
          </cell>
          <cell r="K8695" t="str">
            <v>PCOQ</v>
          </cell>
          <cell r="M8695" t="str">
            <v>M</v>
          </cell>
          <cell r="AB8695" t="str">
            <v>WB</v>
          </cell>
          <cell r="AF8695">
            <v>0.2</v>
          </cell>
        </row>
        <row r="8696">
          <cell r="A8696" t="str">
            <v>IS_alqt_plus</v>
          </cell>
          <cell r="K8696" t="str">
            <v>PCOQ</v>
          </cell>
          <cell r="M8696" t="str">
            <v>M</v>
          </cell>
          <cell r="AB8696" t="str">
            <v>serum</v>
          </cell>
          <cell r="AF8696">
            <v>0.8</v>
          </cell>
        </row>
        <row r="8697">
          <cell r="A8697" t="str">
            <v>IS_alqt_plus</v>
          </cell>
          <cell r="K8697" t="str">
            <v>PCOQ</v>
          </cell>
          <cell r="M8697" t="str">
            <v>F</v>
          </cell>
          <cell r="AB8697" t="str">
            <v>serum</v>
          </cell>
          <cell r="AF8697">
            <v>1</v>
          </cell>
        </row>
        <row r="8698">
          <cell r="A8698" t="str">
            <v>IS_alqt_plus</v>
          </cell>
          <cell r="K8698" t="str">
            <v>PCOQ</v>
          </cell>
          <cell r="M8698" t="str">
            <v>M</v>
          </cell>
          <cell r="AB8698" t="str">
            <v>WB</v>
          </cell>
          <cell r="AF8698">
            <v>0.2</v>
          </cell>
        </row>
        <row r="8699">
          <cell r="A8699" t="str">
            <v>IS_alqt_plus</v>
          </cell>
          <cell r="K8699" t="str">
            <v>PCOQ</v>
          </cell>
          <cell r="M8699" t="str">
            <v>M</v>
          </cell>
          <cell r="AB8699" t="str">
            <v>WB</v>
          </cell>
          <cell r="AF8699">
            <v>0.2</v>
          </cell>
        </row>
        <row r="8700">
          <cell r="A8700" t="str">
            <v>IS_alqt_plus</v>
          </cell>
          <cell r="K8700" t="str">
            <v>PCOQ</v>
          </cell>
          <cell r="M8700" t="str">
            <v>F</v>
          </cell>
          <cell r="AB8700" t="str">
            <v>serum</v>
          </cell>
          <cell r="AF8700">
            <v>0.5</v>
          </cell>
        </row>
        <row r="8701">
          <cell r="A8701" t="str">
            <v>IS_alqt_plus</v>
          </cell>
          <cell r="K8701" t="str">
            <v>PCOQ</v>
          </cell>
          <cell r="M8701" t="str">
            <v>M</v>
          </cell>
          <cell r="AB8701" t="str">
            <v>WB</v>
          </cell>
          <cell r="AF8701">
            <v>0.2</v>
          </cell>
        </row>
        <row r="8702">
          <cell r="A8702" t="str">
            <v>IS_alqt_plus</v>
          </cell>
          <cell r="K8702" t="str">
            <v>PCOQ</v>
          </cell>
          <cell r="M8702" t="str">
            <v>M</v>
          </cell>
          <cell r="AB8702" t="str">
            <v>WB</v>
          </cell>
          <cell r="AF8702">
            <v>0.2</v>
          </cell>
        </row>
        <row r="8703">
          <cell r="A8703" t="str">
            <v>IS_alqt_plus</v>
          </cell>
          <cell r="K8703" t="str">
            <v>PCOQ</v>
          </cell>
          <cell r="M8703" t="str">
            <v>M</v>
          </cell>
          <cell r="AB8703" t="str">
            <v>WB</v>
          </cell>
          <cell r="AF8703">
            <v>0.2</v>
          </cell>
        </row>
        <row r="8704">
          <cell r="A8704" t="str">
            <v>unk</v>
          </cell>
          <cell r="K8704" t="str">
            <v>PCOQ</v>
          </cell>
          <cell r="M8704" t="str">
            <v>F</v>
          </cell>
          <cell r="AB8704" t="str">
            <v>WB</v>
          </cell>
          <cell r="AF8704">
            <v>1.5</v>
          </cell>
        </row>
        <row r="8705">
          <cell r="A8705" t="str">
            <v>IS_alqt_plus</v>
          </cell>
          <cell r="K8705" t="str">
            <v>PCOQ</v>
          </cell>
          <cell r="M8705" t="str">
            <v>M</v>
          </cell>
          <cell r="AB8705" t="str">
            <v>WB</v>
          </cell>
          <cell r="AF8705">
            <v>0.8</v>
          </cell>
        </row>
        <row r="8706">
          <cell r="A8706" t="str">
            <v>IS_alqt_plus</v>
          </cell>
          <cell r="K8706" t="str">
            <v>PCOQ</v>
          </cell>
          <cell r="M8706" t="str">
            <v>F</v>
          </cell>
          <cell r="AB8706" t="str">
            <v>WB</v>
          </cell>
          <cell r="AF8706">
            <v>0.25</v>
          </cell>
        </row>
        <row r="8707">
          <cell r="A8707" t="str">
            <v>IS_alqt_plus</v>
          </cell>
          <cell r="K8707" t="str">
            <v>PCOQ</v>
          </cell>
          <cell r="M8707" t="str">
            <v>F</v>
          </cell>
          <cell r="AB8707" t="str">
            <v>WB</v>
          </cell>
          <cell r="AF8707">
            <v>1</v>
          </cell>
        </row>
        <row r="8708">
          <cell r="A8708" t="str">
            <v>IS_alqt_plus</v>
          </cell>
          <cell r="K8708" t="str">
            <v>PCOQ</v>
          </cell>
          <cell r="M8708" t="str">
            <v>M</v>
          </cell>
          <cell r="AB8708" t="str">
            <v>WB</v>
          </cell>
          <cell r="AF8708">
            <v>0.2</v>
          </cell>
        </row>
        <row r="8709">
          <cell r="A8709" t="str">
            <v>gone</v>
          </cell>
          <cell r="K8709" t="str">
            <v>PCOQ</v>
          </cell>
          <cell r="M8709" t="str">
            <v>F</v>
          </cell>
          <cell r="AB8709" t="str">
            <v>WB</v>
          </cell>
          <cell r="AF8709">
            <v>0</v>
          </cell>
        </row>
        <row r="8710">
          <cell r="A8710" t="str">
            <v>IS_alqt_plus</v>
          </cell>
          <cell r="K8710" t="str">
            <v>PCOQ</v>
          </cell>
          <cell r="M8710" t="str">
            <v>M</v>
          </cell>
          <cell r="AB8710" t="str">
            <v>WB</v>
          </cell>
          <cell r="AF8710">
            <v>0.75</v>
          </cell>
        </row>
        <row r="8711">
          <cell r="A8711" t="str">
            <v>IS_alqt_plus</v>
          </cell>
          <cell r="K8711" t="str">
            <v>PCOQ</v>
          </cell>
          <cell r="M8711" t="str">
            <v>F</v>
          </cell>
          <cell r="AB8711" t="str">
            <v>WB</v>
          </cell>
          <cell r="AF8711">
            <v>0.7</v>
          </cell>
        </row>
        <row r="8712">
          <cell r="A8712" t="str">
            <v>IS_alqt_plus</v>
          </cell>
          <cell r="K8712" t="str">
            <v>PCOQ</v>
          </cell>
          <cell r="M8712" t="str">
            <v>F</v>
          </cell>
          <cell r="AB8712" t="str">
            <v>WB</v>
          </cell>
          <cell r="AF8712">
            <v>0.6</v>
          </cell>
        </row>
        <row r="8713">
          <cell r="A8713" t="str">
            <v>IS_alqt_plus</v>
          </cell>
          <cell r="K8713" t="str">
            <v>PCOQ</v>
          </cell>
          <cell r="M8713" t="str">
            <v>F</v>
          </cell>
          <cell r="AB8713" t="str">
            <v>WB</v>
          </cell>
          <cell r="AF8713">
            <v>0.75</v>
          </cell>
        </row>
        <row r="8714">
          <cell r="A8714" t="str">
            <v>IS_alqt_plus</v>
          </cell>
          <cell r="K8714" t="str">
            <v>PCOQ</v>
          </cell>
          <cell r="M8714" t="str">
            <v>F</v>
          </cell>
          <cell r="AB8714" t="str">
            <v>WB</v>
          </cell>
          <cell r="AF8714">
            <v>0.8</v>
          </cell>
        </row>
        <row r="8715">
          <cell r="A8715" t="str">
            <v>IS_alqt_plus</v>
          </cell>
          <cell r="K8715" t="str">
            <v>PCOQ</v>
          </cell>
          <cell r="M8715" t="str">
            <v>F</v>
          </cell>
          <cell r="AB8715" t="str">
            <v>WB</v>
          </cell>
          <cell r="AF8715">
            <v>0.75</v>
          </cell>
        </row>
        <row r="8716">
          <cell r="A8716" t="str">
            <v>IS_alqt_plus</v>
          </cell>
          <cell r="K8716" t="str">
            <v>PCOQ</v>
          </cell>
          <cell r="M8716" t="str">
            <v>F</v>
          </cell>
          <cell r="AB8716" t="str">
            <v>WB</v>
          </cell>
          <cell r="AF8716">
            <v>0.6</v>
          </cell>
        </row>
        <row r="8717">
          <cell r="A8717" t="str">
            <v>IS_alqt_plus</v>
          </cell>
          <cell r="K8717" t="str">
            <v>PCOQ</v>
          </cell>
          <cell r="M8717" t="str">
            <v>F</v>
          </cell>
          <cell r="AB8717" t="str">
            <v>WB</v>
          </cell>
          <cell r="AF8717">
            <v>0.75</v>
          </cell>
        </row>
        <row r="8718">
          <cell r="A8718" t="str">
            <v>IS_alqt_plus</v>
          </cell>
          <cell r="K8718" t="str">
            <v>PCOQ</v>
          </cell>
          <cell r="M8718" t="str">
            <v>F</v>
          </cell>
          <cell r="AB8718" t="str">
            <v>WB</v>
          </cell>
          <cell r="AF8718">
            <v>0.5</v>
          </cell>
        </row>
        <row r="8719">
          <cell r="A8719" t="str">
            <v>IS_alqt_plus</v>
          </cell>
          <cell r="K8719" t="str">
            <v>PCOQ</v>
          </cell>
          <cell r="M8719" t="str">
            <v>F</v>
          </cell>
          <cell r="AB8719" t="str">
            <v>WB</v>
          </cell>
          <cell r="AF8719">
            <v>0.3</v>
          </cell>
        </row>
        <row r="8720">
          <cell r="A8720" t="str">
            <v>on hold</v>
          </cell>
          <cell r="K8720" t="str">
            <v>PCOQ</v>
          </cell>
          <cell r="M8720" t="str">
            <v>F</v>
          </cell>
          <cell r="AB8720" t="str">
            <v>WB</v>
          </cell>
          <cell r="AF8720">
            <v>0.5</v>
          </cell>
        </row>
        <row r="8721">
          <cell r="A8721" t="str">
            <v>unk</v>
          </cell>
          <cell r="K8721" t="str">
            <v>PCOQ</v>
          </cell>
          <cell r="M8721" t="str">
            <v>F</v>
          </cell>
          <cell r="AB8721" t="str">
            <v>WB</v>
          </cell>
          <cell r="AF8721">
            <v>1.5</v>
          </cell>
        </row>
        <row r="8722">
          <cell r="A8722" t="str">
            <v>IS_alqt_plus</v>
          </cell>
          <cell r="K8722" t="str">
            <v>PCOQ</v>
          </cell>
          <cell r="M8722" t="str">
            <v>M</v>
          </cell>
          <cell r="AB8722" t="str">
            <v>WB</v>
          </cell>
          <cell r="AF8722">
            <v>0.75</v>
          </cell>
        </row>
        <row r="8723">
          <cell r="A8723" t="str">
            <v>IS_alqt_plus</v>
          </cell>
          <cell r="K8723" t="str">
            <v>VRUB</v>
          </cell>
          <cell r="M8723" t="str">
            <v>M</v>
          </cell>
          <cell r="AB8723" t="str">
            <v>WB</v>
          </cell>
          <cell r="AF8723">
            <v>0.8</v>
          </cell>
        </row>
        <row r="8724">
          <cell r="A8724" t="str">
            <v>IS_alqt_plus</v>
          </cell>
          <cell r="K8724" t="str">
            <v>PCOQ</v>
          </cell>
          <cell r="M8724" t="str">
            <v>F</v>
          </cell>
          <cell r="AB8724" t="str">
            <v>serum</v>
          </cell>
          <cell r="AF8724">
            <v>1.1000000000000001</v>
          </cell>
        </row>
        <row r="8725">
          <cell r="A8725" t="str">
            <v>IS_alqt_plus</v>
          </cell>
          <cell r="K8725" t="str">
            <v>PCOQ</v>
          </cell>
          <cell r="M8725" t="str">
            <v>F</v>
          </cell>
          <cell r="AB8725" t="str">
            <v>serum</v>
          </cell>
          <cell r="AF8725">
            <v>1.1000000000000001</v>
          </cell>
        </row>
        <row r="8726">
          <cell r="A8726" t="str">
            <v>IS_alqt_plus</v>
          </cell>
          <cell r="K8726" t="str">
            <v>PCOQ</v>
          </cell>
          <cell r="M8726" t="str">
            <v>F</v>
          </cell>
          <cell r="AB8726" t="str">
            <v>serum</v>
          </cell>
          <cell r="AF8726">
            <v>1.1000000000000001</v>
          </cell>
        </row>
        <row r="8727">
          <cell r="A8727" t="str">
            <v>IS_alqt_plus</v>
          </cell>
          <cell r="K8727" t="str">
            <v>PCOQ</v>
          </cell>
          <cell r="M8727" t="str">
            <v>F</v>
          </cell>
          <cell r="AB8727" t="str">
            <v>serum</v>
          </cell>
          <cell r="AF8727">
            <v>1.1000000000000001</v>
          </cell>
        </row>
        <row r="8728">
          <cell r="A8728" t="str">
            <v>IS_alqt_plus</v>
          </cell>
          <cell r="K8728" t="str">
            <v>PCOQ</v>
          </cell>
          <cell r="M8728" t="str">
            <v>F</v>
          </cell>
          <cell r="AB8728" t="str">
            <v>serum</v>
          </cell>
          <cell r="AF8728">
            <v>1.1000000000000001</v>
          </cell>
        </row>
        <row r="8729">
          <cell r="A8729" t="str">
            <v>IS_alqt_plus</v>
          </cell>
          <cell r="K8729" t="str">
            <v>PCOQ</v>
          </cell>
          <cell r="M8729" t="str">
            <v>F</v>
          </cell>
          <cell r="AB8729" t="str">
            <v>serum</v>
          </cell>
          <cell r="AF8729">
            <v>1.1000000000000001</v>
          </cell>
        </row>
        <row r="8730">
          <cell r="A8730" t="str">
            <v>IS_alqt_plus</v>
          </cell>
          <cell r="K8730" t="str">
            <v>PCOQ</v>
          </cell>
          <cell r="M8730" t="str">
            <v>F</v>
          </cell>
          <cell r="AB8730" t="str">
            <v>serum</v>
          </cell>
          <cell r="AF8730">
            <v>1.1000000000000001</v>
          </cell>
        </row>
        <row r="8731">
          <cell r="A8731" t="str">
            <v>IS_alqt_plus</v>
          </cell>
          <cell r="K8731" t="str">
            <v>PCOQ</v>
          </cell>
          <cell r="M8731" t="str">
            <v>F</v>
          </cell>
          <cell r="AB8731" t="str">
            <v>serum</v>
          </cell>
          <cell r="AF8731">
            <v>0.5</v>
          </cell>
        </row>
        <row r="8732">
          <cell r="A8732" t="str">
            <v>IS_alqt_plus</v>
          </cell>
          <cell r="K8732" t="str">
            <v>PCOQ</v>
          </cell>
          <cell r="M8732" t="str">
            <v>F</v>
          </cell>
          <cell r="AB8732" t="str">
            <v>serum</v>
          </cell>
          <cell r="AF8732">
            <v>1</v>
          </cell>
        </row>
        <row r="8733">
          <cell r="A8733" t="str">
            <v>IS_alqt_plus</v>
          </cell>
          <cell r="K8733" t="str">
            <v>PCOQ</v>
          </cell>
          <cell r="M8733" t="str">
            <v>F</v>
          </cell>
          <cell r="AB8733" t="str">
            <v>serum</v>
          </cell>
          <cell r="AF8733">
            <v>1</v>
          </cell>
        </row>
        <row r="8734">
          <cell r="A8734" t="str">
            <v>IS_alqt_plus</v>
          </cell>
          <cell r="K8734" t="str">
            <v>PCOQ</v>
          </cell>
          <cell r="M8734" t="str">
            <v>F</v>
          </cell>
          <cell r="AB8734" t="str">
            <v>serum</v>
          </cell>
          <cell r="AF8734">
            <v>1</v>
          </cell>
        </row>
        <row r="8735">
          <cell r="A8735" t="str">
            <v>IS_alqt_plus</v>
          </cell>
          <cell r="K8735" t="str">
            <v>PCOQ</v>
          </cell>
          <cell r="M8735" t="str">
            <v>F</v>
          </cell>
          <cell r="AB8735" t="str">
            <v>serum</v>
          </cell>
          <cell r="AF8735">
            <v>1</v>
          </cell>
        </row>
        <row r="8736">
          <cell r="A8736" t="str">
            <v>gone</v>
          </cell>
          <cell r="K8736" t="str">
            <v>PCOQ</v>
          </cell>
          <cell r="M8736" t="str">
            <v>F</v>
          </cell>
          <cell r="AB8736" t="str">
            <v>serum</v>
          </cell>
          <cell r="AF8736">
            <v>0</v>
          </cell>
        </row>
        <row r="8737">
          <cell r="A8737" t="str">
            <v>IS_alqt_plus</v>
          </cell>
          <cell r="K8737" t="str">
            <v>VRUB</v>
          </cell>
          <cell r="M8737" t="str">
            <v>M</v>
          </cell>
          <cell r="AB8737" t="str">
            <v>serum</v>
          </cell>
          <cell r="AF8737">
            <v>1</v>
          </cell>
        </row>
        <row r="8738">
          <cell r="A8738" t="str">
            <v>IS_alqt_plus</v>
          </cell>
          <cell r="K8738" t="str">
            <v>PCOQ</v>
          </cell>
          <cell r="M8738" t="str">
            <v>M</v>
          </cell>
          <cell r="AB8738" t="str">
            <v>WB</v>
          </cell>
          <cell r="AF8738">
            <v>0.5</v>
          </cell>
        </row>
        <row r="8739">
          <cell r="A8739" t="str">
            <v>IS_alqt_plus</v>
          </cell>
          <cell r="K8739" t="str">
            <v>PCOQ</v>
          </cell>
          <cell r="M8739" t="str">
            <v>F</v>
          </cell>
          <cell r="AB8739" t="str">
            <v>WB</v>
          </cell>
          <cell r="AF8739">
            <v>0.65</v>
          </cell>
        </row>
        <row r="8740">
          <cell r="A8740" t="str">
            <v>IS_alqt_plus</v>
          </cell>
          <cell r="K8740" t="str">
            <v>PCOQ</v>
          </cell>
          <cell r="M8740" t="str">
            <v>M</v>
          </cell>
          <cell r="AB8740" t="str">
            <v>serum</v>
          </cell>
          <cell r="AF8740">
            <v>1</v>
          </cell>
        </row>
        <row r="8741">
          <cell r="A8741" t="str">
            <v>IS_alqt_plus</v>
          </cell>
          <cell r="K8741" t="str">
            <v>PCOQ</v>
          </cell>
          <cell r="M8741" t="str">
            <v>M</v>
          </cell>
          <cell r="AB8741" t="str">
            <v>WB</v>
          </cell>
          <cell r="AF8741">
            <v>0.3</v>
          </cell>
        </row>
        <row r="8742">
          <cell r="A8742" t="str">
            <v>IS_alqt_plus</v>
          </cell>
          <cell r="K8742" t="str">
            <v>PCOQ</v>
          </cell>
          <cell r="M8742" t="str">
            <v>M</v>
          </cell>
          <cell r="AB8742" t="str">
            <v>serum</v>
          </cell>
          <cell r="AF8742">
            <v>1.2</v>
          </cell>
        </row>
        <row r="8743">
          <cell r="A8743" t="str">
            <v>IS_alqt_plus</v>
          </cell>
          <cell r="K8743" t="str">
            <v>PCOQ</v>
          </cell>
          <cell r="M8743" t="str">
            <v>F</v>
          </cell>
          <cell r="AB8743" t="str">
            <v>serum</v>
          </cell>
          <cell r="AF8743">
            <v>0.5</v>
          </cell>
        </row>
        <row r="8744">
          <cell r="A8744" t="str">
            <v>IS_alqt_plus</v>
          </cell>
          <cell r="K8744" t="str">
            <v>PCOQ</v>
          </cell>
          <cell r="M8744" t="str">
            <v>M</v>
          </cell>
          <cell r="AB8744" t="str">
            <v>WB</v>
          </cell>
          <cell r="AF8744">
            <v>0.6</v>
          </cell>
        </row>
        <row r="8745">
          <cell r="A8745" t="str">
            <v>IS_alqt_plus</v>
          </cell>
          <cell r="K8745" t="str">
            <v>PCOQ</v>
          </cell>
          <cell r="M8745" t="str">
            <v>F</v>
          </cell>
          <cell r="AB8745" t="str">
            <v>WB</v>
          </cell>
          <cell r="AF8745">
            <v>0.8</v>
          </cell>
        </row>
        <row r="8746">
          <cell r="A8746" t="str">
            <v>IS_alqt_plus</v>
          </cell>
          <cell r="K8746" t="str">
            <v>MMUR</v>
          </cell>
          <cell r="M8746" t="str">
            <v>F</v>
          </cell>
          <cell r="AB8746" t="str">
            <v>WB</v>
          </cell>
          <cell r="AF8746">
            <v>0.75</v>
          </cell>
        </row>
        <row r="8747">
          <cell r="A8747" t="str">
            <v>IS_alqt_plus</v>
          </cell>
          <cell r="K8747" t="str">
            <v>MMUR</v>
          </cell>
          <cell r="M8747" t="str">
            <v>F</v>
          </cell>
          <cell r="AB8747" t="str">
            <v>WB</v>
          </cell>
          <cell r="AF8747">
            <v>0.25</v>
          </cell>
        </row>
        <row r="8748">
          <cell r="A8748" t="str">
            <v>IS_alqt_plus</v>
          </cell>
          <cell r="K8748" t="str">
            <v>VVV</v>
          </cell>
          <cell r="M8748" t="str">
            <v>M</v>
          </cell>
          <cell r="AB8748" t="str">
            <v>WB</v>
          </cell>
          <cell r="AF8748">
            <v>0.5</v>
          </cell>
        </row>
        <row r="8749">
          <cell r="A8749" t="str">
            <v>IS_alqt_plus</v>
          </cell>
          <cell r="K8749" t="str">
            <v>VVV</v>
          </cell>
          <cell r="M8749" t="str">
            <v>M</v>
          </cell>
          <cell r="AB8749" t="str">
            <v>serum</v>
          </cell>
          <cell r="AF8749">
            <v>0.5</v>
          </cell>
        </row>
        <row r="8750">
          <cell r="A8750" t="str">
            <v>IS_alqt_plus</v>
          </cell>
          <cell r="K8750" t="str">
            <v>VRUB</v>
          </cell>
          <cell r="M8750" t="str">
            <v>M</v>
          </cell>
          <cell r="AB8750" t="str">
            <v>WB</v>
          </cell>
          <cell r="AF8750">
            <v>0.85</v>
          </cell>
        </row>
        <row r="8751">
          <cell r="A8751" t="str">
            <v>gone</v>
          </cell>
          <cell r="K8751" t="str">
            <v>VRUB</v>
          </cell>
          <cell r="M8751" t="str">
            <v>F</v>
          </cell>
          <cell r="AB8751" t="str">
            <v>WB</v>
          </cell>
          <cell r="AF8751">
            <v>0</v>
          </cell>
        </row>
        <row r="8752">
          <cell r="A8752" t="str">
            <v>IS_alqt_plus</v>
          </cell>
          <cell r="K8752" t="str">
            <v>VRUB</v>
          </cell>
          <cell r="M8752" t="str">
            <v>M</v>
          </cell>
          <cell r="AB8752" t="str">
            <v>serum</v>
          </cell>
          <cell r="AF8752">
            <v>0.75</v>
          </cell>
        </row>
        <row r="8753">
          <cell r="A8753" t="str">
            <v>IS_alqt_plus</v>
          </cell>
          <cell r="K8753" t="str">
            <v>VRUB</v>
          </cell>
          <cell r="M8753" t="str">
            <v>F</v>
          </cell>
          <cell r="AB8753" t="str">
            <v>serum</v>
          </cell>
          <cell r="AF8753">
            <v>1.1000000000000001</v>
          </cell>
        </row>
        <row r="8754">
          <cell r="A8754" t="str">
            <v>IS_alqt_plus</v>
          </cell>
          <cell r="K8754" t="str">
            <v>PCOQ</v>
          </cell>
          <cell r="M8754" t="str">
            <v>F</v>
          </cell>
          <cell r="AB8754" t="str">
            <v>serum</v>
          </cell>
          <cell r="AF8754">
            <v>1.5</v>
          </cell>
        </row>
        <row r="8755">
          <cell r="A8755" t="str">
            <v>IS_alqt_plus</v>
          </cell>
          <cell r="K8755" t="str">
            <v>PCOQ</v>
          </cell>
          <cell r="M8755" t="str">
            <v>M</v>
          </cell>
          <cell r="AB8755" t="str">
            <v>serum</v>
          </cell>
          <cell r="AF8755">
            <v>1.5</v>
          </cell>
        </row>
        <row r="8756">
          <cell r="A8756" t="str">
            <v>gone</v>
          </cell>
          <cell r="K8756" t="str">
            <v>PCOQ</v>
          </cell>
          <cell r="M8756" t="str">
            <v>F</v>
          </cell>
          <cell r="AB8756" t="str">
            <v>WB</v>
          </cell>
          <cell r="AF8756">
            <v>0</v>
          </cell>
        </row>
        <row r="8757">
          <cell r="A8757" t="str">
            <v>IS_alqt_plus</v>
          </cell>
          <cell r="K8757" t="str">
            <v>PCOQ</v>
          </cell>
          <cell r="M8757" t="str">
            <v>F</v>
          </cell>
          <cell r="AB8757" t="str">
            <v>WB</v>
          </cell>
          <cell r="AF8757">
            <v>0.5</v>
          </cell>
        </row>
        <row r="8758">
          <cell r="A8758" t="str">
            <v>IS_alqt_plus</v>
          </cell>
          <cell r="K8758" t="str">
            <v>PCOQ</v>
          </cell>
          <cell r="M8758" t="str">
            <v>F</v>
          </cell>
          <cell r="AB8758" t="str">
            <v>WB</v>
          </cell>
          <cell r="AF8758">
            <v>1</v>
          </cell>
        </row>
        <row r="8759">
          <cell r="A8759" t="str">
            <v>IS_alqt_plus</v>
          </cell>
          <cell r="K8759" t="str">
            <v>PCOQ</v>
          </cell>
          <cell r="M8759" t="str">
            <v>F</v>
          </cell>
          <cell r="AB8759" t="str">
            <v>WB</v>
          </cell>
          <cell r="AF8759">
            <v>1</v>
          </cell>
        </row>
        <row r="8760">
          <cell r="A8760" t="str">
            <v>IS_alqt_plus</v>
          </cell>
          <cell r="K8760" t="str">
            <v>VRUB</v>
          </cell>
          <cell r="M8760" t="str">
            <v>F</v>
          </cell>
          <cell r="AB8760" t="str">
            <v>serum</v>
          </cell>
          <cell r="AF8760">
            <v>0.25</v>
          </cell>
        </row>
        <row r="8761">
          <cell r="A8761" t="str">
            <v>IS_alqt_plus</v>
          </cell>
          <cell r="K8761" t="str">
            <v>VRUB</v>
          </cell>
          <cell r="M8761" t="str">
            <v>M</v>
          </cell>
          <cell r="AB8761" t="str">
            <v>WB</v>
          </cell>
          <cell r="AF8761">
            <v>0.85</v>
          </cell>
        </row>
        <row r="8762">
          <cell r="A8762" t="str">
            <v>IS_alqt_plus</v>
          </cell>
          <cell r="K8762" t="str">
            <v>VRUB</v>
          </cell>
          <cell r="M8762" t="str">
            <v>M</v>
          </cell>
          <cell r="AB8762" t="str">
            <v>serum</v>
          </cell>
          <cell r="AF8762">
            <v>1.25</v>
          </cell>
        </row>
        <row r="8763">
          <cell r="A8763" t="str">
            <v>gone</v>
          </cell>
          <cell r="K8763" t="str">
            <v>VVV</v>
          </cell>
          <cell r="M8763" t="str">
            <v>M</v>
          </cell>
          <cell r="AB8763" t="str">
            <v>WB</v>
          </cell>
          <cell r="AF8763">
            <v>0</v>
          </cell>
        </row>
        <row r="8764">
          <cell r="A8764" t="str">
            <v>IS_alqt_plus</v>
          </cell>
          <cell r="K8764" t="str">
            <v>VVV</v>
          </cell>
          <cell r="M8764" t="str">
            <v>M</v>
          </cell>
          <cell r="AB8764" t="str">
            <v>serum</v>
          </cell>
          <cell r="AF8764">
            <v>1.1000000000000001</v>
          </cell>
        </row>
        <row r="8765">
          <cell r="A8765" t="str">
            <v>IS_alqt_plus</v>
          </cell>
          <cell r="K8765" t="str">
            <v>DMAD</v>
          </cell>
          <cell r="M8765" t="str">
            <v>F</v>
          </cell>
          <cell r="AB8765" t="str">
            <v>serum</v>
          </cell>
          <cell r="AF8765">
            <v>0.9</v>
          </cell>
        </row>
        <row r="8766">
          <cell r="A8766" t="str">
            <v>IS_alqt_plus</v>
          </cell>
          <cell r="K8766" t="str">
            <v>DMAD</v>
          </cell>
          <cell r="M8766" t="str">
            <v>F</v>
          </cell>
          <cell r="AB8766" t="str">
            <v>WB</v>
          </cell>
          <cell r="AF8766">
            <v>0.85</v>
          </cell>
        </row>
        <row r="8767">
          <cell r="A8767" t="str">
            <v>IS_alqt_plus</v>
          </cell>
          <cell r="K8767" t="str">
            <v>VVV</v>
          </cell>
          <cell r="M8767" t="str">
            <v>F</v>
          </cell>
          <cell r="AB8767" t="str">
            <v>WB</v>
          </cell>
          <cell r="AF8767">
            <v>1</v>
          </cell>
        </row>
        <row r="8768">
          <cell r="A8768" t="str">
            <v>IS_alqt_plus</v>
          </cell>
          <cell r="K8768" t="str">
            <v>VVV</v>
          </cell>
          <cell r="M8768" t="str">
            <v>F</v>
          </cell>
          <cell r="AB8768" t="str">
            <v>serum</v>
          </cell>
          <cell r="AF8768">
            <v>1</v>
          </cell>
        </row>
        <row r="8769">
          <cell r="A8769" t="str">
            <v>IS_alqt_plus</v>
          </cell>
          <cell r="K8769" t="str">
            <v>PCOQ</v>
          </cell>
          <cell r="M8769" t="str">
            <v>F</v>
          </cell>
          <cell r="AB8769" t="str">
            <v>serum</v>
          </cell>
          <cell r="AF8769">
            <v>0.5</v>
          </cell>
        </row>
        <row r="8770">
          <cell r="A8770" t="str">
            <v>IS_alqt_plus</v>
          </cell>
          <cell r="K8770" t="str">
            <v>PCOQ</v>
          </cell>
          <cell r="M8770" t="str">
            <v>M</v>
          </cell>
          <cell r="AB8770" t="str">
            <v>WB</v>
          </cell>
          <cell r="AF8770">
            <v>0.3</v>
          </cell>
        </row>
        <row r="8771">
          <cell r="A8771" t="str">
            <v>IS_alqt_plus</v>
          </cell>
          <cell r="K8771" t="str">
            <v>PCOQ</v>
          </cell>
          <cell r="M8771" t="str">
            <v>M</v>
          </cell>
          <cell r="AB8771" t="str">
            <v>serum</v>
          </cell>
          <cell r="AF8771">
            <v>1.5</v>
          </cell>
        </row>
        <row r="8772">
          <cell r="A8772" t="str">
            <v>IS_alqt_plus</v>
          </cell>
          <cell r="K8772" t="str">
            <v>PCOQ</v>
          </cell>
          <cell r="M8772" t="str">
            <v>F</v>
          </cell>
          <cell r="AB8772" t="str">
            <v>WB</v>
          </cell>
          <cell r="AF8772">
            <v>1</v>
          </cell>
        </row>
        <row r="8773">
          <cell r="A8773" t="str">
            <v>IS_alqt_plus</v>
          </cell>
          <cell r="K8773" t="str">
            <v>PCOQ</v>
          </cell>
          <cell r="M8773" t="str">
            <v>M</v>
          </cell>
          <cell r="AB8773" t="str">
            <v>serum</v>
          </cell>
          <cell r="AF8773">
            <v>0.25</v>
          </cell>
        </row>
        <row r="8774">
          <cell r="A8774" t="str">
            <v>IS_alqt_plus</v>
          </cell>
          <cell r="K8774" t="str">
            <v>PCOQ</v>
          </cell>
          <cell r="M8774" t="str">
            <v>F</v>
          </cell>
          <cell r="AB8774" t="str">
            <v>WB</v>
          </cell>
          <cell r="AF8774">
            <v>1</v>
          </cell>
        </row>
        <row r="8775">
          <cell r="A8775" t="str">
            <v>IS_alqt_plus</v>
          </cell>
          <cell r="K8775" t="str">
            <v>PCOQ</v>
          </cell>
          <cell r="M8775" t="str">
            <v>M</v>
          </cell>
          <cell r="AB8775" t="str">
            <v>WB</v>
          </cell>
          <cell r="AF8775">
            <v>0.75</v>
          </cell>
        </row>
        <row r="8776">
          <cell r="A8776" t="str">
            <v>IS_alqt_plus</v>
          </cell>
          <cell r="K8776" t="str">
            <v>PCOQ</v>
          </cell>
          <cell r="M8776" t="str">
            <v>M</v>
          </cell>
          <cell r="AB8776" t="str">
            <v>WB</v>
          </cell>
          <cell r="AF8776">
            <v>0.65</v>
          </cell>
        </row>
        <row r="8777">
          <cell r="A8777" t="str">
            <v>IS_alqt_plus</v>
          </cell>
          <cell r="K8777" t="str">
            <v>PCOQ</v>
          </cell>
          <cell r="M8777" t="str">
            <v>M</v>
          </cell>
          <cell r="AB8777" t="str">
            <v>serum</v>
          </cell>
          <cell r="AF8777">
            <v>0.75</v>
          </cell>
        </row>
        <row r="8778">
          <cell r="A8778" t="str">
            <v>IS_alqt_plus</v>
          </cell>
          <cell r="K8778" t="str">
            <v>PCOQ</v>
          </cell>
          <cell r="M8778" t="str">
            <v>F</v>
          </cell>
          <cell r="AB8778" t="str">
            <v>WB</v>
          </cell>
          <cell r="AF8778">
            <v>0.75</v>
          </cell>
        </row>
        <row r="8779">
          <cell r="A8779" t="str">
            <v>gone</v>
          </cell>
          <cell r="K8779" t="str">
            <v>PCOQ</v>
          </cell>
          <cell r="M8779" t="str">
            <v>M</v>
          </cell>
          <cell r="AB8779" t="str">
            <v>plasma</v>
          </cell>
          <cell r="AF8779">
            <v>0</v>
          </cell>
        </row>
        <row r="8780">
          <cell r="A8780" t="str">
            <v>gone</v>
          </cell>
          <cell r="K8780" t="str">
            <v>PCOQ</v>
          </cell>
          <cell r="M8780" t="str">
            <v>M</v>
          </cell>
          <cell r="AB8780" t="str">
            <v>serum</v>
          </cell>
          <cell r="AF8780">
            <v>0</v>
          </cell>
        </row>
        <row r="8781">
          <cell r="A8781" t="str">
            <v>IS_alqt_plus</v>
          </cell>
          <cell r="K8781" t="str">
            <v>PCOQ</v>
          </cell>
          <cell r="M8781" t="str">
            <v>F</v>
          </cell>
          <cell r="AB8781" t="str">
            <v>WB</v>
          </cell>
          <cell r="AF8781">
            <v>1.3</v>
          </cell>
        </row>
        <row r="8782">
          <cell r="A8782" t="str">
            <v>IS_alqt_plus</v>
          </cell>
          <cell r="K8782" t="str">
            <v>PCOQ</v>
          </cell>
          <cell r="M8782" t="str">
            <v>F</v>
          </cell>
          <cell r="AB8782" t="str">
            <v>WB</v>
          </cell>
          <cell r="AF8782">
            <v>1.5</v>
          </cell>
        </row>
        <row r="8783">
          <cell r="A8783" t="str">
            <v>IS_alqt_plus</v>
          </cell>
          <cell r="K8783" t="str">
            <v>PCOQ</v>
          </cell>
          <cell r="M8783" t="str">
            <v>F</v>
          </cell>
          <cell r="AB8783" t="str">
            <v>WB</v>
          </cell>
          <cell r="AF8783">
            <v>0.5</v>
          </cell>
        </row>
        <row r="8784">
          <cell r="A8784" t="str">
            <v>IS_alqt_minus</v>
          </cell>
          <cell r="K8784" t="str">
            <v>CMED</v>
          </cell>
          <cell r="M8784" t="str">
            <v>M</v>
          </cell>
          <cell r="AB8784" t="str">
            <v>WB</v>
          </cell>
          <cell r="AF8784">
            <v>0.1</v>
          </cell>
        </row>
        <row r="8785">
          <cell r="A8785" t="str">
            <v>IS_alqt_plus</v>
          </cell>
          <cell r="K8785" t="str">
            <v>MMUR</v>
          </cell>
          <cell r="M8785" t="str">
            <v>F</v>
          </cell>
          <cell r="AB8785" t="str">
            <v>WB</v>
          </cell>
          <cell r="AF8785">
            <v>0.3</v>
          </cell>
        </row>
        <row r="8786">
          <cell r="A8786" t="str">
            <v>IS_alqt_plus</v>
          </cell>
          <cell r="K8786" t="str">
            <v>PCOQ</v>
          </cell>
          <cell r="M8786" t="str">
            <v>F</v>
          </cell>
          <cell r="AB8786" t="str">
            <v>WB</v>
          </cell>
          <cell r="AF8786">
            <v>0.2</v>
          </cell>
        </row>
        <row r="8787">
          <cell r="A8787" t="str">
            <v>IS_alqt_plus</v>
          </cell>
          <cell r="K8787" t="str">
            <v>PCOQ</v>
          </cell>
          <cell r="M8787" t="str">
            <v>F</v>
          </cell>
          <cell r="AB8787" t="str">
            <v>WB</v>
          </cell>
          <cell r="AF8787">
            <v>0.2</v>
          </cell>
        </row>
        <row r="8788">
          <cell r="A8788" t="str">
            <v>IS_alqt_plus</v>
          </cell>
          <cell r="K8788" t="str">
            <v>PCOQ</v>
          </cell>
          <cell r="M8788" t="str">
            <v>F</v>
          </cell>
          <cell r="AB8788" t="str">
            <v>WB</v>
          </cell>
          <cell r="AF8788">
            <v>0.9</v>
          </cell>
        </row>
        <row r="8789">
          <cell r="A8789" t="str">
            <v>IS_alqt_minus</v>
          </cell>
          <cell r="K8789" t="str">
            <v>PCOQ</v>
          </cell>
          <cell r="M8789" t="str">
            <v>F</v>
          </cell>
          <cell r="AB8789" t="str">
            <v>WB</v>
          </cell>
          <cell r="AF8789">
            <v>0.05</v>
          </cell>
        </row>
        <row r="8790">
          <cell r="A8790" t="str">
            <v>IS_alqt_plus</v>
          </cell>
          <cell r="K8790" t="str">
            <v>PCOQ</v>
          </cell>
          <cell r="M8790" t="str">
            <v>F</v>
          </cell>
          <cell r="AB8790" t="str">
            <v>WB</v>
          </cell>
          <cell r="AF8790">
            <v>0.2</v>
          </cell>
        </row>
        <row r="8791">
          <cell r="A8791" t="str">
            <v>IS_alqt_plus</v>
          </cell>
          <cell r="K8791" t="str">
            <v>PCOQ</v>
          </cell>
          <cell r="M8791" t="str">
            <v>F</v>
          </cell>
          <cell r="AB8791" t="str">
            <v>WB</v>
          </cell>
          <cell r="AF8791">
            <v>0.2</v>
          </cell>
        </row>
        <row r="8792">
          <cell r="A8792" t="str">
            <v>IS_alqt_plus</v>
          </cell>
          <cell r="K8792" t="str">
            <v>PCOQ</v>
          </cell>
          <cell r="M8792" t="str">
            <v>F</v>
          </cell>
          <cell r="AB8792" t="str">
            <v>WB</v>
          </cell>
          <cell r="AF8792">
            <v>1.5</v>
          </cell>
        </row>
        <row r="8793">
          <cell r="A8793" t="str">
            <v>IS_alqt_plus</v>
          </cell>
          <cell r="K8793" t="str">
            <v>PCOQ</v>
          </cell>
          <cell r="M8793" t="str">
            <v>F</v>
          </cell>
          <cell r="AB8793" t="str">
            <v>WB</v>
          </cell>
          <cell r="AF8793">
            <v>0.3</v>
          </cell>
        </row>
        <row r="8794">
          <cell r="A8794" t="str">
            <v>IS_alqt_plus</v>
          </cell>
          <cell r="K8794" t="str">
            <v>PCOQ</v>
          </cell>
          <cell r="M8794" t="str">
            <v>M</v>
          </cell>
          <cell r="AB8794" t="str">
            <v>WB</v>
          </cell>
          <cell r="AF8794">
            <v>0.6</v>
          </cell>
        </row>
        <row r="8795">
          <cell r="A8795" t="str">
            <v>IS_alqt_plus</v>
          </cell>
          <cell r="K8795" t="str">
            <v>PCOQ</v>
          </cell>
          <cell r="M8795" t="str">
            <v>M</v>
          </cell>
          <cell r="AB8795" t="str">
            <v>WB</v>
          </cell>
          <cell r="AF8795">
            <v>0.65</v>
          </cell>
        </row>
        <row r="8796">
          <cell r="A8796" t="str">
            <v>IS_alqt_plus</v>
          </cell>
          <cell r="K8796" t="str">
            <v>PCOQ</v>
          </cell>
          <cell r="M8796" t="str">
            <v>M</v>
          </cell>
          <cell r="AB8796" t="str">
            <v>WB</v>
          </cell>
          <cell r="AF8796">
            <v>0.8</v>
          </cell>
        </row>
        <row r="8797">
          <cell r="A8797" t="str">
            <v>IS_alqt_plus</v>
          </cell>
          <cell r="K8797" t="str">
            <v>PCOQ</v>
          </cell>
          <cell r="M8797" t="str">
            <v>F</v>
          </cell>
          <cell r="AB8797" t="str">
            <v>WB</v>
          </cell>
          <cell r="AF8797">
            <v>0.5</v>
          </cell>
        </row>
        <row r="8798">
          <cell r="A8798" t="str">
            <v>IS_alqt_plus</v>
          </cell>
          <cell r="K8798" t="str">
            <v>PCOQ</v>
          </cell>
          <cell r="M8798" t="str">
            <v>F</v>
          </cell>
          <cell r="AB8798" t="str">
            <v>WB</v>
          </cell>
          <cell r="AF8798">
            <v>0.4</v>
          </cell>
        </row>
        <row r="8799">
          <cell r="A8799" t="str">
            <v>IS_alqt_plus</v>
          </cell>
          <cell r="K8799" t="str">
            <v>PCOQ</v>
          </cell>
          <cell r="M8799" t="str">
            <v>M</v>
          </cell>
          <cell r="AB8799" t="str">
            <v>WB</v>
          </cell>
          <cell r="AF8799">
            <v>0.2</v>
          </cell>
        </row>
        <row r="8800">
          <cell r="A8800" t="str">
            <v>IS_alqt_plus</v>
          </cell>
          <cell r="K8800" t="str">
            <v>PCOQ</v>
          </cell>
          <cell r="M8800" t="str">
            <v>M</v>
          </cell>
          <cell r="AB8800" t="str">
            <v>WB</v>
          </cell>
          <cell r="AF8800">
            <v>0.25</v>
          </cell>
        </row>
        <row r="8801">
          <cell r="A8801" t="str">
            <v>unk</v>
          </cell>
          <cell r="K8801" t="str">
            <v>PCOQ</v>
          </cell>
          <cell r="M8801" t="str">
            <v>M</v>
          </cell>
          <cell r="AB8801" t="str">
            <v>WB</v>
          </cell>
          <cell r="AF8801">
            <v>0.5</v>
          </cell>
        </row>
        <row r="8802">
          <cell r="A8802" t="str">
            <v>IS_alqt_plus</v>
          </cell>
          <cell r="K8802" t="str">
            <v>PCOQ</v>
          </cell>
          <cell r="M8802" t="str">
            <v>F</v>
          </cell>
          <cell r="AB8802" t="str">
            <v>WB</v>
          </cell>
          <cell r="AF8802">
            <v>0.8</v>
          </cell>
        </row>
        <row r="8803">
          <cell r="A8803" t="str">
            <v>gone</v>
          </cell>
          <cell r="K8803" t="str">
            <v>PCOQ</v>
          </cell>
          <cell r="M8803" t="str">
            <v>M</v>
          </cell>
          <cell r="AB8803" t="str">
            <v>WB</v>
          </cell>
          <cell r="AF8803">
            <v>0</v>
          </cell>
        </row>
        <row r="8804">
          <cell r="A8804" t="str">
            <v>IS_alqt_plus</v>
          </cell>
          <cell r="K8804" t="str">
            <v>PCOQ</v>
          </cell>
          <cell r="M8804" t="str">
            <v>F</v>
          </cell>
          <cell r="AB8804" t="str">
            <v>WB</v>
          </cell>
          <cell r="AF8804">
            <v>0.7</v>
          </cell>
        </row>
        <row r="8805">
          <cell r="A8805" t="str">
            <v>IS_alqt_plus</v>
          </cell>
          <cell r="K8805" t="str">
            <v>PCOQ</v>
          </cell>
          <cell r="M8805" t="str">
            <v>F</v>
          </cell>
          <cell r="AB8805" t="str">
            <v>WB</v>
          </cell>
          <cell r="AF8805">
            <v>0.45</v>
          </cell>
        </row>
        <row r="8806">
          <cell r="A8806" t="str">
            <v>gone</v>
          </cell>
          <cell r="K8806" t="str">
            <v>PCOQ</v>
          </cell>
          <cell r="M8806" t="str">
            <v>F</v>
          </cell>
          <cell r="AB8806" t="str">
            <v>WB</v>
          </cell>
          <cell r="AF8806">
            <v>0</v>
          </cell>
        </row>
        <row r="8807">
          <cell r="A8807" t="str">
            <v>IS_alqt_plus</v>
          </cell>
          <cell r="K8807" t="str">
            <v>PCOQ</v>
          </cell>
          <cell r="M8807" t="str">
            <v>M</v>
          </cell>
          <cell r="AB8807" t="str">
            <v>WB</v>
          </cell>
          <cell r="AF8807">
            <v>0.7</v>
          </cell>
        </row>
        <row r="8808">
          <cell r="A8808" t="str">
            <v>IS_alqt_plus</v>
          </cell>
          <cell r="K8808" t="str">
            <v>PCOQ</v>
          </cell>
          <cell r="M8808" t="str">
            <v>F</v>
          </cell>
          <cell r="AB8808" t="str">
            <v>WB</v>
          </cell>
          <cell r="AF8808">
            <v>1</v>
          </cell>
        </row>
        <row r="8809">
          <cell r="A8809" t="str">
            <v>IS_alqt_plus</v>
          </cell>
          <cell r="K8809" t="str">
            <v>PCOQ</v>
          </cell>
          <cell r="M8809" t="str">
            <v>F</v>
          </cell>
          <cell r="AB8809" t="str">
            <v>WB</v>
          </cell>
          <cell r="AF8809">
            <v>1</v>
          </cell>
        </row>
        <row r="8810">
          <cell r="A8810" t="str">
            <v>IS_alqt_plus</v>
          </cell>
          <cell r="K8810" t="str">
            <v>PCOQ</v>
          </cell>
          <cell r="M8810" t="str">
            <v>M</v>
          </cell>
          <cell r="AB8810" t="str">
            <v>WB</v>
          </cell>
          <cell r="AF8810">
            <v>0.5</v>
          </cell>
        </row>
        <row r="8811">
          <cell r="A8811" t="str">
            <v>IS_alqt_plus</v>
          </cell>
          <cell r="K8811" t="str">
            <v>PCOQ</v>
          </cell>
          <cell r="M8811" t="str">
            <v>M</v>
          </cell>
          <cell r="AB8811" t="str">
            <v>WB</v>
          </cell>
          <cell r="AF8811">
            <v>0.4</v>
          </cell>
        </row>
        <row r="8812">
          <cell r="A8812" t="str">
            <v>IS_alqt_plus</v>
          </cell>
          <cell r="K8812" t="str">
            <v>PCOQ</v>
          </cell>
          <cell r="M8812" t="str">
            <v>F</v>
          </cell>
          <cell r="AB8812" t="str">
            <v>WB</v>
          </cell>
          <cell r="AF8812">
            <v>1.5</v>
          </cell>
        </row>
        <row r="8813">
          <cell r="A8813" t="str">
            <v>IS_alqt_plus</v>
          </cell>
          <cell r="K8813" t="str">
            <v>PCOQ</v>
          </cell>
          <cell r="M8813" t="str">
            <v>F</v>
          </cell>
          <cell r="AB8813" t="str">
            <v>WB</v>
          </cell>
          <cell r="AF8813">
            <v>0.7</v>
          </cell>
        </row>
        <row r="8814">
          <cell r="A8814" t="str">
            <v>IS_alqt_plus</v>
          </cell>
          <cell r="K8814" t="str">
            <v>PCOQ</v>
          </cell>
          <cell r="M8814" t="str">
            <v>M</v>
          </cell>
          <cell r="AB8814" t="str">
            <v>WB</v>
          </cell>
          <cell r="AF8814">
            <v>0.75</v>
          </cell>
        </row>
        <row r="8815">
          <cell r="A8815" t="str">
            <v>IS_alqt_plus</v>
          </cell>
          <cell r="K8815" t="str">
            <v>PCOQ</v>
          </cell>
          <cell r="M8815" t="str">
            <v>M</v>
          </cell>
          <cell r="AB8815" t="str">
            <v>WB</v>
          </cell>
          <cell r="AF8815">
            <v>0.75</v>
          </cell>
        </row>
        <row r="8816">
          <cell r="A8816" t="str">
            <v>IS_alqt_plus</v>
          </cell>
          <cell r="K8816" t="str">
            <v>PCOQ</v>
          </cell>
          <cell r="M8816" t="str">
            <v>F</v>
          </cell>
          <cell r="AB8816" t="str">
            <v>WB</v>
          </cell>
          <cell r="AF8816">
            <v>0.2</v>
          </cell>
        </row>
        <row r="8817">
          <cell r="A8817" t="str">
            <v>IS_alqt_plus</v>
          </cell>
          <cell r="K8817" t="str">
            <v>PCOQ</v>
          </cell>
          <cell r="M8817" t="str">
            <v>F</v>
          </cell>
          <cell r="AB8817" t="str">
            <v>WB</v>
          </cell>
          <cell r="AF8817">
            <v>0.2</v>
          </cell>
        </row>
        <row r="8818">
          <cell r="A8818" t="str">
            <v>IS_alqt_plus</v>
          </cell>
          <cell r="K8818" t="str">
            <v>PCOQ</v>
          </cell>
          <cell r="M8818" t="str">
            <v>F</v>
          </cell>
          <cell r="AB8818" t="str">
            <v>WB</v>
          </cell>
          <cell r="AF8818">
            <v>0.2</v>
          </cell>
        </row>
        <row r="8819">
          <cell r="A8819" t="str">
            <v>IS_alqt_plus</v>
          </cell>
          <cell r="K8819" t="str">
            <v>PCOQ</v>
          </cell>
          <cell r="M8819" t="str">
            <v>F</v>
          </cell>
          <cell r="AB8819" t="str">
            <v>WB</v>
          </cell>
          <cell r="AF8819">
            <v>0.2</v>
          </cell>
        </row>
        <row r="8820">
          <cell r="A8820" t="str">
            <v>IS_alqt_plus</v>
          </cell>
          <cell r="K8820" t="str">
            <v>PCOQ</v>
          </cell>
          <cell r="M8820" t="str">
            <v>M</v>
          </cell>
          <cell r="AB8820" t="str">
            <v>serum</v>
          </cell>
          <cell r="AF8820">
            <v>0.6</v>
          </cell>
        </row>
        <row r="8821">
          <cell r="A8821" t="str">
            <v>IS_alqt_plus</v>
          </cell>
          <cell r="K8821" t="str">
            <v>PCOQ</v>
          </cell>
          <cell r="M8821" t="str">
            <v>M</v>
          </cell>
          <cell r="AB8821" t="str">
            <v>serum</v>
          </cell>
          <cell r="AF8821">
            <v>0.9</v>
          </cell>
        </row>
        <row r="8822">
          <cell r="A8822" t="str">
            <v>IS_alqt_plus</v>
          </cell>
          <cell r="K8822" t="str">
            <v>PCOQ</v>
          </cell>
          <cell r="M8822" t="str">
            <v>M</v>
          </cell>
          <cell r="AB8822" t="str">
            <v>serum</v>
          </cell>
          <cell r="AF8822">
            <v>1.2</v>
          </cell>
        </row>
        <row r="8823">
          <cell r="A8823" t="str">
            <v>IS_alqt_plus</v>
          </cell>
          <cell r="K8823" t="str">
            <v>PCOQ</v>
          </cell>
          <cell r="M8823" t="str">
            <v>M</v>
          </cell>
          <cell r="AB8823" t="str">
            <v>serum</v>
          </cell>
          <cell r="AF8823">
            <v>1.1000000000000001</v>
          </cell>
        </row>
        <row r="8824">
          <cell r="A8824" t="str">
            <v>IS_alqt_plus</v>
          </cell>
          <cell r="K8824" t="str">
            <v>PCOQ</v>
          </cell>
          <cell r="M8824" t="str">
            <v>M</v>
          </cell>
          <cell r="AB8824" t="str">
            <v>serum</v>
          </cell>
          <cell r="AF8824">
            <v>1</v>
          </cell>
        </row>
        <row r="8825">
          <cell r="A8825" t="str">
            <v>IS_alqt_plus</v>
          </cell>
          <cell r="K8825" t="str">
            <v>PCOQ</v>
          </cell>
          <cell r="M8825" t="str">
            <v>M</v>
          </cell>
          <cell r="AB8825" t="str">
            <v>serum</v>
          </cell>
          <cell r="AF8825">
            <v>1</v>
          </cell>
        </row>
        <row r="8826">
          <cell r="A8826" t="str">
            <v>IS_alqt_plus</v>
          </cell>
          <cell r="K8826" t="str">
            <v>PCOQ</v>
          </cell>
          <cell r="M8826" t="str">
            <v>M</v>
          </cell>
          <cell r="AB8826" t="str">
            <v>serum</v>
          </cell>
          <cell r="AF8826">
            <v>1.1000000000000001</v>
          </cell>
        </row>
        <row r="8827">
          <cell r="A8827" t="str">
            <v>IS_alqt_plus</v>
          </cell>
          <cell r="K8827" t="str">
            <v>PCOQ</v>
          </cell>
          <cell r="M8827" t="str">
            <v>M</v>
          </cell>
          <cell r="AB8827" t="str">
            <v>serum</v>
          </cell>
          <cell r="AF8827">
            <v>1</v>
          </cell>
        </row>
        <row r="8828">
          <cell r="A8828" t="str">
            <v>IS_alqt_plus</v>
          </cell>
          <cell r="K8828" t="str">
            <v>PCOQ</v>
          </cell>
          <cell r="M8828" t="str">
            <v>M</v>
          </cell>
          <cell r="AB8828" t="str">
            <v>serum</v>
          </cell>
          <cell r="AF8828">
            <v>1.1000000000000001</v>
          </cell>
        </row>
        <row r="8829">
          <cell r="A8829" t="str">
            <v>IS_alqt_plus</v>
          </cell>
          <cell r="K8829" t="str">
            <v>PCOQ</v>
          </cell>
          <cell r="M8829" t="str">
            <v>M</v>
          </cell>
          <cell r="AB8829" t="str">
            <v>serum</v>
          </cell>
          <cell r="AF8829">
            <v>1.2</v>
          </cell>
        </row>
        <row r="8830">
          <cell r="A8830" t="str">
            <v>IS_alqt_plus</v>
          </cell>
          <cell r="K8830" t="str">
            <v>PCOQ</v>
          </cell>
          <cell r="M8830" t="str">
            <v>M</v>
          </cell>
          <cell r="AB8830" t="str">
            <v>serum</v>
          </cell>
          <cell r="AF8830">
            <v>1.1000000000000001</v>
          </cell>
        </row>
        <row r="8831">
          <cell r="A8831" t="str">
            <v>IS_alqt_plus</v>
          </cell>
          <cell r="K8831" t="str">
            <v>PCOQ</v>
          </cell>
          <cell r="M8831" t="str">
            <v>M</v>
          </cell>
          <cell r="AB8831" t="str">
            <v>serum</v>
          </cell>
          <cell r="AF8831">
            <v>1</v>
          </cell>
        </row>
        <row r="8832">
          <cell r="A8832" t="str">
            <v>IS_alqt_plus</v>
          </cell>
          <cell r="K8832" t="str">
            <v>PCOQ</v>
          </cell>
          <cell r="M8832" t="str">
            <v>M</v>
          </cell>
          <cell r="AB8832" t="str">
            <v>serum</v>
          </cell>
          <cell r="AF8832">
            <v>1.1000000000000001</v>
          </cell>
        </row>
        <row r="8833">
          <cell r="A8833" t="str">
            <v>IS_alqt_plus</v>
          </cell>
          <cell r="K8833" t="str">
            <v>PCOQ</v>
          </cell>
          <cell r="M8833" t="str">
            <v>M</v>
          </cell>
          <cell r="AB8833" t="str">
            <v>serum</v>
          </cell>
          <cell r="AF8833">
            <v>1</v>
          </cell>
        </row>
        <row r="8834">
          <cell r="A8834" t="str">
            <v>IS_alqt_plus</v>
          </cell>
          <cell r="K8834" t="str">
            <v>PCOQ</v>
          </cell>
          <cell r="M8834" t="str">
            <v>M</v>
          </cell>
          <cell r="AB8834" t="str">
            <v>serum</v>
          </cell>
          <cell r="AF8834">
            <v>1.2</v>
          </cell>
        </row>
        <row r="8835">
          <cell r="A8835" t="str">
            <v>IS_alqt_plus</v>
          </cell>
          <cell r="K8835" t="str">
            <v>PCOQ</v>
          </cell>
          <cell r="M8835" t="str">
            <v>M</v>
          </cell>
          <cell r="AB8835" t="str">
            <v>serum</v>
          </cell>
          <cell r="AF8835">
            <v>1</v>
          </cell>
        </row>
        <row r="8836">
          <cell r="A8836" t="str">
            <v>IS_alqt_plus</v>
          </cell>
          <cell r="K8836" t="str">
            <v>PCOQ</v>
          </cell>
          <cell r="M8836" t="str">
            <v>M</v>
          </cell>
          <cell r="AB8836" t="str">
            <v>serum</v>
          </cell>
          <cell r="AF8836">
            <v>1.2</v>
          </cell>
        </row>
        <row r="8837">
          <cell r="A8837" t="str">
            <v>IS_alqt_plus</v>
          </cell>
          <cell r="K8837" t="str">
            <v>PCOQ</v>
          </cell>
          <cell r="M8837" t="str">
            <v>M</v>
          </cell>
          <cell r="AB8837" t="str">
            <v>serum</v>
          </cell>
          <cell r="AF8837">
            <v>1.1000000000000001</v>
          </cell>
        </row>
        <row r="8838">
          <cell r="A8838" t="str">
            <v>IS_alqt_plus</v>
          </cell>
          <cell r="K8838" t="str">
            <v>PCOQ</v>
          </cell>
          <cell r="M8838" t="str">
            <v>M</v>
          </cell>
          <cell r="AB8838" t="str">
            <v>serum</v>
          </cell>
          <cell r="AF8838">
            <v>1.1000000000000001</v>
          </cell>
        </row>
        <row r="8839">
          <cell r="A8839" t="str">
            <v>IS_alqt_plus</v>
          </cell>
          <cell r="K8839" t="str">
            <v>PCOQ</v>
          </cell>
          <cell r="M8839" t="str">
            <v>M</v>
          </cell>
          <cell r="AB8839" t="str">
            <v>serum</v>
          </cell>
          <cell r="AF8839">
            <v>1</v>
          </cell>
        </row>
        <row r="8840">
          <cell r="A8840" t="str">
            <v>IS_alqt_plus</v>
          </cell>
          <cell r="K8840" t="str">
            <v>PCOQ</v>
          </cell>
          <cell r="M8840" t="str">
            <v>M</v>
          </cell>
          <cell r="AB8840" t="str">
            <v>serum</v>
          </cell>
          <cell r="AF8840">
            <v>1.25</v>
          </cell>
        </row>
        <row r="8841">
          <cell r="A8841" t="str">
            <v>IS_alqt_plus</v>
          </cell>
          <cell r="K8841" t="str">
            <v>PCOQ</v>
          </cell>
          <cell r="M8841" t="str">
            <v>M</v>
          </cell>
          <cell r="AB8841" t="str">
            <v>serum</v>
          </cell>
          <cell r="AF8841">
            <v>1</v>
          </cell>
        </row>
        <row r="8842">
          <cell r="A8842" t="str">
            <v>IS_alqt_plus</v>
          </cell>
          <cell r="K8842" t="str">
            <v>PCOQ</v>
          </cell>
          <cell r="M8842" t="str">
            <v>M</v>
          </cell>
          <cell r="AB8842" t="str">
            <v>serum</v>
          </cell>
          <cell r="AF8842">
            <v>1</v>
          </cell>
        </row>
        <row r="8843">
          <cell r="A8843" t="str">
            <v>IS_alqt_plus</v>
          </cell>
          <cell r="K8843" t="str">
            <v>PCOQ</v>
          </cell>
          <cell r="M8843" t="str">
            <v>M</v>
          </cell>
          <cell r="AB8843" t="str">
            <v>serum</v>
          </cell>
          <cell r="AF8843">
            <v>1</v>
          </cell>
        </row>
        <row r="8844">
          <cell r="A8844" t="str">
            <v>IS_alqt_plus</v>
          </cell>
          <cell r="K8844" t="str">
            <v>PCOQ</v>
          </cell>
          <cell r="M8844" t="str">
            <v>M</v>
          </cell>
          <cell r="AB8844" t="str">
            <v>serum</v>
          </cell>
          <cell r="AF8844">
            <v>1</v>
          </cell>
        </row>
        <row r="8845">
          <cell r="A8845" t="str">
            <v>IS_alqt_plus</v>
          </cell>
          <cell r="K8845" t="str">
            <v>PCOQ</v>
          </cell>
          <cell r="M8845" t="str">
            <v>M</v>
          </cell>
          <cell r="AB8845" t="str">
            <v>serum</v>
          </cell>
          <cell r="AF8845">
            <v>1.1000000000000001</v>
          </cell>
        </row>
        <row r="8846">
          <cell r="A8846" t="str">
            <v>IS_alqt_plus</v>
          </cell>
          <cell r="K8846" t="str">
            <v>PCOQ</v>
          </cell>
          <cell r="M8846" t="str">
            <v>M</v>
          </cell>
          <cell r="AB8846" t="str">
            <v>serum</v>
          </cell>
          <cell r="AF8846">
            <v>1</v>
          </cell>
        </row>
        <row r="8847">
          <cell r="A8847" t="str">
            <v>IS_alqt_plus</v>
          </cell>
          <cell r="K8847" t="str">
            <v>PCOQ</v>
          </cell>
          <cell r="M8847" t="str">
            <v>M</v>
          </cell>
          <cell r="AB8847" t="str">
            <v>serum</v>
          </cell>
          <cell r="AF8847">
            <v>1.1000000000000001</v>
          </cell>
        </row>
        <row r="8848">
          <cell r="A8848" t="str">
            <v>IS_alqt_plus</v>
          </cell>
          <cell r="K8848" t="str">
            <v>PCOQ</v>
          </cell>
          <cell r="M8848" t="str">
            <v>M</v>
          </cell>
          <cell r="AB8848" t="str">
            <v>serum</v>
          </cell>
          <cell r="AF8848">
            <v>1.2</v>
          </cell>
        </row>
        <row r="8849">
          <cell r="A8849" t="str">
            <v>IS_alqt_plus</v>
          </cell>
          <cell r="K8849" t="str">
            <v>PCOQ</v>
          </cell>
          <cell r="M8849" t="str">
            <v>M</v>
          </cell>
          <cell r="AB8849" t="str">
            <v>serum</v>
          </cell>
          <cell r="AF8849">
            <v>1</v>
          </cell>
        </row>
        <row r="8850">
          <cell r="A8850" t="str">
            <v>IS_alqt_plus</v>
          </cell>
          <cell r="K8850" t="str">
            <v>PCOQ</v>
          </cell>
          <cell r="M8850" t="str">
            <v>M</v>
          </cell>
          <cell r="AB8850" t="str">
            <v>serum</v>
          </cell>
          <cell r="AF8850">
            <v>1.2</v>
          </cell>
        </row>
        <row r="8851">
          <cell r="A8851" t="str">
            <v>IS_alqt_plus</v>
          </cell>
          <cell r="K8851" t="str">
            <v>PCOQ</v>
          </cell>
          <cell r="M8851" t="str">
            <v>M</v>
          </cell>
          <cell r="AB8851" t="str">
            <v>serum</v>
          </cell>
          <cell r="AF8851">
            <v>1</v>
          </cell>
        </row>
        <row r="8852">
          <cell r="A8852" t="str">
            <v>IS_alqt_plus</v>
          </cell>
          <cell r="K8852" t="str">
            <v>PCOQ</v>
          </cell>
          <cell r="M8852" t="str">
            <v>M</v>
          </cell>
          <cell r="AB8852" t="str">
            <v>serum</v>
          </cell>
          <cell r="AF8852">
            <v>1</v>
          </cell>
        </row>
        <row r="8853">
          <cell r="A8853" t="str">
            <v>IS_alqt_plus</v>
          </cell>
          <cell r="K8853" t="str">
            <v>PCOQ</v>
          </cell>
          <cell r="M8853" t="str">
            <v>M</v>
          </cell>
          <cell r="AB8853" t="str">
            <v>serum</v>
          </cell>
          <cell r="AF8853">
            <v>1</v>
          </cell>
        </row>
        <row r="8854">
          <cell r="A8854" t="str">
            <v>IS_alqt_plus</v>
          </cell>
          <cell r="K8854" t="str">
            <v>PCOQ</v>
          </cell>
          <cell r="M8854" t="str">
            <v>M</v>
          </cell>
          <cell r="AB8854" t="str">
            <v>serum</v>
          </cell>
          <cell r="AF8854">
            <v>1</v>
          </cell>
        </row>
        <row r="8855">
          <cell r="A8855" t="str">
            <v>IS_alqt_plus</v>
          </cell>
          <cell r="K8855" t="str">
            <v>EFLA</v>
          </cell>
          <cell r="M8855" t="str">
            <v>F</v>
          </cell>
          <cell r="AB8855" t="str">
            <v>serum</v>
          </cell>
          <cell r="AF8855">
            <v>1.25</v>
          </cell>
        </row>
        <row r="8856">
          <cell r="A8856" t="str">
            <v>IS_alqt_plus</v>
          </cell>
          <cell r="K8856" t="str">
            <v>PCOQ</v>
          </cell>
          <cell r="M8856" t="str">
            <v>F</v>
          </cell>
          <cell r="AB8856" t="str">
            <v>WB</v>
          </cell>
          <cell r="AF8856">
            <v>0.4</v>
          </cell>
        </row>
        <row r="8857">
          <cell r="A8857" t="str">
            <v>IS_alqt_plus</v>
          </cell>
          <cell r="K8857" t="str">
            <v>EMON</v>
          </cell>
          <cell r="M8857" t="str">
            <v>M</v>
          </cell>
          <cell r="AB8857" t="str">
            <v>WB</v>
          </cell>
          <cell r="AF8857">
            <v>0.25</v>
          </cell>
        </row>
        <row r="8858">
          <cell r="A8858" t="str">
            <v>IS_alqt_plus</v>
          </cell>
          <cell r="K8858" t="str">
            <v>EMON</v>
          </cell>
          <cell r="M8858" t="str">
            <v>F</v>
          </cell>
          <cell r="AB8858" t="str">
            <v>WB</v>
          </cell>
          <cell r="AF8858">
            <v>0.7</v>
          </cell>
        </row>
        <row r="8859">
          <cell r="A8859" t="str">
            <v>IS_alqt_plus</v>
          </cell>
          <cell r="K8859" t="str">
            <v>DMAD</v>
          </cell>
          <cell r="M8859" t="str">
            <v>M</v>
          </cell>
          <cell r="AB8859" t="str">
            <v>serum</v>
          </cell>
          <cell r="AF8859">
            <v>1.25</v>
          </cell>
        </row>
        <row r="8860">
          <cell r="A8860" t="str">
            <v>IS_alqt_plus</v>
          </cell>
          <cell r="K8860" t="str">
            <v>DMAD</v>
          </cell>
          <cell r="M8860" t="str">
            <v>M</v>
          </cell>
          <cell r="AB8860" t="str">
            <v>WB</v>
          </cell>
          <cell r="AF8860">
            <v>0.25</v>
          </cell>
        </row>
        <row r="8861">
          <cell r="A8861" t="str">
            <v>IS_alqt_plus</v>
          </cell>
          <cell r="K8861" t="str">
            <v>LCAT</v>
          </cell>
          <cell r="M8861" t="str">
            <v>F</v>
          </cell>
          <cell r="AB8861" t="str">
            <v>serum</v>
          </cell>
          <cell r="AF8861">
            <v>1</v>
          </cell>
        </row>
        <row r="8862">
          <cell r="A8862" t="str">
            <v>IS_alqt_plus</v>
          </cell>
          <cell r="K8862" t="str">
            <v>ECOL</v>
          </cell>
          <cell r="M8862" t="str">
            <v>M</v>
          </cell>
          <cell r="AB8862" t="str">
            <v>serum</v>
          </cell>
          <cell r="AF8862">
            <v>1.5</v>
          </cell>
        </row>
        <row r="8863">
          <cell r="A8863" t="str">
            <v>gone</v>
          </cell>
          <cell r="K8863" t="str">
            <v>ECOL</v>
          </cell>
          <cell r="M8863" t="str">
            <v>M</v>
          </cell>
          <cell r="AB8863" t="str">
            <v>WB</v>
          </cell>
          <cell r="AF8863">
            <v>0</v>
          </cell>
        </row>
        <row r="8864">
          <cell r="A8864" t="str">
            <v>IS_alqt_plus</v>
          </cell>
          <cell r="K8864" t="str">
            <v>EMON</v>
          </cell>
          <cell r="M8864" t="str">
            <v>M</v>
          </cell>
          <cell r="AB8864" t="str">
            <v>WB</v>
          </cell>
          <cell r="AF8864">
            <v>0.5</v>
          </cell>
        </row>
        <row r="8865">
          <cell r="A8865" t="str">
            <v>gone</v>
          </cell>
          <cell r="K8865" t="str">
            <v>EMON</v>
          </cell>
          <cell r="M8865" t="str">
            <v>M</v>
          </cell>
          <cell r="AB8865" t="str">
            <v>WB</v>
          </cell>
          <cell r="AF8865">
            <v>0</v>
          </cell>
        </row>
        <row r="8866">
          <cell r="A8866" t="str">
            <v>IS_alqt_plus</v>
          </cell>
          <cell r="K8866" t="str">
            <v>EMON</v>
          </cell>
          <cell r="M8866" t="str">
            <v>M</v>
          </cell>
          <cell r="AB8866" t="str">
            <v>WB</v>
          </cell>
          <cell r="AF8866">
            <v>0.5</v>
          </cell>
        </row>
        <row r="8867">
          <cell r="A8867" t="str">
            <v>IS_alqt_plus</v>
          </cell>
          <cell r="K8867" t="str">
            <v>PCOQ</v>
          </cell>
          <cell r="M8867" t="str">
            <v>F</v>
          </cell>
          <cell r="AB8867" t="str">
            <v>WB</v>
          </cell>
          <cell r="AF8867">
            <v>0.2</v>
          </cell>
        </row>
        <row r="8868">
          <cell r="A8868" t="str">
            <v>IS_alqt_minus</v>
          </cell>
          <cell r="K8868" t="str">
            <v>PCOQ</v>
          </cell>
          <cell r="M8868" t="str">
            <v>F</v>
          </cell>
          <cell r="AB8868" t="str">
            <v>WB</v>
          </cell>
          <cell r="AF8868">
            <v>0.05</v>
          </cell>
        </row>
        <row r="8869">
          <cell r="A8869" t="str">
            <v>IS_alqt_plus</v>
          </cell>
          <cell r="K8869" t="str">
            <v>LCAT</v>
          </cell>
          <cell r="M8869" t="str">
            <v>F</v>
          </cell>
          <cell r="AB8869" t="str">
            <v>serum</v>
          </cell>
          <cell r="AF8869">
            <v>1</v>
          </cell>
        </row>
        <row r="8870">
          <cell r="A8870" t="str">
            <v>IS_alqt_plus</v>
          </cell>
          <cell r="K8870" t="str">
            <v>VRUB</v>
          </cell>
          <cell r="M8870" t="str">
            <v>F</v>
          </cell>
          <cell r="AB8870" t="str">
            <v>WB</v>
          </cell>
          <cell r="AF8870">
            <v>0.8</v>
          </cell>
        </row>
        <row r="8871">
          <cell r="A8871" t="str">
            <v>IS_alqt_plus</v>
          </cell>
          <cell r="K8871" t="str">
            <v>VRUB</v>
          </cell>
          <cell r="M8871" t="str">
            <v>F</v>
          </cell>
          <cell r="AB8871" t="str">
            <v>serum</v>
          </cell>
          <cell r="AF8871">
            <v>0.6</v>
          </cell>
        </row>
        <row r="8872">
          <cell r="A8872" t="str">
            <v>IS_alqt_plus</v>
          </cell>
          <cell r="K8872" t="str">
            <v>PCOQ</v>
          </cell>
          <cell r="M8872" t="str">
            <v>F</v>
          </cell>
          <cell r="AB8872" t="str">
            <v>serum</v>
          </cell>
          <cell r="AF8872">
            <v>1</v>
          </cell>
        </row>
        <row r="8873">
          <cell r="A8873" t="str">
            <v>gone</v>
          </cell>
          <cell r="K8873" t="str">
            <v>PCOQ</v>
          </cell>
          <cell r="M8873" t="str">
            <v>F</v>
          </cell>
          <cell r="AB8873" t="str">
            <v>WB</v>
          </cell>
          <cell r="AF8873">
            <v>0</v>
          </cell>
        </row>
        <row r="8874">
          <cell r="A8874" t="str">
            <v>IS_alqt_plus</v>
          </cell>
          <cell r="K8874" t="str">
            <v>ERUB</v>
          </cell>
          <cell r="M8874" t="str">
            <v>F</v>
          </cell>
          <cell r="AB8874" t="str">
            <v>WB</v>
          </cell>
          <cell r="AF8874">
            <v>1</v>
          </cell>
        </row>
        <row r="8875">
          <cell r="A8875" t="str">
            <v>IS_alqt_plus</v>
          </cell>
          <cell r="K8875" t="str">
            <v>ERUB</v>
          </cell>
          <cell r="M8875" t="str">
            <v>F</v>
          </cell>
          <cell r="AB8875" t="str">
            <v>serum</v>
          </cell>
          <cell r="AF8875">
            <v>1</v>
          </cell>
        </row>
        <row r="8876">
          <cell r="A8876" t="str">
            <v>IS_alqt_plus</v>
          </cell>
          <cell r="K8876" t="str">
            <v>PCOQ</v>
          </cell>
          <cell r="M8876" t="str">
            <v>M</v>
          </cell>
          <cell r="AB8876" t="str">
            <v>serum</v>
          </cell>
          <cell r="AF8876">
            <v>1</v>
          </cell>
        </row>
        <row r="8877">
          <cell r="A8877" t="str">
            <v>gone</v>
          </cell>
          <cell r="K8877" t="str">
            <v>PCOQ</v>
          </cell>
          <cell r="M8877" t="str">
            <v>F</v>
          </cell>
          <cell r="AB8877" t="str">
            <v>WB</v>
          </cell>
          <cell r="AF8877">
            <v>0</v>
          </cell>
        </row>
        <row r="8878">
          <cell r="A8878" t="str">
            <v>IS_alqt_plus</v>
          </cell>
          <cell r="K8878" t="str">
            <v>DMAD</v>
          </cell>
          <cell r="M8878" t="str">
            <v>F</v>
          </cell>
          <cell r="AB8878" t="str">
            <v>serum</v>
          </cell>
          <cell r="AF8878">
            <v>0.5</v>
          </cell>
        </row>
        <row r="8879">
          <cell r="A8879" t="str">
            <v>IS_alqt_plus</v>
          </cell>
          <cell r="K8879" t="str">
            <v>DMAD</v>
          </cell>
          <cell r="M8879" t="str">
            <v>F</v>
          </cell>
          <cell r="AB8879" t="str">
            <v>WB</v>
          </cell>
          <cell r="AF8879">
            <v>0.25</v>
          </cell>
        </row>
        <row r="8880">
          <cell r="A8880" t="str">
            <v>IS_alqt_plus</v>
          </cell>
          <cell r="K8880" t="str">
            <v>DMAD</v>
          </cell>
          <cell r="M8880" t="str">
            <v>F</v>
          </cell>
          <cell r="AB8880" t="str">
            <v>WB</v>
          </cell>
          <cell r="AF8880">
            <v>0.8</v>
          </cell>
        </row>
        <row r="8881">
          <cell r="A8881" t="str">
            <v>gone</v>
          </cell>
          <cell r="K8881" t="str">
            <v>PCOQ</v>
          </cell>
          <cell r="M8881" t="str">
            <v>F</v>
          </cell>
          <cell r="AB8881" t="str">
            <v>WB</v>
          </cell>
          <cell r="AF8881">
            <v>0</v>
          </cell>
        </row>
        <row r="8882">
          <cell r="A8882" t="str">
            <v>unk</v>
          </cell>
          <cell r="K8882" t="str">
            <v>PCOQ</v>
          </cell>
          <cell r="M8882" t="str">
            <v>M</v>
          </cell>
          <cell r="AB8882" t="str">
            <v>serum</v>
          </cell>
          <cell r="AF8882">
            <v>1.3</v>
          </cell>
        </row>
        <row r="8883">
          <cell r="A8883" t="str">
            <v>IS_alqt_plus</v>
          </cell>
          <cell r="K8883" t="str">
            <v>DMAD</v>
          </cell>
          <cell r="M8883" t="str">
            <v>F</v>
          </cell>
          <cell r="AB8883" t="str">
            <v>serum</v>
          </cell>
          <cell r="AF8883">
            <v>1.5</v>
          </cell>
        </row>
        <row r="8884">
          <cell r="A8884" t="str">
            <v>IS_alqt_plus</v>
          </cell>
          <cell r="K8884" t="str">
            <v>DMAD</v>
          </cell>
          <cell r="M8884" t="str">
            <v>F</v>
          </cell>
          <cell r="AB8884" t="str">
            <v>WB</v>
          </cell>
          <cell r="AF8884">
            <v>1</v>
          </cell>
        </row>
        <row r="8885">
          <cell r="A8885" t="str">
            <v>gone</v>
          </cell>
          <cell r="K8885" t="str">
            <v>PCOQ</v>
          </cell>
          <cell r="M8885" t="str">
            <v>F</v>
          </cell>
          <cell r="AB8885" t="str">
            <v>WB</v>
          </cell>
          <cell r="AF8885">
            <v>0</v>
          </cell>
        </row>
        <row r="8886">
          <cell r="A8886" t="str">
            <v>IS_alqt_plus</v>
          </cell>
          <cell r="K8886" t="str">
            <v>LCAT</v>
          </cell>
          <cell r="M8886" t="str">
            <v>F</v>
          </cell>
          <cell r="AB8886" t="str">
            <v>serum</v>
          </cell>
          <cell r="AF8886">
            <v>1</v>
          </cell>
        </row>
        <row r="8887">
          <cell r="A8887" t="str">
            <v>IS_alqt_plus</v>
          </cell>
          <cell r="K8887" t="str">
            <v>ECOR</v>
          </cell>
          <cell r="M8887" t="str">
            <v>M</v>
          </cell>
          <cell r="AB8887" t="str">
            <v>WB</v>
          </cell>
          <cell r="AF8887">
            <v>0.75</v>
          </cell>
        </row>
        <row r="8888">
          <cell r="A8888" t="str">
            <v>IS_alqt_plus</v>
          </cell>
          <cell r="K8888" t="str">
            <v>PCOQ</v>
          </cell>
          <cell r="M8888" t="str">
            <v>M</v>
          </cell>
          <cell r="AB8888" t="str">
            <v>serum</v>
          </cell>
          <cell r="AF8888">
            <v>0.5</v>
          </cell>
        </row>
        <row r="8889">
          <cell r="A8889" t="str">
            <v>IS_alqt_plus</v>
          </cell>
          <cell r="K8889" t="str">
            <v>PCOQ</v>
          </cell>
          <cell r="M8889" t="str">
            <v>M</v>
          </cell>
          <cell r="AB8889" t="str">
            <v>serum</v>
          </cell>
          <cell r="AF8889">
            <v>0.5</v>
          </cell>
        </row>
        <row r="8890">
          <cell r="A8890" t="str">
            <v>IS_alqt_plus</v>
          </cell>
          <cell r="K8890" t="str">
            <v>PCOQ</v>
          </cell>
          <cell r="M8890" t="str">
            <v>F</v>
          </cell>
          <cell r="AB8890" t="str">
            <v>WB</v>
          </cell>
          <cell r="AF8890">
            <v>0.2</v>
          </cell>
        </row>
        <row r="8891">
          <cell r="A8891" t="str">
            <v>IS_alqt_plus</v>
          </cell>
          <cell r="K8891" t="str">
            <v>PCOQ</v>
          </cell>
          <cell r="M8891" t="str">
            <v>F</v>
          </cell>
          <cell r="AB8891" t="str">
            <v>serum</v>
          </cell>
          <cell r="AF8891">
            <v>1</v>
          </cell>
        </row>
        <row r="8892">
          <cell r="A8892" t="str">
            <v>gone</v>
          </cell>
          <cell r="K8892" t="str">
            <v>PCOQ</v>
          </cell>
          <cell r="M8892" t="str">
            <v>F</v>
          </cell>
          <cell r="AB8892" t="str">
            <v>WB</v>
          </cell>
          <cell r="AF8892">
            <v>0</v>
          </cell>
        </row>
        <row r="8893">
          <cell r="A8893" t="str">
            <v>gone</v>
          </cell>
          <cell r="K8893" t="str">
            <v>PCOQ</v>
          </cell>
          <cell r="M8893" t="str">
            <v>M</v>
          </cell>
          <cell r="AB8893" t="str">
            <v>WB</v>
          </cell>
          <cell r="AF8893">
            <v>0</v>
          </cell>
        </row>
        <row r="8894">
          <cell r="A8894" t="str">
            <v>IS_alqt_plus</v>
          </cell>
          <cell r="K8894" t="str">
            <v>PCOQ</v>
          </cell>
          <cell r="M8894" t="str">
            <v>F</v>
          </cell>
          <cell r="AB8894" t="str">
            <v>serum</v>
          </cell>
          <cell r="AF8894">
            <v>1.5</v>
          </cell>
        </row>
        <row r="8895">
          <cell r="A8895" t="str">
            <v>IS_alqt_plus</v>
          </cell>
          <cell r="K8895" t="str">
            <v>PCOQ</v>
          </cell>
          <cell r="M8895" t="str">
            <v>M</v>
          </cell>
          <cell r="AB8895" t="str">
            <v>serum</v>
          </cell>
          <cell r="AF8895">
            <v>0.75</v>
          </cell>
        </row>
        <row r="8896">
          <cell r="A8896" t="str">
            <v>gone</v>
          </cell>
          <cell r="K8896" t="str">
            <v>PCOQ</v>
          </cell>
          <cell r="M8896" t="str">
            <v>M</v>
          </cell>
          <cell r="AB8896" t="str">
            <v>WB</v>
          </cell>
          <cell r="AF8896">
            <v>0</v>
          </cell>
        </row>
        <row r="8897">
          <cell r="A8897" t="str">
            <v>IS_alqt_minus</v>
          </cell>
          <cell r="K8897" t="str">
            <v>CMED</v>
          </cell>
          <cell r="M8897" t="str">
            <v>M</v>
          </cell>
          <cell r="AB8897" t="str">
            <v>serum</v>
          </cell>
          <cell r="AF8897">
            <v>0.15</v>
          </cell>
        </row>
        <row r="8898">
          <cell r="A8898" t="str">
            <v>IS_alqt_plus</v>
          </cell>
          <cell r="K8898" t="str">
            <v>CMED</v>
          </cell>
          <cell r="M8898" t="str">
            <v>M</v>
          </cell>
          <cell r="AB8898" t="str">
            <v>serum</v>
          </cell>
          <cell r="AF8898">
            <v>0.25</v>
          </cell>
        </row>
        <row r="8899">
          <cell r="A8899" t="str">
            <v>IS_alqt_minus</v>
          </cell>
          <cell r="K8899" t="str">
            <v>CMED</v>
          </cell>
          <cell r="M8899" t="str">
            <v>M</v>
          </cell>
          <cell r="AB8899" t="str">
            <v>serum</v>
          </cell>
          <cell r="AF8899">
            <v>0.15</v>
          </cell>
        </row>
        <row r="8900">
          <cell r="A8900" t="str">
            <v>IS_alqt_minus</v>
          </cell>
          <cell r="K8900" t="str">
            <v>CMED</v>
          </cell>
          <cell r="M8900" t="str">
            <v>M</v>
          </cell>
          <cell r="AB8900" t="str">
            <v>serum</v>
          </cell>
          <cell r="AF8900">
            <v>0.15</v>
          </cell>
        </row>
        <row r="8901">
          <cell r="A8901" t="str">
            <v>IS_alqt_plus</v>
          </cell>
          <cell r="K8901" t="str">
            <v>EFLA</v>
          </cell>
          <cell r="M8901" t="str">
            <v>F</v>
          </cell>
          <cell r="AB8901" t="str">
            <v>serum</v>
          </cell>
          <cell r="AF8901">
            <v>1.5</v>
          </cell>
        </row>
        <row r="8902">
          <cell r="A8902" t="str">
            <v>gone</v>
          </cell>
          <cell r="K8902" t="str">
            <v>CMED</v>
          </cell>
          <cell r="M8902" t="str">
            <v>M</v>
          </cell>
          <cell r="AB8902" t="str">
            <v>WB</v>
          </cell>
          <cell r="AF8902">
            <v>0</v>
          </cell>
        </row>
        <row r="8903">
          <cell r="A8903" t="str">
            <v>IS_alqt_plus</v>
          </cell>
          <cell r="K8903" t="str">
            <v>CMED</v>
          </cell>
          <cell r="M8903" t="str">
            <v>M</v>
          </cell>
          <cell r="AB8903" t="str">
            <v>WB</v>
          </cell>
          <cell r="AF8903">
            <v>0.6</v>
          </cell>
        </row>
        <row r="8904">
          <cell r="A8904" t="str">
            <v>IS_alqt_plus</v>
          </cell>
          <cell r="K8904" t="str">
            <v>CMED</v>
          </cell>
          <cell r="M8904" t="str">
            <v>M</v>
          </cell>
          <cell r="AB8904" t="str">
            <v>WB</v>
          </cell>
          <cell r="AF8904">
            <v>0.6</v>
          </cell>
        </row>
        <row r="8905">
          <cell r="A8905" t="str">
            <v>IS_alqt_plus</v>
          </cell>
          <cell r="K8905" t="str">
            <v>CMED</v>
          </cell>
          <cell r="M8905" t="str">
            <v>M</v>
          </cell>
          <cell r="AB8905" t="str">
            <v>WB</v>
          </cell>
          <cell r="AF8905">
            <v>0.6</v>
          </cell>
        </row>
        <row r="8906">
          <cell r="A8906" t="str">
            <v>gone</v>
          </cell>
          <cell r="K8906" t="str">
            <v>CMED</v>
          </cell>
          <cell r="M8906" t="str">
            <v>M</v>
          </cell>
          <cell r="AB8906" t="str">
            <v>WB</v>
          </cell>
          <cell r="AF8906">
            <v>0</v>
          </cell>
        </row>
        <row r="8907">
          <cell r="A8907" t="str">
            <v>IS_alqt_plus</v>
          </cell>
          <cell r="K8907" t="str">
            <v>PCOQ</v>
          </cell>
          <cell r="M8907" t="str">
            <v>F</v>
          </cell>
          <cell r="AB8907" t="str">
            <v>WB</v>
          </cell>
          <cell r="AF8907">
            <v>0.2</v>
          </cell>
        </row>
        <row r="8908">
          <cell r="A8908" t="str">
            <v>IS_alqt_plus</v>
          </cell>
          <cell r="K8908" t="str">
            <v>EFLA</v>
          </cell>
          <cell r="M8908" t="str">
            <v>F</v>
          </cell>
          <cell r="AB8908" t="str">
            <v>WB</v>
          </cell>
          <cell r="AF8908">
            <v>1</v>
          </cell>
        </row>
        <row r="8909">
          <cell r="A8909" t="str">
            <v>IS_alqt_plus</v>
          </cell>
          <cell r="K8909" t="str">
            <v>EFLA</v>
          </cell>
          <cell r="M8909" t="str">
            <v>M</v>
          </cell>
          <cell r="AB8909" t="str">
            <v>serum</v>
          </cell>
          <cell r="AF8909">
            <v>0.6</v>
          </cell>
        </row>
        <row r="8910">
          <cell r="A8910" t="str">
            <v>IS_alqt_plus</v>
          </cell>
          <cell r="K8910" t="str">
            <v>EFLA</v>
          </cell>
          <cell r="M8910" t="str">
            <v>M</v>
          </cell>
          <cell r="AB8910" t="str">
            <v>WB</v>
          </cell>
          <cell r="AF8910">
            <v>0.4</v>
          </cell>
        </row>
        <row r="8911">
          <cell r="A8911" t="str">
            <v>gone</v>
          </cell>
          <cell r="K8911" t="str">
            <v>VRUB</v>
          </cell>
          <cell r="M8911" t="str">
            <v>F</v>
          </cell>
          <cell r="AB8911" t="str">
            <v>WB</v>
          </cell>
          <cell r="AF8911">
            <v>0</v>
          </cell>
        </row>
        <row r="8912">
          <cell r="A8912" t="str">
            <v>IS_alqt_plus</v>
          </cell>
          <cell r="K8912" t="str">
            <v>VRUB</v>
          </cell>
          <cell r="M8912" t="str">
            <v>F</v>
          </cell>
          <cell r="AB8912" t="str">
            <v>serum</v>
          </cell>
          <cell r="AF8912">
            <v>1</v>
          </cell>
        </row>
        <row r="8913">
          <cell r="A8913" t="str">
            <v>IS_alqt_plus</v>
          </cell>
          <cell r="K8913" t="str">
            <v>VRUB</v>
          </cell>
          <cell r="M8913" t="str">
            <v>M</v>
          </cell>
          <cell r="AB8913" t="str">
            <v>WB</v>
          </cell>
          <cell r="AF8913">
            <v>0.9</v>
          </cell>
        </row>
        <row r="8914">
          <cell r="A8914" t="str">
            <v>IS_alqt_plus</v>
          </cell>
          <cell r="K8914" t="str">
            <v>VRUB</v>
          </cell>
          <cell r="M8914" t="str">
            <v>M</v>
          </cell>
          <cell r="AB8914" t="str">
            <v>WB</v>
          </cell>
          <cell r="AF8914">
            <v>1.5</v>
          </cell>
        </row>
        <row r="8915">
          <cell r="A8915" t="str">
            <v>IS_alqt_plus</v>
          </cell>
          <cell r="K8915" t="str">
            <v>VRUB</v>
          </cell>
          <cell r="M8915" t="str">
            <v>M</v>
          </cell>
          <cell r="AB8915" t="str">
            <v>serum</v>
          </cell>
          <cell r="AF8915">
            <v>1.25</v>
          </cell>
        </row>
        <row r="8916">
          <cell r="A8916" t="str">
            <v>IS_alqt_plus</v>
          </cell>
          <cell r="K8916" t="str">
            <v>DMAD</v>
          </cell>
          <cell r="M8916" t="str">
            <v>F</v>
          </cell>
          <cell r="AB8916" t="str">
            <v>serum</v>
          </cell>
          <cell r="AF8916">
            <v>1</v>
          </cell>
        </row>
        <row r="8917">
          <cell r="A8917" t="str">
            <v>IS_alqt_plus</v>
          </cell>
          <cell r="K8917" t="str">
            <v>PCOQ</v>
          </cell>
          <cell r="M8917" t="str">
            <v>M</v>
          </cell>
          <cell r="AB8917" t="str">
            <v>WB</v>
          </cell>
          <cell r="AF8917">
            <v>0.2</v>
          </cell>
        </row>
        <row r="8918">
          <cell r="A8918" t="str">
            <v>IS_alqt_plus</v>
          </cell>
          <cell r="K8918" t="str">
            <v>LCAT</v>
          </cell>
          <cell r="M8918" t="str">
            <v>F</v>
          </cell>
          <cell r="AB8918" t="str">
            <v>serum</v>
          </cell>
          <cell r="AF8918">
            <v>1.5</v>
          </cell>
        </row>
        <row r="8919">
          <cell r="A8919" t="str">
            <v>IS_alqt_plus</v>
          </cell>
          <cell r="K8919" t="str">
            <v>PCOQ</v>
          </cell>
          <cell r="M8919" t="str">
            <v>M</v>
          </cell>
          <cell r="AB8919" t="str">
            <v>WB</v>
          </cell>
          <cell r="AF8919">
            <v>0.2</v>
          </cell>
        </row>
        <row r="8920">
          <cell r="A8920" t="str">
            <v>IS_alqt_plus</v>
          </cell>
          <cell r="K8920" t="str">
            <v>LCAT</v>
          </cell>
          <cell r="M8920" t="str">
            <v>F</v>
          </cell>
          <cell r="AB8920" t="str">
            <v>serum</v>
          </cell>
          <cell r="AF8920">
            <v>0.4</v>
          </cell>
        </row>
        <row r="8921">
          <cell r="A8921" t="str">
            <v>IS_alqt_plus</v>
          </cell>
          <cell r="K8921" t="str">
            <v>LCAT</v>
          </cell>
          <cell r="M8921" t="str">
            <v>M</v>
          </cell>
          <cell r="AB8921" t="str">
            <v>serum</v>
          </cell>
          <cell r="AF8921">
            <v>1.3</v>
          </cell>
        </row>
        <row r="8922">
          <cell r="A8922" t="str">
            <v>IS_alqt_plus</v>
          </cell>
          <cell r="K8922" t="str">
            <v>PCOQ</v>
          </cell>
          <cell r="M8922" t="str">
            <v>M</v>
          </cell>
          <cell r="AB8922" t="str">
            <v>WB</v>
          </cell>
          <cell r="AF8922">
            <v>0.2</v>
          </cell>
        </row>
        <row r="8923">
          <cell r="A8923" t="str">
            <v>IS_alqt_plus</v>
          </cell>
          <cell r="K8923" t="str">
            <v>DMAD</v>
          </cell>
          <cell r="M8923" t="str">
            <v>F</v>
          </cell>
          <cell r="AB8923" t="str">
            <v>serum</v>
          </cell>
          <cell r="AF8923">
            <v>0.7</v>
          </cell>
        </row>
        <row r="8924">
          <cell r="A8924" t="str">
            <v>IS_alqt_plus</v>
          </cell>
          <cell r="K8924" t="str">
            <v>DMAD</v>
          </cell>
          <cell r="M8924" t="str">
            <v>F</v>
          </cell>
          <cell r="AB8924" t="str">
            <v>WB</v>
          </cell>
          <cell r="AF8924">
            <v>0.3</v>
          </cell>
        </row>
        <row r="8925">
          <cell r="A8925" t="str">
            <v>IS_alqt_plus</v>
          </cell>
          <cell r="K8925" t="str">
            <v>DMAD</v>
          </cell>
          <cell r="M8925" t="str">
            <v>F</v>
          </cell>
          <cell r="AB8925" t="str">
            <v>serum</v>
          </cell>
          <cell r="AF8925">
            <v>1</v>
          </cell>
        </row>
        <row r="8926">
          <cell r="A8926" t="str">
            <v>IS_alqt_plus</v>
          </cell>
          <cell r="K8926" t="str">
            <v>DMAD</v>
          </cell>
          <cell r="M8926" t="str">
            <v>F</v>
          </cell>
          <cell r="AB8926" t="str">
            <v>WB</v>
          </cell>
          <cell r="AF8926">
            <v>0.2</v>
          </cell>
        </row>
        <row r="8927">
          <cell r="A8927" t="str">
            <v>IS_alqt_plus</v>
          </cell>
          <cell r="K8927" t="str">
            <v>DMAD</v>
          </cell>
          <cell r="M8927" t="str">
            <v>F</v>
          </cell>
          <cell r="AB8927" t="str">
            <v>WB</v>
          </cell>
          <cell r="AF8927">
            <v>0.2</v>
          </cell>
        </row>
        <row r="8928">
          <cell r="A8928" t="str">
            <v>IS_alqt_plus</v>
          </cell>
          <cell r="K8928" t="str">
            <v>EFLA</v>
          </cell>
          <cell r="M8928" t="str">
            <v>M</v>
          </cell>
          <cell r="AB8928" t="str">
            <v>serum</v>
          </cell>
          <cell r="AF8928">
            <v>0.2</v>
          </cell>
        </row>
        <row r="8929">
          <cell r="A8929" t="str">
            <v>IS_alqt_plus</v>
          </cell>
          <cell r="K8929" t="str">
            <v>EFLA</v>
          </cell>
          <cell r="M8929" t="str">
            <v>M</v>
          </cell>
          <cell r="AB8929" t="str">
            <v>serum</v>
          </cell>
          <cell r="AF8929">
            <v>0.2</v>
          </cell>
        </row>
        <row r="8930">
          <cell r="A8930" t="str">
            <v>IS_alqt_plus</v>
          </cell>
          <cell r="K8930" t="str">
            <v>EFLA</v>
          </cell>
          <cell r="M8930" t="str">
            <v>M</v>
          </cell>
          <cell r="AB8930" t="str">
            <v>serum</v>
          </cell>
          <cell r="AF8930">
            <v>0.2</v>
          </cell>
        </row>
        <row r="8931">
          <cell r="A8931" t="str">
            <v>IS_alqt_plus</v>
          </cell>
          <cell r="K8931" t="str">
            <v>EFLA</v>
          </cell>
          <cell r="M8931" t="str">
            <v>M</v>
          </cell>
          <cell r="AB8931" t="str">
            <v>serum</v>
          </cell>
          <cell r="AF8931">
            <v>0.2</v>
          </cell>
        </row>
        <row r="8932">
          <cell r="A8932" t="str">
            <v>IS_alqt_plus</v>
          </cell>
          <cell r="K8932" t="str">
            <v>EFLA</v>
          </cell>
          <cell r="M8932" t="str">
            <v>M</v>
          </cell>
          <cell r="AB8932" t="str">
            <v>WB</v>
          </cell>
          <cell r="AF8932">
            <v>0.85</v>
          </cell>
        </row>
        <row r="8933">
          <cell r="A8933" t="str">
            <v>IS_alqt_plus</v>
          </cell>
          <cell r="K8933" t="str">
            <v>PCOQ</v>
          </cell>
          <cell r="M8933" t="str">
            <v>M</v>
          </cell>
          <cell r="AB8933" t="str">
            <v>serum</v>
          </cell>
          <cell r="AF8933">
            <v>1.5</v>
          </cell>
        </row>
        <row r="8934">
          <cell r="A8934" t="str">
            <v>IS_alqt_plus</v>
          </cell>
          <cell r="K8934" t="str">
            <v>PCOQ</v>
          </cell>
          <cell r="M8934" t="str">
            <v>M</v>
          </cell>
          <cell r="AB8934" t="str">
            <v>WB</v>
          </cell>
          <cell r="AF8934">
            <v>0.2</v>
          </cell>
        </row>
        <row r="8935">
          <cell r="A8935" t="str">
            <v>IS_alqt_plus</v>
          </cell>
          <cell r="K8935" t="str">
            <v>VVV</v>
          </cell>
          <cell r="M8935" t="str">
            <v>F</v>
          </cell>
          <cell r="AB8935" t="str">
            <v>WB</v>
          </cell>
          <cell r="AF8935">
            <v>0.75</v>
          </cell>
        </row>
        <row r="8936">
          <cell r="A8936" t="str">
            <v>IS_alqt_plus</v>
          </cell>
          <cell r="K8936" t="str">
            <v>VVV</v>
          </cell>
          <cell r="M8936" t="str">
            <v>F</v>
          </cell>
          <cell r="AB8936" t="str">
            <v>serum</v>
          </cell>
          <cell r="AF8936">
            <v>0.75</v>
          </cell>
        </row>
        <row r="8937">
          <cell r="A8937" t="str">
            <v>IS_alqt_plus</v>
          </cell>
          <cell r="K8937" t="str">
            <v>DMAD</v>
          </cell>
          <cell r="M8937" t="str">
            <v>M</v>
          </cell>
          <cell r="AB8937" t="str">
            <v>serum</v>
          </cell>
          <cell r="AF8937">
            <v>0.5</v>
          </cell>
        </row>
        <row r="8938">
          <cell r="A8938" t="str">
            <v>IS_alqt_plus</v>
          </cell>
          <cell r="K8938" t="str">
            <v>DMAD</v>
          </cell>
          <cell r="M8938" t="str">
            <v>M</v>
          </cell>
          <cell r="AB8938" t="str">
            <v>serum</v>
          </cell>
          <cell r="AF8938">
            <v>1.5</v>
          </cell>
        </row>
        <row r="8939">
          <cell r="A8939" t="str">
            <v>IS_alqt_plus</v>
          </cell>
          <cell r="K8939" t="str">
            <v>DMAD</v>
          </cell>
          <cell r="M8939" t="str">
            <v>M</v>
          </cell>
          <cell r="AB8939" t="str">
            <v>serum</v>
          </cell>
          <cell r="AF8939">
            <v>1.25</v>
          </cell>
        </row>
        <row r="8940">
          <cell r="A8940" t="str">
            <v>gone</v>
          </cell>
          <cell r="K8940" t="str">
            <v>DMAD</v>
          </cell>
          <cell r="M8940" t="str">
            <v>M</v>
          </cell>
          <cell r="AB8940" t="str">
            <v>WB</v>
          </cell>
          <cell r="AF8940">
            <v>0</v>
          </cell>
        </row>
        <row r="8941">
          <cell r="A8941" t="str">
            <v>gone</v>
          </cell>
          <cell r="K8941" t="str">
            <v>DMAD</v>
          </cell>
          <cell r="M8941" t="str">
            <v>M</v>
          </cell>
          <cell r="AB8941" t="str">
            <v>WB</v>
          </cell>
          <cell r="AF8941">
            <v>0</v>
          </cell>
        </row>
        <row r="8942">
          <cell r="A8942" t="str">
            <v>gone</v>
          </cell>
          <cell r="K8942" t="str">
            <v>DMAD</v>
          </cell>
          <cell r="M8942" t="str">
            <v>M</v>
          </cell>
          <cell r="AB8942" t="str">
            <v>WB</v>
          </cell>
          <cell r="AF8942">
            <v>0</v>
          </cell>
        </row>
        <row r="8943">
          <cell r="A8943" t="str">
            <v>IS_alqt_plus</v>
          </cell>
          <cell r="K8943" t="str">
            <v>ECOR</v>
          </cell>
          <cell r="M8943" t="str">
            <v>M</v>
          </cell>
          <cell r="AB8943" t="str">
            <v>serum</v>
          </cell>
          <cell r="AF8943">
            <v>1</v>
          </cell>
        </row>
        <row r="8944">
          <cell r="A8944" t="str">
            <v>IS_alqt_plus</v>
          </cell>
          <cell r="K8944" t="str">
            <v>ECOR</v>
          </cell>
          <cell r="M8944" t="str">
            <v>M</v>
          </cell>
          <cell r="AB8944" t="str">
            <v>WB</v>
          </cell>
          <cell r="AF8944">
            <v>0.75</v>
          </cell>
        </row>
        <row r="8945">
          <cell r="A8945" t="str">
            <v>gone</v>
          </cell>
          <cell r="K8945" t="str">
            <v>PCOQ</v>
          </cell>
          <cell r="M8945" t="str">
            <v>M</v>
          </cell>
          <cell r="AB8945" t="str">
            <v>serum</v>
          </cell>
          <cell r="AF8945">
            <v>0</v>
          </cell>
        </row>
        <row r="8946">
          <cell r="A8946" t="str">
            <v>IS_alqt_plus</v>
          </cell>
          <cell r="K8946" t="str">
            <v>PCOQ</v>
          </cell>
          <cell r="M8946" t="str">
            <v>M</v>
          </cell>
          <cell r="AB8946" t="str">
            <v>serum</v>
          </cell>
          <cell r="AF8946">
            <v>1.5</v>
          </cell>
        </row>
        <row r="8947">
          <cell r="A8947" t="str">
            <v>IS_alqt_plus</v>
          </cell>
          <cell r="K8947" t="str">
            <v>PCOQ</v>
          </cell>
          <cell r="M8947" t="str">
            <v>M</v>
          </cell>
          <cell r="AB8947" t="str">
            <v>serum</v>
          </cell>
          <cell r="AF8947">
            <v>1.5</v>
          </cell>
        </row>
        <row r="8948">
          <cell r="A8948" t="str">
            <v>IS_alqt_plus</v>
          </cell>
          <cell r="K8948" t="str">
            <v>PCOQ</v>
          </cell>
          <cell r="M8948" t="str">
            <v>M</v>
          </cell>
          <cell r="AB8948" t="str">
            <v>serum</v>
          </cell>
          <cell r="AF8948">
            <v>1.5</v>
          </cell>
        </row>
        <row r="8949">
          <cell r="A8949" t="str">
            <v>IS_alqt_plus</v>
          </cell>
          <cell r="K8949" t="str">
            <v>PCOQ</v>
          </cell>
          <cell r="M8949" t="str">
            <v>M</v>
          </cell>
          <cell r="AB8949" t="str">
            <v>serum</v>
          </cell>
          <cell r="AF8949">
            <v>1.5</v>
          </cell>
        </row>
        <row r="8950">
          <cell r="A8950" t="str">
            <v>IS_alqt_plus</v>
          </cell>
          <cell r="K8950" t="str">
            <v>PCOQ</v>
          </cell>
          <cell r="M8950" t="str">
            <v>M</v>
          </cell>
          <cell r="AB8950" t="str">
            <v>serum</v>
          </cell>
          <cell r="AF8950">
            <v>1.5</v>
          </cell>
        </row>
        <row r="8951">
          <cell r="A8951" t="str">
            <v>IS_alqt_plus</v>
          </cell>
          <cell r="K8951" t="str">
            <v>PCOQ</v>
          </cell>
          <cell r="M8951" t="str">
            <v>M</v>
          </cell>
          <cell r="AB8951" t="str">
            <v>serum</v>
          </cell>
          <cell r="AF8951">
            <v>1.5</v>
          </cell>
        </row>
        <row r="8952">
          <cell r="A8952" t="str">
            <v>IS_alqt_plus</v>
          </cell>
          <cell r="K8952" t="str">
            <v>PCOQ</v>
          </cell>
          <cell r="M8952" t="str">
            <v>M</v>
          </cell>
          <cell r="AB8952" t="str">
            <v>serum</v>
          </cell>
          <cell r="AF8952">
            <v>1.5</v>
          </cell>
        </row>
        <row r="8953">
          <cell r="A8953" t="str">
            <v>IS_alqt_plus</v>
          </cell>
          <cell r="K8953" t="str">
            <v>PCOQ</v>
          </cell>
          <cell r="M8953" t="str">
            <v>M</v>
          </cell>
          <cell r="AB8953" t="str">
            <v>serum</v>
          </cell>
          <cell r="AF8953">
            <v>1.5</v>
          </cell>
        </row>
        <row r="8954">
          <cell r="A8954" t="str">
            <v>IS_alqt_plus</v>
          </cell>
          <cell r="K8954" t="str">
            <v>PCOQ</v>
          </cell>
          <cell r="M8954" t="str">
            <v>M</v>
          </cell>
          <cell r="AB8954" t="str">
            <v>serum</v>
          </cell>
          <cell r="AF8954">
            <v>1.5</v>
          </cell>
        </row>
        <row r="8955">
          <cell r="A8955" t="str">
            <v>IS_alqt_plus</v>
          </cell>
          <cell r="K8955" t="str">
            <v>PCOQ</v>
          </cell>
          <cell r="M8955" t="str">
            <v>M</v>
          </cell>
          <cell r="AB8955" t="str">
            <v>serum</v>
          </cell>
          <cell r="AF8955">
            <v>1.5</v>
          </cell>
        </row>
        <row r="8956">
          <cell r="A8956" t="str">
            <v>IS_alqt_plus</v>
          </cell>
          <cell r="K8956" t="str">
            <v>PCOQ</v>
          </cell>
          <cell r="M8956" t="str">
            <v>M</v>
          </cell>
          <cell r="AB8956" t="str">
            <v>serum</v>
          </cell>
          <cell r="AF8956">
            <v>1.5</v>
          </cell>
        </row>
        <row r="8957">
          <cell r="A8957" t="str">
            <v>IS_alqt_plus</v>
          </cell>
          <cell r="K8957" t="str">
            <v>PCOQ</v>
          </cell>
          <cell r="M8957" t="str">
            <v>M</v>
          </cell>
          <cell r="AB8957" t="str">
            <v>serum</v>
          </cell>
          <cell r="AF8957">
            <v>1.5</v>
          </cell>
        </row>
        <row r="8958">
          <cell r="A8958" t="str">
            <v>IS_alqt_plus</v>
          </cell>
          <cell r="K8958" t="str">
            <v>PCOQ</v>
          </cell>
          <cell r="M8958" t="str">
            <v>M</v>
          </cell>
          <cell r="AB8958" t="str">
            <v>serum</v>
          </cell>
          <cell r="AF8958">
            <v>1.5</v>
          </cell>
        </row>
        <row r="8959">
          <cell r="A8959" t="str">
            <v>IS_alqt_plus</v>
          </cell>
          <cell r="K8959" t="str">
            <v>PCOQ</v>
          </cell>
          <cell r="M8959" t="str">
            <v>M</v>
          </cell>
          <cell r="AB8959" t="str">
            <v>serum</v>
          </cell>
          <cell r="AF8959">
            <v>1.5</v>
          </cell>
        </row>
        <row r="8960">
          <cell r="A8960" t="str">
            <v>IS_alqt_plus</v>
          </cell>
          <cell r="K8960" t="str">
            <v>PCOQ</v>
          </cell>
          <cell r="M8960" t="str">
            <v>M</v>
          </cell>
          <cell r="AB8960" t="str">
            <v>serum</v>
          </cell>
          <cell r="AF8960">
            <v>1.5</v>
          </cell>
        </row>
        <row r="8961">
          <cell r="A8961" t="str">
            <v>IS_alqt_plus</v>
          </cell>
          <cell r="K8961" t="str">
            <v>PCOQ</v>
          </cell>
          <cell r="M8961" t="str">
            <v>M</v>
          </cell>
          <cell r="AB8961" t="str">
            <v>serum</v>
          </cell>
          <cell r="AF8961">
            <v>1.5</v>
          </cell>
        </row>
        <row r="8962">
          <cell r="A8962" t="str">
            <v>IS_alqt_plus</v>
          </cell>
          <cell r="K8962" t="str">
            <v>PCOQ</v>
          </cell>
          <cell r="M8962" t="str">
            <v>M</v>
          </cell>
          <cell r="AB8962" t="str">
            <v>serum</v>
          </cell>
          <cell r="AF8962">
            <v>1.5</v>
          </cell>
        </row>
        <row r="8963">
          <cell r="A8963" t="str">
            <v>IS_alqt_plus</v>
          </cell>
          <cell r="K8963" t="str">
            <v>PCOQ</v>
          </cell>
          <cell r="M8963" t="str">
            <v>M</v>
          </cell>
          <cell r="AB8963" t="str">
            <v>serum</v>
          </cell>
          <cell r="AF8963">
            <v>1.5</v>
          </cell>
        </row>
        <row r="8964">
          <cell r="A8964" t="str">
            <v>IS_alqt_plus</v>
          </cell>
          <cell r="K8964" t="str">
            <v>PCOQ</v>
          </cell>
          <cell r="M8964" t="str">
            <v>M</v>
          </cell>
          <cell r="AB8964" t="str">
            <v>serum</v>
          </cell>
          <cell r="AF8964">
            <v>1.5</v>
          </cell>
        </row>
        <row r="8965">
          <cell r="A8965" t="str">
            <v>IS_alqt_plus</v>
          </cell>
          <cell r="K8965" t="str">
            <v>PCOQ</v>
          </cell>
          <cell r="M8965" t="str">
            <v>M</v>
          </cell>
          <cell r="AB8965" t="str">
            <v>serum</v>
          </cell>
          <cell r="AF8965">
            <v>1.5</v>
          </cell>
        </row>
        <row r="8966">
          <cell r="A8966" t="str">
            <v>IS_alqt_plus</v>
          </cell>
          <cell r="K8966" t="str">
            <v>PCOQ</v>
          </cell>
          <cell r="M8966" t="str">
            <v>M</v>
          </cell>
          <cell r="AB8966" t="str">
            <v>serum</v>
          </cell>
          <cell r="AF8966">
            <v>1.5</v>
          </cell>
        </row>
        <row r="8967">
          <cell r="A8967" t="str">
            <v>IS_alqt_plus</v>
          </cell>
          <cell r="K8967" t="str">
            <v>PCOQ</v>
          </cell>
          <cell r="M8967" t="str">
            <v>M</v>
          </cell>
          <cell r="AB8967" t="str">
            <v>serum</v>
          </cell>
          <cell r="AF8967">
            <v>1.5</v>
          </cell>
        </row>
        <row r="8968">
          <cell r="A8968" t="str">
            <v>IS_alqt_plus</v>
          </cell>
          <cell r="K8968" t="str">
            <v>PCOQ</v>
          </cell>
          <cell r="M8968" t="str">
            <v>M</v>
          </cell>
          <cell r="AB8968" t="str">
            <v>serum</v>
          </cell>
          <cell r="AF8968">
            <v>1.5</v>
          </cell>
        </row>
        <row r="8969">
          <cell r="A8969" t="str">
            <v>IS_alqt_plus</v>
          </cell>
          <cell r="K8969" t="str">
            <v>PCOQ</v>
          </cell>
          <cell r="M8969" t="str">
            <v>M</v>
          </cell>
          <cell r="AB8969" t="str">
            <v>serum</v>
          </cell>
          <cell r="AF8969">
            <v>1.5</v>
          </cell>
        </row>
        <row r="8970">
          <cell r="A8970" t="str">
            <v>IS_alqt_plus</v>
          </cell>
          <cell r="K8970" t="str">
            <v>PCOQ</v>
          </cell>
          <cell r="M8970" t="str">
            <v>M</v>
          </cell>
          <cell r="AB8970" t="str">
            <v>serum</v>
          </cell>
          <cell r="AF8970">
            <v>1.5</v>
          </cell>
        </row>
        <row r="8971">
          <cell r="A8971" t="str">
            <v>IS_alqt_plus</v>
          </cell>
          <cell r="K8971" t="str">
            <v>PCOQ</v>
          </cell>
          <cell r="M8971" t="str">
            <v>M</v>
          </cell>
          <cell r="AB8971" t="str">
            <v>serum</v>
          </cell>
          <cell r="AF8971">
            <v>1.5</v>
          </cell>
        </row>
        <row r="8972">
          <cell r="A8972" t="str">
            <v>IS_alqt_plus</v>
          </cell>
          <cell r="K8972" t="str">
            <v>PCOQ</v>
          </cell>
          <cell r="M8972" t="str">
            <v>M</v>
          </cell>
          <cell r="AB8972" t="str">
            <v>serum</v>
          </cell>
          <cell r="AF8972">
            <v>1.5</v>
          </cell>
        </row>
        <row r="8973">
          <cell r="A8973" t="str">
            <v>IS_alqt_plus</v>
          </cell>
          <cell r="K8973" t="str">
            <v>PCOQ</v>
          </cell>
          <cell r="M8973" t="str">
            <v>M</v>
          </cell>
          <cell r="AB8973" t="str">
            <v>serum</v>
          </cell>
          <cell r="AF8973">
            <v>1.5</v>
          </cell>
        </row>
        <row r="8974">
          <cell r="A8974" t="str">
            <v>IS_alqt_plus</v>
          </cell>
          <cell r="K8974" t="str">
            <v>PCOQ</v>
          </cell>
          <cell r="M8974" t="str">
            <v>M</v>
          </cell>
          <cell r="AB8974" t="str">
            <v>serum</v>
          </cell>
          <cell r="AF8974">
            <v>1.5</v>
          </cell>
        </row>
        <row r="8975">
          <cell r="A8975" t="str">
            <v>IS_alqt_plus</v>
          </cell>
          <cell r="K8975" t="str">
            <v>PCOQ</v>
          </cell>
          <cell r="M8975" t="str">
            <v>M</v>
          </cell>
          <cell r="AB8975" t="str">
            <v>serum</v>
          </cell>
          <cell r="AF8975">
            <v>1.5</v>
          </cell>
        </row>
        <row r="8976">
          <cell r="A8976" t="str">
            <v>IS_alqt_plus</v>
          </cell>
          <cell r="K8976" t="str">
            <v>PCOQ</v>
          </cell>
          <cell r="M8976" t="str">
            <v>M</v>
          </cell>
          <cell r="AB8976" t="str">
            <v>serum</v>
          </cell>
          <cell r="AF8976">
            <v>1.5</v>
          </cell>
        </row>
        <row r="8977">
          <cell r="A8977" t="str">
            <v>IS_alqt_plus</v>
          </cell>
          <cell r="K8977" t="str">
            <v>PCOQ</v>
          </cell>
          <cell r="M8977" t="str">
            <v>M</v>
          </cell>
          <cell r="AB8977" t="str">
            <v>serum</v>
          </cell>
          <cell r="AF8977">
            <v>1.5</v>
          </cell>
        </row>
        <row r="8978">
          <cell r="A8978" t="str">
            <v>IS_alqt_plus</v>
          </cell>
          <cell r="K8978" t="str">
            <v>PCOQ</v>
          </cell>
          <cell r="M8978" t="str">
            <v>M</v>
          </cell>
          <cell r="AB8978" t="str">
            <v>serum</v>
          </cell>
          <cell r="AF8978">
            <v>1.5</v>
          </cell>
        </row>
        <row r="8979">
          <cell r="A8979" t="str">
            <v>IS_alqt_plus</v>
          </cell>
          <cell r="K8979" t="str">
            <v>PCOQ</v>
          </cell>
          <cell r="M8979" t="str">
            <v>M</v>
          </cell>
          <cell r="AB8979" t="str">
            <v>serum</v>
          </cell>
          <cell r="AF8979">
            <v>1.5</v>
          </cell>
        </row>
        <row r="8980">
          <cell r="A8980" t="str">
            <v>IS_alqt_plus</v>
          </cell>
          <cell r="K8980" t="str">
            <v>PCOQ</v>
          </cell>
          <cell r="M8980" t="str">
            <v>M</v>
          </cell>
          <cell r="AB8980" t="str">
            <v>serum</v>
          </cell>
          <cell r="AF8980">
            <v>1.5</v>
          </cell>
        </row>
        <row r="8981">
          <cell r="A8981" t="str">
            <v>IS_alqt_plus</v>
          </cell>
          <cell r="K8981" t="str">
            <v>PCOQ</v>
          </cell>
          <cell r="M8981" t="str">
            <v>M</v>
          </cell>
          <cell r="AB8981" t="str">
            <v>serum</v>
          </cell>
          <cell r="AF8981">
            <v>1.5</v>
          </cell>
        </row>
        <row r="8982">
          <cell r="A8982" t="str">
            <v>IS_alqt_plus</v>
          </cell>
          <cell r="K8982" t="str">
            <v>PCOQ</v>
          </cell>
          <cell r="M8982" t="str">
            <v>M</v>
          </cell>
          <cell r="AB8982" t="str">
            <v>WB</v>
          </cell>
          <cell r="AF8982">
            <v>0.2</v>
          </cell>
        </row>
        <row r="8983">
          <cell r="A8983" t="str">
            <v>IS_alqt_plus</v>
          </cell>
          <cell r="K8983" t="str">
            <v>PCOQ</v>
          </cell>
          <cell r="M8983" t="str">
            <v>M</v>
          </cell>
          <cell r="AB8983" t="str">
            <v>WB</v>
          </cell>
          <cell r="AF8983">
            <v>0.2</v>
          </cell>
        </row>
        <row r="8984">
          <cell r="A8984" t="str">
            <v>IS_alqt_plus</v>
          </cell>
          <cell r="K8984" t="str">
            <v>PCOQ</v>
          </cell>
          <cell r="M8984" t="str">
            <v>M</v>
          </cell>
          <cell r="AB8984" t="str">
            <v>WB</v>
          </cell>
          <cell r="AF8984">
            <v>0.2</v>
          </cell>
        </row>
        <row r="8985">
          <cell r="A8985" t="str">
            <v>gone</v>
          </cell>
          <cell r="K8985" t="str">
            <v>PCOQ</v>
          </cell>
          <cell r="M8985" t="str">
            <v>M</v>
          </cell>
          <cell r="AB8985" t="str">
            <v>WB</v>
          </cell>
          <cell r="AF8985">
            <v>0</v>
          </cell>
        </row>
        <row r="8986">
          <cell r="A8986" t="str">
            <v>gone</v>
          </cell>
          <cell r="K8986" t="str">
            <v>PCOQ</v>
          </cell>
          <cell r="M8986" t="str">
            <v>F</v>
          </cell>
          <cell r="AB8986" t="str">
            <v>WB</v>
          </cell>
          <cell r="AF8986">
            <v>0</v>
          </cell>
        </row>
        <row r="8987">
          <cell r="A8987" t="str">
            <v>IS_alqt_plus</v>
          </cell>
          <cell r="K8987" t="str">
            <v>PCOQ</v>
          </cell>
          <cell r="M8987" t="str">
            <v>F</v>
          </cell>
          <cell r="AB8987" t="str">
            <v>WB</v>
          </cell>
          <cell r="AF8987">
            <v>1.2</v>
          </cell>
        </row>
        <row r="8988">
          <cell r="A8988" t="str">
            <v>IS_alqt_plus</v>
          </cell>
          <cell r="K8988" t="str">
            <v>PCOQ</v>
          </cell>
          <cell r="M8988" t="str">
            <v>F</v>
          </cell>
          <cell r="AB8988" t="str">
            <v>WB</v>
          </cell>
          <cell r="AF8988">
            <v>0.75</v>
          </cell>
        </row>
        <row r="8989">
          <cell r="A8989" t="str">
            <v>unk</v>
          </cell>
          <cell r="K8989" t="str">
            <v>PCOQ</v>
          </cell>
          <cell r="M8989" t="str">
            <v>F</v>
          </cell>
          <cell r="AB8989" t="str">
            <v>WB</v>
          </cell>
          <cell r="AF8989">
            <v>1</v>
          </cell>
        </row>
        <row r="8990">
          <cell r="A8990" t="str">
            <v>IS_alqt_plus</v>
          </cell>
          <cell r="K8990" t="str">
            <v>PCOQ</v>
          </cell>
          <cell r="M8990" t="str">
            <v>F</v>
          </cell>
          <cell r="AB8990" t="str">
            <v>WB</v>
          </cell>
          <cell r="AF8990">
            <v>0.3</v>
          </cell>
        </row>
        <row r="8991">
          <cell r="A8991" t="str">
            <v>gone</v>
          </cell>
          <cell r="K8991" t="str">
            <v>PCOQ</v>
          </cell>
          <cell r="M8991" t="str">
            <v>F</v>
          </cell>
          <cell r="AB8991" t="str">
            <v>WB</v>
          </cell>
          <cell r="AF8991">
            <v>0</v>
          </cell>
        </row>
        <row r="8992">
          <cell r="A8992" t="str">
            <v>gone</v>
          </cell>
          <cell r="K8992" t="str">
            <v>PCOQ</v>
          </cell>
          <cell r="M8992" t="str">
            <v>F</v>
          </cell>
          <cell r="AB8992" t="str">
            <v>WB</v>
          </cell>
          <cell r="AF8992">
            <v>0</v>
          </cell>
        </row>
        <row r="8993">
          <cell r="A8993" t="str">
            <v>IS_alqt_plus</v>
          </cell>
          <cell r="K8993" t="str">
            <v>PCOQ</v>
          </cell>
          <cell r="M8993" t="str">
            <v>M</v>
          </cell>
          <cell r="AB8993" t="str">
            <v>WB</v>
          </cell>
          <cell r="AF8993">
            <v>0.75</v>
          </cell>
        </row>
        <row r="8994">
          <cell r="A8994" t="str">
            <v>IS_alqt_plus</v>
          </cell>
          <cell r="K8994" t="str">
            <v>PCOQ</v>
          </cell>
          <cell r="M8994" t="str">
            <v>F</v>
          </cell>
          <cell r="AB8994" t="str">
            <v>WB</v>
          </cell>
          <cell r="AF8994">
            <v>0.25</v>
          </cell>
        </row>
        <row r="8995">
          <cell r="A8995" t="str">
            <v>IS_alqt_plus</v>
          </cell>
          <cell r="K8995" t="str">
            <v>PCOQ</v>
          </cell>
          <cell r="M8995" t="str">
            <v>F</v>
          </cell>
          <cell r="AB8995" t="str">
            <v>WB</v>
          </cell>
          <cell r="AF8995">
            <v>0.8</v>
          </cell>
        </row>
        <row r="8996">
          <cell r="A8996" t="str">
            <v>IS_alqt_plus</v>
          </cell>
          <cell r="K8996" t="str">
            <v>PCOQ</v>
          </cell>
          <cell r="M8996" t="str">
            <v>M</v>
          </cell>
          <cell r="AB8996" t="str">
            <v>WB</v>
          </cell>
          <cell r="AF8996">
            <v>0.7</v>
          </cell>
        </row>
        <row r="8997">
          <cell r="A8997" t="str">
            <v>IS_alqt_plus</v>
          </cell>
          <cell r="K8997" t="str">
            <v>PCOQ</v>
          </cell>
          <cell r="M8997" t="str">
            <v>F</v>
          </cell>
          <cell r="AB8997" t="str">
            <v>WB</v>
          </cell>
          <cell r="AF8997">
            <v>1</v>
          </cell>
        </row>
        <row r="8998">
          <cell r="A8998" t="str">
            <v>IS_alqt_plus</v>
          </cell>
          <cell r="K8998" t="str">
            <v>PCOQ</v>
          </cell>
          <cell r="M8998" t="str">
            <v>M</v>
          </cell>
          <cell r="AB8998" t="str">
            <v>WB</v>
          </cell>
          <cell r="AF8998">
            <v>0.75</v>
          </cell>
        </row>
        <row r="8999">
          <cell r="A8999" t="str">
            <v>IS_alqt_plus</v>
          </cell>
          <cell r="K8999" t="str">
            <v>PCOQ</v>
          </cell>
          <cell r="M8999" t="str">
            <v>F</v>
          </cell>
          <cell r="AB8999" t="str">
            <v>WB</v>
          </cell>
          <cell r="AF8999">
            <v>0.75</v>
          </cell>
        </row>
        <row r="9000">
          <cell r="A9000" t="str">
            <v>IS_alqt_plus</v>
          </cell>
          <cell r="K9000" t="str">
            <v>PCOQ</v>
          </cell>
          <cell r="M9000" t="str">
            <v>F</v>
          </cell>
          <cell r="AB9000" t="str">
            <v>WB</v>
          </cell>
          <cell r="AF9000">
            <v>0.25</v>
          </cell>
        </row>
        <row r="9001">
          <cell r="A9001" t="str">
            <v>IS_alqt_plus</v>
          </cell>
          <cell r="K9001" t="str">
            <v>PCOQ</v>
          </cell>
          <cell r="M9001" t="str">
            <v>M</v>
          </cell>
          <cell r="AB9001" t="str">
            <v>WB</v>
          </cell>
          <cell r="AF9001">
            <v>0.6</v>
          </cell>
        </row>
        <row r="9002">
          <cell r="A9002" t="str">
            <v>IS_alqt_plus</v>
          </cell>
          <cell r="K9002" t="str">
            <v>PCOQ</v>
          </cell>
          <cell r="M9002" t="str">
            <v>M</v>
          </cell>
          <cell r="AB9002" t="str">
            <v>WB</v>
          </cell>
          <cell r="AF9002">
            <v>0.85</v>
          </cell>
        </row>
        <row r="9003">
          <cell r="A9003" t="str">
            <v>IS_alqt_plus</v>
          </cell>
          <cell r="K9003" t="str">
            <v>PCOQ</v>
          </cell>
          <cell r="M9003" t="str">
            <v>M</v>
          </cell>
          <cell r="AB9003" t="str">
            <v>WB</v>
          </cell>
          <cell r="AF9003">
            <v>0.5</v>
          </cell>
        </row>
        <row r="9004">
          <cell r="A9004" t="str">
            <v>unk</v>
          </cell>
          <cell r="K9004" t="str">
            <v>PCOQ</v>
          </cell>
          <cell r="M9004" t="str">
            <v>M</v>
          </cell>
          <cell r="AB9004" t="str">
            <v>WB</v>
          </cell>
          <cell r="AF9004">
            <v>0.9</v>
          </cell>
        </row>
        <row r="9005">
          <cell r="A9005" t="str">
            <v>IS_alqt_plus</v>
          </cell>
          <cell r="K9005" t="str">
            <v>PCOQ</v>
          </cell>
          <cell r="M9005" t="str">
            <v>F</v>
          </cell>
          <cell r="AB9005" t="str">
            <v>WB</v>
          </cell>
          <cell r="AF9005">
            <v>1</v>
          </cell>
        </row>
        <row r="9006">
          <cell r="A9006" t="str">
            <v>IS_alqt_plus</v>
          </cell>
          <cell r="K9006" t="str">
            <v>PCOQ</v>
          </cell>
          <cell r="M9006" t="str">
            <v>M</v>
          </cell>
          <cell r="AB9006" t="str">
            <v>WB</v>
          </cell>
          <cell r="AF9006">
            <v>1.2</v>
          </cell>
        </row>
        <row r="9007">
          <cell r="A9007" t="str">
            <v>IS_alqt_plus</v>
          </cell>
          <cell r="K9007" t="str">
            <v>PCOQ</v>
          </cell>
          <cell r="M9007" t="str">
            <v>M</v>
          </cell>
          <cell r="AB9007" t="str">
            <v>WB</v>
          </cell>
          <cell r="AF9007">
            <v>0.6</v>
          </cell>
        </row>
        <row r="9008">
          <cell r="A9008" t="str">
            <v>IS_alqt_plus</v>
          </cell>
          <cell r="K9008" t="str">
            <v>PCOQ</v>
          </cell>
          <cell r="M9008" t="str">
            <v>F</v>
          </cell>
          <cell r="AB9008" t="str">
            <v>WB</v>
          </cell>
          <cell r="AF9008">
            <v>0.85</v>
          </cell>
        </row>
        <row r="9009">
          <cell r="A9009" t="str">
            <v>IS_alqt_plus</v>
          </cell>
          <cell r="K9009" t="str">
            <v>PCOQ</v>
          </cell>
          <cell r="M9009" t="str">
            <v>F</v>
          </cell>
          <cell r="AB9009" t="str">
            <v>WB</v>
          </cell>
          <cell r="AF9009">
            <v>0.75</v>
          </cell>
        </row>
        <row r="9010">
          <cell r="A9010" t="str">
            <v>IS_alqt_plus</v>
          </cell>
          <cell r="K9010" t="str">
            <v>PCOQ</v>
          </cell>
          <cell r="M9010" t="str">
            <v>F</v>
          </cell>
          <cell r="AB9010" t="str">
            <v>WB</v>
          </cell>
          <cell r="AF9010">
            <v>1</v>
          </cell>
        </row>
        <row r="9011">
          <cell r="A9011" t="str">
            <v>IS_alqt_plus</v>
          </cell>
          <cell r="K9011" t="str">
            <v>PCOQ</v>
          </cell>
          <cell r="M9011" t="str">
            <v>M</v>
          </cell>
          <cell r="AB9011" t="str">
            <v>WB</v>
          </cell>
          <cell r="AF9011">
            <v>0.75</v>
          </cell>
        </row>
        <row r="9012">
          <cell r="A9012" t="str">
            <v>IS_alqt_plus</v>
          </cell>
          <cell r="K9012" t="str">
            <v>PCOQ</v>
          </cell>
          <cell r="M9012" t="str">
            <v>F</v>
          </cell>
          <cell r="AB9012" t="str">
            <v>WB</v>
          </cell>
          <cell r="AF9012">
            <v>0.8</v>
          </cell>
        </row>
        <row r="9013">
          <cell r="A9013" t="str">
            <v>IS_alqt_plus</v>
          </cell>
          <cell r="K9013" t="str">
            <v>PCOQ</v>
          </cell>
          <cell r="M9013" t="str">
            <v>F</v>
          </cell>
          <cell r="AB9013" t="str">
            <v>WB</v>
          </cell>
          <cell r="AF9013">
            <v>1</v>
          </cell>
        </row>
        <row r="9014">
          <cell r="A9014" t="str">
            <v>IS_alqt_plus</v>
          </cell>
          <cell r="K9014" t="str">
            <v>PCOQ</v>
          </cell>
          <cell r="M9014" t="str">
            <v>F</v>
          </cell>
          <cell r="AB9014" t="str">
            <v>WB</v>
          </cell>
          <cell r="AF9014">
            <v>0.6</v>
          </cell>
        </row>
        <row r="9015">
          <cell r="A9015" t="str">
            <v>gone</v>
          </cell>
          <cell r="K9015" t="str">
            <v>PCOQ</v>
          </cell>
          <cell r="M9015" t="str">
            <v>M</v>
          </cell>
          <cell r="AB9015" t="str">
            <v>WB</v>
          </cell>
          <cell r="AF9015">
            <v>0</v>
          </cell>
        </row>
        <row r="9016">
          <cell r="A9016" t="str">
            <v>IS_alqt_plus</v>
          </cell>
          <cell r="K9016" t="str">
            <v>PCOQ</v>
          </cell>
          <cell r="M9016" t="str">
            <v>F</v>
          </cell>
          <cell r="AB9016" t="str">
            <v>WB</v>
          </cell>
          <cell r="AF9016">
            <v>0.8</v>
          </cell>
        </row>
        <row r="9017">
          <cell r="A9017" t="str">
            <v>IS_alqt_plus</v>
          </cell>
          <cell r="K9017" t="str">
            <v>PCOQ</v>
          </cell>
          <cell r="M9017" t="str">
            <v>M</v>
          </cell>
          <cell r="AB9017" t="str">
            <v>WB</v>
          </cell>
          <cell r="AF9017">
            <v>0.75</v>
          </cell>
        </row>
        <row r="9018">
          <cell r="A9018" t="str">
            <v>IS_alqt_plus</v>
          </cell>
          <cell r="K9018" t="str">
            <v>PCOQ</v>
          </cell>
          <cell r="M9018" t="str">
            <v>M</v>
          </cell>
          <cell r="AB9018" t="str">
            <v>WB</v>
          </cell>
          <cell r="AF9018">
            <v>0.6</v>
          </cell>
        </row>
        <row r="9019">
          <cell r="A9019" t="str">
            <v>IS_alqt_plus</v>
          </cell>
          <cell r="K9019" t="str">
            <v>PCOQ</v>
          </cell>
          <cell r="M9019" t="str">
            <v>F</v>
          </cell>
          <cell r="AB9019" t="str">
            <v>WB</v>
          </cell>
          <cell r="AF9019">
            <v>1</v>
          </cell>
        </row>
        <row r="9020">
          <cell r="A9020" t="str">
            <v>unk</v>
          </cell>
          <cell r="K9020" t="str">
            <v>PCOQ</v>
          </cell>
          <cell r="M9020" t="str">
            <v>F</v>
          </cell>
          <cell r="AB9020" t="str">
            <v>WB</v>
          </cell>
          <cell r="AF9020">
            <v>0.5</v>
          </cell>
        </row>
        <row r="9021">
          <cell r="A9021" t="str">
            <v>IS_alqt_plus</v>
          </cell>
          <cell r="K9021" t="str">
            <v>PCOQ</v>
          </cell>
          <cell r="M9021" t="str">
            <v>F</v>
          </cell>
          <cell r="AB9021" t="str">
            <v>WB</v>
          </cell>
          <cell r="AF9021">
            <v>0.4</v>
          </cell>
        </row>
        <row r="9022">
          <cell r="A9022" t="str">
            <v>IS_alqt_plus</v>
          </cell>
          <cell r="K9022" t="str">
            <v>PCOQ</v>
          </cell>
          <cell r="M9022" t="str">
            <v>F</v>
          </cell>
          <cell r="AB9022" t="str">
            <v>WB</v>
          </cell>
          <cell r="AF9022">
            <v>0.75</v>
          </cell>
        </row>
        <row r="9023">
          <cell r="A9023" t="str">
            <v>IS_alqt_plus</v>
          </cell>
          <cell r="K9023" t="str">
            <v>DMAD</v>
          </cell>
          <cell r="M9023" t="str">
            <v>M</v>
          </cell>
          <cell r="AB9023" t="str">
            <v>serum</v>
          </cell>
          <cell r="AF9023">
            <v>1</v>
          </cell>
        </row>
        <row r="9024">
          <cell r="A9024" t="str">
            <v>IS_alqt_plus</v>
          </cell>
          <cell r="K9024" t="str">
            <v>PCOQ</v>
          </cell>
          <cell r="M9024" t="str">
            <v>F</v>
          </cell>
          <cell r="AB9024" t="str">
            <v>WB</v>
          </cell>
          <cell r="AF9024">
            <v>0.4</v>
          </cell>
        </row>
        <row r="9025">
          <cell r="A9025" t="str">
            <v>IS_alqt_plus</v>
          </cell>
          <cell r="K9025" t="str">
            <v>PCOQ</v>
          </cell>
          <cell r="M9025" t="str">
            <v>M</v>
          </cell>
          <cell r="AB9025" t="str">
            <v>WB</v>
          </cell>
          <cell r="AF9025">
            <v>0.4</v>
          </cell>
        </row>
        <row r="9026">
          <cell r="A9026" t="str">
            <v>IS_alqt_plus</v>
          </cell>
          <cell r="K9026" t="str">
            <v>PCOQ</v>
          </cell>
          <cell r="M9026" t="str">
            <v>M</v>
          </cell>
          <cell r="AB9026" t="str">
            <v>WB</v>
          </cell>
          <cell r="AF9026">
            <v>1</v>
          </cell>
        </row>
        <row r="9027">
          <cell r="A9027" t="str">
            <v>IS_alqt_plus</v>
          </cell>
          <cell r="K9027" t="str">
            <v>PCOQ</v>
          </cell>
          <cell r="M9027" t="str">
            <v>F</v>
          </cell>
          <cell r="AB9027" t="str">
            <v>WB</v>
          </cell>
          <cell r="AF9027">
            <v>0.25</v>
          </cell>
        </row>
        <row r="9028">
          <cell r="A9028" t="str">
            <v>unk</v>
          </cell>
          <cell r="K9028" t="str">
            <v>PCOQ</v>
          </cell>
          <cell r="M9028" t="str">
            <v>F</v>
          </cell>
          <cell r="AB9028" t="str">
            <v>WB</v>
          </cell>
          <cell r="AF9028">
            <v>0.25</v>
          </cell>
        </row>
        <row r="9029">
          <cell r="A9029" t="str">
            <v>IS_alqt_plus</v>
          </cell>
          <cell r="K9029" t="str">
            <v>PCOQ</v>
          </cell>
          <cell r="M9029" t="str">
            <v>M</v>
          </cell>
          <cell r="AB9029" t="str">
            <v>WB</v>
          </cell>
          <cell r="AF9029">
            <v>0.4</v>
          </cell>
        </row>
        <row r="9030">
          <cell r="A9030" t="str">
            <v>IS_alqt_plus</v>
          </cell>
          <cell r="K9030" t="str">
            <v>PCOQ</v>
          </cell>
          <cell r="M9030" t="str">
            <v>F</v>
          </cell>
          <cell r="AB9030" t="str">
            <v>WB</v>
          </cell>
          <cell r="AF9030">
            <v>0.8</v>
          </cell>
        </row>
        <row r="9031">
          <cell r="A9031" t="str">
            <v>IS_alqt_plus</v>
          </cell>
          <cell r="K9031" t="str">
            <v>PCOQ</v>
          </cell>
          <cell r="M9031" t="str">
            <v>F</v>
          </cell>
          <cell r="AB9031" t="str">
            <v>WB</v>
          </cell>
          <cell r="AF9031">
            <v>0.7</v>
          </cell>
        </row>
        <row r="9032">
          <cell r="A9032" t="str">
            <v>gone</v>
          </cell>
          <cell r="K9032" t="str">
            <v>PCOQ</v>
          </cell>
          <cell r="M9032" t="str">
            <v>F</v>
          </cell>
          <cell r="AB9032" t="str">
            <v>WB</v>
          </cell>
          <cell r="AF9032">
            <v>0</v>
          </cell>
        </row>
        <row r="9033">
          <cell r="A9033" t="str">
            <v>IS_alqt_plus</v>
          </cell>
          <cell r="K9033" t="str">
            <v>PCOQ</v>
          </cell>
          <cell r="M9033" t="str">
            <v>M</v>
          </cell>
          <cell r="AB9033" t="str">
            <v>WB</v>
          </cell>
          <cell r="AF9033">
            <v>0.2</v>
          </cell>
        </row>
        <row r="9034">
          <cell r="A9034" t="str">
            <v>IS_alqt_plus</v>
          </cell>
          <cell r="K9034" t="str">
            <v>PCOQ</v>
          </cell>
          <cell r="M9034" t="str">
            <v>M</v>
          </cell>
          <cell r="AB9034" t="str">
            <v>WB</v>
          </cell>
          <cell r="AF9034">
            <v>0.2</v>
          </cell>
        </row>
        <row r="9035">
          <cell r="A9035" t="str">
            <v>IS_alqt_plus</v>
          </cell>
          <cell r="K9035" t="str">
            <v>PCOQ</v>
          </cell>
          <cell r="M9035" t="str">
            <v>M</v>
          </cell>
          <cell r="AB9035" t="str">
            <v>WB</v>
          </cell>
          <cell r="AF9035">
            <v>0.2</v>
          </cell>
        </row>
        <row r="9036">
          <cell r="A9036" t="str">
            <v>IS_alqt_plus</v>
          </cell>
          <cell r="K9036" t="str">
            <v>PCOQ</v>
          </cell>
          <cell r="M9036" t="str">
            <v>M</v>
          </cell>
          <cell r="AB9036" t="str">
            <v>WB</v>
          </cell>
          <cell r="AF9036">
            <v>0.2</v>
          </cell>
        </row>
        <row r="9037">
          <cell r="A9037" t="str">
            <v>IS_alqt_plus</v>
          </cell>
          <cell r="K9037" t="str">
            <v>PCOQ</v>
          </cell>
          <cell r="M9037" t="str">
            <v>M</v>
          </cell>
          <cell r="AB9037" t="str">
            <v>WB</v>
          </cell>
          <cell r="AF9037">
            <v>0.2</v>
          </cell>
        </row>
        <row r="9038">
          <cell r="A9038" t="str">
            <v>unk</v>
          </cell>
          <cell r="K9038" t="str">
            <v>PCOQ</v>
          </cell>
          <cell r="M9038" t="str">
            <v>M</v>
          </cell>
          <cell r="AB9038" t="str">
            <v>WB</v>
          </cell>
          <cell r="AF9038">
            <v>0.2</v>
          </cell>
        </row>
        <row r="9039">
          <cell r="A9039" t="str">
            <v>IS_alqt_plus</v>
          </cell>
          <cell r="K9039" t="str">
            <v>PCOQ</v>
          </cell>
          <cell r="M9039" t="str">
            <v>F</v>
          </cell>
          <cell r="AB9039" t="str">
            <v>WB</v>
          </cell>
          <cell r="AF9039">
            <v>0.75</v>
          </cell>
        </row>
        <row r="9040">
          <cell r="A9040" t="str">
            <v>IS_alqt_minus</v>
          </cell>
          <cell r="K9040" t="str">
            <v>PCOQ</v>
          </cell>
          <cell r="M9040" t="str">
            <v>F</v>
          </cell>
          <cell r="AB9040" t="str">
            <v>WB</v>
          </cell>
          <cell r="AF9040">
            <v>0.15</v>
          </cell>
        </row>
        <row r="9041">
          <cell r="A9041" t="str">
            <v>IS_alqt_plus</v>
          </cell>
          <cell r="K9041" t="str">
            <v>PCOQ</v>
          </cell>
          <cell r="M9041" t="str">
            <v>F</v>
          </cell>
          <cell r="AB9041" t="str">
            <v>WB</v>
          </cell>
          <cell r="AF9041">
            <v>0.2</v>
          </cell>
        </row>
        <row r="9042">
          <cell r="A9042" t="str">
            <v>IS_alqt_minus</v>
          </cell>
          <cell r="K9042" t="str">
            <v>PCOQ</v>
          </cell>
          <cell r="M9042" t="str">
            <v>F</v>
          </cell>
          <cell r="AB9042" t="str">
            <v>WB</v>
          </cell>
          <cell r="AF9042">
            <v>0.15</v>
          </cell>
        </row>
        <row r="9043">
          <cell r="A9043" t="str">
            <v>IS_alqt_plus</v>
          </cell>
          <cell r="K9043" t="str">
            <v>PCOQ</v>
          </cell>
          <cell r="M9043" t="str">
            <v>F</v>
          </cell>
          <cell r="AB9043" t="str">
            <v>WB</v>
          </cell>
          <cell r="AF9043">
            <v>0.2</v>
          </cell>
        </row>
        <row r="9044">
          <cell r="A9044" t="str">
            <v>IS_alqt_plus</v>
          </cell>
          <cell r="K9044" t="str">
            <v>PCOQ</v>
          </cell>
          <cell r="M9044" t="str">
            <v>F</v>
          </cell>
          <cell r="AB9044" t="str">
            <v>WB</v>
          </cell>
          <cell r="AF9044">
            <v>0.2</v>
          </cell>
        </row>
        <row r="9045">
          <cell r="A9045" t="str">
            <v>on hold</v>
          </cell>
          <cell r="K9045" t="str">
            <v>PCOQ</v>
          </cell>
          <cell r="M9045" t="str">
            <v>F</v>
          </cell>
          <cell r="AB9045" t="str">
            <v>WB</v>
          </cell>
          <cell r="AF9045">
            <v>0.5</v>
          </cell>
        </row>
        <row r="9046">
          <cell r="A9046" t="str">
            <v>IS_alqt_plus</v>
          </cell>
          <cell r="K9046" t="str">
            <v>PCOQ</v>
          </cell>
          <cell r="M9046" t="str">
            <v>F</v>
          </cell>
          <cell r="AB9046" t="str">
            <v>WB</v>
          </cell>
          <cell r="AF9046">
            <v>0.2</v>
          </cell>
        </row>
        <row r="9047">
          <cell r="A9047" t="str">
            <v>IS_alqt_plus</v>
          </cell>
          <cell r="K9047" t="str">
            <v>LCAT</v>
          </cell>
          <cell r="M9047" t="str">
            <v>F</v>
          </cell>
          <cell r="AB9047" t="str">
            <v>serum</v>
          </cell>
          <cell r="AF9047">
            <v>1.5</v>
          </cell>
        </row>
        <row r="9048">
          <cell r="A9048" t="str">
            <v>IS_alqt_plus</v>
          </cell>
          <cell r="K9048" t="str">
            <v>LCAT</v>
          </cell>
          <cell r="M9048" t="str">
            <v>F</v>
          </cell>
          <cell r="AB9048" t="str">
            <v>serum</v>
          </cell>
          <cell r="AF9048">
            <v>1.5</v>
          </cell>
        </row>
        <row r="9049">
          <cell r="A9049" t="str">
            <v>IS_alqt_plus</v>
          </cell>
          <cell r="K9049" t="str">
            <v>LCAT</v>
          </cell>
          <cell r="M9049" t="str">
            <v>F</v>
          </cell>
          <cell r="AB9049" t="str">
            <v>serum</v>
          </cell>
          <cell r="AF9049">
            <v>1.5</v>
          </cell>
        </row>
        <row r="9050">
          <cell r="A9050" t="str">
            <v>IS_alqt_plus</v>
          </cell>
          <cell r="K9050" t="str">
            <v>LCAT</v>
          </cell>
          <cell r="M9050" t="str">
            <v>F</v>
          </cell>
          <cell r="AB9050" t="str">
            <v>serum</v>
          </cell>
          <cell r="AF9050">
            <v>1.25</v>
          </cell>
        </row>
        <row r="9051">
          <cell r="A9051" t="str">
            <v>IS_alqt_plus</v>
          </cell>
          <cell r="K9051" t="str">
            <v>LCAT</v>
          </cell>
          <cell r="M9051" t="str">
            <v>F</v>
          </cell>
          <cell r="AB9051" t="str">
            <v>serum</v>
          </cell>
          <cell r="AF9051">
            <v>1.25</v>
          </cell>
        </row>
        <row r="9052">
          <cell r="A9052" t="str">
            <v>IS_alqt_plus</v>
          </cell>
          <cell r="K9052" t="str">
            <v>LCAT</v>
          </cell>
          <cell r="M9052" t="str">
            <v>F</v>
          </cell>
          <cell r="AB9052" t="str">
            <v>serum</v>
          </cell>
          <cell r="AF9052">
            <v>1</v>
          </cell>
        </row>
        <row r="9053">
          <cell r="A9053" t="str">
            <v>IS_alqt_plus</v>
          </cell>
          <cell r="K9053" t="str">
            <v>LCAT</v>
          </cell>
          <cell r="M9053" t="str">
            <v>F</v>
          </cell>
          <cell r="AB9053" t="str">
            <v>serum</v>
          </cell>
          <cell r="AF9053">
            <v>1.5</v>
          </cell>
        </row>
        <row r="9054">
          <cell r="A9054" t="str">
            <v>IS_alqt_plus</v>
          </cell>
          <cell r="K9054" t="str">
            <v>LCAT</v>
          </cell>
          <cell r="M9054" t="str">
            <v>F</v>
          </cell>
          <cell r="AB9054" t="str">
            <v>serum</v>
          </cell>
          <cell r="AF9054">
            <v>0.4</v>
          </cell>
        </row>
        <row r="9055">
          <cell r="A9055" t="str">
            <v>IS_alqt_plus</v>
          </cell>
          <cell r="K9055" t="str">
            <v>VRUB</v>
          </cell>
          <cell r="M9055" t="str">
            <v>F</v>
          </cell>
          <cell r="AB9055" t="str">
            <v>WB</v>
          </cell>
          <cell r="AF9055">
            <v>1.25</v>
          </cell>
        </row>
        <row r="9056">
          <cell r="A9056" t="str">
            <v>IS_alqt_plus</v>
          </cell>
          <cell r="K9056" t="str">
            <v>VRUB</v>
          </cell>
          <cell r="M9056" t="str">
            <v>F</v>
          </cell>
          <cell r="AB9056" t="str">
            <v>WB</v>
          </cell>
          <cell r="AF9056">
            <v>1.25</v>
          </cell>
        </row>
        <row r="9057">
          <cell r="A9057" t="str">
            <v>IS_alqt_plus</v>
          </cell>
          <cell r="K9057" t="str">
            <v>VRUB</v>
          </cell>
          <cell r="M9057" t="str">
            <v>F</v>
          </cell>
          <cell r="AB9057" t="str">
            <v>WB</v>
          </cell>
          <cell r="AF9057">
            <v>1.25</v>
          </cell>
        </row>
        <row r="9058">
          <cell r="A9058" t="str">
            <v>IS_alqt_plus</v>
          </cell>
          <cell r="K9058" t="str">
            <v>VRUB</v>
          </cell>
          <cell r="M9058" t="str">
            <v>F</v>
          </cell>
          <cell r="AB9058" t="str">
            <v>WB</v>
          </cell>
          <cell r="AF9058">
            <v>0.2</v>
          </cell>
        </row>
        <row r="9059">
          <cell r="A9059" t="str">
            <v>IS_alqt_plus</v>
          </cell>
          <cell r="K9059" t="str">
            <v>VRUB</v>
          </cell>
          <cell r="M9059" t="str">
            <v>F</v>
          </cell>
          <cell r="AB9059" t="str">
            <v>WB</v>
          </cell>
          <cell r="AF9059">
            <v>0.2</v>
          </cell>
        </row>
        <row r="9060">
          <cell r="A9060" t="str">
            <v>IS_alqt_plus</v>
          </cell>
          <cell r="K9060" t="str">
            <v>VRUB</v>
          </cell>
          <cell r="M9060" t="str">
            <v>F</v>
          </cell>
          <cell r="AB9060" t="str">
            <v>WB</v>
          </cell>
          <cell r="AF9060">
            <v>0.2</v>
          </cell>
        </row>
        <row r="9061">
          <cell r="A9061" t="str">
            <v>IS_alqt_plus</v>
          </cell>
          <cell r="K9061" t="str">
            <v>VRUB</v>
          </cell>
          <cell r="M9061" t="str">
            <v>F</v>
          </cell>
          <cell r="AB9061" t="str">
            <v>WB</v>
          </cell>
          <cell r="AF9061">
            <v>0.2</v>
          </cell>
        </row>
        <row r="9062">
          <cell r="A9062" t="str">
            <v>IS_alqt_plus</v>
          </cell>
          <cell r="K9062" t="str">
            <v>VRUB</v>
          </cell>
          <cell r="M9062" t="str">
            <v>F</v>
          </cell>
          <cell r="AB9062" t="str">
            <v>serum</v>
          </cell>
          <cell r="AF9062">
            <v>1</v>
          </cell>
        </row>
        <row r="9063">
          <cell r="A9063" t="str">
            <v>IS_alqt_plus</v>
          </cell>
          <cell r="K9063" t="str">
            <v>VRUB</v>
          </cell>
          <cell r="M9063" t="str">
            <v>F</v>
          </cell>
          <cell r="AB9063" t="str">
            <v>serum</v>
          </cell>
          <cell r="AF9063">
            <v>0.25</v>
          </cell>
        </row>
        <row r="9064">
          <cell r="A9064" t="str">
            <v>IS_alqt_plus</v>
          </cell>
          <cell r="K9064" t="str">
            <v>VRUB</v>
          </cell>
          <cell r="M9064" t="str">
            <v>F</v>
          </cell>
          <cell r="AB9064" t="str">
            <v>serum</v>
          </cell>
          <cell r="AF9064">
            <v>1</v>
          </cell>
        </row>
        <row r="9065">
          <cell r="A9065" t="str">
            <v>IS_alqt_plus</v>
          </cell>
          <cell r="K9065" t="str">
            <v>EFLA</v>
          </cell>
          <cell r="M9065" t="str">
            <v>F</v>
          </cell>
          <cell r="AB9065" t="str">
            <v>serum</v>
          </cell>
          <cell r="AF9065">
            <v>1.3</v>
          </cell>
        </row>
        <row r="9066">
          <cell r="A9066" t="str">
            <v>IS_alqt_plus</v>
          </cell>
          <cell r="K9066" t="str">
            <v>EFLA</v>
          </cell>
          <cell r="M9066" t="str">
            <v>F</v>
          </cell>
          <cell r="AB9066" t="str">
            <v>WB</v>
          </cell>
          <cell r="AF9066">
            <v>1</v>
          </cell>
        </row>
        <row r="9067">
          <cell r="A9067" t="str">
            <v>IS_alqt_plus</v>
          </cell>
          <cell r="K9067" t="str">
            <v>EFLA</v>
          </cell>
          <cell r="M9067" t="str">
            <v>F</v>
          </cell>
          <cell r="AB9067" t="str">
            <v>serum</v>
          </cell>
          <cell r="AF9067">
            <v>1.5</v>
          </cell>
        </row>
        <row r="9068">
          <cell r="A9068" t="str">
            <v>IS_alqt_plus</v>
          </cell>
          <cell r="K9068" t="str">
            <v>EFLA</v>
          </cell>
          <cell r="M9068" t="str">
            <v>F</v>
          </cell>
          <cell r="AB9068" t="str">
            <v>WB</v>
          </cell>
          <cell r="AF9068">
            <v>0.6</v>
          </cell>
        </row>
        <row r="9069">
          <cell r="A9069" t="str">
            <v>IS_alqt_plus</v>
          </cell>
          <cell r="K9069" t="str">
            <v>EFLA</v>
          </cell>
          <cell r="M9069" t="str">
            <v>M</v>
          </cell>
          <cell r="AB9069" t="str">
            <v>serum</v>
          </cell>
          <cell r="AF9069">
            <v>1.5</v>
          </cell>
        </row>
        <row r="9070">
          <cell r="A9070" t="str">
            <v>gone</v>
          </cell>
          <cell r="K9070" t="str">
            <v>EFLA</v>
          </cell>
          <cell r="M9070" t="str">
            <v>M</v>
          </cell>
          <cell r="AB9070" t="str">
            <v>WB</v>
          </cell>
          <cell r="AF9070">
            <v>0</v>
          </cell>
        </row>
        <row r="9071">
          <cell r="A9071" t="str">
            <v>IS_alqt_plus</v>
          </cell>
          <cell r="K9071" t="str">
            <v>PCOQ</v>
          </cell>
          <cell r="M9071" t="str">
            <v>F</v>
          </cell>
          <cell r="AB9071" t="str">
            <v>WB</v>
          </cell>
          <cell r="AF9071">
            <v>0.2</v>
          </cell>
        </row>
        <row r="9072">
          <cell r="A9072" t="str">
            <v>IS_alqt_plus</v>
          </cell>
          <cell r="K9072" t="str">
            <v>PCOQ</v>
          </cell>
          <cell r="M9072" t="str">
            <v>M</v>
          </cell>
          <cell r="AB9072" t="str">
            <v>serum</v>
          </cell>
          <cell r="AF9072">
            <v>1.5</v>
          </cell>
        </row>
        <row r="9073">
          <cell r="A9073" t="str">
            <v>IS_alqt_plus</v>
          </cell>
          <cell r="K9073" t="str">
            <v>EFLA</v>
          </cell>
          <cell r="M9073" t="str">
            <v>M</v>
          </cell>
          <cell r="AB9073" t="str">
            <v>serum</v>
          </cell>
          <cell r="AF9073">
            <v>0.2</v>
          </cell>
        </row>
        <row r="9074">
          <cell r="A9074" t="str">
            <v>IS_alqt_plus</v>
          </cell>
          <cell r="K9074" t="str">
            <v>EFLA</v>
          </cell>
          <cell r="M9074" t="str">
            <v>M</v>
          </cell>
          <cell r="AB9074" t="str">
            <v>serum</v>
          </cell>
          <cell r="AF9074">
            <v>0.2</v>
          </cell>
        </row>
        <row r="9075">
          <cell r="A9075" t="str">
            <v>IS_alqt_plus</v>
          </cell>
          <cell r="K9075" t="str">
            <v>EFLA</v>
          </cell>
          <cell r="M9075" t="str">
            <v>M</v>
          </cell>
          <cell r="AB9075" t="str">
            <v>serum</v>
          </cell>
          <cell r="AF9075">
            <v>0.3</v>
          </cell>
        </row>
        <row r="9076">
          <cell r="A9076" t="str">
            <v>gone</v>
          </cell>
          <cell r="K9076" t="str">
            <v>EFLA</v>
          </cell>
          <cell r="M9076" t="str">
            <v>M</v>
          </cell>
          <cell r="AB9076" t="str">
            <v>WB</v>
          </cell>
          <cell r="AF9076">
            <v>0</v>
          </cell>
        </row>
        <row r="9077">
          <cell r="A9077" t="str">
            <v>IS_alqt_plus</v>
          </cell>
          <cell r="K9077" t="str">
            <v>PCOQ</v>
          </cell>
          <cell r="M9077" t="str">
            <v>F</v>
          </cell>
          <cell r="AB9077" t="str">
            <v>WB</v>
          </cell>
          <cell r="AF9077">
            <v>0.2</v>
          </cell>
        </row>
        <row r="9078">
          <cell r="A9078" t="str">
            <v>IS_alqt_plus</v>
          </cell>
          <cell r="K9078" t="str">
            <v>PCOQ</v>
          </cell>
          <cell r="M9078" t="str">
            <v>F</v>
          </cell>
          <cell r="AB9078" t="str">
            <v>WB</v>
          </cell>
          <cell r="AF9078">
            <v>0.2</v>
          </cell>
        </row>
        <row r="9079">
          <cell r="A9079" t="str">
            <v>IS_alqt_plus</v>
          </cell>
          <cell r="K9079" t="str">
            <v>LCAT</v>
          </cell>
          <cell r="M9079" t="str">
            <v>F</v>
          </cell>
          <cell r="AB9079" t="str">
            <v>serum</v>
          </cell>
          <cell r="AF9079">
            <v>1.4</v>
          </cell>
        </row>
        <row r="9080">
          <cell r="A9080" t="str">
            <v>IS_alqt_plus</v>
          </cell>
          <cell r="K9080" t="str">
            <v>LCAT</v>
          </cell>
          <cell r="M9080" t="str">
            <v>F</v>
          </cell>
          <cell r="AB9080" t="str">
            <v>serum</v>
          </cell>
          <cell r="AF9080">
            <v>1.5</v>
          </cell>
        </row>
        <row r="9081">
          <cell r="A9081" t="str">
            <v>IS_alqt_plus</v>
          </cell>
          <cell r="K9081" t="str">
            <v>EFLA</v>
          </cell>
          <cell r="M9081" t="str">
            <v>M</v>
          </cell>
          <cell r="AB9081" t="str">
            <v>serum</v>
          </cell>
          <cell r="AF9081">
            <v>0.5</v>
          </cell>
        </row>
        <row r="9082">
          <cell r="A9082" t="str">
            <v>IS_alqt_plus</v>
          </cell>
          <cell r="K9082" t="str">
            <v>EFLA</v>
          </cell>
          <cell r="M9082" t="str">
            <v>M</v>
          </cell>
          <cell r="AB9082" t="str">
            <v>WB</v>
          </cell>
          <cell r="AF9082">
            <v>1</v>
          </cell>
        </row>
        <row r="9083">
          <cell r="A9083" t="str">
            <v>IS_alqt_plus</v>
          </cell>
          <cell r="K9083" t="str">
            <v>DMAD</v>
          </cell>
          <cell r="M9083" t="str">
            <v>F</v>
          </cell>
          <cell r="AB9083" t="str">
            <v>serum</v>
          </cell>
          <cell r="AF9083">
            <v>1</v>
          </cell>
        </row>
        <row r="9084">
          <cell r="A9084" t="str">
            <v>IS_alqt_plus</v>
          </cell>
          <cell r="K9084" t="str">
            <v>DMAD</v>
          </cell>
          <cell r="M9084" t="str">
            <v>F</v>
          </cell>
          <cell r="AB9084" t="str">
            <v>serum</v>
          </cell>
          <cell r="AF9084">
            <v>1</v>
          </cell>
        </row>
        <row r="9085">
          <cell r="A9085" t="str">
            <v>IS_alqt_plus</v>
          </cell>
          <cell r="K9085" t="str">
            <v>DMAD</v>
          </cell>
          <cell r="M9085" t="str">
            <v>F</v>
          </cell>
          <cell r="AB9085" t="str">
            <v>serum</v>
          </cell>
          <cell r="AF9085">
            <v>1</v>
          </cell>
        </row>
        <row r="9086">
          <cell r="A9086" t="str">
            <v>IS_alqt_plus</v>
          </cell>
          <cell r="K9086" t="str">
            <v>DMAD</v>
          </cell>
          <cell r="M9086" t="str">
            <v>F</v>
          </cell>
          <cell r="AB9086" t="str">
            <v>serum</v>
          </cell>
          <cell r="AF9086">
            <v>1</v>
          </cell>
        </row>
        <row r="9087">
          <cell r="A9087" t="str">
            <v>IS_alqt_plus</v>
          </cell>
          <cell r="K9087" t="str">
            <v>DMAD</v>
          </cell>
          <cell r="M9087" t="str">
            <v>F</v>
          </cell>
          <cell r="AB9087" t="str">
            <v>serum</v>
          </cell>
          <cell r="AF9087">
            <v>1</v>
          </cell>
        </row>
        <row r="9088">
          <cell r="A9088" t="str">
            <v>IS_alqt_plus</v>
          </cell>
          <cell r="K9088" t="str">
            <v>DMAD</v>
          </cell>
          <cell r="M9088" t="str">
            <v>F</v>
          </cell>
          <cell r="AB9088" t="str">
            <v>serum</v>
          </cell>
          <cell r="AF9088">
            <v>1</v>
          </cell>
        </row>
        <row r="9089">
          <cell r="A9089" t="str">
            <v>IS_alqt_plus</v>
          </cell>
          <cell r="K9089" t="str">
            <v>DMAD</v>
          </cell>
          <cell r="M9089" t="str">
            <v>F</v>
          </cell>
          <cell r="AB9089" t="str">
            <v>serum</v>
          </cell>
          <cell r="AF9089">
            <v>1</v>
          </cell>
        </row>
        <row r="9090">
          <cell r="A9090" t="str">
            <v>IS_alqt_plus</v>
          </cell>
          <cell r="K9090" t="str">
            <v>DMAD</v>
          </cell>
          <cell r="M9090" t="str">
            <v>F</v>
          </cell>
          <cell r="AB9090" t="str">
            <v>serum</v>
          </cell>
          <cell r="AF9090">
            <v>1</v>
          </cell>
        </row>
        <row r="9091">
          <cell r="A9091" t="str">
            <v>IS_alqt_plus</v>
          </cell>
          <cell r="K9091" t="str">
            <v>DMAD</v>
          </cell>
          <cell r="M9091" t="str">
            <v>F</v>
          </cell>
          <cell r="AB9091" t="str">
            <v>serum</v>
          </cell>
          <cell r="AF9091">
            <v>1</v>
          </cell>
        </row>
        <row r="9092">
          <cell r="A9092" t="str">
            <v>IS_alqt_plus</v>
          </cell>
          <cell r="K9092" t="str">
            <v>DMAD</v>
          </cell>
          <cell r="M9092" t="str">
            <v>F</v>
          </cell>
          <cell r="AB9092" t="str">
            <v>serum</v>
          </cell>
          <cell r="AF9092">
            <v>1</v>
          </cell>
        </row>
        <row r="9093">
          <cell r="A9093" t="str">
            <v>IS_alqt_plus</v>
          </cell>
          <cell r="K9093" t="str">
            <v>DMAD</v>
          </cell>
          <cell r="M9093" t="str">
            <v>F</v>
          </cell>
          <cell r="AB9093" t="str">
            <v>serum</v>
          </cell>
          <cell r="AF9093">
            <v>1</v>
          </cell>
        </row>
        <row r="9094">
          <cell r="A9094" t="str">
            <v>IS_alqt_plus</v>
          </cell>
          <cell r="K9094" t="str">
            <v>DMAD</v>
          </cell>
          <cell r="M9094" t="str">
            <v>F</v>
          </cell>
          <cell r="AB9094" t="str">
            <v>serum</v>
          </cell>
          <cell r="AF9094">
            <v>1</v>
          </cell>
        </row>
        <row r="9095">
          <cell r="A9095" t="str">
            <v>IS_alqt_plus</v>
          </cell>
          <cell r="K9095" t="str">
            <v>DMAD</v>
          </cell>
          <cell r="M9095" t="str">
            <v>F</v>
          </cell>
          <cell r="AB9095" t="str">
            <v>serum</v>
          </cell>
          <cell r="AF9095">
            <v>1</v>
          </cell>
        </row>
        <row r="9096">
          <cell r="A9096" t="str">
            <v>IS_alqt_plus</v>
          </cell>
          <cell r="K9096" t="str">
            <v>DMAD</v>
          </cell>
          <cell r="M9096" t="str">
            <v>F</v>
          </cell>
          <cell r="AB9096" t="str">
            <v>WB</v>
          </cell>
          <cell r="AF9096">
            <v>0.7</v>
          </cell>
        </row>
        <row r="9097">
          <cell r="A9097" t="str">
            <v>IS_alqt_minus</v>
          </cell>
          <cell r="K9097" t="str">
            <v>DMAD</v>
          </cell>
          <cell r="M9097" t="str">
            <v>F</v>
          </cell>
          <cell r="AB9097" t="str">
            <v>WB</v>
          </cell>
          <cell r="AF9097">
            <v>0.1</v>
          </cell>
        </row>
        <row r="9098">
          <cell r="A9098" t="str">
            <v>IS_alqt_plus</v>
          </cell>
          <cell r="K9098" t="str">
            <v>DMAD</v>
          </cell>
          <cell r="M9098" t="str">
            <v>F</v>
          </cell>
          <cell r="AB9098" t="str">
            <v>WB</v>
          </cell>
          <cell r="AF9098">
            <v>0.75</v>
          </cell>
        </row>
        <row r="9099">
          <cell r="A9099" t="str">
            <v>gone</v>
          </cell>
          <cell r="K9099" t="str">
            <v>DMAD</v>
          </cell>
          <cell r="M9099" t="str">
            <v>F</v>
          </cell>
          <cell r="AB9099" t="str">
            <v>WB</v>
          </cell>
          <cell r="AF9099">
            <v>0</v>
          </cell>
        </row>
        <row r="9100">
          <cell r="A9100" t="str">
            <v>IS_alqt_plus</v>
          </cell>
          <cell r="K9100" t="str">
            <v>DMAD</v>
          </cell>
          <cell r="M9100" t="str">
            <v>F</v>
          </cell>
          <cell r="AB9100" t="str">
            <v>WB</v>
          </cell>
          <cell r="AF9100">
            <v>1</v>
          </cell>
        </row>
        <row r="9101">
          <cell r="A9101" t="str">
            <v>IS_alqt_plus</v>
          </cell>
          <cell r="K9101" t="str">
            <v>DMAD</v>
          </cell>
          <cell r="M9101" t="str">
            <v>F</v>
          </cell>
          <cell r="AB9101" t="str">
            <v>WB</v>
          </cell>
          <cell r="AF9101">
            <v>0.75</v>
          </cell>
        </row>
        <row r="9102">
          <cell r="A9102" t="str">
            <v>IS_alqt_plus</v>
          </cell>
          <cell r="K9102" t="str">
            <v>DMAD</v>
          </cell>
          <cell r="M9102" t="str">
            <v>F</v>
          </cell>
          <cell r="AB9102" t="str">
            <v>WB</v>
          </cell>
          <cell r="AF9102">
            <v>0.75</v>
          </cell>
        </row>
        <row r="9103">
          <cell r="A9103" t="str">
            <v>IS_alqt_plus</v>
          </cell>
          <cell r="K9103" t="str">
            <v>DMAD</v>
          </cell>
          <cell r="M9103" t="str">
            <v>F</v>
          </cell>
          <cell r="AB9103" t="str">
            <v>WB</v>
          </cell>
          <cell r="AF9103">
            <v>1</v>
          </cell>
        </row>
        <row r="9104">
          <cell r="A9104" t="str">
            <v>IS_alqt_plus</v>
          </cell>
          <cell r="K9104" t="str">
            <v>DMAD</v>
          </cell>
          <cell r="M9104" t="str">
            <v>F</v>
          </cell>
          <cell r="AB9104" t="str">
            <v>WB</v>
          </cell>
          <cell r="AF9104">
            <v>1</v>
          </cell>
        </row>
        <row r="9105">
          <cell r="A9105" t="str">
            <v>IS_alqt_plus</v>
          </cell>
          <cell r="K9105" t="str">
            <v>DMAD</v>
          </cell>
          <cell r="M9105" t="str">
            <v>F</v>
          </cell>
          <cell r="AB9105" t="str">
            <v>WB</v>
          </cell>
          <cell r="AF9105">
            <v>1</v>
          </cell>
        </row>
        <row r="9106">
          <cell r="A9106" t="str">
            <v>IS_alqt_plus</v>
          </cell>
          <cell r="K9106" t="str">
            <v>DMAD</v>
          </cell>
          <cell r="M9106" t="str">
            <v>F</v>
          </cell>
          <cell r="AB9106" t="str">
            <v>WB</v>
          </cell>
          <cell r="AF9106">
            <v>1</v>
          </cell>
        </row>
        <row r="9107">
          <cell r="A9107" t="str">
            <v>IS_alqt_plus</v>
          </cell>
          <cell r="K9107" t="str">
            <v>DMAD</v>
          </cell>
          <cell r="M9107" t="str">
            <v>F</v>
          </cell>
          <cell r="AB9107" t="str">
            <v>WB</v>
          </cell>
          <cell r="AF9107">
            <v>1</v>
          </cell>
        </row>
        <row r="9108">
          <cell r="A9108" t="str">
            <v>IS_alqt_plus</v>
          </cell>
          <cell r="K9108" t="str">
            <v>DMAD</v>
          </cell>
          <cell r="M9108" t="str">
            <v>F</v>
          </cell>
          <cell r="AB9108" t="str">
            <v>WB</v>
          </cell>
          <cell r="AF9108">
            <v>1</v>
          </cell>
        </row>
        <row r="9109">
          <cell r="A9109" t="str">
            <v>IS_alqt_plus</v>
          </cell>
          <cell r="K9109" t="str">
            <v>DMAD</v>
          </cell>
          <cell r="M9109" t="str">
            <v>F</v>
          </cell>
          <cell r="AB9109" t="str">
            <v>WB</v>
          </cell>
          <cell r="AF9109">
            <v>1</v>
          </cell>
        </row>
        <row r="9110">
          <cell r="A9110" t="str">
            <v>IS_alqt_plus</v>
          </cell>
          <cell r="K9110" t="str">
            <v>DMAD</v>
          </cell>
          <cell r="M9110" t="str">
            <v>F</v>
          </cell>
          <cell r="AB9110" t="str">
            <v>WB</v>
          </cell>
          <cell r="AF9110">
            <v>1</v>
          </cell>
        </row>
        <row r="9111">
          <cell r="A9111" t="str">
            <v>IS_alqt_plus</v>
          </cell>
          <cell r="K9111" t="str">
            <v>DMAD</v>
          </cell>
          <cell r="M9111" t="str">
            <v>F</v>
          </cell>
          <cell r="AB9111" t="str">
            <v>WB</v>
          </cell>
          <cell r="AF9111">
            <v>1</v>
          </cell>
        </row>
        <row r="9112">
          <cell r="A9112" t="str">
            <v>IS_alqt_plus</v>
          </cell>
          <cell r="K9112" t="str">
            <v>DMAD</v>
          </cell>
          <cell r="M9112" t="str">
            <v>F</v>
          </cell>
          <cell r="AB9112" t="str">
            <v>WB</v>
          </cell>
          <cell r="AF9112">
            <v>1.2</v>
          </cell>
        </row>
        <row r="9113">
          <cell r="A9113" t="str">
            <v>IS_alqt_plus</v>
          </cell>
          <cell r="K9113" t="str">
            <v>DMAD</v>
          </cell>
          <cell r="M9113" t="str">
            <v>F</v>
          </cell>
          <cell r="AB9113" t="str">
            <v>WB</v>
          </cell>
          <cell r="AF9113">
            <v>1</v>
          </cell>
        </row>
        <row r="9114">
          <cell r="A9114" t="str">
            <v>IS_alqt_plus</v>
          </cell>
          <cell r="K9114" t="str">
            <v>DMAD</v>
          </cell>
          <cell r="M9114" t="str">
            <v>F</v>
          </cell>
          <cell r="AB9114" t="str">
            <v>WB</v>
          </cell>
          <cell r="AF9114">
            <v>1.2</v>
          </cell>
        </row>
        <row r="9115">
          <cell r="A9115" t="str">
            <v>IS_alqt_plus</v>
          </cell>
          <cell r="K9115" t="str">
            <v>DMAD</v>
          </cell>
          <cell r="M9115" t="str">
            <v>F</v>
          </cell>
          <cell r="AB9115" t="str">
            <v>WB</v>
          </cell>
          <cell r="AF9115">
            <v>1</v>
          </cell>
        </row>
        <row r="9116">
          <cell r="A9116" t="str">
            <v>IS_alqt_plus</v>
          </cell>
          <cell r="K9116" t="str">
            <v>DMAD</v>
          </cell>
          <cell r="M9116" t="str">
            <v>F</v>
          </cell>
          <cell r="AB9116" t="str">
            <v>WB</v>
          </cell>
          <cell r="AF9116">
            <v>1</v>
          </cell>
        </row>
        <row r="9117">
          <cell r="A9117" t="str">
            <v>IS_alqt_plus</v>
          </cell>
          <cell r="K9117" t="str">
            <v>DMAD</v>
          </cell>
          <cell r="M9117" t="str">
            <v>F</v>
          </cell>
          <cell r="AB9117" t="str">
            <v>WB</v>
          </cell>
          <cell r="AF9117">
            <v>1</v>
          </cell>
        </row>
        <row r="9118">
          <cell r="A9118" t="str">
            <v>IS_alqt_plus</v>
          </cell>
          <cell r="K9118" t="str">
            <v>DMAD</v>
          </cell>
          <cell r="M9118" t="str">
            <v>F</v>
          </cell>
          <cell r="AB9118" t="str">
            <v>WB</v>
          </cell>
          <cell r="AF9118">
            <v>1</v>
          </cell>
        </row>
        <row r="9119">
          <cell r="A9119" t="str">
            <v>IS_alqt_plus</v>
          </cell>
          <cell r="K9119" t="str">
            <v>DMAD</v>
          </cell>
          <cell r="M9119" t="str">
            <v>F</v>
          </cell>
          <cell r="AB9119" t="str">
            <v>WB</v>
          </cell>
          <cell r="AF9119">
            <v>0.5</v>
          </cell>
        </row>
        <row r="9120">
          <cell r="A9120" t="str">
            <v>IS_alqt_plus</v>
          </cell>
          <cell r="K9120" t="str">
            <v>DMAD</v>
          </cell>
          <cell r="M9120" t="str">
            <v>F</v>
          </cell>
          <cell r="AB9120" t="str">
            <v>WB</v>
          </cell>
          <cell r="AF9120">
            <v>0.5</v>
          </cell>
        </row>
        <row r="9121">
          <cell r="A9121" t="str">
            <v>IS_alqt_plus</v>
          </cell>
          <cell r="K9121" t="str">
            <v>DMAD</v>
          </cell>
          <cell r="M9121" t="str">
            <v>F</v>
          </cell>
          <cell r="AB9121" t="str">
            <v>WB</v>
          </cell>
          <cell r="AF9121">
            <v>0.5</v>
          </cell>
        </row>
        <row r="9122">
          <cell r="A9122" t="str">
            <v>IS_alqt_plus</v>
          </cell>
          <cell r="K9122" t="str">
            <v>DMAD</v>
          </cell>
          <cell r="M9122" t="str">
            <v>F</v>
          </cell>
          <cell r="AB9122" t="str">
            <v>WB</v>
          </cell>
          <cell r="AF9122">
            <v>0.5</v>
          </cell>
        </row>
        <row r="9123">
          <cell r="A9123" t="str">
            <v>IS_alqt_plus</v>
          </cell>
          <cell r="K9123" t="str">
            <v>DMAD</v>
          </cell>
          <cell r="M9123" t="str">
            <v>F</v>
          </cell>
          <cell r="AB9123" t="str">
            <v>WB</v>
          </cell>
          <cell r="AF9123">
            <v>0.5</v>
          </cell>
        </row>
        <row r="9124">
          <cell r="A9124" t="str">
            <v>IS_alqt_minus</v>
          </cell>
          <cell r="K9124" t="str">
            <v>MMUR</v>
          </cell>
          <cell r="M9124" t="str">
            <v>F</v>
          </cell>
          <cell r="AB9124" t="str">
            <v>WB</v>
          </cell>
          <cell r="AF9124">
            <v>0.1</v>
          </cell>
        </row>
        <row r="9125">
          <cell r="A9125" t="str">
            <v>IS_alqt_minus</v>
          </cell>
          <cell r="K9125" t="str">
            <v>MMUR</v>
          </cell>
          <cell r="M9125" t="str">
            <v>M</v>
          </cell>
          <cell r="AB9125" t="str">
            <v>WB</v>
          </cell>
          <cell r="AF9125">
            <v>0.05</v>
          </cell>
        </row>
        <row r="9126">
          <cell r="A9126" t="str">
            <v>IS_alqt_plus</v>
          </cell>
          <cell r="K9126" t="str">
            <v>MMUR</v>
          </cell>
          <cell r="M9126" t="str">
            <v>F</v>
          </cell>
          <cell r="AB9126" t="str">
            <v>serum</v>
          </cell>
          <cell r="AF9126">
            <v>1.1000000000000001</v>
          </cell>
        </row>
        <row r="9127">
          <cell r="A9127" t="str">
            <v>IS_alqt_plus</v>
          </cell>
          <cell r="K9127" t="str">
            <v>MMUR</v>
          </cell>
          <cell r="M9127" t="str">
            <v>F</v>
          </cell>
          <cell r="AB9127" t="str">
            <v>serum</v>
          </cell>
          <cell r="AF9127">
            <v>0.55000000000000004</v>
          </cell>
        </row>
        <row r="9128">
          <cell r="A9128" t="str">
            <v>IS_alqt_plus</v>
          </cell>
          <cell r="K9128" t="str">
            <v>MMUR</v>
          </cell>
          <cell r="M9128" t="str">
            <v>F</v>
          </cell>
          <cell r="AB9128" t="str">
            <v>WB</v>
          </cell>
          <cell r="AF9128">
            <v>0.4</v>
          </cell>
        </row>
        <row r="9129">
          <cell r="A9129" t="str">
            <v>IS_alqt_plus</v>
          </cell>
          <cell r="K9129" t="str">
            <v>MMUR</v>
          </cell>
          <cell r="M9129" t="str">
            <v>F</v>
          </cell>
          <cell r="AB9129" t="str">
            <v>WB</v>
          </cell>
          <cell r="AF9129">
            <v>1</v>
          </cell>
        </row>
        <row r="9130">
          <cell r="A9130" t="str">
            <v>IS_alqt_plus</v>
          </cell>
          <cell r="K9130" t="str">
            <v>VVV</v>
          </cell>
          <cell r="M9130" t="str">
            <v>F</v>
          </cell>
          <cell r="AB9130" t="str">
            <v>WB</v>
          </cell>
          <cell r="AF9130">
            <v>1</v>
          </cell>
        </row>
        <row r="9131">
          <cell r="A9131" t="str">
            <v>IS_alqt_plus</v>
          </cell>
          <cell r="K9131" t="str">
            <v>VVV</v>
          </cell>
          <cell r="M9131" t="str">
            <v>F</v>
          </cell>
          <cell r="AB9131" t="str">
            <v>WB</v>
          </cell>
          <cell r="AF9131">
            <v>0.75</v>
          </cell>
        </row>
        <row r="9132">
          <cell r="A9132" t="str">
            <v>IS_alqt_plus</v>
          </cell>
          <cell r="K9132" t="str">
            <v>VVV</v>
          </cell>
          <cell r="M9132" t="str">
            <v>F</v>
          </cell>
          <cell r="AB9132" t="str">
            <v>WB</v>
          </cell>
          <cell r="AF9132">
            <v>0.75</v>
          </cell>
        </row>
        <row r="9133">
          <cell r="A9133" t="str">
            <v>IS_alqt_plus</v>
          </cell>
          <cell r="K9133" t="str">
            <v>VVV</v>
          </cell>
          <cell r="M9133" t="str">
            <v>F</v>
          </cell>
          <cell r="AB9133" t="str">
            <v>WB</v>
          </cell>
          <cell r="AF9133">
            <v>0.5</v>
          </cell>
        </row>
        <row r="9134">
          <cell r="A9134" t="str">
            <v>IS_alqt_plus</v>
          </cell>
          <cell r="K9134" t="str">
            <v>VVV</v>
          </cell>
          <cell r="M9134" t="str">
            <v>F</v>
          </cell>
          <cell r="AB9134" t="str">
            <v>WB</v>
          </cell>
          <cell r="AF9134">
            <v>1</v>
          </cell>
        </row>
        <row r="9135">
          <cell r="A9135" t="str">
            <v>IS_alqt_plus</v>
          </cell>
          <cell r="K9135" t="str">
            <v>VVV</v>
          </cell>
          <cell r="M9135" t="str">
            <v>F</v>
          </cell>
          <cell r="AB9135" t="str">
            <v>WB</v>
          </cell>
          <cell r="AF9135">
            <v>1.2</v>
          </cell>
        </row>
        <row r="9136">
          <cell r="A9136" t="str">
            <v>IS_alqt_plus</v>
          </cell>
          <cell r="K9136" t="str">
            <v>VVV</v>
          </cell>
          <cell r="M9136" t="str">
            <v>F</v>
          </cell>
          <cell r="AB9136" t="str">
            <v>WB</v>
          </cell>
          <cell r="AF9136">
            <v>0.75</v>
          </cell>
        </row>
        <row r="9137">
          <cell r="A9137" t="str">
            <v>gone</v>
          </cell>
          <cell r="K9137" t="str">
            <v>VVV</v>
          </cell>
          <cell r="M9137" t="str">
            <v>F</v>
          </cell>
          <cell r="AB9137" t="str">
            <v>serum</v>
          </cell>
          <cell r="AF9137">
            <v>0</v>
          </cell>
        </row>
        <row r="9138">
          <cell r="A9138" t="str">
            <v>IS_alqt_plus</v>
          </cell>
          <cell r="K9138" t="str">
            <v>VVV</v>
          </cell>
          <cell r="M9138" t="str">
            <v>F</v>
          </cell>
          <cell r="AB9138" t="str">
            <v>serum</v>
          </cell>
          <cell r="AF9138">
            <v>1.25</v>
          </cell>
        </row>
        <row r="9139">
          <cell r="A9139" t="str">
            <v>IS_alqt_plus</v>
          </cell>
          <cell r="K9139" t="str">
            <v>MMUR</v>
          </cell>
          <cell r="M9139" t="str">
            <v>M</v>
          </cell>
          <cell r="AB9139" t="str">
            <v>serum</v>
          </cell>
          <cell r="AF9139">
            <v>0.75</v>
          </cell>
        </row>
        <row r="9140">
          <cell r="A9140" t="str">
            <v>IS_alqt_plus</v>
          </cell>
          <cell r="K9140" t="str">
            <v>MMUR</v>
          </cell>
          <cell r="M9140" t="str">
            <v>M</v>
          </cell>
          <cell r="AB9140" t="str">
            <v>WB</v>
          </cell>
          <cell r="AF9140">
            <v>0.75</v>
          </cell>
        </row>
        <row r="9141">
          <cell r="A9141" t="str">
            <v>IS_alqt_plus</v>
          </cell>
          <cell r="K9141" t="str">
            <v>VRUB</v>
          </cell>
          <cell r="M9141" t="str">
            <v>F</v>
          </cell>
          <cell r="AB9141" t="str">
            <v>WB</v>
          </cell>
          <cell r="AF9141">
            <v>1</v>
          </cell>
        </row>
        <row r="9142">
          <cell r="A9142" t="str">
            <v>IS_alqt_plus</v>
          </cell>
          <cell r="K9142" t="str">
            <v>VRUB</v>
          </cell>
          <cell r="M9142" t="str">
            <v>F</v>
          </cell>
          <cell r="AB9142" t="str">
            <v>WB</v>
          </cell>
          <cell r="AF9142">
            <v>1</v>
          </cell>
        </row>
        <row r="9143">
          <cell r="A9143" t="str">
            <v>IS_alqt_plus</v>
          </cell>
          <cell r="K9143" t="str">
            <v>VRUB</v>
          </cell>
          <cell r="M9143" t="str">
            <v>F</v>
          </cell>
          <cell r="AB9143" t="str">
            <v>WB</v>
          </cell>
          <cell r="AF9143">
            <v>1</v>
          </cell>
        </row>
        <row r="9144">
          <cell r="A9144" t="str">
            <v>IS_alqt_plus</v>
          </cell>
          <cell r="K9144" t="str">
            <v>VRUB</v>
          </cell>
          <cell r="M9144" t="str">
            <v>F</v>
          </cell>
          <cell r="AB9144" t="str">
            <v>WB</v>
          </cell>
          <cell r="AF9144">
            <v>0.5</v>
          </cell>
        </row>
        <row r="9145">
          <cell r="A9145" t="str">
            <v>IS_alqt_plus</v>
          </cell>
          <cell r="K9145" t="str">
            <v>VRUB</v>
          </cell>
          <cell r="M9145" t="str">
            <v>F</v>
          </cell>
          <cell r="AB9145" t="str">
            <v>WB</v>
          </cell>
          <cell r="AF9145">
            <v>1</v>
          </cell>
        </row>
        <row r="9146">
          <cell r="A9146" t="str">
            <v>IS_alqt_plus</v>
          </cell>
          <cell r="K9146" t="str">
            <v>VRUB</v>
          </cell>
          <cell r="M9146" t="str">
            <v>F</v>
          </cell>
          <cell r="AB9146" t="str">
            <v>WB</v>
          </cell>
          <cell r="AF9146">
            <v>1</v>
          </cell>
        </row>
        <row r="9147">
          <cell r="A9147" t="str">
            <v>IS_alqt_plus</v>
          </cell>
          <cell r="K9147" t="str">
            <v>VRUB</v>
          </cell>
          <cell r="M9147" t="str">
            <v>F</v>
          </cell>
          <cell r="AB9147" t="str">
            <v>serum</v>
          </cell>
          <cell r="AF9147">
            <v>1.25</v>
          </cell>
        </row>
        <row r="9148">
          <cell r="A9148" t="str">
            <v>IS_alqt_plus</v>
          </cell>
          <cell r="K9148" t="str">
            <v>VRUB</v>
          </cell>
          <cell r="M9148" t="str">
            <v>F</v>
          </cell>
          <cell r="AB9148" t="str">
            <v>serum</v>
          </cell>
          <cell r="AF9148">
            <v>1</v>
          </cell>
        </row>
        <row r="9149">
          <cell r="A9149" t="str">
            <v>IS_alqt_plus</v>
          </cell>
          <cell r="K9149" t="str">
            <v>PCOQ</v>
          </cell>
          <cell r="M9149" t="str">
            <v>F</v>
          </cell>
          <cell r="AB9149" t="str">
            <v>WB</v>
          </cell>
          <cell r="AF9149">
            <v>0.2</v>
          </cell>
        </row>
        <row r="9150">
          <cell r="A9150" t="str">
            <v>IS_alqt_plus</v>
          </cell>
          <cell r="K9150" t="str">
            <v>PCOQ</v>
          </cell>
          <cell r="M9150" t="str">
            <v>F</v>
          </cell>
          <cell r="AB9150" t="str">
            <v>serum</v>
          </cell>
          <cell r="AF9150">
            <v>1</v>
          </cell>
        </row>
        <row r="9151">
          <cell r="A9151" t="str">
            <v>unk</v>
          </cell>
          <cell r="K9151" t="str">
            <v>PCOQ</v>
          </cell>
          <cell r="M9151" t="str">
            <v>M</v>
          </cell>
          <cell r="AB9151" t="str">
            <v>serum</v>
          </cell>
          <cell r="AF9151">
            <v>0.5</v>
          </cell>
        </row>
        <row r="9152">
          <cell r="A9152" t="str">
            <v>IS_alqt_plus</v>
          </cell>
          <cell r="K9152" t="str">
            <v>PCOQ</v>
          </cell>
          <cell r="M9152" t="str">
            <v>F</v>
          </cell>
          <cell r="AB9152" t="str">
            <v>WB</v>
          </cell>
          <cell r="AF9152">
            <v>0.2</v>
          </cell>
        </row>
        <row r="9153">
          <cell r="A9153" t="str">
            <v>IS_alqt_plus</v>
          </cell>
          <cell r="K9153" t="str">
            <v>CMED</v>
          </cell>
          <cell r="M9153" t="str">
            <v>F</v>
          </cell>
          <cell r="AB9153" t="str">
            <v>WB</v>
          </cell>
          <cell r="AF9153">
            <v>0.25</v>
          </cell>
        </row>
        <row r="9154">
          <cell r="A9154" t="str">
            <v>IS_alqt_minus</v>
          </cell>
          <cell r="K9154" t="str">
            <v>CMED</v>
          </cell>
          <cell r="M9154" t="str">
            <v>F</v>
          </cell>
          <cell r="AB9154" t="str">
            <v>WB</v>
          </cell>
          <cell r="AF9154">
            <v>0.1</v>
          </cell>
        </row>
        <row r="9155">
          <cell r="A9155" t="str">
            <v>gone</v>
          </cell>
          <cell r="K9155" t="str">
            <v>VRUB</v>
          </cell>
          <cell r="M9155" t="str">
            <v>M</v>
          </cell>
          <cell r="AB9155" t="str">
            <v>WB</v>
          </cell>
          <cell r="AF9155">
            <v>0</v>
          </cell>
        </row>
        <row r="9156">
          <cell r="A9156" t="str">
            <v>IS_alqt_plus</v>
          </cell>
          <cell r="K9156" t="str">
            <v>VRUB</v>
          </cell>
          <cell r="M9156" t="str">
            <v>M</v>
          </cell>
          <cell r="AB9156" t="str">
            <v>WB</v>
          </cell>
          <cell r="AF9156">
            <v>1</v>
          </cell>
        </row>
        <row r="9157">
          <cell r="A9157" t="str">
            <v>IS_alqt_plus</v>
          </cell>
          <cell r="K9157" t="str">
            <v>VRUB</v>
          </cell>
          <cell r="M9157" t="str">
            <v>M</v>
          </cell>
          <cell r="AB9157" t="str">
            <v>WB</v>
          </cell>
          <cell r="AF9157">
            <v>0.75</v>
          </cell>
        </row>
        <row r="9158">
          <cell r="A9158" t="str">
            <v>IS_alqt_plus</v>
          </cell>
          <cell r="K9158" t="str">
            <v>VRUB</v>
          </cell>
          <cell r="M9158" t="str">
            <v>M</v>
          </cell>
          <cell r="AB9158" t="str">
            <v>serum</v>
          </cell>
          <cell r="AF9158">
            <v>1.1000000000000001</v>
          </cell>
        </row>
        <row r="9159">
          <cell r="A9159" t="str">
            <v>IS_alqt_plus</v>
          </cell>
          <cell r="K9159" t="str">
            <v>PCOQ</v>
          </cell>
          <cell r="M9159" t="str">
            <v>F</v>
          </cell>
          <cell r="AB9159" t="str">
            <v>serum</v>
          </cell>
          <cell r="AF9159">
            <v>0.5</v>
          </cell>
        </row>
        <row r="9160">
          <cell r="A9160" t="str">
            <v>unk</v>
          </cell>
          <cell r="K9160" t="str">
            <v>PCOQ</v>
          </cell>
          <cell r="M9160" t="str">
            <v>F</v>
          </cell>
          <cell r="AB9160" t="str">
            <v>serum</v>
          </cell>
          <cell r="AF9160">
            <v>0.75</v>
          </cell>
        </row>
        <row r="9161">
          <cell r="A9161" t="str">
            <v>IS_alqt_plus</v>
          </cell>
          <cell r="K9161" t="str">
            <v>PCOQ</v>
          </cell>
          <cell r="M9161" t="str">
            <v>F</v>
          </cell>
          <cell r="AB9161" t="str">
            <v>WB</v>
          </cell>
          <cell r="AF9161">
            <v>0.4</v>
          </cell>
        </row>
        <row r="9162">
          <cell r="A9162" t="str">
            <v>IS_alqt_plus</v>
          </cell>
          <cell r="K9162" t="str">
            <v>PCOQ</v>
          </cell>
          <cell r="M9162" t="str">
            <v>M</v>
          </cell>
          <cell r="AB9162" t="str">
            <v>WB</v>
          </cell>
          <cell r="AF9162">
            <v>1</v>
          </cell>
        </row>
        <row r="9163">
          <cell r="A9163" t="str">
            <v>IS_alqt_plus</v>
          </cell>
          <cell r="K9163" t="str">
            <v>PCOQ</v>
          </cell>
          <cell r="M9163" t="str">
            <v>F</v>
          </cell>
          <cell r="AB9163" t="str">
            <v>WB</v>
          </cell>
          <cell r="AF9163">
            <v>1</v>
          </cell>
        </row>
        <row r="9164">
          <cell r="A9164" t="str">
            <v>gone</v>
          </cell>
          <cell r="K9164" t="str">
            <v>PCOQ</v>
          </cell>
          <cell r="M9164" t="str">
            <v>M</v>
          </cell>
          <cell r="AB9164" t="str">
            <v>WB</v>
          </cell>
          <cell r="AF9164">
            <v>0</v>
          </cell>
        </row>
        <row r="9165">
          <cell r="A9165" t="str">
            <v>IS_alqt_plus</v>
          </cell>
          <cell r="K9165" t="str">
            <v>PCOQ</v>
          </cell>
          <cell r="M9165" t="str">
            <v>F</v>
          </cell>
          <cell r="AB9165" t="str">
            <v>WB</v>
          </cell>
          <cell r="AF9165">
            <v>1</v>
          </cell>
        </row>
        <row r="9166">
          <cell r="A9166" t="str">
            <v>IS_alqt_plus</v>
          </cell>
          <cell r="K9166" t="str">
            <v>PCOQ</v>
          </cell>
          <cell r="M9166" t="str">
            <v>M</v>
          </cell>
          <cell r="AB9166" t="str">
            <v>WB</v>
          </cell>
          <cell r="AF9166">
            <v>0.8</v>
          </cell>
        </row>
        <row r="9167">
          <cell r="A9167" t="str">
            <v>IS_alqt_plus</v>
          </cell>
          <cell r="K9167" t="str">
            <v>PCOQ</v>
          </cell>
          <cell r="M9167" t="str">
            <v>M</v>
          </cell>
          <cell r="AB9167" t="str">
            <v>serum</v>
          </cell>
          <cell r="AF9167">
            <v>1</v>
          </cell>
        </row>
        <row r="9168">
          <cell r="A9168" t="str">
            <v>IS_alqt_plus</v>
          </cell>
          <cell r="K9168" t="str">
            <v>PCOQ</v>
          </cell>
          <cell r="M9168" t="str">
            <v>F</v>
          </cell>
          <cell r="AB9168" t="str">
            <v>serum</v>
          </cell>
          <cell r="AF9168">
            <v>0.75</v>
          </cell>
        </row>
        <row r="9169">
          <cell r="A9169" t="str">
            <v>IS_alqt_plus</v>
          </cell>
          <cell r="K9169" t="str">
            <v>PCOQ</v>
          </cell>
          <cell r="M9169" t="str">
            <v>F</v>
          </cell>
          <cell r="AB9169" t="str">
            <v>serum</v>
          </cell>
          <cell r="AF9169">
            <v>0.55000000000000004</v>
          </cell>
        </row>
        <row r="9170">
          <cell r="A9170" t="str">
            <v>IS_alqt_plus</v>
          </cell>
          <cell r="K9170" t="str">
            <v>PCOQ</v>
          </cell>
          <cell r="M9170" t="str">
            <v>M</v>
          </cell>
          <cell r="AB9170" t="str">
            <v>WB</v>
          </cell>
          <cell r="AF9170">
            <v>0.9</v>
          </cell>
        </row>
        <row r="9171">
          <cell r="A9171" t="str">
            <v>IS_alqt_plus</v>
          </cell>
          <cell r="K9171" t="str">
            <v>EFLA</v>
          </cell>
          <cell r="M9171" t="str">
            <v>M</v>
          </cell>
          <cell r="AB9171" t="str">
            <v>serum</v>
          </cell>
          <cell r="AF9171">
            <v>0.9</v>
          </cell>
        </row>
        <row r="9172">
          <cell r="A9172" t="str">
            <v>IS_alqt_plus</v>
          </cell>
          <cell r="K9172" t="str">
            <v>EFLA</v>
          </cell>
          <cell r="M9172" t="str">
            <v>M</v>
          </cell>
          <cell r="AB9172" t="str">
            <v>WB</v>
          </cell>
          <cell r="AF9172">
            <v>0.65</v>
          </cell>
        </row>
        <row r="9173">
          <cell r="A9173" t="str">
            <v>gone</v>
          </cell>
          <cell r="K9173" t="str">
            <v>PCOQ</v>
          </cell>
          <cell r="M9173" t="str">
            <v>M</v>
          </cell>
          <cell r="AB9173" t="str">
            <v>WB</v>
          </cell>
          <cell r="AF9173">
            <v>0</v>
          </cell>
        </row>
        <row r="9174">
          <cell r="A9174" t="str">
            <v>IS_alqt_plus</v>
          </cell>
          <cell r="K9174" t="str">
            <v>PCOQ</v>
          </cell>
          <cell r="M9174" t="str">
            <v>M</v>
          </cell>
          <cell r="AB9174" t="str">
            <v>WB</v>
          </cell>
          <cell r="AF9174">
            <v>1</v>
          </cell>
        </row>
        <row r="9175">
          <cell r="A9175" t="str">
            <v>IS_alqt_plus</v>
          </cell>
          <cell r="K9175" t="str">
            <v>PCOQ</v>
          </cell>
          <cell r="M9175" t="str">
            <v>M</v>
          </cell>
          <cell r="AB9175" t="str">
            <v>WB</v>
          </cell>
          <cell r="AF9175">
            <v>1</v>
          </cell>
        </row>
        <row r="9176">
          <cell r="A9176" t="str">
            <v>IS_alqt_plus</v>
          </cell>
          <cell r="K9176" t="str">
            <v>PCOQ</v>
          </cell>
          <cell r="M9176" t="str">
            <v>M</v>
          </cell>
          <cell r="AB9176" t="str">
            <v>WB</v>
          </cell>
          <cell r="AF9176">
            <v>1</v>
          </cell>
        </row>
        <row r="9177">
          <cell r="A9177" t="str">
            <v>IS_alqt_plus</v>
          </cell>
          <cell r="K9177" t="str">
            <v>PCOQ</v>
          </cell>
          <cell r="M9177" t="str">
            <v>M</v>
          </cell>
          <cell r="AB9177" t="str">
            <v>serum</v>
          </cell>
          <cell r="AF9177">
            <v>0.5</v>
          </cell>
        </row>
        <row r="9178">
          <cell r="A9178" t="str">
            <v>IS_alqt_plus</v>
          </cell>
          <cell r="K9178" t="str">
            <v>PCOQ</v>
          </cell>
          <cell r="M9178" t="str">
            <v>F</v>
          </cell>
          <cell r="AB9178" t="str">
            <v>serum</v>
          </cell>
          <cell r="AF9178">
            <v>0.75</v>
          </cell>
        </row>
        <row r="9179">
          <cell r="A9179" t="str">
            <v>IS_alqt_plus</v>
          </cell>
          <cell r="K9179" t="str">
            <v>PCOQ</v>
          </cell>
          <cell r="M9179" t="str">
            <v>M</v>
          </cell>
          <cell r="AB9179" t="str">
            <v>serum</v>
          </cell>
          <cell r="AF9179">
            <v>0.9</v>
          </cell>
        </row>
        <row r="9180">
          <cell r="A9180" t="str">
            <v>IS_alqt_plus</v>
          </cell>
          <cell r="K9180" t="str">
            <v>EFLA</v>
          </cell>
          <cell r="M9180" t="str">
            <v>F</v>
          </cell>
          <cell r="AB9180" t="str">
            <v>serum</v>
          </cell>
          <cell r="AF9180">
            <v>0.75</v>
          </cell>
        </row>
        <row r="9181">
          <cell r="A9181" t="str">
            <v>IS_alqt_plus</v>
          </cell>
          <cell r="K9181" t="str">
            <v>EFLA</v>
          </cell>
          <cell r="M9181" t="str">
            <v>F</v>
          </cell>
          <cell r="AB9181" t="str">
            <v>WB</v>
          </cell>
          <cell r="AF9181">
            <v>0.5</v>
          </cell>
        </row>
        <row r="9182">
          <cell r="A9182" t="str">
            <v>IS_alqt_plus</v>
          </cell>
          <cell r="K9182" t="str">
            <v>EFLA</v>
          </cell>
          <cell r="M9182" t="str">
            <v>F</v>
          </cell>
          <cell r="AB9182" t="str">
            <v>WB</v>
          </cell>
          <cell r="AF9182">
            <v>1.25</v>
          </cell>
        </row>
        <row r="9183">
          <cell r="A9183" t="str">
            <v>IS_alqt_plus</v>
          </cell>
          <cell r="K9183" t="str">
            <v>PCOQ</v>
          </cell>
          <cell r="M9183" t="str">
            <v>M</v>
          </cell>
          <cell r="AB9183" t="str">
            <v>WB</v>
          </cell>
          <cell r="AF9183">
            <v>1</v>
          </cell>
        </row>
        <row r="9184">
          <cell r="A9184" t="str">
            <v>IS_alqt_plus</v>
          </cell>
          <cell r="K9184" t="str">
            <v>LCAT</v>
          </cell>
          <cell r="M9184" t="str">
            <v>F</v>
          </cell>
          <cell r="AB9184" t="str">
            <v>serum</v>
          </cell>
          <cell r="AF9184">
            <v>1.5</v>
          </cell>
        </row>
        <row r="9185">
          <cell r="A9185" t="str">
            <v>IS_alqt_plus</v>
          </cell>
          <cell r="K9185" t="str">
            <v>DMAD</v>
          </cell>
          <cell r="M9185" t="str">
            <v>F</v>
          </cell>
          <cell r="AB9185" t="str">
            <v>serum</v>
          </cell>
          <cell r="AF9185">
            <v>0.75</v>
          </cell>
        </row>
        <row r="9186">
          <cell r="A9186" t="str">
            <v>IS_alqt_plus</v>
          </cell>
          <cell r="K9186" t="str">
            <v>DMAD</v>
          </cell>
          <cell r="M9186" t="str">
            <v>F</v>
          </cell>
          <cell r="AB9186" t="str">
            <v>WB</v>
          </cell>
          <cell r="AF9186">
            <v>1</v>
          </cell>
        </row>
        <row r="9187">
          <cell r="A9187" t="str">
            <v>IS_alqt_plus</v>
          </cell>
          <cell r="K9187" t="str">
            <v>ERUF</v>
          </cell>
          <cell r="M9187" t="str">
            <v>F</v>
          </cell>
          <cell r="AB9187" t="str">
            <v>WB</v>
          </cell>
          <cell r="AF9187">
            <v>1.25</v>
          </cell>
        </row>
        <row r="9188">
          <cell r="A9188" t="str">
            <v>IS_alqt_minus</v>
          </cell>
          <cell r="K9188" t="str">
            <v>MMUR</v>
          </cell>
          <cell r="M9188" t="str">
            <v>F</v>
          </cell>
          <cell r="AB9188" t="str">
            <v>WB</v>
          </cell>
          <cell r="AF9188">
            <v>0.15</v>
          </cell>
        </row>
        <row r="9189">
          <cell r="A9189" t="str">
            <v>IS_alqt_plus</v>
          </cell>
          <cell r="K9189" t="str">
            <v>PCOQ</v>
          </cell>
          <cell r="M9189" t="str">
            <v>M</v>
          </cell>
          <cell r="AB9189" t="str">
            <v>WB</v>
          </cell>
          <cell r="AF9189">
            <v>1</v>
          </cell>
        </row>
        <row r="9190">
          <cell r="A9190" t="str">
            <v>IS_alqt_plus</v>
          </cell>
          <cell r="K9190" t="str">
            <v>PCOQ</v>
          </cell>
          <cell r="M9190" t="str">
            <v>F</v>
          </cell>
          <cell r="AB9190" t="str">
            <v>serum</v>
          </cell>
          <cell r="AF9190">
            <v>0.7</v>
          </cell>
        </row>
        <row r="9191">
          <cell r="A9191" t="str">
            <v>IS_alqt_plus</v>
          </cell>
          <cell r="K9191" t="str">
            <v>PCOQ</v>
          </cell>
          <cell r="M9191" t="str">
            <v>F</v>
          </cell>
          <cell r="AB9191" t="str">
            <v>serum</v>
          </cell>
          <cell r="AF9191">
            <v>0.5</v>
          </cell>
        </row>
        <row r="9192">
          <cell r="A9192" t="str">
            <v>IS_alqt_plus</v>
          </cell>
          <cell r="K9192" t="str">
            <v>PCOQ</v>
          </cell>
          <cell r="M9192" t="str">
            <v>M</v>
          </cell>
          <cell r="AB9192" t="str">
            <v>WB</v>
          </cell>
          <cell r="AF9192">
            <v>1</v>
          </cell>
        </row>
        <row r="9193">
          <cell r="A9193" t="str">
            <v>IS_alqt_plus</v>
          </cell>
          <cell r="K9193" t="str">
            <v>PCOQ</v>
          </cell>
          <cell r="M9193" t="str">
            <v>M</v>
          </cell>
          <cell r="AB9193" t="str">
            <v>WB</v>
          </cell>
          <cell r="AF9193">
            <v>1</v>
          </cell>
        </row>
        <row r="9194">
          <cell r="A9194" t="str">
            <v>IS_alqt_plus</v>
          </cell>
          <cell r="K9194" t="str">
            <v>PCOQ</v>
          </cell>
          <cell r="M9194" t="str">
            <v>M</v>
          </cell>
          <cell r="AB9194" t="str">
            <v>WB</v>
          </cell>
          <cell r="AF9194">
            <v>1</v>
          </cell>
        </row>
        <row r="9195">
          <cell r="A9195" t="str">
            <v>IS_alqt_plus</v>
          </cell>
          <cell r="K9195" t="str">
            <v>PCOQ</v>
          </cell>
          <cell r="M9195" t="str">
            <v>M</v>
          </cell>
          <cell r="AB9195" t="str">
            <v>WB</v>
          </cell>
          <cell r="AF9195">
            <v>1</v>
          </cell>
        </row>
        <row r="9196">
          <cell r="A9196" t="str">
            <v>IS_alqt_plus</v>
          </cell>
          <cell r="K9196" t="str">
            <v>PCOQ</v>
          </cell>
          <cell r="M9196" t="str">
            <v>M</v>
          </cell>
          <cell r="AB9196" t="str">
            <v>WB</v>
          </cell>
          <cell r="AF9196">
            <v>1.3</v>
          </cell>
        </row>
        <row r="9197">
          <cell r="A9197" t="str">
            <v>IS_alqt_plus</v>
          </cell>
          <cell r="K9197" t="str">
            <v>PCOQ</v>
          </cell>
          <cell r="M9197" t="str">
            <v>M</v>
          </cell>
          <cell r="AB9197" t="str">
            <v>WB</v>
          </cell>
          <cell r="AF9197">
            <v>1.3</v>
          </cell>
        </row>
        <row r="9198">
          <cell r="A9198" t="str">
            <v>IS_alqt_plus</v>
          </cell>
          <cell r="K9198" t="str">
            <v>PCOQ</v>
          </cell>
          <cell r="M9198" t="str">
            <v>M</v>
          </cell>
          <cell r="AB9198" t="str">
            <v>WB</v>
          </cell>
          <cell r="AF9198">
            <v>1.2</v>
          </cell>
        </row>
        <row r="9199">
          <cell r="A9199" t="str">
            <v>IS_alqt_plus</v>
          </cell>
          <cell r="K9199" t="str">
            <v>PCOQ</v>
          </cell>
          <cell r="M9199" t="str">
            <v>M</v>
          </cell>
          <cell r="AB9199" t="str">
            <v>WB</v>
          </cell>
          <cell r="AF9199">
            <v>1</v>
          </cell>
        </row>
        <row r="9200">
          <cell r="A9200" t="str">
            <v>IS_alqt_plus</v>
          </cell>
          <cell r="K9200" t="str">
            <v>PCOQ</v>
          </cell>
          <cell r="M9200" t="str">
            <v>M</v>
          </cell>
          <cell r="AB9200" t="str">
            <v>WB</v>
          </cell>
          <cell r="AF9200">
            <v>1</v>
          </cell>
        </row>
        <row r="9201">
          <cell r="A9201" t="str">
            <v>IS_alqt_plus</v>
          </cell>
          <cell r="K9201" t="str">
            <v>PCOQ</v>
          </cell>
          <cell r="M9201" t="str">
            <v>M</v>
          </cell>
          <cell r="AB9201" t="str">
            <v>WB</v>
          </cell>
          <cell r="AF9201">
            <v>0.7</v>
          </cell>
        </row>
        <row r="9202">
          <cell r="A9202" t="str">
            <v>IS_alqt_plus</v>
          </cell>
          <cell r="K9202" t="str">
            <v>PCOQ</v>
          </cell>
          <cell r="M9202" t="str">
            <v>M</v>
          </cell>
          <cell r="AB9202" t="str">
            <v>WB</v>
          </cell>
          <cell r="AF9202">
            <v>1</v>
          </cell>
        </row>
        <row r="9203">
          <cell r="A9203" t="str">
            <v>IS_alqt_plus</v>
          </cell>
          <cell r="K9203" t="str">
            <v>PCOQ</v>
          </cell>
          <cell r="M9203" t="str">
            <v>M</v>
          </cell>
          <cell r="AB9203" t="str">
            <v>WB</v>
          </cell>
          <cell r="AF9203">
            <v>1</v>
          </cell>
        </row>
        <row r="9204">
          <cell r="A9204" t="str">
            <v>IS_alqt_plus</v>
          </cell>
          <cell r="K9204" t="str">
            <v>PCOQ</v>
          </cell>
          <cell r="M9204" t="str">
            <v>M</v>
          </cell>
          <cell r="AB9204" t="str">
            <v>WB</v>
          </cell>
          <cell r="AF9204">
            <v>1.1000000000000001</v>
          </cell>
        </row>
        <row r="9205">
          <cell r="A9205" t="str">
            <v>IS_alqt_plus</v>
          </cell>
          <cell r="K9205" t="str">
            <v>PCOQ</v>
          </cell>
          <cell r="M9205" t="str">
            <v>M</v>
          </cell>
          <cell r="AB9205" t="str">
            <v>WB</v>
          </cell>
          <cell r="AF9205">
            <v>1.25</v>
          </cell>
        </row>
        <row r="9206">
          <cell r="A9206" t="str">
            <v>IS_alqt_plus</v>
          </cell>
          <cell r="K9206" t="str">
            <v>PCOQ</v>
          </cell>
          <cell r="M9206" t="str">
            <v>M</v>
          </cell>
          <cell r="AB9206" t="str">
            <v>WB</v>
          </cell>
          <cell r="AF9206">
            <v>1.25</v>
          </cell>
        </row>
        <row r="9207">
          <cell r="A9207" t="str">
            <v>IS_alqt_plus</v>
          </cell>
          <cell r="K9207" t="str">
            <v>PCOQ</v>
          </cell>
          <cell r="M9207" t="str">
            <v>M</v>
          </cell>
          <cell r="AB9207" t="str">
            <v>WB</v>
          </cell>
          <cell r="AF9207">
            <v>1</v>
          </cell>
        </row>
        <row r="9208">
          <cell r="A9208" t="str">
            <v>IS_alqt_plus</v>
          </cell>
          <cell r="K9208" t="str">
            <v>PCOQ</v>
          </cell>
          <cell r="M9208" t="str">
            <v>M</v>
          </cell>
          <cell r="AB9208" t="str">
            <v>WB</v>
          </cell>
          <cell r="AF9208">
            <v>1.3</v>
          </cell>
        </row>
        <row r="9209">
          <cell r="A9209" t="str">
            <v>IS_alqt_plus</v>
          </cell>
          <cell r="K9209" t="str">
            <v>PCOQ</v>
          </cell>
          <cell r="M9209" t="str">
            <v>M</v>
          </cell>
          <cell r="AB9209" t="str">
            <v>WB</v>
          </cell>
          <cell r="AF9209">
            <v>1.1000000000000001</v>
          </cell>
        </row>
        <row r="9210">
          <cell r="A9210" t="str">
            <v>IS_alqt_plus</v>
          </cell>
          <cell r="K9210" t="str">
            <v>PCOQ</v>
          </cell>
          <cell r="M9210" t="str">
            <v>M</v>
          </cell>
          <cell r="AB9210" t="str">
            <v>WB</v>
          </cell>
          <cell r="AF9210">
            <v>1.1000000000000001</v>
          </cell>
        </row>
        <row r="9211">
          <cell r="A9211" t="str">
            <v>IS_alqt_plus</v>
          </cell>
          <cell r="K9211" t="str">
            <v>PCOQ</v>
          </cell>
          <cell r="M9211" t="str">
            <v>M</v>
          </cell>
          <cell r="AB9211" t="str">
            <v>WB</v>
          </cell>
          <cell r="AF9211">
            <v>1.3</v>
          </cell>
        </row>
        <row r="9212">
          <cell r="A9212" t="str">
            <v>IS_alqt_plus</v>
          </cell>
          <cell r="K9212" t="str">
            <v>PCOQ</v>
          </cell>
          <cell r="M9212" t="str">
            <v>M</v>
          </cell>
          <cell r="AB9212" t="str">
            <v>WB</v>
          </cell>
          <cell r="AF9212">
            <v>1.5</v>
          </cell>
        </row>
        <row r="9213">
          <cell r="A9213" t="str">
            <v>IS_alqt_plus</v>
          </cell>
          <cell r="K9213" t="str">
            <v>PCOQ</v>
          </cell>
          <cell r="M9213" t="str">
            <v>M</v>
          </cell>
          <cell r="AB9213" t="str">
            <v>WB</v>
          </cell>
          <cell r="AF9213">
            <v>1</v>
          </cell>
        </row>
        <row r="9214">
          <cell r="A9214" t="str">
            <v>IS_alqt_plus</v>
          </cell>
          <cell r="K9214" t="str">
            <v>PCOQ</v>
          </cell>
          <cell r="M9214" t="str">
            <v>M</v>
          </cell>
          <cell r="AB9214" t="str">
            <v>WB</v>
          </cell>
          <cell r="AF9214">
            <v>1</v>
          </cell>
        </row>
        <row r="9215">
          <cell r="A9215" t="str">
            <v>IS_alqt_plus</v>
          </cell>
          <cell r="K9215" t="str">
            <v>PCOQ</v>
          </cell>
          <cell r="M9215" t="str">
            <v>M</v>
          </cell>
          <cell r="AB9215" t="str">
            <v>WB</v>
          </cell>
          <cell r="AF9215">
            <v>0.85</v>
          </cell>
        </row>
        <row r="9216">
          <cell r="A9216" t="str">
            <v>IS_alqt_plus</v>
          </cell>
          <cell r="K9216" t="str">
            <v>PCOQ</v>
          </cell>
          <cell r="M9216" t="str">
            <v>M</v>
          </cell>
          <cell r="AB9216" t="str">
            <v>WB</v>
          </cell>
          <cell r="AF9216">
            <v>1</v>
          </cell>
        </row>
        <row r="9217">
          <cell r="A9217" t="str">
            <v>IS_alqt_plus</v>
          </cell>
          <cell r="K9217" t="str">
            <v>PCOQ</v>
          </cell>
          <cell r="M9217" t="str">
            <v>M</v>
          </cell>
          <cell r="AB9217" t="str">
            <v>WB</v>
          </cell>
          <cell r="AF9217">
            <v>1</v>
          </cell>
        </row>
        <row r="9218">
          <cell r="A9218" t="str">
            <v>IS_alqt_plus</v>
          </cell>
          <cell r="K9218" t="str">
            <v>PCOQ</v>
          </cell>
          <cell r="M9218" t="str">
            <v>M</v>
          </cell>
          <cell r="AB9218" t="str">
            <v>WB</v>
          </cell>
          <cell r="AF9218">
            <v>1.3</v>
          </cell>
        </row>
        <row r="9219">
          <cell r="A9219" t="str">
            <v>IS_alqt_plus</v>
          </cell>
          <cell r="K9219" t="str">
            <v>PCOQ</v>
          </cell>
          <cell r="M9219" t="str">
            <v>M</v>
          </cell>
          <cell r="AB9219" t="str">
            <v>WB</v>
          </cell>
          <cell r="AF9219">
            <v>1.3</v>
          </cell>
        </row>
        <row r="9220">
          <cell r="A9220" t="str">
            <v>IS_alqt_plus</v>
          </cell>
          <cell r="K9220" t="str">
            <v>PCOQ</v>
          </cell>
          <cell r="M9220" t="str">
            <v>M</v>
          </cell>
          <cell r="AB9220" t="str">
            <v>WB</v>
          </cell>
          <cell r="AF9220">
            <v>0.7</v>
          </cell>
        </row>
        <row r="9221">
          <cell r="A9221" t="str">
            <v>IS_alqt_plus</v>
          </cell>
          <cell r="K9221" t="str">
            <v>PCOQ</v>
          </cell>
          <cell r="M9221" t="str">
            <v>M</v>
          </cell>
          <cell r="AB9221" t="str">
            <v>WB</v>
          </cell>
          <cell r="AF9221">
            <v>0.7</v>
          </cell>
        </row>
        <row r="9222">
          <cell r="A9222" t="str">
            <v>gone</v>
          </cell>
          <cell r="K9222" t="str">
            <v>PCOQ</v>
          </cell>
          <cell r="M9222" t="str">
            <v>F</v>
          </cell>
          <cell r="AB9222" t="str">
            <v>WB</v>
          </cell>
          <cell r="AF9222">
            <v>0</v>
          </cell>
        </row>
        <row r="9223">
          <cell r="A9223" t="str">
            <v>IS_alqt_plus</v>
          </cell>
          <cell r="K9223" t="str">
            <v>PCOQ</v>
          </cell>
          <cell r="M9223" t="str">
            <v>F</v>
          </cell>
          <cell r="AB9223" t="str">
            <v>WB</v>
          </cell>
          <cell r="AF9223">
            <v>0.5</v>
          </cell>
        </row>
        <row r="9224">
          <cell r="A9224" t="str">
            <v>IS_alqt_plus</v>
          </cell>
          <cell r="K9224" t="str">
            <v>PCOQ</v>
          </cell>
          <cell r="M9224" t="str">
            <v>F</v>
          </cell>
          <cell r="AB9224" t="str">
            <v>WB</v>
          </cell>
          <cell r="AF9224">
            <v>1</v>
          </cell>
        </row>
        <row r="9225">
          <cell r="A9225" t="str">
            <v>IS_alqt_plus</v>
          </cell>
          <cell r="K9225" t="str">
            <v>PCOQ</v>
          </cell>
          <cell r="M9225" t="str">
            <v>F</v>
          </cell>
          <cell r="AB9225" t="str">
            <v>WB</v>
          </cell>
          <cell r="AF9225">
            <v>1</v>
          </cell>
        </row>
        <row r="9226">
          <cell r="A9226" t="str">
            <v>IS_alqt_plus</v>
          </cell>
          <cell r="K9226" t="str">
            <v>PCOQ</v>
          </cell>
          <cell r="M9226" t="str">
            <v>F</v>
          </cell>
          <cell r="AB9226" t="str">
            <v>WB</v>
          </cell>
          <cell r="AF9226">
            <v>1</v>
          </cell>
        </row>
        <row r="9227">
          <cell r="A9227" t="str">
            <v>IS_alqt_plus</v>
          </cell>
          <cell r="K9227" t="str">
            <v>PCOQ</v>
          </cell>
          <cell r="M9227" t="str">
            <v>M</v>
          </cell>
          <cell r="AB9227" t="str">
            <v>WB</v>
          </cell>
          <cell r="AF9227">
            <v>1</v>
          </cell>
        </row>
        <row r="9228">
          <cell r="A9228" t="str">
            <v>IS_alqt_plus</v>
          </cell>
          <cell r="K9228" t="str">
            <v>PCOQ</v>
          </cell>
          <cell r="M9228" t="str">
            <v>M</v>
          </cell>
          <cell r="AB9228" t="str">
            <v>WB</v>
          </cell>
          <cell r="AF9228">
            <v>0.5</v>
          </cell>
        </row>
        <row r="9229">
          <cell r="A9229" t="str">
            <v>IS_alqt_plus</v>
          </cell>
          <cell r="K9229" t="str">
            <v>PCOQ</v>
          </cell>
          <cell r="M9229" t="str">
            <v>M</v>
          </cell>
          <cell r="AB9229" t="str">
            <v>WB</v>
          </cell>
          <cell r="AF9229">
            <v>0.35</v>
          </cell>
        </row>
        <row r="9230">
          <cell r="A9230" t="str">
            <v>IS_alqt_plus</v>
          </cell>
          <cell r="K9230" t="str">
            <v>PCOQ</v>
          </cell>
          <cell r="M9230" t="str">
            <v>M</v>
          </cell>
          <cell r="AB9230" t="str">
            <v>WB</v>
          </cell>
          <cell r="AF9230">
            <v>0.8</v>
          </cell>
        </row>
        <row r="9231">
          <cell r="A9231" t="str">
            <v>IS_alqt_plus</v>
          </cell>
          <cell r="K9231" t="str">
            <v>PCOQ</v>
          </cell>
          <cell r="M9231" t="str">
            <v>F</v>
          </cell>
          <cell r="AB9231" t="str">
            <v>WB</v>
          </cell>
          <cell r="AF9231">
            <v>1.3</v>
          </cell>
        </row>
        <row r="9232">
          <cell r="A9232" t="str">
            <v>IS_alqt_plus</v>
          </cell>
          <cell r="K9232" t="str">
            <v>PCOQ</v>
          </cell>
          <cell r="M9232" t="str">
            <v>F</v>
          </cell>
          <cell r="AB9232" t="str">
            <v>WB</v>
          </cell>
          <cell r="AF9232">
            <v>1.3</v>
          </cell>
        </row>
        <row r="9233">
          <cell r="A9233" t="str">
            <v>IS_alqt_plus</v>
          </cell>
          <cell r="K9233" t="str">
            <v>PCOQ</v>
          </cell>
          <cell r="M9233" t="str">
            <v>F</v>
          </cell>
          <cell r="AB9233" t="str">
            <v>WB</v>
          </cell>
          <cell r="AF9233">
            <v>1.3</v>
          </cell>
        </row>
        <row r="9234">
          <cell r="A9234" t="str">
            <v>IS_alqt_plus</v>
          </cell>
          <cell r="K9234" t="str">
            <v>PCOQ</v>
          </cell>
          <cell r="M9234" t="str">
            <v>F</v>
          </cell>
          <cell r="AB9234" t="str">
            <v>WB</v>
          </cell>
          <cell r="AF9234">
            <v>0.75</v>
          </cell>
        </row>
        <row r="9235">
          <cell r="A9235" t="str">
            <v>IS_alqt_plus</v>
          </cell>
          <cell r="K9235" t="str">
            <v>PCOQ</v>
          </cell>
          <cell r="M9235" t="str">
            <v>F</v>
          </cell>
          <cell r="AB9235" t="str">
            <v>WB</v>
          </cell>
          <cell r="AF9235">
            <v>1</v>
          </cell>
        </row>
        <row r="9236">
          <cell r="A9236" t="str">
            <v>IS_alqt_plus</v>
          </cell>
          <cell r="K9236" t="str">
            <v>PCOQ</v>
          </cell>
          <cell r="M9236" t="str">
            <v>M</v>
          </cell>
          <cell r="AB9236" t="str">
            <v>WB</v>
          </cell>
          <cell r="AF9236">
            <v>0.9</v>
          </cell>
        </row>
        <row r="9237">
          <cell r="A9237" t="str">
            <v>unk</v>
          </cell>
          <cell r="K9237" t="str">
            <v>PCOQ</v>
          </cell>
          <cell r="M9237" t="str">
            <v>F</v>
          </cell>
          <cell r="AB9237" t="str">
            <v>WB</v>
          </cell>
          <cell r="AF9237">
            <v>3</v>
          </cell>
        </row>
        <row r="9238">
          <cell r="A9238" t="str">
            <v>IS_alqt_plus</v>
          </cell>
          <cell r="K9238" t="str">
            <v>PCOQ</v>
          </cell>
          <cell r="M9238" t="str">
            <v>M</v>
          </cell>
          <cell r="AB9238" t="str">
            <v>WB</v>
          </cell>
          <cell r="AF9238">
            <v>1</v>
          </cell>
        </row>
        <row r="9239">
          <cell r="A9239" t="str">
            <v>IS_alqt_minus</v>
          </cell>
          <cell r="K9239" t="str">
            <v>PCOQ</v>
          </cell>
          <cell r="M9239" t="str">
            <v>F</v>
          </cell>
          <cell r="AB9239" t="str">
            <v>WB</v>
          </cell>
          <cell r="AF9239">
            <v>0.15</v>
          </cell>
        </row>
        <row r="9240">
          <cell r="A9240" t="str">
            <v>IS_alqt_plus</v>
          </cell>
          <cell r="K9240" t="str">
            <v>PCOQ</v>
          </cell>
          <cell r="M9240" t="str">
            <v>F</v>
          </cell>
          <cell r="AB9240" t="str">
            <v>WB</v>
          </cell>
          <cell r="AF9240">
            <v>0.2</v>
          </cell>
        </row>
        <row r="9241">
          <cell r="A9241" t="str">
            <v>IS_alqt_plus</v>
          </cell>
          <cell r="K9241" t="str">
            <v>PCOQ</v>
          </cell>
          <cell r="M9241" t="str">
            <v>F</v>
          </cell>
          <cell r="AB9241" t="str">
            <v>WB</v>
          </cell>
          <cell r="AF9241">
            <v>0.2</v>
          </cell>
        </row>
        <row r="9242">
          <cell r="A9242" t="str">
            <v>IS_alqt_plus</v>
          </cell>
          <cell r="K9242" t="str">
            <v>PCOQ</v>
          </cell>
          <cell r="M9242" t="str">
            <v>F</v>
          </cell>
          <cell r="AB9242" t="str">
            <v>WB</v>
          </cell>
          <cell r="AF9242">
            <v>0.2</v>
          </cell>
        </row>
        <row r="9243">
          <cell r="A9243" t="str">
            <v>IS_alqt_plus</v>
          </cell>
          <cell r="K9243" t="str">
            <v>PCOQ</v>
          </cell>
          <cell r="M9243" t="str">
            <v>M</v>
          </cell>
          <cell r="AB9243" t="str">
            <v>serum</v>
          </cell>
          <cell r="AF9243">
            <v>1.5</v>
          </cell>
        </row>
        <row r="9244">
          <cell r="A9244" t="str">
            <v>IS_alqt_plus</v>
          </cell>
          <cell r="K9244" t="str">
            <v>PCOQ</v>
          </cell>
          <cell r="M9244" t="str">
            <v>M</v>
          </cell>
          <cell r="AB9244" t="str">
            <v>serum</v>
          </cell>
          <cell r="AF9244">
            <v>1.5</v>
          </cell>
        </row>
        <row r="9245">
          <cell r="A9245" t="str">
            <v>IS_alqt_plus</v>
          </cell>
          <cell r="K9245" t="str">
            <v>PCOQ</v>
          </cell>
          <cell r="M9245" t="str">
            <v>M</v>
          </cell>
          <cell r="AB9245" t="str">
            <v>serum</v>
          </cell>
          <cell r="AF9245">
            <v>1.25</v>
          </cell>
        </row>
        <row r="9246">
          <cell r="A9246" t="str">
            <v>IS_alqt_plus</v>
          </cell>
          <cell r="K9246" t="str">
            <v>PCOQ</v>
          </cell>
          <cell r="M9246" t="str">
            <v>M</v>
          </cell>
          <cell r="AB9246" t="str">
            <v>serum</v>
          </cell>
          <cell r="AF9246">
            <v>1.5</v>
          </cell>
        </row>
        <row r="9247">
          <cell r="A9247" t="str">
            <v>IS_alqt_plus</v>
          </cell>
          <cell r="K9247" t="str">
            <v>PCOQ</v>
          </cell>
          <cell r="M9247" t="str">
            <v>M</v>
          </cell>
          <cell r="AB9247" t="str">
            <v>serum</v>
          </cell>
          <cell r="AF9247">
            <v>1.5</v>
          </cell>
        </row>
        <row r="9248">
          <cell r="A9248" t="str">
            <v>IS_alqt_plus</v>
          </cell>
          <cell r="K9248" t="str">
            <v>PCOQ</v>
          </cell>
          <cell r="M9248" t="str">
            <v>M</v>
          </cell>
          <cell r="AB9248" t="str">
            <v>serum</v>
          </cell>
          <cell r="AF9248">
            <v>1.5</v>
          </cell>
        </row>
        <row r="9249">
          <cell r="A9249" t="str">
            <v>IS_alqt_plus</v>
          </cell>
          <cell r="K9249" t="str">
            <v>PCOQ</v>
          </cell>
          <cell r="M9249" t="str">
            <v>M</v>
          </cell>
          <cell r="AB9249" t="str">
            <v>serum</v>
          </cell>
          <cell r="AF9249">
            <v>1</v>
          </cell>
        </row>
        <row r="9250">
          <cell r="A9250" t="str">
            <v>IS_alqt_plus</v>
          </cell>
          <cell r="K9250" t="str">
            <v>PCOQ</v>
          </cell>
          <cell r="M9250" t="str">
            <v>M</v>
          </cell>
          <cell r="AB9250" t="str">
            <v>serum</v>
          </cell>
          <cell r="AF9250">
            <v>1.3</v>
          </cell>
        </row>
        <row r="9251">
          <cell r="A9251" t="str">
            <v>IS_alqt_plus</v>
          </cell>
          <cell r="K9251" t="str">
            <v>PCOQ</v>
          </cell>
          <cell r="M9251" t="str">
            <v>M</v>
          </cell>
          <cell r="AB9251" t="str">
            <v>serum</v>
          </cell>
          <cell r="AF9251">
            <v>1.5</v>
          </cell>
        </row>
        <row r="9252">
          <cell r="A9252" t="str">
            <v>IS_alqt_plus</v>
          </cell>
          <cell r="K9252" t="str">
            <v>PCOQ</v>
          </cell>
          <cell r="M9252" t="str">
            <v>M</v>
          </cell>
          <cell r="AB9252" t="str">
            <v>serum</v>
          </cell>
          <cell r="AF9252">
            <v>1.25</v>
          </cell>
        </row>
        <row r="9253">
          <cell r="A9253" t="str">
            <v>IS_alqt_plus</v>
          </cell>
          <cell r="K9253" t="str">
            <v>PCOQ</v>
          </cell>
          <cell r="M9253" t="str">
            <v>M</v>
          </cell>
          <cell r="AB9253" t="str">
            <v>serum</v>
          </cell>
          <cell r="AF9253">
            <v>1.25</v>
          </cell>
        </row>
        <row r="9254">
          <cell r="A9254" t="str">
            <v>IS_alqt_plus</v>
          </cell>
          <cell r="K9254" t="str">
            <v>PCOQ</v>
          </cell>
          <cell r="M9254" t="str">
            <v>M</v>
          </cell>
          <cell r="AB9254" t="str">
            <v>serum</v>
          </cell>
          <cell r="AF9254">
            <v>1</v>
          </cell>
        </row>
        <row r="9255">
          <cell r="A9255" t="str">
            <v>unk</v>
          </cell>
          <cell r="K9255" t="str">
            <v>PCOQ</v>
          </cell>
          <cell r="M9255" t="str">
            <v>M</v>
          </cell>
          <cell r="AB9255" t="str">
            <v>serum</v>
          </cell>
          <cell r="AF9255">
            <v>1.5</v>
          </cell>
        </row>
        <row r="9256">
          <cell r="A9256" t="str">
            <v>gone</v>
          </cell>
          <cell r="K9256" t="str">
            <v>PCOQ</v>
          </cell>
          <cell r="M9256" t="str">
            <v>F</v>
          </cell>
          <cell r="AB9256" t="str">
            <v>WB</v>
          </cell>
          <cell r="AF9256">
            <v>0</v>
          </cell>
        </row>
        <row r="9257">
          <cell r="A9257" t="str">
            <v>IS_alqt_plus</v>
          </cell>
          <cell r="K9257" t="str">
            <v>PCOQ</v>
          </cell>
          <cell r="M9257" t="str">
            <v>M</v>
          </cell>
          <cell r="AB9257" t="str">
            <v>WB</v>
          </cell>
          <cell r="AF9257">
            <v>0.6</v>
          </cell>
        </row>
        <row r="9258">
          <cell r="A9258" t="str">
            <v>IS_alqt_plus</v>
          </cell>
          <cell r="K9258" t="str">
            <v>PCOQ</v>
          </cell>
          <cell r="M9258" t="str">
            <v>F</v>
          </cell>
          <cell r="AB9258" t="str">
            <v>WB</v>
          </cell>
          <cell r="AF9258">
            <v>1</v>
          </cell>
        </row>
        <row r="9259">
          <cell r="A9259" t="str">
            <v>IS_alqt_plus</v>
          </cell>
          <cell r="K9259" t="str">
            <v>PCOQ</v>
          </cell>
          <cell r="M9259" t="str">
            <v>F</v>
          </cell>
          <cell r="AB9259" t="str">
            <v>WB</v>
          </cell>
          <cell r="AF9259">
            <v>0.75</v>
          </cell>
        </row>
        <row r="9260">
          <cell r="A9260" t="str">
            <v>IS_alqt_plus</v>
          </cell>
          <cell r="K9260" t="str">
            <v>PCOQ</v>
          </cell>
          <cell r="M9260" t="str">
            <v>F</v>
          </cell>
          <cell r="AB9260" t="str">
            <v>serum</v>
          </cell>
          <cell r="AF9260">
            <v>0.5</v>
          </cell>
        </row>
        <row r="9261">
          <cell r="A9261" t="str">
            <v>IS_alqt_minus</v>
          </cell>
          <cell r="K9261" t="str">
            <v>MMUR</v>
          </cell>
          <cell r="M9261" t="str">
            <v>M</v>
          </cell>
          <cell r="AB9261" t="str">
            <v>WB</v>
          </cell>
          <cell r="AF9261">
            <v>0.1</v>
          </cell>
        </row>
        <row r="9262">
          <cell r="A9262" t="str">
            <v>IS_alqt_minus</v>
          </cell>
          <cell r="K9262" t="str">
            <v>MMUR</v>
          </cell>
          <cell r="M9262" t="str">
            <v>M</v>
          </cell>
          <cell r="AB9262" t="str">
            <v>WB</v>
          </cell>
          <cell r="AF9262">
            <v>0.1</v>
          </cell>
        </row>
        <row r="9263">
          <cell r="A9263" t="str">
            <v>IS_alqt_plus</v>
          </cell>
          <cell r="K9263" t="str">
            <v>PCOQ</v>
          </cell>
          <cell r="M9263" t="str">
            <v>F</v>
          </cell>
          <cell r="AB9263" t="str">
            <v>WB</v>
          </cell>
          <cell r="AF9263">
            <v>0.6</v>
          </cell>
        </row>
        <row r="9264">
          <cell r="A9264" t="str">
            <v>unk</v>
          </cell>
          <cell r="K9264" t="str">
            <v>PCOQ</v>
          </cell>
          <cell r="M9264" t="str">
            <v>F</v>
          </cell>
          <cell r="AB9264" t="str">
            <v>serum</v>
          </cell>
          <cell r="AF9264">
            <v>0.5</v>
          </cell>
        </row>
        <row r="9265">
          <cell r="A9265" t="str">
            <v>IS_alqt_plus</v>
          </cell>
          <cell r="K9265" t="str">
            <v>ECOR</v>
          </cell>
          <cell r="M9265" t="str">
            <v>M</v>
          </cell>
          <cell r="AB9265" t="str">
            <v>serum</v>
          </cell>
          <cell r="AF9265">
            <v>1.2</v>
          </cell>
        </row>
        <row r="9266">
          <cell r="A9266" t="str">
            <v>IS_alqt_plus</v>
          </cell>
          <cell r="K9266" t="str">
            <v>ECOR</v>
          </cell>
          <cell r="M9266" t="str">
            <v>M</v>
          </cell>
          <cell r="AB9266" t="str">
            <v>WB</v>
          </cell>
          <cell r="AF9266">
            <v>1</v>
          </cell>
        </row>
        <row r="9267">
          <cell r="A9267" t="str">
            <v>gone</v>
          </cell>
          <cell r="K9267" t="str">
            <v>PCOQ</v>
          </cell>
          <cell r="M9267" t="str">
            <v>F</v>
          </cell>
          <cell r="AB9267" t="str">
            <v>WB</v>
          </cell>
          <cell r="AF9267">
            <v>0</v>
          </cell>
        </row>
        <row r="9268">
          <cell r="A9268" t="str">
            <v>IS_alqt_plus</v>
          </cell>
          <cell r="K9268" t="str">
            <v>PCOQ</v>
          </cell>
          <cell r="M9268" t="str">
            <v>M</v>
          </cell>
          <cell r="AB9268" t="str">
            <v>serum</v>
          </cell>
          <cell r="AF9268">
            <v>1.4</v>
          </cell>
        </row>
        <row r="9269">
          <cell r="A9269" t="str">
            <v>IS_alqt_plus</v>
          </cell>
          <cell r="K9269" t="str">
            <v>ECOR</v>
          </cell>
          <cell r="M9269" t="str">
            <v>F</v>
          </cell>
          <cell r="AB9269" t="str">
            <v>serum</v>
          </cell>
          <cell r="AF9269">
            <v>1</v>
          </cell>
        </row>
        <row r="9270">
          <cell r="A9270" t="str">
            <v>gone</v>
          </cell>
          <cell r="K9270" t="str">
            <v>ECOR</v>
          </cell>
          <cell r="M9270" t="str">
            <v>F</v>
          </cell>
          <cell r="AB9270" t="str">
            <v>WB</v>
          </cell>
          <cell r="AF9270">
            <v>0</v>
          </cell>
        </row>
        <row r="9271">
          <cell r="A9271" t="str">
            <v>IS_alqt_plus</v>
          </cell>
          <cell r="K9271" t="str">
            <v>PCOQ</v>
          </cell>
          <cell r="M9271" t="str">
            <v>M</v>
          </cell>
          <cell r="AB9271" t="str">
            <v>serum</v>
          </cell>
          <cell r="AF9271">
            <v>1</v>
          </cell>
        </row>
        <row r="9272">
          <cell r="A9272" t="str">
            <v>IS_alqt_plus</v>
          </cell>
          <cell r="K9272" t="str">
            <v>PCOQ</v>
          </cell>
          <cell r="M9272" t="str">
            <v>M</v>
          </cell>
          <cell r="AB9272" t="str">
            <v>serum</v>
          </cell>
          <cell r="AF9272">
            <v>1</v>
          </cell>
        </row>
        <row r="9273">
          <cell r="A9273" t="str">
            <v>IS_alqt_plus</v>
          </cell>
          <cell r="K9273" t="str">
            <v>DMAD</v>
          </cell>
          <cell r="M9273" t="str">
            <v>F</v>
          </cell>
          <cell r="AB9273" t="str">
            <v>serum</v>
          </cell>
          <cell r="AF9273">
            <v>0.75</v>
          </cell>
        </row>
        <row r="9274">
          <cell r="A9274" t="str">
            <v>gone</v>
          </cell>
          <cell r="K9274" t="str">
            <v>DMAD</v>
          </cell>
          <cell r="M9274" t="str">
            <v>F</v>
          </cell>
          <cell r="AB9274" t="str">
            <v>WB</v>
          </cell>
          <cell r="AF9274">
            <v>0</v>
          </cell>
        </row>
        <row r="9275">
          <cell r="A9275" t="str">
            <v>IS_alqt_plus</v>
          </cell>
          <cell r="K9275" t="str">
            <v>PCOQ</v>
          </cell>
          <cell r="M9275" t="str">
            <v>F</v>
          </cell>
          <cell r="AB9275" t="str">
            <v>WB</v>
          </cell>
          <cell r="AF9275">
            <v>1</v>
          </cell>
        </row>
        <row r="9276">
          <cell r="A9276" t="str">
            <v>IS_alqt_plus</v>
          </cell>
          <cell r="K9276" t="str">
            <v>LCAT</v>
          </cell>
          <cell r="M9276" t="str">
            <v>F</v>
          </cell>
          <cell r="AB9276" t="str">
            <v>serum</v>
          </cell>
          <cell r="AF9276">
            <v>0.6</v>
          </cell>
        </row>
        <row r="9277">
          <cell r="A9277" t="str">
            <v>gone</v>
          </cell>
          <cell r="K9277" t="str">
            <v>CMED</v>
          </cell>
          <cell r="M9277" t="str">
            <v>M</v>
          </cell>
          <cell r="AB9277" t="str">
            <v>WB</v>
          </cell>
          <cell r="AF9277">
            <v>0</v>
          </cell>
        </row>
        <row r="9278">
          <cell r="A9278" t="str">
            <v>IS_alqt_plus</v>
          </cell>
          <cell r="K9278" t="str">
            <v>NCOU</v>
          </cell>
          <cell r="M9278" t="str">
            <v>F</v>
          </cell>
          <cell r="AB9278" t="str">
            <v>WB</v>
          </cell>
          <cell r="AF9278">
            <v>0.5</v>
          </cell>
        </row>
        <row r="9279">
          <cell r="A9279" t="str">
            <v>gone</v>
          </cell>
          <cell r="K9279" t="str">
            <v>NCOU</v>
          </cell>
          <cell r="M9279" t="str">
            <v>F</v>
          </cell>
          <cell r="AB9279" t="str">
            <v>WB</v>
          </cell>
          <cell r="AF9279">
            <v>0</v>
          </cell>
        </row>
        <row r="9280">
          <cell r="A9280" t="str">
            <v>IS_alqt_plus</v>
          </cell>
          <cell r="K9280" t="str">
            <v>EFLA</v>
          </cell>
          <cell r="M9280" t="str">
            <v>M</v>
          </cell>
          <cell r="AB9280" t="str">
            <v>serum</v>
          </cell>
          <cell r="AF9280">
            <v>1</v>
          </cell>
        </row>
        <row r="9281">
          <cell r="A9281" t="str">
            <v>IS_alqt_plus</v>
          </cell>
          <cell r="K9281" t="str">
            <v>EFLA</v>
          </cell>
          <cell r="M9281" t="str">
            <v>M</v>
          </cell>
          <cell r="AB9281" t="str">
            <v>WB</v>
          </cell>
          <cell r="AF9281">
            <v>1.5</v>
          </cell>
        </row>
        <row r="9282">
          <cell r="A9282" t="str">
            <v>IS_alqt_plus</v>
          </cell>
          <cell r="K9282" t="str">
            <v>NCOU</v>
          </cell>
          <cell r="M9282" t="str">
            <v>F</v>
          </cell>
          <cell r="AB9282" t="str">
            <v>WB</v>
          </cell>
          <cell r="AF9282">
            <v>1</v>
          </cell>
        </row>
        <row r="9283">
          <cell r="A9283" t="str">
            <v>IS_alqt_plus</v>
          </cell>
          <cell r="K9283" t="str">
            <v>NCOU</v>
          </cell>
          <cell r="M9283" t="str">
            <v>F</v>
          </cell>
          <cell r="AB9283" t="str">
            <v>WB</v>
          </cell>
          <cell r="AF9283">
            <v>1</v>
          </cell>
        </row>
        <row r="9284">
          <cell r="A9284" t="str">
            <v>IS_alqt_plus</v>
          </cell>
          <cell r="K9284" t="str">
            <v>NCOU</v>
          </cell>
          <cell r="M9284" t="str">
            <v>F</v>
          </cell>
          <cell r="AB9284" t="str">
            <v>WB</v>
          </cell>
          <cell r="AF9284">
            <v>1</v>
          </cell>
        </row>
        <row r="9285">
          <cell r="A9285" t="str">
            <v>IS_alqt_plus</v>
          </cell>
          <cell r="K9285" t="str">
            <v>NCOU</v>
          </cell>
          <cell r="M9285" t="str">
            <v>F</v>
          </cell>
          <cell r="AB9285" t="str">
            <v>WB</v>
          </cell>
          <cell r="AF9285">
            <v>1</v>
          </cell>
        </row>
        <row r="9286">
          <cell r="A9286" t="str">
            <v>IS_alqt_plus</v>
          </cell>
          <cell r="K9286" t="str">
            <v>NCOU</v>
          </cell>
          <cell r="M9286" t="str">
            <v>F</v>
          </cell>
          <cell r="AB9286" t="str">
            <v>WB</v>
          </cell>
          <cell r="AF9286">
            <v>1</v>
          </cell>
        </row>
        <row r="9287">
          <cell r="A9287" t="str">
            <v>IS_alqt_plus</v>
          </cell>
          <cell r="K9287" t="str">
            <v>NCOU</v>
          </cell>
          <cell r="M9287" t="str">
            <v>F</v>
          </cell>
          <cell r="AB9287" t="str">
            <v>WB</v>
          </cell>
          <cell r="AF9287">
            <v>1</v>
          </cell>
        </row>
        <row r="9288">
          <cell r="A9288" t="str">
            <v>IS_alqt_plus</v>
          </cell>
          <cell r="K9288" t="str">
            <v>NCOU</v>
          </cell>
          <cell r="M9288" t="str">
            <v>F</v>
          </cell>
          <cell r="AB9288" t="str">
            <v>WB</v>
          </cell>
          <cell r="AF9288">
            <v>1</v>
          </cell>
        </row>
        <row r="9289">
          <cell r="A9289" t="str">
            <v>IS_alqt_plus</v>
          </cell>
          <cell r="K9289" t="str">
            <v>NCOU</v>
          </cell>
          <cell r="M9289" t="str">
            <v>F</v>
          </cell>
          <cell r="AB9289" t="str">
            <v>WB</v>
          </cell>
          <cell r="AF9289">
            <v>1</v>
          </cell>
        </row>
        <row r="9290">
          <cell r="A9290" t="str">
            <v>IS_alqt_plus</v>
          </cell>
          <cell r="K9290" t="str">
            <v>NCOU</v>
          </cell>
          <cell r="M9290" t="str">
            <v>F</v>
          </cell>
          <cell r="AB9290" t="str">
            <v>WB</v>
          </cell>
          <cell r="AF9290">
            <v>1</v>
          </cell>
        </row>
        <row r="9291">
          <cell r="A9291" t="str">
            <v>IS_alqt_plus</v>
          </cell>
          <cell r="K9291" t="str">
            <v>NCOU</v>
          </cell>
          <cell r="M9291" t="str">
            <v>F</v>
          </cell>
          <cell r="AB9291" t="str">
            <v>WB</v>
          </cell>
          <cell r="AF9291">
            <v>1</v>
          </cell>
        </row>
        <row r="9292">
          <cell r="A9292" t="str">
            <v>IS_alqt_plus</v>
          </cell>
          <cell r="K9292" t="str">
            <v>NCOU</v>
          </cell>
          <cell r="M9292" t="str">
            <v>F</v>
          </cell>
          <cell r="AB9292" t="str">
            <v>WB</v>
          </cell>
          <cell r="AF9292">
            <v>1</v>
          </cell>
        </row>
        <row r="9293">
          <cell r="A9293" t="str">
            <v>IS_alqt_plus</v>
          </cell>
          <cell r="K9293" t="str">
            <v>NCOU</v>
          </cell>
          <cell r="M9293" t="str">
            <v>F</v>
          </cell>
          <cell r="AB9293" t="str">
            <v>WB</v>
          </cell>
          <cell r="AF9293">
            <v>1</v>
          </cell>
        </row>
        <row r="9294">
          <cell r="A9294" t="str">
            <v>IS_alqt_plus</v>
          </cell>
          <cell r="K9294" t="str">
            <v>NCOU</v>
          </cell>
          <cell r="M9294" t="str">
            <v>F</v>
          </cell>
          <cell r="AB9294" t="str">
            <v>WB</v>
          </cell>
          <cell r="AF9294">
            <v>1</v>
          </cell>
        </row>
        <row r="9295">
          <cell r="A9295" t="str">
            <v>IS_alqt_plus</v>
          </cell>
          <cell r="K9295" t="str">
            <v>NCOU</v>
          </cell>
          <cell r="M9295" t="str">
            <v>F</v>
          </cell>
          <cell r="AB9295" t="str">
            <v>serum</v>
          </cell>
          <cell r="AF9295">
            <v>1</v>
          </cell>
        </row>
        <row r="9296">
          <cell r="A9296" t="str">
            <v>IS_alqt_plus</v>
          </cell>
          <cell r="K9296" t="str">
            <v>NCOU</v>
          </cell>
          <cell r="M9296" t="str">
            <v>F</v>
          </cell>
          <cell r="AB9296" t="str">
            <v>serum</v>
          </cell>
          <cell r="AF9296">
            <v>1</v>
          </cell>
        </row>
        <row r="9297">
          <cell r="A9297" t="str">
            <v>IS_alqt_plus</v>
          </cell>
          <cell r="K9297" t="str">
            <v>NCOU</v>
          </cell>
          <cell r="M9297" t="str">
            <v>F</v>
          </cell>
          <cell r="AB9297" t="str">
            <v>serum</v>
          </cell>
          <cell r="AF9297">
            <v>1</v>
          </cell>
        </row>
        <row r="9298">
          <cell r="A9298" t="str">
            <v>IS_alqt_plus</v>
          </cell>
          <cell r="K9298" t="str">
            <v>NCOU</v>
          </cell>
          <cell r="M9298" t="str">
            <v>F</v>
          </cell>
          <cell r="AB9298" t="str">
            <v>serum</v>
          </cell>
          <cell r="AF9298">
            <v>1</v>
          </cell>
        </row>
        <row r="9299">
          <cell r="A9299" t="str">
            <v>IS_alqt_plus</v>
          </cell>
          <cell r="K9299" t="str">
            <v>NCOU</v>
          </cell>
          <cell r="M9299" t="str">
            <v>F</v>
          </cell>
          <cell r="AB9299" t="str">
            <v>serum</v>
          </cell>
          <cell r="AF9299">
            <v>1</v>
          </cell>
        </row>
        <row r="9300">
          <cell r="A9300" t="str">
            <v>IS_alqt_plus</v>
          </cell>
          <cell r="K9300" t="str">
            <v>NCOU</v>
          </cell>
          <cell r="M9300" t="str">
            <v>F</v>
          </cell>
          <cell r="AB9300" t="str">
            <v>serum</v>
          </cell>
          <cell r="AF9300">
            <v>1</v>
          </cell>
        </row>
        <row r="9301">
          <cell r="A9301" t="str">
            <v>IS_alqt_plus</v>
          </cell>
          <cell r="K9301" t="str">
            <v>NCOU</v>
          </cell>
          <cell r="M9301" t="str">
            <v>F</v>
          </cell>
          <cell r="AB9301" t="str">
            <v>serum</v>
          </cell>
          <cell r="AF9301">
            <v>1</v>
          </cell>
        </row>
        <row r="9302">
          <cell r="A9302" t="str">
            <v>IS_alqt_plus</v>
          </cell>
          <cell r="K9302" t="str">
            <v>NCOU</v>
          </cell>
          <cell r="M9302" t="str">
            <v>F</v>
          </cell>
          <cell r="AB9302" t="str">
            <v>serum</v>
          </cell>
          <cell r="AF9302">
            <v>1</v>
          </cell>
        </row>
        <row r="9303">
          <cell r="A9303" t="str">
            <v>IS_alqt_plus</v>
          </cell>
          <cell r="K9303" t="str">
            <v>NCOU</v>
          </cell>
          <cell r="M9303" t="str">
            <v>F</v>
          </cell>
          <cell r="AB9303" t="str">
            <v>serum</v>
          </cell>
          <cell r="AF9303">
            <v>1</v>
          </cell>
        </row>
        <row r="9304">
          <cell r="A9304" t="str">
            <v>IS_alqt_plus</v>
          </cell>
          <cell r="K9304" t="str">
            <v>NCOU</v>
          </cell>
          <cell r="M9304" t="str">
            <v>F</v>
          </cell>
          <cell r="AB9304" t="str">
            <v>serum</v>
          </cell>
          <cell r="AF9304">
            <v>1</v>
          </cell>
        </row>
        <row r="9305">
          <cell r="A9305" t="str">
            <v>IS_alqt_plus</v>
          </cell>
          <cell r="K9305" t="str">
            <v>NCOU</v>
          </cell>
          <cell r="M9305" t="str">
            <v>F</v>
          </cell>
          <cell r="AB9305" t="str">
            <v>serum</v>
          </cell>
          <cell r="AF9305">
            <v>1</v>
          </cell>
        </row>
        <row r="9306">
          <cell r="A9306" t="str">
            <v>IS_alqt_plus</v>
          </cell>
          <cell r="K9306" t="str">
            <v>NCOU</v>
          </cell>
          <cell r="M9306" t="str">
            <v>F</v>
          </cell>
          <cell r="AB9306" t="str">
            <v>serum</v>
          </cell>
          <cell r="AF9306">
            <v>1</v>
          </cell>
        </row>
        <row r="9307">
          <cell r="A9307" t="str">
            <v>IS_alqt_plus</v>
          </cell>
          <cell r="K9307" t="str">
            <v>NCOU</v>
          </cell>
          <cell r="M9307" t="str">
            <v>F</v>
          </cell>
          <cell r="AB9307" t="str">
            <v>serum</v>
          </cell>
          <cell r="AF9307">
            <v>1</v>
          </cell>
        </row>
        <row r="9308">
          <cell r="A9308" t="str">
            <v>gone</v>
          </cell>
          <cell r="K9308" t="str">
            <v>VRUB</v>
          </cell>
          <cell r="M9308" t="str">
            <v>F</v>
          </cell>
          <cell r="AB9308" t="str">
            <v>WB</v>
          </cell>
          <cell r="AF9308">
            <v>0</v>
          </cell>
        </row>
        <row r="9309">
          <cell r="A9309" t="str">
            <v>IS_alqt_plus</v>
          </cell>
          <cell r="K9309" t="str">
            <v>VRUB</v>
          </cell>
          <cell r="M9309" t="str">
            <v>F</v>
          </cell>
          <cell r="AB9309" t="str">
            <v>WB</v>
          </cell>
          <cell r="AF9309">
            <v>1</v>
          </cell>
        </row>
        <row r="9310">
          <cell r="A9310" t="str">
            <v>IS_alqt_plus</v>
          </cell>
          <cell r="K9310" t="str">
            <v>VRUB</v>
          </cell>
          <cell r="M9310" t="str">
            <v>F</v>
          </cell>
          <cell r="AB9310" t="str">
            <v>WB</v>
          </cell>
          <cell r="AF9310">
            <v>1</v>
          </cell>
        </row>
        <row r="9311">
          <cell r="A9311" t="str">
            <v>IS_alqt_plus</v>
          </cell>
          <cell r="K9311" t="str">
            <v>VRUB</v>
          </cell>
          <cell r="M9311" t="str">
            <v>F</v>
          </cell>
          <cell r="AB9311" t="str">
            <v>WB</v>
          </cell>
          <cell r="AF9311">
            <v>1</v>
          </cell>
        </row>
        <row r="9312">
          <cell r="A9312" t="str">
            <v>IS_alqt_plus</v>
          </cell>
          <cell r="K9312" t="str">
            <v>VRUB</v>
          </cell>
          <cell r="M9312" t="str">
            <v>F</v>
          </cell>
          <cell r="AB9312" t="str">
            <v>WB</v>
          </cell>
          <cell r="AF9312">
            <v>0.8</v>
          </cell>
        </row>
        <row r="9313">
          <cell r="A9313" t="str">
            <v>IS_alqt_plus</v>
          </cell>
          <cell r="K9313" t="str">
            <v>VRUB</v>
          </cell>
          <cell r="M9313" t="str">
            <v>F</v>
          </cell>
          <cell r="AB9313" t="str">
            <v>WB</v>
          </cell>
          <cell r="AF9313">
            <v>1</v>
          </cell>
        </row>
        <row r="9314">
          <cell r="A9314" t="str">
            <v>IS_alqt_plus</v>
          </cell>
          <cell r="K9314" t="str">
            <v>VRUB</v>
          </cell>
          <cell r="M9314" t="str">
            <v>F</v>
          </cell>
          <cell r="AB9314" t="str">
            <v>WB</v>
          </cell>
          <cell r="AF9314">
            <v>1</v>
          </cell>
        </row>
        <row r="9315">
          <cell r="A9315" t="str">
            <v>IS_alqt_plus</v>
          </cell>
          <cell r="K9315" t="str">
            <v>VRUB</v>
          </cell>
          <cell r="M9315" t="str">
            <v>F</v>
          </cell>
          <cell r="AB9315" t="str">
            <v>WB</v>
          </cell>
          <cell r="AF9315">
            <v>1</v>
          </cell>
        </row>
        <row r="9316">
          <cell r="A9316" t="str">
            <v>IS_alqt_plus</v>
          </cell>
          <cell r="K9316" t="str">
            <v>VRUB</v>
          </cell>
          <cell r="M9316" t="str">
            <v>F</v>
          </cell>
          <cell r="AB9316" t="str">
            <v>WB</v>
          </cell>
          <cell r="AF9316">
            <v>1</v>
          </cell>
        </row>
        <row r="9317">
          <cell r="A9317" t="str">
            <v>IS_alqt_plus</v>
          </cell>
          <cell r="K9317" t="str">
            <v>VRUB</v>
          </cell>
          <cell r="M9317" t="str">
            <v>F</v>
          </cell>
          <cell r="AB9317" t="str">
            <v>WB</v>
          </cell>
          <cell r="AF9317">
            <v>1</v>
          </cell>
        </row>
        <row r="9318">
          <cell r="A9318" t="str">
            <v>IS_alqt_plus</v>
          </cell>
          <cell r="K9318" t="str">
            <v>VRUB</v>
          </cell>
          <cell r="M9318" t="str">
            <v>F</v>
          </cell>
          <cell r="AB9318" t="str">
            <v>WB</v>
          </cell>
          <cell r="AF9318">
            <v>1</v>
          </cell>
        </row>
        <row r="9319">
          <cell r="A9319" t="str">
            <v>IS_alqt_plus</v>
          </cell>
          <cell r="K9319" t="str">
            <v>VRUB</v>
          </cell>
          <cell r="M9319" t="str">
            <v>F</v>
          </cell>
          <cell r="AB9319" t="str">
            <v>WB</v>
          </cell>
          <cell r="AF9319">
            <v>1</v>
          </cell>
        </row>
        <row r="9320">
          <cell r="A9320" t="str">
            <v>IS_alqt_plus</v>
          </cell>
          <cell r="K9320" t="str">
            <v>VRUB</v>
          </cell>
          <cell r="M9320" t="str">
            <v>F</v>
          </cell>
          <cell r="AB9320" t="str">
            <v>WB</v>
          </cell>
          <cell r="AF9320">
            <v>1</v>
          </cell>
        </row>
        <row r="9321">
          <cell r="A9321" t="str">
            <v>IS_alqt_plus</v>
          </cell>
          <cell r="K9321" t="str">
            <v>VRUB</v>
          </cell>
          <cell r="M9321" t="str">
            <v>F</v>
          </cell>
          <cell r="AB9321" t="str">
            <v>WB</v>
          </cell>
          <cell r="AF9321">
            <v>1</v>
          </cell>
        </row>
        <row r="9322">
          <cell r="A9322" t="str">
            <v>IS_alqt_plus</v>
          </cell>
          <cell r="K9322" t="str">
            <v>VRUB</v>
          </cell>
          <cell r="M9322" t="str">
            <v>F</v>
          </cell>
          <cell r="AB9322" t="str">
            <v>WB</v>
          </cell>
          <cell r="AF9322">
            <v>1</v>
          </cell>
        </row>
        <row r="9323">
          <cell r="A9323" t="str">
            <v>IS_alqt_plus</v>
          </cell>
          <cell r="K9323" t="str">
            <v>VRUB</v>
          </cell>
          <cell r="M9323" t="str">
            <v>F</v>
          </cell>
          <cell r="AB9323" t="str">
            <v>WB</v>
          </cell>
          <cell r="AF9323">
            <v>1</v>
          </cell>
        </row>
        <row r="9324">
          <cell r="A9324" t="str">
            <v>IS_alqt_plus</v>
          </cell>
          <cell r="K9324" t="str">
            <v>VRUB</v>
          </cell>
          <cell r="M9324" t="str">
            <v>F</v>
          </cell>
          <cell r="AB9324" t="str">
            <v>WB</v>
          </cell>
          <cell r="AF9324">
            <v>1</v>
          </cell>
        </row>
        <row r="9325">
          <cell r="A9325" t="str">
            <v>IS_alqt_plus</v>
          </cell>
          <cell r="K9325" t="str">
            <v>VRUB</v>
          </cell>
          <cell r="M9325" t="str">
            <v>F</v>
          </cell>
          <cell r="AB9325" t="str">
            <v>WB</v>
          </cell>
          <cell r="AF9325">
            <v>1</v>
          </cell>
        </row>
        <row r="9326">
          <cell r="A9326" t="str">
            <v>IS_alqt_plus</v>
          </cell>
          <cell r="K9326" t="str">
            <v>VRUB</v>
          </cell>
          <cell r="M9326" t="str">
            <v>F</v>
          </cell>
          <cell r="AB9326" t="str">
            <v>WB</v>
          </cell>
          <cell r="AF9326">
            <v>1</v>
          </cell>
        </row>
        <row r="9327">
          <cell r="A9327" t="str">
            <v>IS_alqt_plus</v>
          </cell>
          <cell r="K9327" t="str">
            <v>VRUB</v>
          </cell>
          <cell r="M9327" t="str">
            <v>F</v>
          </cell>
          <cell r="AB9327" t="str">
            <v>WB</v>
          </cell>
          <cell r="AF9327">
            <v>0.75</v>
          </cell>
        </row>
        <row r="9328">
          <cell r="A9328" t="str">
            <v>IS_alqt_plus</v>
          </cell>
          <cell r="K9328" t="str">
            <v>VRUB</v>
          </cell>
          <cell r="M9328" t="str">
            <v>F</v>
          </cell>
          <cell r="AB9328" t="str">
            <v>WB</v>
          </cell>
          <cell r="AF9328">
            <v>1</v>
          </cell>
        </row>
        <row r="9329">
          <cell r="A9329" t="str">
            <v>IS_alqt_plus</v>
          </cell>
          <cell r="K9329" t="str">
            <v>VRUB</v>
          </cell>
          <cell r="M9329" t="str">
            <v>F</v>
          </cell>
          <cell r="AB9329" t="str">
            <v>WB</v>
          </cell>
          <cell r="AF9329">
            <v>1</v>
          </cell>
        </row>
        <row r="9330">
          <cell r="A9330" t="str">
            <v>IS_alqt_plus</v>
          </cell>
          <cell r="K9330" t="str">
            <v>VRUB</v>
          </cell>
          <cell r="M9330" t="str">
            <v>F</v>
          </cell>
          <cell r="AB9330" t="str">
            <v>WB</v>
          </cell>
          <cell r="AF9330">
            <v>1</v>
          </cell>
        </row>
        <row r="9331">
          <cell r="A9331" t="str">
            <v>IS_alqt_plus</v>
          </cell>
          <cell r="K9331" t="str">
            <v>VRUB</v>
          </cell>
          <cell r="M9331" t="str">
            <v>F</v>
          </cell>
          <cell r="AB9331" t="str">
            <v>WB</v>
          </cell>
          <cell r="AF9331">
            <v>1</v>
          </cell>
        </row>
        <row r="9332">
          <cell r="A9332" t="str">
            <v>IS_alqt_plus</v>
          </cell>
          <cell r="K9332" t="str">
            <v>VRUB</v>
          </cell>
          <cell r="M9332" t="str">
            <v>F</v>
          </cell>
          <cell r="AB9332" t="str">
            <v>WB</v>
          </cell>
          <cell r="AF9332">
            <v>1</v>
          </cell>
        </row>
        <row r="9333">
          <cell r="A9333" t="str">
            <v>IS_alqt_plus</v>
          </cell>
          <cell r="K9333" t="str">
            <v>VRUB</v>
          </cell>
          <cell r="M9333" t="str">
            <v>F</v>
          </cell>
          <cell r="AB9333" t="str">
            <v>WB</v>
          </cell>
          <cell r="AF9333">
            <v>1</v>
          </cell>
        </row>
        <row r="9334">
          <cell r="A9334" t="str">
            <v>IS_alqt_plus</v>
          </cell>
          <cell r="K9334" t="str">
            <v>VRUB</v>
          </cell>
          <cell r="M9334" t="str">
            <v>F</v>
          </cell>
          <cell r="AB9334" t="str">
            <v>WB</v>
          </cell>
          <cell r="AF9334">
            <v>0.75</v>
          </cell>
        </row>
        <row r="9335">
          <cell r="A9335" t="str">
            <v>IS_alqt_plus</v>
          </cell>
          <cell r="K9335" t="str">
            <v>VRUB</v>
          </cell>
          <cell r="M9335" t="str">
            <v>F</v>
          </cell>
          <cell r="AB9335" t="str">
            <v>WB</v>
          </cell>
          <cell r="AF9335">
            <v>1</v>
          </cell>
        </row>
        <row r="9336">
          <cell r="A9336" t="str">
            <v>IS_alqt_plus</v>
          </cell>
          <cell r="K9336" t="str">
            <v>VRUB</v>
          </cell>
          <cell r="M9336" t="str">
            <v>F</v>
          </cell>
          <cell r="AB9336" t="str">
            <v>WB</v>
          </cell>
          <cell r="AF9336">
            <v>1</v>
          </cell>
        </row>
        <row r="9337">
          <cell r="A9337" t="str">
            <v>IS_alqt_plus</v>
          </cell>
          <cell r="K9337" t="str">
            <v>VRUB</v>
          </cell>
          <cell r="M9337" t="str">
            <v>F</v>
          </cell>
          <cell r="AB9337" t="str">
            <v>WB</v>
          </cell>
          <cell r="AF9337">
            <v>1</v>
          </cell>
        </row>
        <row r="9338">
          <cell r="A9338" t="str">
            <v>IS_alqt_plus</v>
          </cell>
          <cell r="K9338" t="str">
            <v>VRUB</v>
          </cell>
          <cell r="M9338" t="str">
            <v>F</v>
          </cell>
          <cell r="AB9338" t="str">
            <v>WB</v>
          </cell>
          <cell r="AF9338">
            <v>0.5</v>
          </cell>
        </row>
        <row r="9339">
          <cell r="A9339" t="str">
            <v>IS_alqt_plus</v>
          </cell>
          <cell r="K9339" t="str">
            <v>VRUB</v>
          </cell>
          <cell r="M9339" t="str">
            <v>F</v>
          </cell>
          <cell r="AB9339" t="str">
            <v>WB</v>
          </cell>
          <cell r="AF9339">
            <v>0.75</v>
          </cell>
        </row>
        <row r="9340">
          <cell r="A9340" t="str">
            <v>IS_alqt_plus</v>
          </cell>
          <cell r="K9340" t="str">
            <v>VRUB</v>
          </cell>
          <cell r="M9340" t="str">
            <v>F</v>
          </cell>
          <cell r="AB9340" t="str">
            <v>WB</v>
          </cell>
          <cell r="AF9340">
            <v>0.8</v>
          </cell>
        </row>
        <row r="9341">
          <cell r="A9341" t="str">
            <v>IS_alqt_plus</v>
          </cell>
          <cell r="K9341" t="str">
            <v>VRUB</v>
          </cell>
          <cell r="M9341" t="str">
            <v>F</v>
          </cell>
          <cell r="AB9341" t="str">
            <v>WB</v>
          </cell>
          <cell r="AF9341">
            <v>0.2</v>
          </cell>
        </row>
        <row r="9342">
          <cell r="A9342" t="str">
            <v>IS_alqt_plus</v>
          </cell>
          <cell r="K9342" t="str">
            <v>VRUB</v>
          </cell>
          <cell r="M9342" t="str">
            <v>F</v>
          </cell>
          <cell r="AB9342" t="str">
            <v>WB</v>
          </cell>
          <cell r="AF9342">
            <v>0.2</v>
          </cell>
        </row>
        <row r="9343">
          <cell r="A9343" t="str">
            <v>IS_alqt_plus</v>
          </cell>
          <cell r="K9343" t="str">
            <v>VRUB</v>
          </cell>
          <cell r="M9343" t="str">
            <v>F</v>
          </cell>
          <cell r="AB9343" t="str">
            <v>WB</v>
          </cell>
          <cell r="AF9343">
            <v>0.2</v>
          </cell>
        </row>
        <row r="9344">
          <cell r="A9344" t="str">
            <v>IS_alqt_plus</v>
          </cell>
          <cell r="K9344" t="str">
            <v>VRUB</v>
          </cell>
          <cell r="M9344" t="str">
            <v>F</v>
          </cell>
          <cell r="AB9344" t="str">
            <v>WB</v>
          </cell>
          <cell r="AF9344">
            <v>0.2</v>
          </cell>
        </row>
        <row r="9345">
          <cell r="A9345" t="str">
            <v>IS_alqt_plus</v>
          </cell>
          <cell r="K9345" t="str">
            <v>VRUB</v>
          </cell>
          <cell r="M9345" t="str">
            <v>F</v>
          </cell>
          <cell r="AB9345" t="str">
            <v>serum</v>
          </cell>
          <cell r="AF9345">
            <v>0.5</v>
          </cell>
        </row>
        <row r="9346">
          <cell r="A9346" t="str">
            <v>IS_alqt_plus</v>
          </cell>
          <cell r="K9346" t="str">
            <v>VRUB</v>
          </cell>
          <cell r="M9346" t="str">
            <v>F</v>
          </cell>
          <cell r="AB9346" t="str">
            <v>serum</v>
          </cell>
          <cell r="AF9346">
            <v>1</v>
          </cell>
        </row>
        <row r="9347">
          <cell r="A9347" t="str">
            <v>IS_alqt_plus</v>
          </cell>
          <cell r="K9347" t="str">
            <v>VRUB</v>
          </cell>
          <cell r="M9347" t="str">
            <v>F</v>
          </cell>
          <cell r="AB9347" t="str">
            <v>serum</v>
          </cell>
          <cell r="AF9347">
            <v>1</v>
          </cell>
        </row>
        <row r="9348">
          <cell r="A9348" t="str">
            <v>IS_alqt_plus</v>
          </cell>
          <cell r="K9348" t="str">
            <v>VRUB</v>
          </cell>
          <cell r="M9348" t="str">
            <v>F</v>
          </cell>
          <cell r="AB9348" t="str">
            <v>serum</v>
          </cell>
          <cell r="AF9348">
            <v>1</v>
          </cell>
        </row>
        <row r="9349">
          <cell r="A9349" t="str">
            <v>IS_alqt_plus</v>
          </cell>
          <cell r="K9349" t="str">
            <v>VRUB</v>
          </cell>
          <cell r="M9349" t="str">
            <v>F</v>
          </cell>
          <cell r="AB9349" t="str">
            <v>serum</v>
          </cell>
          <cell r="AF9349">
            <v>1</v>
          </cell>
        </row>
        <row r="9350">
          <cell r="A9350" t="str">
            <v>IS_alqt_plus</v>
          </cell>
          <cell r="K9350" t="str">
            <v>VRUB</v>
          </cell>
          <cell r="M9350" t="str">
            <v>F</v>
          </cell>
          <cell r="AB9350" t="str">
            <v>serum</v>
          </cell>
          <cell r="AF9350">
            <v>1</v>
          </cell>
        </row>
        <row r="9351">
          <cell r="A9351" t="str">
            <v>IS_alqt_plus</v>
          </cell>
          <cell r="K9351" t="str">
            <v>VRUB</v>
          </cell>
          <cell r="M9351" t="str">
            <v>F</v>
          </cell>
          <cell r="AB9351" t="str">
            <v>serum</v>
          </cell>
          <cell r="AF9351">
            <v>1</v>
          </cell>
        </row>
        <row r="9352">
          <cell r="A9352" t="str">
            <v>IS_alqt_plus</v>
          </cell>
          <cell r="K9352" t="str">
            <v>VRUB</v>
          </cell>
          <cell r="M9352" t="str">
            <v>F</v>
          </cell>
          <cell r="AB9352" t="str">
            <v>serum</v>
          </cell>
          <cell r="AF9352">
            <v>1</v>
          </cell>
        </row>
        <row r="9353">
          <cell r="A9353" t="str">
            <v>IS_alqt_plus</v>
          </cell>
          <cell r="K9353" t="str">
            <v>VRUB</v>
          </cell>
          <cell r="M9353" t="str">
            <v>F</v>
          </cell>
          <cell r="AB9353" t="str">
            <v>serum</v>
          </cell>
          <cell r="AF9353">
            <v>1</v>
          </cell>
        </row>
        <row r="9354">
          <cell r="A9354" t="str">
            <v>IS_alqt_plus</v>
          </cell>
          <cell r="K9354" t="str">
            <v>VRUB</v>
          </cell>
          <cell r="M9354" t="str">
            <v>F</v>
          </cell>
          <cell r="AB9354" t="str">
            <v>serum</v>
          </cell>
          <cell r="AF9354">
            <v>1</v>
          </cell>
        </row>
        <row r="9355">
          <cell r="A9355" t="str">
            <v>IS_alqt_plus</v>
          </cell>
          <cell r="K9355" t="str">
            <v>VRUB</v>
          </cell>
          <cell r="M9355" t="str">
            <v>F</v>
          </cell>
          <cell r="AB9355" t="str">
            <v>serum</v>
          </cell>
          <cell r="AF9355">
            <v>1</v>
          </cell>
        </row>
        <row r="9356">
          <cell r="A9356" t="str">
            <v>IS_alqt_plus</v>
          </cell>
          <cell r="K9356" t="str">
            <v>VRUB</v>
          </cell>
          <cell r="M9356" t="str">
            <v>F</v>
          </cell>
          <cell r="AB9356" t="str">
            <v>serum</v>
          </cell>
          <cell r="AF9356">
            <v>1</v>
          </cell>
        </row>
        <row r="9357">
          <cell r="A9357" t="str">
            <v>IS_alqt_plus</v>
          </cell>
          <cell r="K9357" t="str">
            <v>VRUB</v>
          </cell>
          <cell r="M9357" t="str">
            <v>F</v>
          </cell>
          <cell r="AB9357" t="str">
            <v>serum</v>
          </cell>
          <cell r="AF9357">
            <v>1</v>
          </cell>
        </row>
        <row r="9358">
          <cell r="A9358" t="str">
            <v>IS_alqt_plus</v>
          </cell>
          <cell r="K9358" t="str">
            <v>VRUB</v>
          </cell>
          <cell r="M9358" t="str">
            <v>F</v>
          </cell>
          <cell r="AB9358" t="str">
            <v>serum</v>
          </cell>
          <cell r="AF9358">
            <v>1</v>
          </cell>
        </row>
        <row r="9359">
          <cell r="A9359" t="str">
            <v>IS_alqt_plus</v>
          </cell>
          <cell r="K9359" t="str">
            <v>VRUB</v>
          </cell>
          <cell r="M9359" t="str">
            <v>F</v>
          </cell>
          <cell r="AB9359" t="str">
            <v>serum</v>
          </cell>
          <cell r="AF9359">
            <v>1</v>
          </cell>
        </row>
        <row r="9360">
          <cell r="A9360" t="str">
            <v>IS_alqt_plus</v>
          </cell>
          <cell r="K9360" t="str">
            <v>VRUB</v>
          </cell>
          <cell r="M9360" t="str">
            <v>F</v>
          </cell>
          <cell r="AB9360" t="str">
            <v>serum</v>
          </cell>
          <cell r="AF9360">
            <v>1</v>
          </cell>
        </row>
        <row r="9361">
          <cell r="A9361" t="str">
            <v>IS_alqt_plus</v>
          </cell>
          <cell r="K9361" t="str">
            <v>VRUB</v>
          </cell>
          <cell r="M9361" t="str">
            <v>F</v>
          </cell>
          <cell r="AB9361" t="str">
            <v>serum</v>
          </cell>
          <cell r="AF9361">
            <v>1</v>
          </cell>
        </row>
        <row r="9362">
          <cell r="A9362" t="str">
            <v>IS_alqt_plus</v>
          </cell>
          <cell r="K9362" t="str">
            <v>VRUB</v>
          </cell>
          <cell r="M9362" t="str">
            <v>F</v>
          </cell>
          <cell r="AB9362" t="str">
            <v>serum</v>
          </cell>
          <cell r="AF9362">
            <v>1</v>
          </cell>
        </row>
        <row r="9363">
          <cell r="A9363" t="str">
            <v>IS_alqt_plus</v>
          </cell>
          <cell r="K9363" t="str">
            <v>VRUB</v>
          </cell>
          <cell r="M9363" t="str">
            <v>F</v>
          </cell>
          <cell r="AB9363" t="str">
            <v>serum</v>
          </cell>
          <cell r="AF9363">
            <v>1</v>
          </cell>
        </row>
        <row r="9364">
          <cell r="A9364" t="str">
            <v>IS_alqt_plus</v>
          </cell>
          <cell r="K9364" t="str">
            <v>VRUB</v>
          </cell>
          <cell r="M9364" t="str">
            <v>F</v>
          </cell>
          <cell r="AB9364" t="str">
            <v>serum</v>
          </cell>
          <cell r="AF9364">
            <v>1</v>
          </cell>
        </row>
        <row r="9365">
          <cell r="A9365" t="str">
            <v>IS_alqt_plus</v>
          </cell>
          <cell r="K9365" t="str">
            <v>VRUB</v>
          </cell>
          <cell r="M9365" t="str">
            <v>F</v>
          </cell>
          <cell r="AB9365" t="str">
            <v>serum</v>
          </cell>
          <cell r="AF9365">
            <v>1</v>
          </cell>
        </row>
        <row r="9366">
          <cell r="A9366" t="str">
            <v>IS_alqt_plus</v>
          </cell>
          <cell r="K9366" t="str">
            <v>VRUB</v>
          </cell>
          <cell r="M9366" t="str">
            <v>F</v>
          </cell>
          <cell r="AB9366" t="str">
            <v>serum</v>
          </cell>
          <cell r="AF9366">
            <v>1</v>
          </cell>
        </row>
        <row r="9367">
          <cell r="A9367" t="str">
            <v>IS_alqt_plus</v>
          </cell>
          <cell r="K9367" t="str">
            <v>VRUB</v>
          </cell>
          <cell r="M9367" t="str">
            <v>F</v>
          </cell>
          <cell r="AB9367" t="str">
            <v>serum</v>
          </cell>
          <cell r="AF9367">
            <v>1</v>
          </cell>
        </row>
        <row r="9368">
          <cell r="A9368" t="str">
            <v>IS_alqt_plus</v>
          </cell>
          <cell r="K9368" t="str">
            <v>VRUB</v>
          </cell>
          <cell r="M9368" t="str">
            <v>F</v>
          </cell>
          <cell r="AB9368" t="str">
            <v>serum</v>
          </cell>
          <cell r="AF9368">
            <v>1</v>
          </cell>
        </row>
        <row r="9369">
          <cell r="A9369" t="str">
            <v>IS_alqt_plus</v>
          </cell>
          <cell r="K9369" t="str">
            <v>VRUB</v>
          </cell>
          <cell r="M9369" t="str">
            <v>F</v>
          </cell>
          <cell r="AB9369" t="str">
            <v>serum</v>
          </cell>
          <cell r="AF9369">
            <v>1</v>
          </cell>
        </row>
        <row r="9370">
          <cell r="A9370" t="str">
            <v>unk</v>
          </cell>
          <cell r="K9370" t="str">
            <v>VRUB</v>
          </cell>
          <cell r="M9370" t="str">
            <v>F</v>
          </cell>
          <cell r="AB9370" t="str">
            <v>serum</v>
          </cell>
          <cell r="AF9370">
            <v>1</v>
          </cell>
        </row>
        <row r="9371">
          <cell r="A9371" t="str">
            <v>IS_alqt_plus</v>
          </cell>
          <cell r="K9371" t="str">
            <v>PCOQ</v>
          </cell>
          <cell r="M9371" t="str">
            <v>F</v>
          </cell>
          <cell r="AB9371" t="str">
            <v>serum</v>
          </cell>
          <cell r="AF9371">
            <v>1.4</v>
          </cell>
        </row>
        <row r="9372">
          <cell r="A9372" t="str">
            <v>IS_alqt_plus</v>
          </cell>
          <cell r="K9372" t="str">
            <v>EMAC</v>
          </cell>
          <cell r="M9372" t="str">
            <v>M</v>
          </cell>
          <cell r="AB9372" t="str">
            <v>WB</v>
          </cell>
          <cell r="AF9372">
            <v>0.2</v>
          </cell>
        </row>
        <row r="9373">
          <cell r="A9373" t="str">
            <v>IS_alqt_plus</v>
          </cell>
          <cell r="K9373" t="str">
            <v>ECOR</v>
          </cell>
          <cell r="M9373" t="str">
            <v>M</v>
          </cell>
          <cell r="AB9373" t="str">
            <v>serum</v>
          </cell>
          <cell r="AF9373">
            <v>1</v>
          </cell>
        </row>
        <row r="9374">
          <cell r="A9374" t="str">
            <v>unk</v>
          </cell>
          <cell r="K9374" t="str">
            <v>ECOR</v>
          </cell>
          <cell r="M9374" t="str">
            <v>M</v>
          </cell>
          <cell r="AB9374" t="str">
            <v>serum</v>
          </cell>
          <cell r="AF9374">
            <v>0.5</v>
          </cell>
        </row>
        <row r="9375">
          <cell r="A9375" t="str">
            <v>IS_alqt_plus</v>
          </cell>
          <cell r="K9375" t="str">
            <v>ECOR</v>
          </cell>
          <cell r="M9375" t="str">
            <v>M</v>
          </cell>
          <cell r="AB9375" t="str">
            <v>WB</v>
          </cell>
          <cell r="AF9375">
            <v>1</v>
          </cell>
        </row>
        <row r="9376">
          <cell r="A9376" t="str">
            <v>IS_alqt_plus</v>
          </cell>
          <cell r="K9376" t="str">
            <v>ECOR</v>
          </cell>
          <cell r="M9376" t="str">
            <v>M</v>
          </cell>
          <cell r="AB9376" t="str">
            <v>WB</v>
          </cell>
          <cell r="AF9376">
            <v>0.3</v>
          </cell>
        </row>
        <row r="9377">
          <cell r="A9377" t="str">
            <v>IS_alqt_plus</v>
          </cell>
          <cell r="K9377" t="str">
            <v>DMAD</v>
          </cell>
          <cell r="M9377" t="str">
            <v>F</v>
          </cell>
          <cell r="AB9377" t="str">
            <v>serum</v>
          </cell>
          <cell r="AF9377">
            <v>1</v>
          </cell>
        </row>
        <row r="9378">
          <cell r="A9378" t="str">
            <v>gone</v>
          </cell>
          <cell r="K9378" t="str">
            <v>DMAD</v>
          </cell>
          <cell r="M9378" t="str">
            <v>F</v>
          </cell>
          <cell r="AB9378" t="str">
            <v>WB</v>
          </cell>
          <cell r="AF9378">
            <v>0</v>
          </cell>
        </row>
        <row r="9379">
          <cell r="A9379" t="str">
            <v>IS_alqt_plus</v>
          </cell>
          <cell r="K9379" t="str">
            <v>PCOQ</v>
          </cell>
          <cell r="M9379" t="str">
            <v>F</v>
          </cell>
          <cell r="AB9379" t="str">
            <v>WB</v>
          </cell>
          <cell r="AF9379">
            <v>0.5</v>
          </cell>
        </row>
        <row r="9380">
          <cell r="A9380" t="str">
            <v>IS_alqt_plus</v>
          </cell>
          <cell r="K9380" t="str">
            <v>LCAT</v>
          </cell>
          <cell r="M9380" t="str">
            <v>M</v>
          </cell>
          <cell r="AB9380" t="str">
            <v>serum</v>
          </cell>
          <cell r="AF9380">
            <v>1</v>
          </cell>
        </row>
        <row r="9381">
          <cell r="A9381" t="str">
            <v>IS_alqt_plus</v>
          </cell>
          <cell r="K9381" t="str">
            <v>PCOQ</v>
          </cell>
          <cell r="M9381" t="str">
            <v>M</v>
          </cell>
          <cell r="AB9381" t="str">
            <v>serum</v>
          </cell>
          <cell r="AF9381">
            <v>1</v>
          </cell>
        </row>
        <row r="9382">
          <cell r="A9382" t="str">
            <v>IS_alqt_minus</v>
          </cell>
          <cell r="K9382" t="str">
            <v>MMUR</v>
          </cell>
          <cell r="M9382" t="str">
            <v>F</v>
          </cell>
          <cell r="AB9382" t="str">
            <v>WB</v>
          </cell>
          <cell r="AF9382">
            <v>0.1</v>
          </cell>
        </row>
        <row r="9383">
          <cell r="A9383" t="str">
            <v>IS_alqt_minus</v>
          </cell>
          <cell r="K9383" t="str">
            <v>MMUR</v>
          </cell>
          <cell r="M9383" t="str">
            <v>F</v>
          </cell>
          <cell r="AB9383" t="str">
            <v>WB</v>
          </cell>
          <cell r="AF9383">
            <v>0.1</v>
          </cell>
        </row>
        <row r="9384">
          <cell r="A9384" t="str">
            <v>IS_alqt_plus</v>
          </cell>
          <cell r="K9384" t="str">
            <v>PCOQ</v>
          </cell>
          <cell r="M9384" t="str">
            <v>F</v>
          </cell>
          <cell r="AB9384" t="str">
            <v>WB</v>
          </cell>
          <cell r="AF9384">
            <v>1</v>
          </cell>
        </row>
        <row r="9385">
          <cell r="A9385" t="str">
            <v>IS_alqt_minus</v>
          </cell>
          <cell r="K9385" t="str">
            <v>MMUR</v>
          </cell>
          <cell r="M9385" t="str">
            <v>F</v>
          </cell>
          <cell r="AB9385" t="str">
            <v>WB</v>
          </cell>
          <cell r="AF9385">
            <v>0.1</v>
          </cell>
        </row>
        <row r="9386">
          <cell r="A9386" t="str">
            <v>gone</v>
          </cell>
          <cell r="K9386" t="str">
            <v>MMUR</v>
          </cell>
          <cell r="M9386" t="str">
            <v>M</v>
          </cell>
          <cell r="AB9386" t="str">
            <v>WB</v>
          </cell>
          <cell r="AF9386">
            <v>0</v>
          </cell>
        </row>
        <row r="9387">
          <cell r="A9387" t="str">
            <v>unk</v>
          </cell>
          <cell r="K9387" t="str">
            <v>MMUR</v>
          </cell>
          <cell r="M9387" t="str">
            <v>F</v>
          </cell>
          <cell r="AB9387" t="str">
            <v>WB</v>
          </cell>
          <cell r="AF9387">
            <v>0.25</v>
          </cell>
        </row>
        <row r="9388">
          <cell r="A9388" t="str">
            <v>IS_alqt_plus</v>
          </cell>
          <cell r="K9388" t="str">
            <v>MMUR</v>
          </cell>
          <cell r="M9388" t="str">
            <v>F</v>
          </cell>
          <cell r="AB9388" t="str">
            <v>WB</v>
          </cell>
          <cell r="AF9388">
            <v>0.4</v>
          </cell>
        </row>
        <row r="9389">
          <cell r="A9389" t="str">
            <v>IS_alqt_plus</v>
          </cell>
          <cell r="K9389" t="str">
            <v>VRUB</v>
          </cell>
          <cell r="M9389" t="str">
            <v>M</v>
          </cell>
          <cell r="AB9389" t="str">
            <v>WB</v>
          </cell>
          <cell r="AF9389">
            <v>1</v>
          </cell>
        </row>
        <row r="9390">
          <cell r="A9390" t="str">
            <v>IS_alqt_plus</v>
          </cell>
          <cell r="K9390" t="str">
            <v>VRUB</v>
          </cell>
          <cell r="M9390" t="str">
            <v>M</v>
          </cell>
          <cell r="AB9390" t="str">
            <v>serum</v>
          </cell>
          <cell r="AF9390">
            <v>0.75</v>
          </cell>
        </row>
        <row r="9391">
          <cell r="A9391" t="str">
            <v>IS_alqt_plus</v>
          </cell>
          <cell r="K9391" t="str">
            <v>VRUB</v>
          </cell>
          <cell r="M9391" t="str">
            <v>M</v>
          </cell>
          <cell r="AB9391" t="str">
            <v>WB</v>
          </cell>
          <cell r="AF9391">
            <v>0.2</v>
          </cell>
        </row>
        <row r="9392">
          <cell r="A9392" t="str">
            <v>IS_alqt_plus</v>
          </cell>
          <cell r="K9392" t="str">
            <v>VRUB</v>
          </cell>
          <cell r="M9392" t="str">
            <v>M</v>
          </cell>
          <cell r="AB9392" t="str">
            <v>WB</v>
          </cell>
          <cell r="AF9392">
            <v>0.2</v>
          </cell>
        </row>
        <row r="9393">
          <cell r="A9393" t="str">
            <v>IS_alqt_plus</v>
          </cell>
          <cell r="K9393" t="str">
            <v>VRUB</v>
          </cell>
          <cell r="M9393" t="str">
            <v>M</v>
          </cell>
          <cell r="AB9393" t="str">
            <v>WB</v>
          </cell>
          <cell r="AF9393">
            <v>0.2</v>
          </cell>
        </row>
        <row r="9394">
          <cell r="A9394" t="str">
            <v>IS_alqt_plus</v>
          </cell>
          <cell r="K9394" t="str">
            <v>VRUB</v>
          </cell>
          <cell r="M9394" t="str">
            <v>M</v>
          </cell>
          <cell r="AB9394" t="str">
            <v>WB</v>
          </cell>
          <cell r="AF9394">
            <v>0.2</v>
          </cell>
        </row>
        <row r="9395">
          <cell r="A9395" t="str">
            <v>IS_alqt_plus</v>
          </cell>
          <cell r="K9395" t="str">
            <v>VRUB</v>
          </cell>
          <cell r="M9395" t="str">
            <v>M</v>
          </cell>
          <cell r="AB9395" t="str">
            <v>serum</v>
          </cell>
          <cell r="AF9395">
            <v>1.2</v>
          </cell>
        </row>
        <row r="9396">
          <cell r="A9396" t="str">
            <v>IS_alqt_plus</v>
          </cell>
          <cell r="K9396" t="str">
            <v>EMON</v>
          </cell>
          <cell r="M9396" t="str">
            <v>M</v>
          </cell>
          <cell r="AB9396" t="str">
            <v>WB</v>
          </cell>
          <cell r="AF9396">
            <v>0.5</v>
          </cell>
        </row>
        <row r="9397">
          <cell r="A9397" t="str">
            <v>IS_alqt_plus</v>
          </cell>
          <cell r="K9397" t="str">
            <v>EMON</v>
          </cell>
          <cell r="M9397" t="str">
            <v>M</v>
          </cell>
          <cell r="AB9397" t="str">
            <v>WB</v>
          </cell>
          <cell r="AF9397">
            <v>0.5</v>
          </cell>
        </row>
        <row r="9398">
          <cell r="A9398" t="str">
            <v>gone</v>
          </cell>
          <cell r="K9398" t="str">
            <v>MMUR</v>
          </cell>
          <cell r="M9398" t="str">
            <v>M</v>
          </cell>
          <cell r="AB9398" t="str">
            <v>WB</v>
          </cell>
          <cell r="AF9398">
            <v>0</v>
          </cell>
        </row>
        <row r="9399">
          <cell r="A9399" t="str">
            <v>IS_alqt_minus</v>
          </cell>
          <cell r="K9399" t="str">
            <v>MMUR</v>
          </cell>
          <cell r="M9399" t="str">
            <v>M</v>
          </cell>
          <cell r="AB9399" t="str">
            <v>WB</v>
          </cell>
          <cell r="AF9399">
            <v>0.1</v>
          </cell>
        </row>
        <row r="9400">
          <cell r="A9400" t="str">
            <v>IS_alqt_plus</v>
          </cell>
          <cell r="K9400" t="str">
            <v>PCOQ</v>
          </cell>
          <cell r="M9400" t="str">
            <v>M</v>
          </cell>
          <cell r="AB9400" t="str">
            <v>WB</v>
          </cell>
          <cell r="AF9400">
            <v>0.6</v>
          </cell>
        </row>
        <row r="9401">
          <cell r="A9401" t="str">
            <v>IS_alqt_plus</v>
          </cell>
          <cell r="K9401" t="str">
            <v>PCOQ</v>
          </cell>
          <cell r="M9401" t="str">
            <v>M</v>
          </cell>
          <cell r="AB9401" t="str">
            <v>serum</v>
          </cell>
          <cell r="AF9401">
            <v>1.3</v>
          </cell>
        </row>
        <row r="9402">
          <cell r="A9402" t="str">
            <v>IS_alqt_plus</v>
          </cell>
          <cell r="K9402" t="str">
            <v>CMED</v>
          </cell>
          <cell r="M9402" t="str">
            <v>M</v>
          </cell>
          <cell r="AB9402" t="str">
            <v>serum</v>
          </cell>
          <cell r="AF9402">
            <v>0.2</v>
          </cell>
        </row>
        <row r="9403">
          <cell r="A9403" t="str">
            <v>gone</v>
          </cell>
          <cell r="K9403" t="str">
            <v>HGG</v>
          </cell>
          <cell r="M9403" t="str">
            <v>M</v>
          </cell>
          <cell r="AB9403" t="str">
            <v>WB</v>
          </cell>
          <cell r="AF9403">
            <v>0</v>
          </cell>
        </row>
        <row r="9404">
          <cell r="A9404" t="str">
            <v>IS_alqt_plus</v>
          </cell>
          <cell r="K9404" t="str">
            <v>PCOQ</v>
          </cell>
          <cell r="M9404" t="str">
            <v>M</v>
          </cell>
          <cell r="AB9404" t="str">
            <v>WB</v>
          </cell>
          <cell r="AF9404">
            <v>0.5</v>
          </cell>
        </row>
        <row r="9405">
          <cell r="A9405" t="str">
            <v>IS_alqt_plus</v>
          </cell>
          <cell r="K9405" t="str">
            <v>PCOQ</v>
          </cell>
          <cell r="M9405" t="str">
            <v>M</v>
          </cell>
          <cell r="AB9405" t="str">
            <v>WB</v>
          </cell>
          <cell r="AF9405">
            <v>1</v>
          </cell>
        </row>
        <row r="9406">
          <cell r="A9406" t="str">
            <v>IS_alqt_plus</v>
          </cell>
          <cell r="K9406" t="str">
            <v>LCAT</v>
          </cell>
          <cell r="M9406" t="str">
            <v>F</v>
          </cell>
          <cell r="AB9406" t="str">
            <v>serum</v>
          </cell>
          <cell r="AF9406">
            <v>1</v>
          </cell>
        </row>
        <row r="9407">
          <cell r="A9407" t="str">
            <v>IS_alqt_plus</v>
          </cell>
          <cell r="K9407" t="str">
            <v>LCAT</v>
          </cell>
          <cell r="M9407" t="str">
            <v>F</v>
          </cell>
          <cell r="AB9407" t="str">
            <v>serum</v>
          </cell>
          <cell r="AF9407">
            <v>1.25</v>
          </cell>
        </row>
        <row r="9408">
          <cell r="A9408" t="str">
            <v>IS_alqt_plus</v>
          </cell>
          <cell r="K9408" t="str">
            <v>CMED</v>
          </cell>
          <cell r="M9408" t="str">
            <v>M</v>
          </cell>
          <cell r="AB9408" t="str">
            <v>WB</v>
          </cell>
          <cell r="AF9408">
            <v>0.75</v>
          </cell>
        </row>
        <row r="9409">
          <cell r="A9409" t="str">
            <v>IS_alqt_plus</v>
          </cell>
          <cell r="K9409" t="str">
            <v>CMED</v>
          </cell>
          <cell r="M9409" t="str">
            <v>F</v>
          </cell>
          <cell r="AB9409" t="str">
            <v>WB</v>
          </cell>
          <cell r="AF9409">
            <v>0.25</v>
          </cell>
        </row>
        <row r="9410">
          <cell r="A9410" t="str">
            <v>IS_alqt_plus</v>
          </cell>
          <cell r="K9410" t="str">
            <v>MMUR</v>
          </cell>
          <cell r="M9410" t="str">
            <v>F</v>
          </cell>
          <cell r="AB9410" t="str">
            <v>WB</v>
          </cell>
          <cell r="AF9410">
            <v>0.2</v>
          </cell>
        </row>
        <row r="9411">
          <cell r="A9411" t="str">
            <v>IS_alqt_plus</v>
          </cell>
          <cell r="K9411" t="str">
            <v>PCOQ</v>
          </cell>
          <cell r="M9411" t="str">
            <v>F</v>
          </cell>
          <cell r="AB9411" t="str">
            <v>serum</v>
          </cell>
          <cell r="AF9411">
            <v>1.5</v>
          </cell>
        </row>
        <row r="9412">
          <cell r="A9412" t="str">
            <v>IS_alqt_plus</v>
          </cell>
          <cell r="K9412" t="str">
            <v>PCOQ</v>
          </cell>
          <cell r="M9412" t="str">
            <v>M</v>
          </cell>
          <cell r="AB9412" t="str">
            <v>WB</v>
          </cell>
          <cell r="AF9412">
            <v>1.5</v>
          </cell>
        </row>
        <row r="9413">
          <cell r="A9413" t="str">
            <v>IS_alqt_plus</v>
          </cell>
          <cell r="K9413" t="str">
            <v>PCOQ</v>
          </cell>
          <cell r="M9413" t="str">
            <v>M</v>
          </cell>
          <cell r="AB9413" t="str">
            <v>WB</v>
          </cell>
          <cell r="AF9413">
            <v>1</v>
          </cell>
        </row>
        <row r="9414">
          <cell r="A9414" t="str">
            <v>IS_alqt_plus</v>
          </cell>
          <cell r="K9414" t="str">
            <v>PCOQ</v>
          </cell>
          <cell r="M9414" t="str">
            <v>F</v>
          </cell>
          <cell r="AB9414" t="str">
            <v>WB</v>
          </cell>
          <cell r="AF9414">
            <v>1.1000000000000001</v>
          </cell>
        </row>
        <row r="9415">
          <cell r="A9415" t="str">
            <v>IS_alqt_plus</v>
          </cell>
          <cell r="K9415" t="str">
            <v>PCOQ</v>
          </cell>
          <cell r="M9415" t="str">
            <v>M</v>
          </cell>
          <cell r="AB9415" t="str">
            <v>serum</v>
          </cell>
          <cell r="AF9415">
            <v>0.751</v>
          </cell>
        </row>
        <row r="9416">
          <cell r="A9416" t="str">
            <v>IS_alqt_minus</v>
          </cell>
          <cell r="K9416" t="str">
            <v>MMUR</v>
          </cell>
          <cell r="M9416" t="str">
            <v>F</v>
          </cell>
          <cell r="AB9416" t="str">
            <v>serum</v>
          </cell>
          <cell r="AF9416">
            <v>0.1</v>
          </cell>
        </row>
        <row r="9417">
          <cell r="A9417" t="str">
            <v>IS_alqt_plus</v>
          </cell>
          <cell r="K9417" t="str">
            <v>MMUR</v>
          </cell>
          <cell r="M9417" t="str">
            <v>F</v>
          </cell>
          <cell r="AB9417" t="str">
            <v>serum</v>
          </cell>
          <cell r="AF9417">
            <v>0.3</v>
          </cell>
        </row>
        <row r="9418">
          <cell r="A9418" t="str">
            <v>IS_alqt_plus</v>
          </cell>
          <cell r="K9418" t="str">
            <v>MMUR</v>
          </cell>
          <cell r="M9418" t="str">
            <v>F</v>
          </cell>
          <cell r="AB9418" t="str">
            <v>serum</v>
          </cell>
          <cell r="AF9418">
            <v>0.3</v>
          </cell>
        </row>
        <row r="9419">
          <cell r="A9419" t="str">
            <v>IS_alqt_minus</v>
          </cell>
          <cell r="K9419" t="str">
            <v>MMUR</v>
          </cell>
          <cell r="M9419" t="str">
            <v>M</v>
          </cell>
          <cell r="AB9419" t="str">
            <v>serum</v>
          </cell>
          <cell r="AF9419">
            <v>0.1</v>
          </cell>
        </row>
        <row r="9420">
          <cell r="A9420" t="str">
            <v>IS_alqt_plus</v>
          </cell>
          <cell r="K9420" t="str">
            <v>MMUR</v>
          </cell>
          <cell r="M9420" t="str">
            <v>F</v>
          </cell>
          <cell r="AB9420" t="str">
            <v>WB</v>
          </cell>
          <cell r="AF9420">
            <v>0.25</v>
          </cell>
        </row>
        <row r="9421">
          <cell r="A9421" t="str">
            <v>IS_alqt_plus</v>
          </cell>
          <cell r="K9421" t="str">
            <v>MMUR</v>
          </cell>
          <cell r="M9421" t="str">
            <v>F</v>
          </cell>
          <cell r="AB9421" t="str">
            <v>WB</v>
          </cell>
          <cell r="AF9421">
            <v>0.5</v>
          </cell>
        </row>
        <row r="9422">
          <cell r="A9422" t="str">
            <v>IS_alqt_minus</v>
          </cell>
          <cell r="K9422" t="str">
            <v>MMUR</v>
          </cell>
          <cell r="M9422" t="str">
            <v>M</v>
          </cell>
          <cell r="AB9422" t="str">
            <v>WB</v>
          </cell>
          <cell r="AF9422">
            <v>0.1</v>
          </cell>
        </row>
        <row r="9423">
          <cell r="A9423" t="str">
            <v>IS_alqt_minus</v>
          </cell>
          <cell r="K9423" t="str">
            <v>CMED</v>
          </cell>
          <cell r="M9423" t="str">
            <v>F</v>
          </cell>
          <cell r="AB9423" t="str">
            <v>WB</v>
          </cell>
          <cell r="AF9423">
            <v>0.1</v>
          </cell>
        </row>
        <row r="9424">
          <cell r="A9424" t="str">
            <v>IS_alqt_plus</v>
          </cell>
          <cell r="K9424" t="str">
            <v>CMED</v>
          </cell>
          <cell r="M9424" t="str">
            <v>F</v>
          </cell>
          <cell r="AB9424" t="str">
            <v>WB</v>
          </cell>
          <cell r="AF9424">
            <v>0.25</v>
          </cell>
        </row>
        <row r="9425">
          <cell r="A9425" t="str">
            <v>gone</v>
          </cell>
          <cell r="K9425" t="str">
            <v>CMED</v>
          </cell>
          <cell r="M9425" t="str">
            <v>M</v>
          </cell>
          <cell r="AB9425" t="str">
            <v>WB</v>
          </cell>
          <cell r="AF9425">
            <v>0</v>
          </cell>
        </row>
        <row r="9426">
          <cell r="A9426" t="str">
            <v>IS_alqt_plus</v>
          </cell>
          <cell r="K9426" t="str">
            <v>CMED</v>
          </cell>
          <cell r="M9426" t="str">
            <v>M</v>
          </cell>
          <cell r="AB9426" t="str">
            <v>WB</v>
          </cell>
          <cell r="AF9426">
            <v>0.25</v>
          </cell>
        </row>
        <row r="9427">
          <cell r="A9427" t="str">
            <v>IS_alqt_plus</v>
          </cell>
          <cell r="K9427" t="str">
            <v>CMED</v>
          </cell>
          <cell r="M9427" t="str">
            <v>F</v>
          </cell>
          <cell r="AB9427" t="str">
            <v>WB</v>
          </cell>
          <cell r="AF9427">
            <v>0.25</v>
          </cell>
        </row>
        <row r="9428">
          <cell r="A9428" t="str">
            <v>gone</v>
          </cell>
          <cell r="K9428" t="str">
            <v>CMED</v>
          </cell>
          <cell r="M9428" t="str">
            <v>F</v>
          </cell>
          <cell r="AB9428" t="str">
            <v>WB</v>
          </cell>
          <cell r="AF9428">
            <v>0</v>
          </cell>
        </row>
        <row r="9429">
          <cell r="A9429" t="str">
            <v>gone</v>
          </cell>
          <cell r="K9429" t="str">
            <v>CMED</v>
          </cell>
          <cell r="M9429" t="str">
            <v>M</v>
          </cell>
          <cell r="AB9429" t="str">
            <v>WB</v>
          </cell>
          <cell r="AF9429">
            <v>0</v>
          </cell>
        </row>
        <row r="9430">
          <cell r="A9430" t="str">
            <v>IS_alqt_minus</v>
          </cell>
          <cell r="K9430" t="str">
            <v>CMED</v>
          </cell>
          <cell r="M9430" t="str">
            <v>M</v>
          </cell>
          <cell r="AB9430" t="str">
            <v>serum</v>
          </cell>
          <cell r="AF9430">
            <v>0.1</v>
          </cell>
        </row>
        <row r="9431">
          <cell r="A9431" t="str">
            <v>IS_alqt_plus</v>
          </cell>
          <cell r="K9431" t="str">
            <v>CMED</v>
          </cell>
          <cell r="M9431" t="str">
            <v>M</v>
          </cell>
          <cell r="AB9431" t="str">
            <v>serum</v>
          </cell>
          <cell r="AF9431">
            <v>0.2</v>
          </cell>
        </row>
        <row r="9432">
          <cell r="A9432" t="str">
            <v>IS_alqt_minus</v>
          </cell>
          <cell r="K9432" t="str">
            <v>CMED</v>
          </cell>
          <cell r="M9432" t="str">
            <v>M</v>
          </cell>
          <cell r="AB9432" t="str">
            <v>WB</v>
          </cell>
          <cell r="AF9432">
            <v>0.15</v>
          </cell>
        </row>
        <row r="9433">
          <cell r="A9433" t="str">
            <v>gone</v>
          </cell>
          <cell r="K9433" t="str">
            <v>CMED</v>
          </cell>
          <cell r="M9433" t="str">
            <v>F</v>
          </cell>
          <cell r="AB9433" t="str">
            <v>WB</v>
          </cell>
          <cell r="AF9433">
            <v>0</v>
          </cell>
        </row>
        <row r="9434">
          <cell r="A9434" t="str">
            <v>IS_alqt_minus</v>
          </cell>
          <cell r="K9434" t="str">
            <v>CMED</v>
          </cell>
          <cell r="M9434" t="str">
            <v>F</v>
          </cell>
          <cell r="AB9434" t="str">
            <v>WB</v>
          </cell>
          <cell r="AF9434">
            <v>0.08</v>
          </cell>
        </row>
        <row r="9435">
          <cell r="A9435" t="str">
            <v>gone</v>
          </cell>
          <cell r="K9435" t="str">
            <v>CMED</v>
          </cell>
          <cell r="M9435" t="str">
            <v>M</v>
          </cell>
          <cell r="AB9435" t="str">
            <v>WB</v>
          </cell>
          <cell r="AF9435">
            <v>0</v>
          </cell>
        </row>
        <row r="9436">
          <cell r="A9436" t="str">
            <v>gone</v>
          </cell>
          <cell r="K9436" t="str">
            <v>CMED</v>
          </cell>
          <cell r="M9436" t="str">
            <v>M</v>
          </cell>
          <cell r="AB9436" t="str">
            <v>WB</v>
          </cell>
          <cell r="AF9436">
            <v>0</v>
          </cell>
        </row>
        <row r="9437">
          <cell r="A9437" t="str">
            <v>IS_alqt_plus</v>
          </cell>
          <cell r="K9437" t="str">
            <v>EFLA</v>
          </cell>
          <cell r="M9437" t="str">
            <v>M</v>
          </cell>
          <cell r="AB9437" t="str">
            <v>serum</v>
          </cell>
          <cell r="AF9437">
            <v>0.2</v>
          </cell>
        </row>
        <row r="9438">
          <cell r="A9438" t="str">
            <v>IS_alqt_plus</v>
          </cell>
          <cell r="K9438" t="str">
            <v>EFLA</v>
          </cell>
          <cell r="M9438" t="str">
            <v>M</v>
          </cell>
          <cell r="AB9438" t="str">
            <v>serum</v>
          </cell>
          <cell r="AF9438">
            <v>0.3</v>
          </cell>
        </row>
        <row r="9439">
          <cell r="A9439" t="str">
            <v>IS_alqt_plus</v>
          </cell>
          <cell r="K9439" t="str">
            <v>PCOQ</v>
          </cell>
          <cell r="M9439" t="str">
            <v>M</v>
          </cell>
          <cell r="AB9439" t="str">
            <v>serum</v>
          </cell>
          <cell r="AF9439">
            <v>0.5</v>
          </cell>
        </row>
        <row r="9440">
          <cell r="A9440" t="str">
            <v>IS_alqt_plus</v>
          </cell>
          <cell r="K9440" t="str">
            <v>EFLA</v>
          </cell>
          <cell r="M9440" t="str">
            <v>M</v>
          </cell>
          <cell r="AB9440" t="str">
            <v>WB</v>
          </cell>
          <cell r="AF9440">
            <v>1.5</v>
          </cell>
        </row>
        <row r="9441">
          <cell r="A9441" t="str">
            <v>IS_alqt_plus</v>
          </cell>
          <cell r="K9441" t="str">
            <v>PCOQ</v>
          </cell>
          <cell r="M9441" t="str">
            <v>F</v>
          </cell>
          <cell r="AB9441" t="str">
            <v>WB</v>
          </cell>
          <cell r="AF9441">
            <v>0.85</v>
          </cell>
        </row>
        <row r="9442">
          <cell r="A9442" t="str">
            <v>IS_alqt_plus</v>
          </cell>
          <cell r="K9442" t="str">
            <v>MMUR</v>
          </cell>
          <cell r="M9442" t="str">
            <v>M</v>
          </cell>
          <cell r="AB9442" t="str">
            <v>serum</v>
          </cell>
          <cell r="AF9442">
            <v>0.2</v>
          </cell>
        </row>
        <row r="9443">
          <cell r="A9443" t="str">
            <v>IS_alqt_plus</v>
          </cell>
          <cell r="K9443" t="str">
            <v>MMUR</v>
          </cell>
          <cell r="M9443" t="str">
            <v>M</v>
          </cell>
          <cell r="AB9443" t="str">
            <v>serum</v>
          </cell>
          <cell r="AF9443">
            <v>0.2</v>
          </cell>
        </row>
        <row r="9444">
          <cell r="A9444" t="str">
            <v>IS_alqt_plus</v>
          </cell>
          <cell r="K9444" t="str">
            <v>MMUR</v>
          </cell>
          <cell r="M9444" t="str">
            <v>M</v>
          </cell>
          <cell r="AB9444" t="str">
            <v>serum</v>
          </cell>
          <cell r="AF9444">
            <v>0.2</v>
          </cell>
        </row>
        <row r="9445">
          <cell r="A9445" t="str">
            <v>IS_alqt_minus</v>
          </cell>
          <cell r="K9445" t="str">
            <v>MMUR</v>
          </cell>
          <cell r="M9445" t="str">
            <v>M</v>
          </cell>
          <cell r="AB9445" t="str">
            <v>serum</v>
          </cell>
          <cell r="AF9445">
            <v>0.15</v>
          </cell>
        </row>
        <row r="9446">
          <cell r="A9446" t="str">
            <v>IS_alqt_minus</v>
          </cell>
          <cell r="K9446" t="str">
            <v>MMUR</v>
          </cell>
          <cell r="M9446" t="str">
            <v>M</v>
          </cell>
          <cell r="AB9446" t="str">
            <v>serum</v>
          </cell>
          <cell r="AF9446">
            <v>0.15</v>
          </cell>
        </row>
        <row r="9447">
          <cell r="A9447" t="str">
            <v>gone</v>
          </cell>
          <cell r="K9447" t="str">
            <v>MMUR</v>
          </cell>
          <cell r="M9447" t="str">
            <v>M</v>
          </cell>
          <cell r="AB9447" t="str">
            <v>serum</v>
          </cell>
          <cell r="AF9447">
            <v>0</v>
          </cell>
        </row>
        <row r="9448">
          <cell r="A9448" t="str">
            <v>IS_alqt_plus</v>
          </cell>
          <cell r="K9448" t="str">
            <v>EMON</v>
          </cell>
          <cell r="M9448" t="str">
            <v>M</v>
          </cell>
          <cell r="AB9448" t="str">
            <v>WB</v>
          </cell>
          <cell r="AF9448">
            <v>0.4</v>
          </cell>
        </row>
        <row r="9449">
          <cell r="A9449" t="str">
            <v>IS_alqt_plus</v>
          </cell>
          <cell r="K9449" t="str">
            <v>EFLA</v>
          </cell>
          <cell r="M9449" t="str">
            <v>M</v>
          </cell>
          <cell r="AB9449" t="str">
            <v>serum</v>
          </cell>
          <cell r="AF9449">
            <v>1</v>
          </cell>
        </row>
        <row r="9450">
          <cell r="A9450" t="str">
            <v>IS_alqt_plus</v>
          </cell>
          <cell r="K9450" t="str">
            <v>EFLA</v>
          </cell>
          <cell r="M9450" t="str">
            <v>M</v>
          </cell>
          <cell r="AB9450" t="str">
            <v>WB</v>
          </cell>
          <cell r="AF9450">
            <v>1</v>
          </cell>
        </row>
        <row r="9451">
          <cell r="A9451" t="str">
            <v>IS_alqt_plus</v>
          </cell>
          <cell r="K9451" t="str">
            <v>PCOQ</v>
          </cell>
          <cell r="M9451" t="str">
            <v>F</v>
          </cell>
          <cell r="AB9451" t="str">
            <v>serum</v>
          </cell>
          <cell r="AF9451">
            <v>0.5</v>
          </cell>
        </row>
        <row r="9452">
          <cell r="A9452" t="str">
            <v>IS_alqt_plus</v>
          </cell>
          <cell r="K9452" t="str">
            <v>PCOQ</v>
          </cell>
          <cell r="M9452" t="str">
            <v>M</v>
          </cell>
          <cell r="AB9452" t="str">
            <v>WB</v>
          </cell>
          <cell r="AF9452">
            <v>0.5</v>
          </cell>
        </row>
        <row r="9453">
          <cell r="A9453" t="str">
            <v>IS_alqt_plus</v>
          </cell>
          <cell r="K9453" t="str">
            <v>VRUB</v>
          </cell>
          <cell r="M9453" t="str">
            <v>M</v>
          </cell>
          <cell r="AB9453" t="str">
            <v>serum</v>
          </cell>
          <cell r="AF9453">
            <v>0.25</v>
          </cell>
        </row>
        <row r="9454">
          <cell r="A9454" t="str">
            <v>IS_alqt_plus</v>
          </cell>
          <cell r="K9454" t="str">
            <v>PCOQ</v>
          </cell>
          <cell r="M9454" t="str">
            <v>F</v>
          </cell>
          <cell r="AB9454" t="str">
            <v>serum</v>
          </cell>
          <cell r="AF9454">
            <v>0.5</v>
          </cell>
        </row>
        <row r="9455">
          <cell r="A9455" t="str">
            <v>IS_alqt_plus</v>
          </cell>
          <cell r="K9455" t="str">
            <v>PCOQ</v>
          </cell>
          <cell r="M9455" t="str">
            <v>M</v>
          </cell>
          <cell r="AB9455" t="str">
            <v>WB</v>
          </cell>
          <cell r="AF9455">
            <v>0.5</v>
          </cell>
        </row>
        <row r="9456">
          <cell r="A9456" t="str">
            <v>IS_alqt_plus</v>
          </cell>
          <cell r="K9456" t="str">
            <v>EFLA</v>
          </cell>
          <cell r="M9456" t="str">
            <v>M</v>
          </cell>
          <cell r="AB9456" t="str">
            <v>serum</v>
          </cell>
          <cell r="AF9456">
            <v>1</v>
          </cell>
        </row>
        <row r="9457">
          <cell r="A9457" t="str">
            <v>IS_alqt_plus</v>
          </cell>
          <cell r="K9457" t="str">
            <v>EFLA</v>
          </cell>
          <cell r="M9457" t="str">
            <v>M</v>
          </cell>
          <cell r="AB9457" t="str">
            <v>serum</v>
          </cell>
          <cell r="AF9457">
            <v>1</v>
          </cell>
        </row>
        <row r="9458">
          <cell r="A9458" t="str">
            <v>IS_alqt_plus</v>
          </cell>
          <cell r="K9458" t="str">
            <v>EFLA</v>
          </cell>
          <cell r="M9458" t="str">
            <v>M</v>
          </cell>
          <cell r="AB9458" t="str">
            <v>serum</v>
          </cell>
          <cell r="AF9458">
            <v>1</v>
          </cell>
        </row>
        <row r="9459">
          <cell r="A9459" t="str">
            <v>IS_alqt_plus</v>
          </cell>
          <cell r="K9459" t="str">
            <v>EFLA</v>
          </cell>
          <cell r="M9459" t="str">
            <v>M</v>
          </cell>
          <cell r="AB9459" t="str">
            <v>serum</v>
          </cell>
          <cell r="AF9459">
            <v>1</v>
          </cell>
        </row>
        <row r="9460">
          <cell r="A9460" t="str">
            <v>IS_alqt_plus</v>
          </cell>
          <cell r="K9460" t="str">
            <v>EFLA</v>
          </cell>
          <cell r="M9460" t="str">
            <v>M</v>
          </cell>
          <cell r="AB9460" t="str">
            <v>serum</v>
          </cell>
          <cell r="AF9460">
            <v>1</v>
          </cell>
        </row>
        <row r="9461">
          <cell r="A9461" t="str">
            <v>IS_alqt_plus</v>
          </cell>
          <cell r="K9461" t="str">
            <v>EFLA</v>
          </cell>
          <cell r="M9461" t="str">
            <v>M</v>
          </cell>
          <cell r="AB9461" t="str">
            <v>serum</v>
          </cell>
          <cell r="AF9461">
            <v>1</v>
          </cell>
        </row>
        <row r="9462">
          <cell r="A9462" t="str">
            <v>IS_alqt_plus</v>
          </cell>
          <cell r="K9462" t="str">
            <v>EFLA</v>
          </cell>
          <cell r="M9462" t="str">
            <v>M</v>
          </cell>
          <cell r="AB9462" t="str">
            <v>serum</v>
          </cell>
          <cell r="AF9462">
            <v>1</v>
          </cell>
        </row>
        <row r="9463">
          <cell r="A9463" t="str">
            <v>IS_alqt_plus</v>
          </cell>
          <cell r="K9463" t="str">
            <v>EFLA</v>
          </cell>
          <cell r="M9463" t="str">
            <v>M</v>
          </cell>
          <cell r="AB9463" t="str">
            <v>serum</v>
          </cell>
          <cell r="AF9463">
            <v>1</v>
          </cell>
        </row>
        <row r="9464">
          <cell r="A9464" t="str">
            <v>IS_alqt_plus</v>
          </cell>
          <cell r="K9464" t="str">
            <v>EFLA</v>
          </cell>
          <cell r="M9464" t="str">
            <v>M</v>
          </cell>
          <cell r="AB9464" t="str">
            <v>serum</v>
          </cell>
          <cell r="AF9464">
            <v>0.2</v>
          </cell>
        </row>
        <row r="9465">
          <cell r="A9465" t="str">
            <v>IS_alqt_plus</v>
          </cell>
          <cell r="K9465" t="str">
            <v>EFLA</v>
          </cell>
          <cell r="M9465" t="str">
            <v>M</v>
          </cell>
          <cell r="AB9465" t="str">
            <v>serum</v>
          </cell>
          <cell r="AF9465">
            <v>1</v>
          </cell>
        </row>
        <row r="9466">
          <cell r="A9466" t="str">
            <v>IS_alqt_plus</v>
          </cell>
          <cell r="K9466" t="str">
            <v>EFLA</v>
          </cell>
          <cell r="M9466" t="str">
            <v>M</v>
          </cell>
          <cell r="AB9466" t="str">
            <v>serum</v>
          </cell>
          <cell r="AF9466">
            <v>1</v>
          </cell>
        </row>
        <row r="9467">
          <cell r="A9467" t="str">
            <v>IS_alqt_plus</v>
          </cell>
          <cell r="K9467" t="str">
            <v>EFLA</v>
          </cell>
          <cell r="M9467" t="str">
            <v>M</v>
          </cell>
          <cell r="AB9467" t="str">
            <v>serum</v>
          </cell>
          <cell r="AF9467">
            <v>1</v>
          </cell>
        </row>
        <row r="9468">
          <cell r="A9468" t="str">
            <v>IS_alqt_plus</v>
          </cell>
          <cell r="K9468" t="str">
            <v>EFLA</v>
          </cell>
          <cell r="M9468" t="str">
            <v>M</v>
          </cell>
          <cell r="AB9468" t="str">
            <v>serum</v>
          </cell>
          <cell r="AF9468">
            <v>0.75</v>
          </cell>
        </row>
        <row r="9469">
          <cell r="A9469" t="str">
            <v>IS_alqt_plus</v>
          </cell>
          <cell r="K9469" t="str">
            <v>EFLA</v>
          </cell>
          <cell r="M9469" t="str">
            <v>M</v>
          </cell>
          <cell r="AB9469" t="str">
            <v>serum</v>
          </cell>
          <cell r="AF9469">
            <v>1.5</v>
          </cell>
        </row>
        <row r="9470">
          <cell r="A9470" t="str">
            <v>IS_alqt_plus</v>
          </cell>
          <cell r="K9470" t="str">
            <v>EFLA</v>
          </cell>
          <cell r="M9470" t="str">
            <v>M</v>
          </cell>
          <cell r="AB9470" t="str">
            <v>serum</v>
          </cell>
          <cell r="AF9470">
            <v>0.3</v>
          </cell>
        </row>
        <row r="9471">
          <cell r="A9471" t="str">
            <v>IS_alqt_plus</v>
          </cell>
          <cell r="K9471" t="str">
            <v>EFLA</v>
          </cell>
          <cell r="M9471" t="str">
            <v>M</v>
          </cell>
          <cell r="AB9471" t="str">
            <v>serum</v>
          </cell>
          <cell r="AF9471">
            <v>0.2</v>
          </cell>
        </row>
        <row r="9472">
          <cell r="A9472" t="str">
            <v>IS_alqt_plus</v>
          </cell>
          <cell r="K9472" t="str">
            <v>EFLA</v>
          </cell>
          <cell r="M9472" t="str">
            <v>M</v>
          </cell>
          <cell r="AB9472" t="str">
            <v>serum</v>
          </cell>
          <cell r="AF9472">
            <v>0.2</v>
          </cell>
        </row>
        <row r="9473">
          <cell r="A9473" t="str">
            <v>IS_alqt_plus</v>
          </cell>
          <cell r="K9473" t="str">
            <v>EFLA</v>
          </cell>
          <cell r="M9473" t="str">
            <v>M</v>
          </cell>
          <cell r="AB9473" t="str">
            <v>serum</v>
          </cell>
          <cell r="AF9473">
            <v>0.2</v>
          </cell>
        </row>
        <row r="9474">
          <cell r="A9474" t="str">
            <v>IS_alqt_plus</v>
          </cell>
          <cell r="K9474" t="str">
            <v>EFLA</v>
          </cell>
          <cell r="M9474" t="str">
            <v>M</v>
          </cell>
          <cell r="AB9474" t="str">
            <v>serum</v>
          </cell>
          <cell r="AF9474">
            <v>1</v>
          </cell>
        </row>
        <row r="9475">
          <cell r="A9475" t="str">
            <v>IS_alqt_plus</v>
          </cell>
          <cell r="K9475" t="str">
            <v>EFLA</v>
          </cell>
          <cell r="M9475" t="str">
            <v>M</v>
          </cell>
          <cell r="AB9475" t="str">
            <v>serum</v>
          </cell>
          <cell r="AF9475">
            <v>1</v>
          </cell>
        </row>
        <row r="9476">
          <cell r="A9476" t="str">
            <v>IS_alqt_plus</v>
          </cell>
          <cell r="K9476" t="str">
            <v>EFLA</v>
          </cell>
          <cell r="M9476" t="str">
            <v>M</v>
          </cell>
          <cell r="AB9476" t="str">
            <v>serum</v>
          </cell>
          <cell r="AF9476">
            <v>0.2</v>
          </cell>
        </row>
        <row r="9477">
          <cell r="A9477" t="str">
            <v>IS_alqt_plus</v>
          </cell>
          <cell r="K9477" t="str">
            <v>EFLA</v>
          </cell>
          <cell r="M9477" t="str">
            <v>M</v>
          </cell>
          <cell r="AB9477" t="str">
            <v>serum</v>
          </cell>
          <cell r="AF9477">
            <v>0.2</v>
          </cell>
        </row>
        <row r="9478">
          <cell r="A9478" t="str">
            <v>IS_alqt_plus</v>
          </cell>
          <cell r="K9478" t="str">
            <v>EFLA</v>
          </cell>
          <cell r="M9478" t="str">
            <v>M</v>
          </cell>
          <cell r="AB9478" t="str">
            <v>serum</v>
          </cell>
          <cell r="AF9478">
            <v>0.75</v>
          </cell>
        </row>
        <row r="9479">
          <cell r="A9479" t="str">
            <v>IS_alqt_plus</v>
          </cell>
          <cell r="K9479" t="str">
            <v>EFLA</v>
          </cell>
          <cell r="M9479" t="str">
            <v>M</v>
          </cell>
          <cell r="AB9479" t="str">
            <v>serum</v>
          </cell>
          <cell r="AF9479">
            <v>1</v>
          </cell>
        </row>
        <row r="9480">
          <cell r="A9480" t="str">
            <v>IS_alqt_plus</v>
          </cell>
          <cell r="K9480" t="str">
            <v>EFLA</v>
          </cell>
          <cell r="M9480" t="str">
            <v>M</v>
          </cell>
          <cell r="AB9480" t="str">
            <v>serum</v>
          </cell>
          <cell r="AF9480">
            <v>1</v>
          </cell>
        </row>
        <row r="9481">
          <cell r="A9481" t="str">
            <v>IS_alqt_plus</v>
          </cell>
          <cell r="K9481" t="str">
            <v>EFLA</v>
          </cell>
          <cell r="M9481" t="str">
            <v>M</v>
          </cell>
          <cell r="AB9481" t="str">
            <v>serum</v>
          </cell>
          <cell r="AF9481">
            <v>1</v>
          </cell>
        </row>
        <row r="9482">
          <cell r="A9482" t="str">
            <v>IS_alqt_plus</v>
          </cell>
          <cell r="K9482" t="str">
            <v>EFLA</v>
          </cell>
          <cell r="M9482" t="str">
            <v>M</v>
          </cell>
          <cell r="AB9482" t="str">
            <v>serum</v>
          </cell>
          <cell r="AF9482">
            <v>0.2</v>
          </cell>
        </row>
        <row r="9483">
          <cell r="A9483" t="str">
            <v>IS_alqt_plus</v>
          </cell>
          <cell r="K9483" t="str">
            <v>EFLA</v>
          </cell>
          <cell r="M9483" t="str">
            <v>M</v>
          </cell>
          <cell r="AB9483" t="str">
            <v>WB</v>
          </cell>
          <cell r="AF9483">
            <v>1</v>
          </cell>
        </row>
        <row r="9484">
          <cell r="A9484" t="str">
            <v>IS_alqt_plus</v>
          </cell>
          <cell r="K9484" t="str">
            <v>EFLA</v>
          </cell>
          <cell r="M9484" t="str">
            <v>M</v>
          </cell>
          <cell r="AB9484" t="str">
            <v>WB</v>
          </cell>
          <cell r="AF9484">
            <v>0.3</v>
          </cell>
        </row>
        <row r="9485">
          <cell r="A9485" t="str">
            <v>gone</v>
          </cell>
          <cell r="K9485" t="str">
            <v>EFLA</v>
          </cell>
          <cell r="M9485" t="str">
            <v>M</v>
          </cell>
          <cell r="AB9485" t="str">
            <v>WB</v>
          </cell>
          <cell r="AF9485">
            <v>0</v>
          </cell>
        </row>
        <row r="9486">
          <cell r="A9486" t="str">
            <v>IS_alqt_plus</v>
          </cell>
          <cell r="K9486" t="str">
            <v>EFLA</v>
          </cell>
          <cell r="M9486" t="str">
            <v>M</v>
          </cell>
          <cell r="AB9486" t="str">
            <v>WB</v>
          </cell>
          <cell r="AF9486">
            <v>1</v>
          </cell>
        </row>
        <row r="9487">
          <cell r="A9487" t="str">
            <v>IS_alqt_plus</v>
          </cell>
          <cell r="K9487" t="str">
            <v>EFLA</v>
          </cell>
          <cell r="M9487" t="str">
            <v>M</v>
          </cell>
          <cell r="AB9487" t="str">
            <v>WB</v>
          </cell>
          <cell r="AF9487">
            <v>1</v>
          </cell>
        </row>
        <row r="9488">
          <cell r="A9488" t="str">
            <v>IS_alqt_plus</v>
          </cell>
          <cell r="K9488" t="str">
            <v>EFLA</v>
          </cell>
          <cell r="M9488" t="str">
            <v>M</v>
          </cell>
          <cell r="AB9488" t="str">
            <v>WB</v>
          </cell>
          <cell r="AF9488">
            <v>1</v>
          </cell>
        </row>
        <row r="9489">
          <cell r="A9489" t="str">
            <v>IS_alqt_plus</v>
          </cell>
          <cell r="K9489" t="str">
            <v>EFLA</v>
          </cell>
          <cell r="M9489" t="str">
            <v>M</v>
          </cell>
          <cell r="AB9489" t="str">
            <v>WB</v>
          </cell>
          <cell r="AF9489">
            <v>1</v>
          </cell>
        </row>
        <row r="9490">
          <cell r="A9490" t="str">
            <v>IS_alqt_plus</v>
          </cell>
          <cell r="K9490" t="str">
            <v>EFLA</v>
          </cell>
          <cell r="M9490" t="str">
            <v>M</v>
          </cell>
          <cell r="AB9490" t="str">
            <v>WB</v>
          </cell>
          <cell r="AF9490">
            <v>1</v>
          </cell>
        </row>
        <row r="9491">
          <cell r="A9491" t="str">
            <v>IS_alqt_plus</v>
          </cell>
          <cell r="K9491" t="str">
            <v>EFLA</v>
          </cell>
          <cell r="M9491" t="str">
            <v>M</v>
          </cell>
          <cell r="AB9491" t="str">
            <v>WB</v>
          </cell>
          <cell r="AF9491">
            <v>0.75</v>
          </cell>
        </row>
        <row r="9492">
          <cell r="A9492" t="str">
            <v>IS_alqt_plus</v>
          </cell>
          <cell r="K9492" t="str">
            <v>EFLA</v>
          </cell>
          <cell r="M9492" t="str">
            <v>M</v>
          </cell>
          <cell r="AB9492" t="str">
            <v>WB</v>
          </cell>
          <cell r="AF9492">
            <v>1</v>
          </cell>
        </row>
        <row r="9493">
          <cell r="A9493" t="str">
            <v>IS_alqt_plus</v>
          </cell>
          <cell r="K9493" t="str">
            <v>EFLA</v>
          </cell>
          <cell r="M9493" t="str">
            <v>M</v>
          </cell>
          <cell r="AB9493" t="str">
            <v>WB</v>
          </cell>
          <cell r="AF9493">
            <v>1</v>
          </cell>
        </row>
        <row r="9494">
          <cell r="A9494" t="str">
            <v>IS_alqt_plus</v>
          </cell>
          <cell r="K9494" t="str">
            <v>EFLA</v>
          </cell>
          <cell r="M9494" t="str">
            <v>M</v>
          </cell>
          <cell r="AB9494" t="str">
            <v>WB</v>
          </cell>
          <cell r="AF9494">
            <v>1</v>
          </cell>
        </row>
        <row r="9495">
          <cell r="A9495" t="str">
            <v>IS_alqt_plus</v>
          </cell>
          <cell r="K9495" t="str">
            <v>EFLA</v>
          </cell>
          <cell r="M9495" t="str">
            <v>M</v>
          </cell>
          <cell r="AB9495" t="str">
            <v>WB</v>
          </cell>
          <cell r="AF9495">
            <v>0.2</v>
          </cell>
        </row>
        <row r="9496">
          <cell r="A9496" t="str">
            <v>IS_alqt_plus</v>
          </cell>
          <cell r="K9496" t="str">
            <v>EFLA</v>
          </cell>
          <cell r="M9496" t="str">
            <v>M</v>
          </cell>
          <cell r="AB9496" t="str">
            <v>WB</v>
          </cell>
          <cell r="AF9496">
            <v>0.8</v>
          </cell>
        </row>
        <row r="9497">
          <cell r="A9497" t="str">
            <v>IS_alqt_plus</v>
          </cell>
          <cell r="K9497" t="str">
            <v>EFLA</v>
          </cell>
          <cell r="M9497" t="str">
            <v>M</v>
          </cell>
          <cell r="AB9497" t="str">
            <v>WB</v>
          </cell>
          <cell r="AF9497">
            <v>1</v>
          </cell>
        </row>
        <row r="9498">
          <cell r="A9498" t="str">
            <v>IS_alqt_plus</v>
          </cell>
          <cell r="K9498" t="str">
            <v>EFLA</v>
          </cell>
          <cell r="M9498" t="str">
            <v>M</v>
          </cell>
          <cell r="AB9498" t="str">
            <v>WB</v>
          </cell>
          <cell r="AF9498">
            <v>0.2</v>
          </cell>
        </row>
        <row r="9499">
          <cell r="A9499" t="str">
            <v>IS_alqt_plus</v>
          </cell>
          <cell r="K9499" t="str">
            <v>EFLA</v>
          </cell>
          <cell r="M9499" t="str">
            <v>M</v>
          </cell>
          <cell r="AB9499" t="str">
            <v>WB</v>
          </cell>
          <cell r="AF9499">
            <v>1</v>
          </cell>
        </row>
        <row r="9500">
          <cell r="A9500" t="str">
            <v>IS_alqt_plus</v>
          </cell>
          <cell r="K9500" t="str">
            <v>EFLA</v>
          </cell>
          <cell r="M9500" t="str">
            <v>M</v>
          </cell>
          <cell r="AB9500" t="str">
            <v>WB</v>
          </cell>
          <cell r="AF9500">
            <v>1</v>
          </cell>
        </row>
        <row r="9501">
          <cell r="A9501" t="str">
            <v>IS_alqt_plus</v>
          </cell>
          <cell r="K9501" t="str">
            <v>EFLA</v>
          </cell>
          <cell r="M9501" t="str">
            <v>M</v>
          </cell>
          <cell r="AB9501" t="str">
            <v>WB</v>
          </cell>
          <cell r="AF9501">
            <v>1</v>
          </cell>
        </row>
        <row r="9502">
          <cell r="A9502" t="str">
            <v>IS_alqt_minus</v>
          </cell>
          <cell r="K9502" t="str">
            <v>EFLA</v>
          </cell>
          <cell r="M9502" t="str">
            <v>M</v>
          </cell>
          <cell r="AB9502" t="str">
            <v>WB</v>
          </cell>
          <cell r="AF9502">
            <v>0.15</v>
          </cell>
        </row>
        <row r="9503">
          <cell r="A9503" t="str">
            <v>IS_alqt_minus</v>
          </cell>
          <cell r="K9503" t="str">
            <v>EFLA</v>
          </cell>
          <cell r="M9503" t="str">
            <v>M</v>
          </cell>
          <cell r="AB9503" t="str">
            <v>WB</v>
          </cell>
          <cell r="AF9503">
            <v>0.1</v>
          </cell>
        </row>
        <row r="9504">
          <cell r="A9504" t="str">
            <v>IS_alqt_plus</v>
          </cell>
          <cell r="K9504" t="str">
            <v>EFLA</v>
          </cell>
          <cell r="M9504" t="str">
            <v>M</v>
          </cell>
          <cell r="AB9504" t="str">
            <v>WB</v>
          </cell>
          <cell r="AF9504">
            <v>0.2</v>
          </cell>
        </row>
        <row r="9505">
          <cell r="A9505" t="str">
            <v>IS_alqt_plus</v>
          </cell>
          <cell r="K9505" t="str">
            <v>EFLA</v>
          </cell>
          <cell r="M9505" t="str">
            <v>M</v>
          </cell>
          <cell r="AB9505" t="str">
            <v>WB</v>
          </cell>
          <cell r="AF9505">
            <v>1</v>
          </cell>
        </row>
        <row r="9506">
          <cell r="A9506" t="str">
            <v>IS_alqt_plus</v>
          </cell>
          <cell r="K9506" t="str">
            <v>EFLA</v>
          </cell>
          <cell r="M9506" t="str">
            <v>M</v>
          </cell>
          <cell r="AB9506" t="str">
            <v>WB</v>
          </cell>
          <cell r="AF9506">
            <v>1</v>
          </cell>
        </row>
        <row r="9507">
          <cell r="A9507" t="str">
            <v>IS_alqt_plus</v>
          </cell>
          <cell r="K9507" t="str">
            <v>EFLA</v>
          </cell>
          <cell r="M9507" t="str">
            <v>M</v>
          </cell>
          <cell r="AB9507" t="str">
            <v>WB</v>
          </cell>
          <cell r="AF9507">
            <v>1</v>
          </cell>
        </row>
        <row r="9508">
          <cell r="A9508" t="str">
            <v>IS_alqt_plus</v>
          </cell>
          <cell r="K9508" t="str">
            <v>EFLA</v>
          </cell>
          <cell r="M9508" t="str">
            <v>M</v>
          </cell>
          <cell r="AB9508" t="str">
            <v>WB</v>
          </cell>
          <cell r="AF9508">
            <v>1</v>
          </cell>
        </row>
        <row r="9509">
          <cell r="A9509" t="str">
            <v>IS_alqt_plus</v>
          </cell>
          <cell r="K9509" t="str">
            <v>EFLA</v>
          </cell>
          <cell r="M9509" t="str">
            <v>M</v>
          </cell>
          <cell r="AB9509" t="str">
            <v>WB</v>
          </cell>
          <cell r="AF9509">
            <v>1</v>
          </cell>
        </row>
        <row r="9510">
          <cell r="A9510" t="str">
            <v>IS_alqt_plus</v>
          </cell>
          <cell r="K9510" t="str">
            <v>EFLA</v>
          </cell>
          <cell r="M9510" t="str">
            <v>M</v>
          </cell>
          <cell r="AB9510" t="str">
            <v>WB</v>
          </cell>
          <cell r="AF9510">
            <v>1</v>
          </cell>
        </row>
        <row r="9511">
          <cell r="A9511" t="str">
            <v>IS_alqt_plus</v>
          </cell>
          <cell r="K9511" t="str">
            <v>EFLA</v>
          </cell>
          <cell r="M9511" t="str">
            <v>M</v>
          </cell>
          <cell r="AB9511" t="str">
            <v>WB</v>
          </cell>
          <cell r="AF9511">
            <v>1</v>
          </cell>
        </row>
        <row r="9512">
          <cell r="A9512" t="str">
            <v>IS_alqt_plus</v>
          </cell>
          <cell r="K9512" t="str">
            <v>EFLA</v>
          </cell>
          <cell r="M9512" t="str">
            <v>M</v>
          </cell>
          <cell r="AB9512" t="str">
            <v>WB</v>
          </cell>
          <cell r="AF9512">
            <v>1</v>
          </cell>
        </row>
        <row r="9513">
          <cell r="A9513" t="str">
            <v>IS_alqt_plus</v>
          </cell>
          <cell r="K9513" t="str">
            <v>EFLA</v>
          </cell>
          <cell r="M9513" t="str">
            <v>M</v>
          </cell>
          <cell r="AB9513" t="str">
            <v>WB</v>
          </cell>
          <cell r="AF9513">
            <v>1</v>
          </cell>
        </row>
        <row r="9514">
          <cell r="A9514" t="str">
            <v>gone</v>
          </cell>
          <cell r="K9514" t="str">
            <v>EFLA</v>
          </cell>
          <cell r="M9514" t="str">
            <v>M</v>
          </cell>
          <cell r="AB9514" t="str">
            <v>WB</v>
          </cell>
          <cell r="AF9514">
            <v>0</v>
          </cell>
        </row>
        <row r="9515">
          <cell r="A9515" t="str">
            <v>IS_alqt_plus</v>
          </cell>
          <cell r="K9515" t="str">
            <v>EFLA</v>
          </cell>
          <cell r="M9515" t="str">
            <v>M</v>
          </cell>
          <cell r="AB9515" t="str">
            <v>WB</v>
          </cell>
          <cell r="AF9515">
            <v>0.2</v>
          </cell>
        </row>
        <row r="9516">
          <cell r="A9516" t="str">
            <v>IS_alqt_plus</v>
          </cell>
          <cell r="K9516" t="str">
            <v>EFLA</v>
          </cell>
          <cell r="M9516" t="str">
            <v>M</v>
          </cell>
          <cell r="AB9516" t="str">
            <v>WB</v>
          </cell>
          <cell r="AF9516">
            <v>0.2</v>
          </cell>
        </row>
        <row r="9517">
          <cell r="A9517" t="str">
            <v>IS_alqt_plus</v>
          </cell>
          <cell r="K9517" t="str">
            <v>EFLA</v>
          </cell>
          <cell r="M9517" t="str">
            <v>M</v>
          </cell>
          <cell r="AB9517" t="str">
            <v>WB</v>
          </cell>
          <cell r="AF9517">
            <v>0.75</v>
          </cell>
        </row>
        <row r="9518">
          <cell r="A9518" t="str">
            <v>IS_alqt_plus</v>
          </cell>
          <cell r="K9518" t="str">
            <v>EFLA</v>
          </cell>
          <cell r="M9518" t="str">
            <v>M</v>
          </cell>
          <cell r="AB9518" t="str">
            <v>WB</v>
          </cell>
          <cell r="AF9518">
            <v>1</v>
          </cell>
        </row>
        <row r="9519">
          <cell r="A9519" t="str">
            <v>IS_alqt_plus</v>
          </cell>
          <cell r="K9519" t="str">
            <v>EFLA</v>
          </cell>
          <cell r="M9519" t="str">
            <v>M</v>
          </cell>
          <cell r="AB9519" t="str">
            <v>WB</v>
          </cell>
          <cell r="AF9519">
            <v>1.5</v>
          </cell>
        </row>
        <row r="9520">
          <cell r="A9520" t="str">
            <v>IS_alqt_plus</v>
          </cell>
          <cell r="K9520" t="str">
            <v>EFLA</v>
          </cell>
          <cell r="M9520" t="str">
            <v>M</v>
          </cell>
          <cell r="AB9520" t="str">
            <v>WB</v>
          </cell>
          <cell r="AF9520">
            <v>1</v>
          </cell>
        </row>
        <row r="9521">
          <cell r="A9521" t="str">
            <v>IS_alqt_plus</v>
          </cell>
          <cell r="K9521" t="str">
            <v>EFLA</v>
          </cell>
          <cell r="M9521" t="str">
            <v>M</v>
          </cell>
          <cell r="AB9521" t="str">
            <v>WB</v>
          </cell>
          <cell r="AF9521">
            <v>0.2</v>
          </cell>
        </row>
        <row r="9522">
          <cell r="A9522" t="str">
            <v>IS_alqt_plus</v>
          </cell>
          <cell r="K9522" t="str">
            <v>EFLA</v>
          </cell>
          <cell r="M9522" t="str">
            <v>M</v>
          </cell>
          <cell r="AB9522" t="str">
            <v>WB</v>
          </cell>
          <cell r="AF9522">
            <v>0.2</v>
          </cell>
        </row>
        <row r="9523">
          <cell r="A9523" t="str">
            <v>IS_alqt_plus</v>
          </cell>
          <cell r="K9523" t="str">
            <v>EFLA</v>
          </cell>
          <cell r="M9523" t="str">
            <v>M</v>
          </cell>
          <cell r="AB9523" t="str">
            <v>WB</v>
          </cell>
          <cell r="AF9523">
            <v>1</v>
          </cell>
        </row>
        <row r="9524">
          <cell r="A9524" t="str">
            <v>IS_alqt_plus</v>
          </cell>
          <cell r="K9524" t="str">
            <v>EFLA</v>
          </cell>
          <cell r="M9524" t="str">
            <v>M</v>
          </cell>
          <cell r="AB9524" t="str">
            <v>WB</v>
          </cell>
          <cell r="AF9524">
            <v>1.5</v>
          </cell>
        </row>
        <row r="9525">
          <cell r="A9525" t="str">
            <v>IS_alqt_plus</v>
          </cell>
          <cell r="K9525" t="str">
            <v>EFLA</v>
          </cell>
          <cell r="M9525" t="str">
            <v>F</v>
          </cell>
          <cell r="AB9525" t="str">
            <v>serum</v>
          </cell>
          <cell r="AF9525">
            <v>0.2</v>
          </cell>
        </row>
        <row r="9526">
          <cell r="A9526" t="str">
            <v>IS_alqt_plus</v>
          </cell>
          <cell r="K9526" t="str">
            <v>EFLA</v>
          </cell>
          <cell r="M9526" t="str">
            <v>F</v>
          </cell>
          <cell r="AB9526" t="str">
            <v>serum</v>
          </cell>
          <cell r="AF9526">
            <v>0.2</v>
          </cell>
        </row>
        <row r="9527">
          <cell r="A9527" t="str">
            <v>IS_alqt_plus</v>
          </cell>
          <cell r="K9527" t="str">
            <v>EFLA</v>
          </cell>
          <cell r="M9527" t="str">
            <v>F</v>
          </cell>
          <cell r="AB9527" t="str">
            <v>serum</v>
          </cell>
          <cell r="AF9527">
            <v>0.2</v>
          </cell>
        </row>
        <row r="9528">
          <cell r="A9528" t="str">
            <v>IS_alqt_plus</v>
          </cell>
          <cell r="K9528" t="str">
            <v>EFLA</v>
          </cell>
          <cell r="M9528" t="str">
            <v>F</v>
          </cell>
          <cell r="AB9528" t="str">
            <v>serum</v>
          </cell>
          <cell r="AF9528">
            <v>0.2</v>
          </cell>
        </row>
        <row r="9529">
          <cell r="A9529" t="str">
            <v>IS_alqt_plus</v>
          </cell>
          <cell r="K9529" t="str">
            <v>EFLA</v>
          </cell>
          <cell r="M9529" t="str">
            <v>F</v>
          </cell>
          <cell r="AB9529" t="str">
            <v>serum</v>
          </cell>
          <cell r="AF9529">
            <v>0.2</v>
          </cell>
        </row>
        <row r="9530">
          <cell r="A9530" t="str">
            <v>IS_alqt_plus</v>
          </cell>
          <cell r="K9530" t="str">
            <v>EFLA</v>
          </cell>
          <cell r="M9530" t="str">
            <v>F</v>
          </cell>
          <cell r="AB9530" t="str">
            <v>serum</v>
          </cell>
          <cell r="AF9530">
            <v>0.2</v>
          </cell>
        </row>
        <row r="9531">
          <cell r="A9531" t="str">
            <v>IS_alqt_plus</v>
          </cell>
          <cell r="K9531" t="str">
            <v>EFLA</v>
          </cell>
          <cell r="M9531" t="str">
            <v>M</v>
          </cell>
          <cell r="AB9531" t="str">
            <v>serum</v>
          </cell>
          <cell r="AF9531">
            <v>0.2</v>
          </cell>
        </row>
        <row r="9532">
          <cell r="A9532" t="str">
            <v>IS_alqt_plus</v>
          </cell>
          <cell r="K9532" t="str">
            <v>EFLA</v>
          </cell>
          <cell r="M9532" t="str">
            <v>M</v>
          </cell>
          <cell r="AB9532" t="str">
            <v>serum</v>
          </cell>
          <cell r="AF9532">
            <v>0.2</v>
          </cell>
        </row>
        <row r="9533">
          <cell r="A9533" t="str">
            <v>IS_alqt_plus</v>
          </cell>
          <cell r="K9533" t="str">
            <v>EFLA</v>
          </cell>
          <cell r="M9533" t="str">
            <v>M</v>
          </cell>
          <cell r="AB9533" t="str">
            <v>serum</v>
          </cell>
          <cell r="AF9533">
            <v>0.2</v>
          </cell>
        </row>
        <row r="9534">
          <cell r="A9534" t="str">
            <v>IS_alqt_plus</v>
          </cell>
          <cell r="K9534" t="str">
            <v>EFLA</v>
          </cell>
          <cell r="M9534" t="str">
            <v>M</v>
          </cell>
          <cell r="AB9534" t="str">
            <v>serum</v>
          </cell>
          <cell r="AF9534">
            <v>0.2</v>
          </cell>
        </row>
        <row r="9535">
          <cell r="A9535" t="str">
            <v>gone</v>
          </cell>
          <cell r="K9535" t="str">
            <v>EFLA</v>
          </cell>
          <cell r="M9535" t="str">
            <v>F</v>
          </cell>
          <cell r="AB9535" t="str">
            <v>WB</v>
          </cell>
          <cell r="AF9535">
            <v>0</v>
          </cell>
        </row>
        <row r="9536">
          <cell r="A9536" t="str">
            <v>IS_alqt_plus</v>
          </cell>
          <cell r="K9536" t="str">
            <v>EFLA</v>
          </cell>
          <cell r="M9536" t="str">
            <v>M</v>
          </cell>
          <cell r="AB9536" t="str">
            <v>WB</v>
          </cell>
          <cell r="AF9536">
            <v>0.5</v>
          </cell>
        </row>
        <row r="9537">
          <cell r="A9537" t="str">
            <v>IS_alqt_plus</v>
          </cell>
          <cell r="K9537" t="str">
            <v>DMAD</v>
          </cell>
          <cell r="M9537" t="str">
            <v>F</v>
          </cell>
          <cell r="AB9537" t="str">
            <v>serum</v>
          </cell>
          <cell r="AF9537">
            <v>0.75</v>
          </cell>
        </row>
        <row r="9538">
          <cell r="A9538" t="str">
            <v>IS_alqt_plus</v>
          </cell>
          <cell r="K9538" t="str">
            <v>PCOQ</v>
          </cell>
          <cell r="M9538" t="str">
            <v>F</v>
          </cell>
          <cell r="AB9538" t="str">
            <v>serum</v>
          </cell>
          <cell r="AF9538">
            <v>1.5</v>
          </cell>
        </row>
        <row r="9539">
          <cell r="A9539" t="str">
            <v>IS_alqt_plus</v>
          </cell>
          <cell r="K9539" t="str">
            <v>PCOQ</v>
          </cell>
          <cell r="M9539" t="str">
            <v>F</v>
          </cell>
          <cell r="AB9539" t="str">
            <v>serum</v>
          </cell>
          <cell r="AF9539">
            <v>1.5</v>
          </cell>
        </row>
        <row r="9540">
          <cell r="A9540" t="str">
            <v>IS_alqt_plus</v>
          </cell>
          <cell r="K9540" t="str">
            <v>PCOQ</v>
          </cell>
          <cell r="M9540" t="str">
            <v>F</v>
          </cell>
          <cell r="AB9540" t="str">
            <v>serum</v>
          </cell>
          <cell r="AF9540">
            <v>1.5</v>
          </cell>
        </row>
        <row r="9541">
          <cell r="A9541" t="str">
            <v>IS_alqt_plus</v>
          </cell>
          <cell r="K9541" t="str">
            <v>PCOQ</v>
          </cell>
          <cell r="M9541" t="str">
            <v>F</v>
          </cell>
          <cell r="AB9541" t="str">
            <v>serum</v>
          </cell>
          <cell r="AF9541">
            <v>1.5</v>
          </cell>
        </row>
        <row r="9542">
          <cell r="A9542" t="str">
            <v>IS_alqt_plus</v>
          </cell>
          <cell r="K9542" t="str">
            <v>PCOQ</v>
          </cell>
          <cell r="M9542" t="str">
            <v>F</v>
          </cell>
          <cell r="AB9542" t="str">
            <v>serum</v>
          </cell>
          <cell r="AF9542">
            <v>1.5</v>
          </cell>
        </row>
        <row r="9543">
          <cell r="A9543" t="str">
            <v>IS_alqt_plus</v>
          </cell>
          <cell r="K9543" t="str">
            <v>PCOQ</v>
          </cell>
          <cell r="M9543" t="str">
            <v>F</v>
          </cell>
          <cell r="AB9543" t="str">
            <v>serum</v>
          </cell>
          <cell r="AF9543">
            <v>1.5</v>
          </cell>
        </row>
        <row r="9544">
          <cell r="A9544" t="str">
            <v>IS_alqt_plus</v>
          </cell>
          <cell r="K9544" t="str">
            <v>PCOQ</v>
          </cell>
          <cell r="M9544" t="str">
            <v>F</v>
          </cell>
          <cell r="AB9544" t="str">
            <v>serum</v>
          </cell>
          <cell r="AF9544">
            <v>1.5</v>
          </cell>
        </row>
        <row r="9545">
          <cell r="A9545" t="str">
            <v>IS_alqt_plus</v>
          </cell>
          <cell r="K9545" t="str">
            <v>PCOQ</v>
          </cell>
          <cell r="M9545" t="str">
            <v>F</v>
          </cell>
          <cell r="AB9545" t="str">
            <v>serum</v>
          </cell>
          <cell r="AF9545">
            <v>1.5</v>
          </cell>
        </row>
        <row r="9546">
          <cell r="A9546" t="str">
            <v>IS_alqt_plus</v>
          </cell>
          <cell r="K9546" t="str">
            <v>PCOQ</v>
          </cell>
          <cell r="M9546" t="str">
            <v>F</v>
          </cell>
          <cell r="AB9546" t="str">
            <v>serum</v>
          </cell>
          <cell r="AF9546">
            <v>1.5</v>
          </cell>
        </row>
        <row r="9547">
          <cell r="A9547" t="str">
            <v>IS_alqt_plus</v>
          </cell>
          <cell r="K9547" t="str">
            <v>PCOQ</v>
          </cell>
          <cell r="M9547" t="str">
            <v>F</v>
          </cell>
          <cell r="AB9547" t="str">
            <v>serum</v>
          </cell>
          <cell r="AF9547">
            <v>1.5</v>
          </cell>
        </row>
        <row r="9548">
          <cell r="A9548" t="str">
            <v>IS_alqt_plus</v>
          </cell>
          <cell r="K9548" t="str">
            <v>PCOQ</v>
          </cell>
          <cell r="M9548" t="str">
            <v>F</v>
          </cell>
          <cell r="AB9548" t="str">
            <v>serum</v>
          </cell>
          <cell r="AF9548">
            <v>1.5</v>
          </cell>
        </row>
        <row r="9549">
          <cell r="A9549" t="str">
            <v>IS_alqt_plus</v>
          </cell>
          <cell r="K9549" t="str">
            <v>PCOQ</v>
          </cell>
          <cell r="M9549" t="str">
            <v>F</v>
          </cell>
          <cell r="AB9549" t="str">
            <v>serum</v>
          </cell>
          <cell r="AF9549">
            <v>1.5</v>
          </cell>
        </row>
        <row r="9550">
          <cell r="A9550" t="str">
            <v>IS_alqt_plus</v>
          </cell>
          <cell r="K9550" t="str">
            <v>PCOQ</v>
          </cell>
          <cell r="M9550" t="str">
            <v>F</v>
          </cell>
          <cell r="AB9550" t="str">
            <v>serum</v>
          </cell>
          <cell r="AF9550">
            <v>1.5</v>
          </cell>
        </row>
        <row r="9551">
          <cell r="A9551" t="str">
            <v>IS_alqt_plus</v>
          </cell>
          <cell r="K9551" t="str">
            <v>PCOQ</v>
          </cell>
          <cell r="M9551" t="str">
            <v>F</v>
          </cell>
          <cell r="AB9551" t="str">
            <v>serum</v>
          </cell>
          <cell r="AF9551">
            <v>1.5</v>
          </cell>
        </row>
        <row r="9552">
          <cell r="A9552" t="str">
            <v>IS_alqt_plus</v>
          </cell>
          <cell r="K9552" t="str">
            <v>PCOQ</v>
          </cell>
          <cell r="M9552" t="str">
            <v>F</v>
          </cell>
          <cell r="AB9552" t="str">
            <v>serum</v>
          </cell>
          <cell r="AF9552">
            <v>1.5</v>
          </cell>
        </row>
        <row r="9553">
          <cell r="A9553" t="str">
            <v>IS_alqt_plus</v>
          </cell>
          <cell r="K9553" t="str">
            <v>PCOQ</v>
          </cell>
          <cell r="M9553" t="str">
            <v>F</v>
          </cell>
          <cell r="AB9553" t="str">
            <v>serum</v>
          </cell>
          <cell r="AF9553">
            <v>1.5</v>
          </cell>
        </row>
        <row r="9554">
          <cell r="A9554" t="str">
            <v>IS_alqt_plus</v>
          </cell>
          <cell r="K9554" t="str">
            <v>PCOQ</v>
          </cell>
          <cell r="M9554" t="str">
            <v>F</v>
          </cell>
          <cell r="AB9554" t="str">
            <v>serum</v>
          </cell>
          <cell r="AF9554">
            <v>1.5</v>
          </cell>
        </row>
        <row r="9555">
          <cell r="A9555" t="str">
            <v>IS_alqt_plus</v>
          </cell>
          <cell r="K9555" t="str">
            <v>PCOQ</v>
          </cell>
          <cell r="M9555" t="str">
            <v>F</v>
          </cell>
          <cell r="AB9555" t="str">
            <v>serum</v>
          </cell>
          <cell r="AF9555">
            <v>1.5</v>
          </cell>
        </row>
        <row r="9556">
          <cell r="A9556" t="str">
            <v>IS_alqt_plus</v>
          </cell>
          <cell r="K9556" t="str">
            <v>PCOQ</v>
          </cell>
          <cell r="M9556" t="str">
            <v>F</v>
          </cell>
          <cell r="AB9556" t="str">
            <v>serum</v>
          </cell>
          <cell r="AF9556">
            <v>1.5</v>
          </cell>
        </row>
        <row r="9557">
          <cell r="A9557" t="str">
            <v>IS_alqt_plus</v>
          </cell>
          <cell r="K9557" t="str">
            <v>PCOQ</v>
          </cell>
          <cell r="M9557" t="str">
            <v>F</v>
          </cell>
          <cell r="AB9557" t="str">
            <v>serum</v>
          </cell>
          <cell r="AF9557">
            <v>1.5</v>
          </cell>
        </row>
        <row r="9558">
          <cell r="A9558" t="str">
            <v>IS_alqt_plus</v>
          </cell>
          <cell r="K9558" t="str">
            <v>PCOQ</v>
          </cell>
          <cell r="M9558" t="str">
            <v>F</v>
          </cell>
          <cell r="AB9558" t="str">
            <v>serum</v>
          </cell>
          <cell r="AF9558">
            <v>1.5</v>
          </cell>
        </row>
        <row r="9559">
          <cell r="A9559" t="str">
            <v>IS_alqt_plus</v>
          </cell>
          <cell r="K9559" t="str">
            <v>PCOQ</v>
          </cell>
          <cell r="M9559" t="str">
            <v>F</v>
          </cell>
          <cell r="AB9559" t="str">
            <v>serum</v>
          </cell>
          <cell r="AF9559">
            <v>1</v>
          </cell>
        </row>
        <row r="9560">
          <cell r="A9560" t="str">
            <v>IS_alqt_plus</v>
          </cell>
          <cell r="K9560" t="str">
            <v>PCOQ</v>
          </cell>
          <cell r="M9560" t="str">
            <v>F</v>
          </cell>
          <cell r="AB9560" t="str">
            <v>serum</v>
          </cell>
          <cell r="AF9560">
            <v>1</v>
          </cell>
        </row>
        <row r="9561">
          <cell r="A9561" t="str">
            <v>IS_alqt_plus</v>
          </cell>
          <cell r="K9561" t="str">
            <v>PCOQ</v>
          </cell>
          <cell r="M9561" t="str">
            <v>F</v>
          </cell>
          <cell r="AB9561" t="str">
            <v>serum</v>
          </cell>
          <cell r="AF9561">
            <v>1.5</v>
          </cell>
        </row>
        <row r="9562">
          <cell r="A9562" t="str">
            <v>IS_alqt_plus</v>
          </cell>
          <cell r="K9562" t="str">
            <v>PCOQ</v>
          </cell>
          <cell r="M9562" t="str">
            <v>F</v>
          </cell>
          <cell r="AB9562" t="str">
            <v>serum</v>
          </cell>
          <cell r="AF9562">
            <v>1</v>
          </cell>
        </row>
        <row r="9563">
          <cell r="A9563" t="str">
            <v>IS_alqt_plus</v>
          </cell>
          <cell r="K9563" t="str">
            <v>PCOQ</v>
          </cell>
          <cell r="M9563" t="str">
            <v>F</v>
          </cell>
          <cell r="AB9563" t="str">
            <v>serum</v>
          </cell>
          <cell r="AF9563">
            <v>1</v>
          </cell>
        </row>
        <row r="9564">
          <cell r="A9564" t="str">
            <v>IS_alqt_plus</v>
          </cell>
          <cell r="K9564" t="str">
            <v>PCOQ</v>
          </cell>
          <cell r="M9564" t="str">
            <v>F</v>
          </cell>
          <cell r="AB9564" t="str">
            <v>serum</v>
          </cell>
          <cell r="AF9564">
            <v>1</v>
          </cell>
        </row>
        <row r="9565">
          <cell r="A9565" t="str">
            <v>IS_alqt_plus</v>
          </cell>
          <cell r="K9565" t="str">
            <v>PCOQ</v>
          </cell>
          <cell r="M9565" t="str">
            <v>F</v>
          </cell>
          <cell r="AB9565" t="str">
            <v>serum</v>
          </cell>
          <cell r="AF9565">
            <v>1</v>
          </cell>
        </row>
        <row r="9566">
          <cell r="A9566" t="str">
            <v>IS_alqt_plus</v>
          </cell>
          <cell r="K9566" t="str">
            <v>PCOQ</v>
          </cell>
          <cell r="M9566" t="str">
            <v>F</v>
          </cell>
          <cell r="AB9566" t="str">
            <v>serum</v>
          </cell>
          <cell r="AF9566">
            <v>1</v>
          </cell>
        </row>
        <row r="9567">
          <cell r="A9567" t="str">
            <v>IS_alqt_plus</v>
          </cell>
          <cell r="K9567" t="str">
            <v>PCOQ</v>
          </cell>
          <cell r="M9567" t="str">
            <v>F</v>
          </cell>
          <cell r="AB9567" t="str">
            <v>serum</v>
          </cell>
          <cell r="AF9567">
            <v>1</v>
          </cell>
        </row>
        <row r="9568">
          <cell r="A9568" t="str">
            <v>IS_alqt_plus</v>
          </cell>
          <cell r="K9568" t="str">
            <v>PCOQ</v>
          </cell>
          <cell r="M9568" t="str">
            <v>F</v>
          </cell>
          <cell r="AB9568" t="str">
            <v>serum</v>
          </cell>
          <cell r="AF9568">
            <v>1</v>
          </cell>
        </row>
        <row r="9569">
          <cell r="A9569" t="str">
            <v>IS_alqt_plus</v>
          </cell>
          <cell r="K9569" t="str">
            <v>PCOQ</v>
          </cell>
          <cell r="M9569" t="str">
            <v>F</v>
          </cell>
          <cell r="AB9569" t="str">
            <v>serum</v>
          </cell>
          <cell r="AF9569">
            <v>1</v>
          </cell>
        </row>
        <row r="9570">
          <cell r="A9570" t="str">
            <v>IS_alqt_plus</v>
          </cell>
          <cell r="K9570" t="str">
            <v>PCOQ</v>
          </cell>
          <cell r="M9570" t="str">
            <v>F</v>
          </cell>
          <cell r="AB9570" t="str">
            <v>serum</v>
          </cell>
          <cell r="AF9570">
            <v>1</v>
          </cell>
        </row>
        <row r="9571">
          <cell r="A9571" t="str">
            <v>IS_alqt_plus</v>
          </cell>
          <cell r="K9571" t="str">
            <v>PCOQ</v>
          </cell>
          <cell r="M9571" t="str">
            <v>F</v>
          </cell>
          <cell r="AB9571" t="str">
            <v>serum</v>
          </cell>
          <cell r="AF9571">
            <v>1</v>
          </cell>
        </row>
        <row r="9572">
          <cell r="A9572" t="str">
            <v>IS_alqt_plus</v>
          </cell>
          <cell r="K9572" t="str">
            <v>PCOQ</v>
          </cell>
          <cell r="M9572" t="str">
            <v>F</v>
          </cell>
          <cell r="AB9572" t="str">
            <v>serum</v>
          </cell>
          <cell r="AF9572">
            <v>1</v>
          </cell>
        </row>
        <row r="9573">
          <cell r="A9573" t="str">
            <v>IS_alqt_plus</v>
          </cell>
          <cell r="K9573" t="str">
            <v>PCOQ</v>
          </cell>
          <cell r="M9573" t="str">
            <v>F</v>
          </cell>
          <cell r="AB9573" t="str">
            <v>serum</v>
          </cell>
          <cell r="AF9573">
            <v>1</v>
          </cell>
        </row>
        <row r="9574">
          <cell r="A9574" t="str">
            <v>IS_alqt_plus</v>
          </cell>
          <cell r="K9574" t="str">
            <v>PCOQ</v>
          </cell>
          <cell r="M9574" t="str">
            <v>F</v>
          </cell>
          <cell r="AB9574" t="str">
            <v>serum</v>
          </cell>
          <cell r="AF9574">
            <v>1</v>
          </cell>
        </row>
        <row r="9575">
          <cell r="A9575" t="str">
            <v>IS_alqt_plus</v>
          </cell>
          <cell r="K9575" t="str">
            <v>PCOQ</v>
          </cell>
          <cell r="M9575" t="str">
            <v>F</v>
          </cell>
          <cell r="AB9575" t="str">
            <v>serum</v>
          </cell>
          <cell r="AF9575">
            <v>1</v>
          </cell>
        </row>
        <row r="9576">
          <cell r="A9576" t="str">
            <v>IS_alqt_plus</v>
          </cell>
          <cell r="K9576" t="str">
            <v>PCOQ</v>
          </cell>
          <cell r="M9576" t="str">
            <v>F</v>
          </cell>
          <cell r="AB9576" t="str">
            <v>serum</v>
          </cell>
          <cell r="AF9576">
            <v>1</v>
          </cell>
        </row>
        <row r="9577">
          <cell r="A9577" t="str">
            <v>IS_alqt_plus</v>
          </cell>
          <cell r="K9577" t="str">
            <v>PCOQ</v>
          </cell>
          <cell r="M9577" t="str">
            <v>F</v>
          </cell>
          <cell r="AB9577" t="str">
            <v>serum</v>
          </cell>
          <cell r="AF9577">
            <v>1</v>
          </cell>
        </row>
        <row r="9578">
          <cell r="A9578" t="str">
            <v>IS_alqt_plus</v>
          </cell>
          <cell r="K9578" t="str">
            <v>PCOQ</v>
          </cell>
          <cell r="M9578" t="str">
            <v>F</v>
          </cell>
          <cell r="AB9578" t="str">
            <v>serum</v>
          </cell>
          <cell r="AF9578">
            <v>1</v>
          </cell>
        </row>
        <row r="9579">
          <cell r="A9579" t="str">
            <v>IS_alqt_plus</v>
          </cell>
          <cell r="K9579" t="str">
            <v>PCOQ</v>
          </cell>
          <cell r="M9579" t="str">
            <v>F</v>
          </cell>
          <cell r="AB9579" t="str">
            <v>serum</v>
          </cell>
          <cell r="AF9579">
            <v>1</v>
          </cell>
        </row>
        <row r="9580">
          <cell r="A9580" t="str">
            <v>IS_alqt_plus</v>
          </cell>
          <cell r="K9580" t="str">
            <v>PCOQ</v>
          </cell>
          <cell r="M9580" t="str">
            <v>F</v>
          </cell>
          <cell r="AB9580" t="str">
            <v>serum</v>
          </cell>
          <cell r="AF9580">
            <v>1</v>
          </cell>
        </row>
        <row r="9581">
          <cell r="A9581" t="str">
            <v>IS_alqt_plus</v>
          </cell>
          <cell r="K9581" t="str">
            <v>PCOQ</v>
          </cell>
          <cell r="M9581" t="str">
            <v>F</v>
          </cell>
          <cell r="AB9581" t="str">
            <v>serum</v>
          </cell>
          <cell r="AF9581">
            <v>1</v>
          </cell>
        </row>
        <row r="9582">
          <cell r="A9582" t="str">
            <v>IS_alqt_plus</v>
          </cell>
          <cell r="K9582" t="str">
            <v>PCOQ</v>
          </cell>
          <cell r="M9582" t="str">
            <v>F</v>
          </cell>
          <cell r="AB9582" t="str">
            <v>serum</v>
          </cell>
          <cell r="AF9582">
            <v>1</v>
          </cell>
        </row>
        <row r="9583">
          <cell r="A9583" t="str">
            <v>gone</v>
          </cell>
          <cell r="K9583" t="str">
            <v>DMAD</v>
          </cell>
          <cell r="M9583" t="str">
            <v>F</v>
          </cell>
          <cell r="AB9583" t="str">
            <v>WB</v>
          </cell>
          <cell r="AF9583">
            <v>0</v>
          </cell>
        </row>
        <row r="9584">
          <cell r="A9584" t="str">
            <v>IS_alqt_plus</v>
          </cell>
          <cell r="K9584" t="str">
            <v>PCOQ</v>
          </cell>
          <cell r="M9584" t="str">
            <v>M</v>
          </cell>
          <cell r="AB9584" t="str">
            <v>WB</v>
          </cell>
          <cell r="AF9584">
            <v>0.5</v>
          </cell>
        </row>
        <row r="9585">
          <cell r="A9585" t="str">
            <v>IS_alqt_plus</v>
          </cell>
          <cell r="K9585" t="str">
            <v>PCOQ</v>
          </cell>
          <cell r="M9585" t="str">
            <v>M</v>
          </cell>
          <cell r="AB9585" t="str">
            <v>WB</v>
          </cell>
          <cell r="AF9585">
            <v>0.2</v>
          </cell>
        </row>
        <row r="9586">
          <cell r="A9586" t="str">
            <v>IS_alqt_plus</v>
          </cell>
          <cell r="K9586" t="str">
            <v>PCOQ</v>
          </cell>
          <cell r="M9586" t="str">
            <v>M</v>
          </cell>
          <cell r="AB9586" t="str">
            <v>WB</v>
          </cell>
          <cell r="AF9586">
            <v>0.2</v>
          </cell>
        </row>
        <row r="9587">
          <cell r="A9587" t="str">
            <v>IS_alqt_plus</v>
          </cell>
          <cell r="K9587" t="str">
            <v>PCOQ</v>
          </cell>
          <cell r="M9587" t="str">
            <v>M</v>
          </cell>
          <cell r="AB9587" t="str">
            <v>WB</v>
          </cell>
          <cell r="AF9587">
            <v>0.2</v>
          </cell>
        </row>
        <row r="9588">
          <cell r="A9588" t="str">
            <v>unk</v>
          </cell>
          <cell r="K9588" t="str">
            <v>PCOQ</v>
          </cell>
          <cell r="M9588" t="str">
            <v>M</v>
          </cell>
          <cell r="AB9588" t="str">
            <v>WB</v>
          </cell>
          <cell r="AF9588">
            <v>0.5</v>
          </cell>
        </row>
        <row r="9589">
          <cell r="A9589" t="str">
            <v>IS_alqt_plus</v>
          </cell>
          <cell r="K9589" t="str">
            <v>PCOQ</v>
          </cell>
          <cell r="M9589" t="str">
            <v>F</v>
          </cell>
          <cell r="AB9589" t="str">
            <v>WB</v>
          </cell>
          <cell r="AF9589">
            <v>0.2</v>
          </cell>
        </row>
        <row r="9590">
          <cell r="A9590" t="str">
            <v>IS_alqt_plus</v>
          </cell>
          <cell r="K9590" t="str">
            <v>PCOQ</v>
          </cell>
          <cell r="M9590" t="str">
            <v>M</v>
          </cell>
          <cell r="AB9590" t="str">
            <v>WB</v>
          </cell>
          <cell r="AF9590">
            <v>0.2</v>
          </cell>
        </row>
        <row r="9591">
          <cell r="A9591" t="str">
            <v>unk</v>
          </cell>
          <cell r="K9591" t="str">
            <v>PCOQ</v>
          </cell>
          <cell r="M9591" t="str">
            <v>M</v>
          </cell>
          <cell r="AB9591" t="str">
            <v>WB</v>
          </cell>
          <cell r="AF9591">
            <v>0.3</v>
          </cell>
        </row>
        <row r="9592">
          <cell r="A9592" t="str">
            <v>unk</v>
          </cell>
          <cell r="K9592" t="str">
            <v>PCOQ</v>
          </cell>
          <cell r="M9592" t="str">
            <v>M</v>
          </cell>
          <cell r="AB9592" t="str">
            <v>WB</v>
          </cell>
          <cell r="AF9592">
            <v>0.5</v>
          </cell>
        </row>
        <row r="9593">
          <cell r="A9593" t="str">
            <v>IS_alqt_plus</v>
          </cell>
          <cell r="K9593" t="str">
            <v>PCOQ</v>
          </cell>
          <cell r="M9593" t="str">
            <v>F</v>
          </cell>
          <cell r="AB9593" t="str">
            <v>WB</v>
          </cell>
          <cell r="AF9593">
            <v>0.2</v>
          </cell>
        </row>
        <row r="9594">
          <cell r="A9594" t="str">
            <v>IS_alqt_plus</v>
          </cell>
          <cell r="K9594" t="str">
            <v>PCOQ</v>
          </cell>
          <cell r="M9594" t="str">
            <v>F</v>
          </cell>
          <cell r="AB9594" t="str">
            <v>WB</v>
          </cell>
          <cell r="AF9594">
            <v>0.2</v>
          </cell>
        </row>
        <row r="9595">
          <cell r="A9595" t="str">
            <v>on hold</v>
          </cell>
          <cell r="K9595" t="str">
            <v>PCOQ</v>
          </cell>
          <cell r="M9595" t="str">
            <v>F</v>
          </cell>
          <cell r="AB9595" t="str">
            <v>WB</v>
          </cell>
          <cell r="AF9595">
            <v>0.5</v>
          </cell>
        </row>
        <row r="9596">
          <cell r="A9596" t="str">
            <v>IS_alqt_plus</v>
          </cell>
          <cell r="K9596" t="str">
            <v>PCOQ</v>
          </cell>
          <cell r="M9596" t="str">
            <v>F</v>
          </cell>
          <cell r="AB9596" t="str">
            <v>WB</v>
          </cell>
          <cell r="AF9596">
            <v>1</v>
          </cell>
        </row>
        <row r="9597">
          <cell r="A9597" t="str">
            <v>IS_alqt_plus</v>
          </cell>
          <cell r="K9597" t="str">
            <v>PCOQ</v>
          </cell>
          <cell r="M9597" t="str">
            <v>F</v>
          </cell>
          <cell r="AB9597" t="str">
            <v>WB</v>
          </cell>
          <cell r="AF9597">
            <v>0.7</v>
          </cell>
        </row>
        <row r="9598">
          <cell r="A9598" t="str">
            <v>IS_alqt_plus</v>
          </cell>
          <cell r="K9598" t="str">
            <v>PCOQ</v>
          </cell>
          <cell r="M9598" t="str">
            <v>F</v>
          </cell>
          <cell r="AB9598" t="str">
            <v>WB</v>
          </cell>
          <cell r="AF9598">
            <v>1</v>
          </cell>
        </row>
        <row r="9599">
          <cell r="A9599" t="str">
            <v>IS_alqt_plus</v>
          </cell>
          <cell r="K9599" t="str">
            <v>PCOQ</v>
          </cell>
          <cell r="M9599" t="str">
            <v>F</v>
          </cell>
          <cell r="AB9599" t="str">
            <v>WB</v>
          </cell>
          <cell r="AF9599">
            <v>1</v>
          </cell>
        </row>
        <row r="9600">
          <cell r="A9600" t="str">
            <v>IS_alqt_plus</v>
          </cell>
          <cell r="K9600" t="str">
            <v>PCOQ</v>
          </cell>
          <cell r="M9600" t="str">
            <v>F</v>
          </cell>
          <cell r="AB9600" t="str">
            <v>WB</v>
          </cell>
          <cell r="AF9600">
            <v>1</v>
          </cell>
        </row>
        <row r="9601">
          <cell r="A9601" t="str">
            <v>IS_alqt_plus</v>
          </cell>
          <cell r="K9601" t="str">
            <v>PCOQ</v>
          </cell>
          <cell r="M9601" t="str">
            <v>F</v>
          </cell>
          <cell r="AB9601" t="str">
            <v>WB</v>
          </cell>
          <cell r="AF9601">
            <v>1</v>
          </cell>
        </row>
        <row r="9602">
          <cell r="A9602" t="str">
            <v>IS_alqt_plus</v>
          </cell>
          <cell r="K9602" t="str">
            <v>PCOQ</v>
          </cell>
          <cell r="M9602" t="str">
            <v>F</v>
          </cell>
          <cell r="AB9602" t="str">
            <v>WB</v>
          </cell>
          <cell r="AF9602">
            <v>1</v>
          </cell>
        </row>
        <row r="9603">
          <cell r="A9603" t="str">
            <v>IS_alqt_plus</v>
          </cell>
          <cell r="K9603" t="str">
            <v>PCOQ</v>
          </cell>
          <cell r="M9603" t="str">
            <v>F</v>
          </cell>
          <cell r="AB9603" t="str">
            <v>WB</v>
          </cell>
          <cell r="AF9603">
            <v>1</v>
          </cell>
        </row>
        <row r="9604">
          <cell r="A9604" t="str">
            <v>IS_alqt_plus</v>
          </cell>
          <cell r="K9604" t="str">
            <v>PCOQ</v>
          </cell>
          <cell r="M9604" t="str">
            <v>F</v>
          </cell>
          <cell r="AB9604" t="str">
            <v>WB</v>
          </cell>
          <cell r="AF9604">
            <v>1</v>
          </cell>
        </row>
        <row r="9605">
          <cell r="A9605" t="str">
            <v>IS_alqt_plus</v>
          </cell>
          <cell r="K9605" t="str">
            <v>PCOQ</v>
          </cell>
          <cell r="M9605" t="str">
            <v>F</v>
          </cell>
          <cell r="AB9605" t="str">
            <v>WB</v>
          </cell>
          <cell r="AF9605">
            <v>1</v>
          </cell>
        </row>
        <row r="9606">
          <cell r="A9606" t="str">
            <v>IS_alqt_plus</v>
          </cell>
          <cell r="K9606" t="str">
            <v>PCOQ</v>
          </cell>
          <cell r="M9606" t="str">
            <v>F</v>
          </cell>
          <cell r="AB9606" t="str">
            <v>WB</v>
          </cell>
          <cell r="AF9606">
            <v>1</v>
          </cell>
        </row>
        <row r="9607">
          <cell r="A9607" t="str">
            <v>IS_alqt_plus</v>
          </cell>
          <cell r="K9607" t="str">
            <v>PCOQ</v>
          </cell>
          <cell r="M9607" t="str">
            <v>F</v>
          </cell>
          <cell r="AB9607" t="str">
            <v>WB</v>
          </cell>
          <cell r="AF9607">
            <v>1</v>
          </cell>
        </row>
        <row r="9608">
          <cell r="A9608" t="str">
            <v>IS_alqt_plus</v>
          </cell>
          <cell r="K9608" t="str">
            <v>PCOQ</v>
          </cell>
          <cell r="M9608" t="str">
            <v>F</v>
          </cell>
          <cell r="AB9608" t="str">
            <v>WB</v>
          </cell>
          <cell r="AF9608">
            <v>1</v>
          </cell>
        </row>
        <row r="9609">
          <cell r="A9609" t="str">
            <v>IS_alqt_plus</v>
          </cell>
          <cell r="K9609" t="str">
            <v>PCOQ</v>
          </cell>
          <cell r="M9609" t="str">
            <v>F</v>
          </cell>
          <cell r="AB9609" t="str">
            <v>WB</v>
          </cell>
          <cell r="AF9609">
            <v>1</v>
          </cell>
        </row>
        <row r="9610">
          <cell r="A9610" t="str">
            <v>IS_alqt_plus</v>
          </cell>
          <cell r="K9610" t="str">
            <v>PCOQ</v>
          </cell>
          <cell r="M9610" t="str">
            <v>F</v>
          </cell>
          <cell r="AB9610" t="str">
            <v>WB</v>
          </cell>
          <cell r="AF9610">
            <v>1</v>
          </cell>
        </row>
        <row r="9611">
          <cell r="A9611" t="str">
            <v>IS_alqt_plus</v>
          </cell>
          <cell r="K9611" t="str">
            <v>PCOQ</v>
          </cell>
          <cell r="M9611" t="str">
            <v>F</v>
          </cell>
          <cell r="AB9611" t="str">
            <v>WB</v>
          </cell>
          <cell r="AF9611">
            <v>1</v>
          </cell>
        </row>
        <row r="9612">
          <cell r="A9612" t="str">
            <v>IS_alqt_plus</v>
          </cell>
          <cell r="K9612" t="str">
            <v>PCOQ</v>
          </cell>
          <cell r="M9612" t="str">
            <v>F</v>
          </cell>
          <cell r="AB9612" t="str">
            <v>WB</v>
          </cell>
          <cell r="AF9612">
            <v>1</v>
          </cell>
        </row>
        <row r="9613">
          <cell r="A9613" t="str">
            <v>IS_alqt_plus</v>
          </cell>
          <cell r="K9613" t="str">
            <v>PCOQ</v>
          </cell>
          <cell r="M9613" t="str">
            <v>F</v>
          </cell>
          <cell r="AB9613" t="str">
            <v>WB</v>
          </cell>
          <cell r="AF9613">
            <v>1</v>
          </cell>
        </row>
        <row r="9614">
          <cell r="A9614" t="str">
            <v>IS_alqt_plus</v>
          </cell>
          <cell r="K9614" t="str">
            <v>PCOQ</v>
          </cell>
          <cell r="M9614" t="str">
            <v>F</v>
          </cell>
          <cell r="AB9614" t="str">
            <v>WB</v>
          </cell>
          <cell r="AF9614">
            <v>1</v>
          </cell>
        </row>
        <row r="9615">
          <cell r="A9615" t="str">
            <v>IS_alqt_plus</v>
          </cell>
          <cell r="K9615" t="str">
            <v>PCOQ</v>
          </cell>
          <cell r="M9615" t="str">
            <v>F</v>
          </cell>
          <cell r="AB9615" t="str">
            <v>WB</v>
          </cell>
          <cell r="AF9615">
            <v>1</v>
          </cell>
        </row>
        <row r="9616">
          <cell r="A9616" t="str">
            <v>IS_alqt_plus</v>
          </cell>
          <cell r="K9616" t="str">
            <v>PCOQ</v>
          </cell>
          <cell r="M9616" t="str">
            <v>F</v>
          </cell>
          <cell r="AB9616" t="str">
            <v>WB</v>
          </cell>
          <cell r="AF9616">
            <v>0.5</v>
          </cell>
        </row>
        <row r="9617">
          <cell r="A9617" t="str">
            <v>IS_alqt_plus</v>
          </cell>
          <cell r="K9617" t="str">
            <v>PCOQ</v>
          </cell>
          <cell r="M9617" t="str">
            <v>F</v>
          </cell>
          <cell r="AB9617" t="str">
            <v>WB</v>
          </cell>
          <cell r="AF9617">
            <v>1</v>
          </cell>
        </row>
        <row r="9618">
          <cell r="A9618" t="str">
            <v>IS_alqt_plus</v>
          </cell>
          <cell r="K9618" t="str">
            <v>PCOQ</v>
          </cell>
          <cell r="M9618" t="str">
            <v>F</v>
          </cell>
          <cell r="AB9618" t="str">
            <v>WB</v>
          </cell>
          <cell r="AF9618">
            <v>1.2</v>
          </cell>
        </row>
        <row r="9619">
          <cell r="A9619" t="str">
            <v>IS_alqt_plus</v>
          </cell>
          <cell r="K9619" t="str">
            <v>PCOQ</v>
          </cell>
          <cell r="M9619" t="str">
            <v>F</v>
          </cell>
          <cell r="AB9619" t="str">
            <v>WB</v>
          </cell>
          <cell r="AF9619">
            <v>0.75</v>
          </cell>
        </row>
        <row r="9620">
          <cell r="A9620" t="str">
            <v>IS_alqt_plus</v>
          </cell>
          <cell r="K9620" t="str">
            <v>PCOQ</v>
          </cell>
          <cell r="M9620" t="str">
            <v>M</v>
          </cell>
          <cell r="AB9620" t="str">
            <v>WB</v>
          </cell>
          <cell r="AF9620">
            <v>1.5</v>
          </cell>
        </row>
        <row r="9621">
          <cell r="A9621" t="str">
            <v>IS_alqt_plus</v>
          </cell>
          <cell r="K9621" t="str">
            <v>PCOQ</v>
          </cell>
          <cell r="M9621" t="str">
            <v>M</v>
          </cell>
          <cell r="AB9621" t="str">
            <v>WB</v>
          </cell>
          <cell r="AF9621">
            <v>0.75</v>
          </cell>
        </row>
        <row r="9622">
          <cell r="A9622" t="str">
            <v>IS_alqt_plus</v>
          </cell>
          <cell r="K9622" t="str">
            <v>PCOQ</v>
          </cell>
          <cell r="M9622" t="str">
            <v>M</v>
          </cell>
          <cell r="AB9622" t="str">
            <v>WB</v>
          </cell>
          <cell r="AF9622">
            <v>1</v>
          </cell>
        </row>
        <row r="9623">
          <cell r="A9623" t="str">
            <v>IS_alqt_plus</v>
          </cell>
          <cell r="K9623" t="str">
            <v>PCOQ</v>
          </cell>
          <cell r="M9623" t="str">
            <v>M</v>
          </cell>
          <cell r="AB9623" t="str">
            <v>WB</v>
          </cell>
          <cell r="AF9623">
            <v>1</v>
          </cell>
        </row>
        <row r="9624">
          <cell r="A9624" t="str">
            <v>IS_alqt_plus</v>
          </cell>
          <cell r="K9624" t="str">
            <v>PCOQ</v>
          </cell>
          <cell r="M9624" t="str">
            <v>M</v>
          </cell>
          <cell r="AB9624" t="str">
            <v>WB</v>
          </cell>
          <cell r="AF9624">
            <v>0.75</v>
          </cell>
        </row>
        <row r="9625">
          <cell r="A9625" t="str">
            <v>IS_alqt_plus</v>
          </cell>
          <cell r="K9625" t="str">
            <v>PCOQ</v>
          </cell>
          <cell r="M9625" t="str">
            <v>M</v>
          </cell>
          <cell r="AB9625" t="str">
            <v>WB</v>
          </cell>
          <cell r="AF9625">
            <v>1</v>
          </cell>
        </row>
        <row r="9626">
          <cell r="A9626" t="str">
            <v>IS_alqt_plus</v>
          </cell>
          <cell r="K9626" t="str">
            <v>PCOQ</v>
          </cell>
          <cell r="M9626" t="str">
            <v>M</v>
          </cell>
          <cell r="AB9626" t="str">
            <v>WB</v>
          </cell>
          <cell r="AF9626">
            <v>0.75</v>
          </cell>
        </row>
        <row r="9627">
          <cell r="A9627" t="str">
            <v>IS_alqt_plus</v>
          </cell>
          <cell r="K9627" t="str">
            <v>PCOQ</v>
          </cell>
          <cell r="M9627" t="str">
            <v>F</v>
          </cell>
          <cell r="AB9627" t="str">
            <v>WB</v>
          </cell>
          <cell r="AF9627">
            <v>0.8</v>
          </cell>
        </row>
        <row r="9628">
          <cell r="A9628" t="str">
            <v>IS_alqt_plus</v>
          </cell>
          <cell r="K9628" t="str">
            <v>PCOQ</v>
          </cell>
          <cell r="M9628" t="str">
            <v>M</v>
          </cell>
          <cell r="AB9628" t="str">
            <v>WB</v>
          </cell>
          <cell r="AF9628">
            <v>0.3</v>
          </cell>
        </row>
        <row r="9629">
          <cell r="A9629" t="str">
            <v>gone</v>
          </cell>
          <cell r="K9629" t="str">
            <v>PCOQ</v>
          </cell>
          <cell r="M9629" t="str">
            <v>F</v>
          </cell>
          <cell r="AB9629" t="str">
            <v>WB</v>
          </cell>
          <cell r="AF9629">
            <v>0</v>
          </cell>
        </row>
        <row r="9630">
          <cell r="A9630" t="str">
            <v>gone</v>
          </cell>
          <cell r="K9630" t="str">
            <v>PCOQ</v>
          </cell>
          <cell r="M9630" t="str">
            <v>F</v>
          </cell>
          <cell r="AB9630" t="str">
            <v>WB</v>
          </cell>
          <cell r="AF9630">
            <v>0</v>
          </cell>
        </row>
        <row r="9631">
          <cell r="A9631" t="str">
            <v>IS_alqt_plus</v>
          </cell>
          <cell r="K9631" t="str">
            <v>PCOQ</v>
          </cell>
          <cell r="M9631" t="str">
            <v>F</v>
          </cell>
          <cell r="AB9631" t="str">
            <v>WB</v>
          </cell>
          <cell r="AF9631">
            <v>0.5</v>
          </cell>
        </row>
        <row r="9632">
          <cell r="A9632" t="str">
            <v>IS_alqt_plus</v>
          </cell>
          <cell r="K9632" t="str">
            <v>PCOQ</v>
          </cell>
          <cell r="M9632" t="str">
            <v>F</v>
          </cell>
          <cell r="AB9632" t="str">
            <v>WB</v>
          </cell>
          <cell r="AF9632">
            <v>0.6</v>
          </cell>
        </row>
        <row r="9633">
          <cell r="A9633" t="str">
            <v>IS_alqt_plus</v>
          </cell>
          <cell r="K9633" t="str">
            <v>PCOQ</v>
          </cell>
          <cell r="M9633" t="str">
            <v>F</v>
          </cell>
          <cell r="AB9633" t="str">
            <v>WB</v>
          </cell>
          <cell r="AF9633">
            <v>0.6</v>
          </cell>
        </row>
        <row r="9634">
          <cell r="A9634" t="str">
            <v>gone</v>
          </cell>
          <cell r="K9634" t="str">
            <v>PCOQ</v>
          </cell>
          <cell r="M9634" t="str">
            <v>F</v>
          </cell>
          <cell r="AB9634" t="str">
            <v>WB</v>
          </cell>
          <cell r="AF9634">
            <v>0</v>
          </cell>
        </row>
        <row r="9635">
          <cell r="A9635" t="str">
            <v>IS_alqt_plus</v>
          </cell>
          <cell r="K9635" t="str">
            <v>PCOQ</v>
          </cell>
          <cell r="M9635" t="str">
            <v>F</v>
          </cell>
          <cell r="AB9635" t="str">
            <v>WB</v>
          </cell>
          <cell r="AF9635">
            <v>0.6</v>
          </cell>
        </row>
        <row r="9636">
          <cell r="A9636" t="str">
            <v>IS_alqt_plus</v>
          </cell>
          <cell r="K9636" t="str">
            <v>EMON</v>
          </cell>
          <cell r="M9636" t="str">
            <v>M</v>
          </cell>
          <cell r="AB9636" t="str">
            <v>WB</v>
          </cell>
          <cell r="AF9636">
            <v>0.5</v>
          </cell>
        </row>
        <row r="9637">
          <cell r="A9637" t="str">
            <v>IS_alqt_plus</v>
          </cell>
          <cell r="K9637" t="str">
            <v>EMON</v>
          </cell>
          <cell r="M9637" t="str">
            <v>F</v>
          </cell>
          <cell r="AB9637" t="str">
            <v>WB</v>
          </cell>
          <cell r="AF9637">
            <v>0.75</v>
          </cell>
        </row>
        <row r="9638">
          <cell r="A9638" t="str">
            <v>IS_alqt_plus</v>
          </cell>
          <cell r="K9638" t="str">
            <v>PCOQ</v>
          </cell>
          <cell r="M9638" t="str">
            <v>F</v>
          </cell>
          <cell r="AB9638" t="str">
            <v>WB</v>
          </cell>
          <cell r="AF9638">
            <v>1</v>
          </cell>
        </row>
        <row r="9639">
          <cell r="A9639" t="str">
            <v>IS_alqt_plus</v>
          </cell>
          <cell r="K9639" t="str">
            <v>PCOQ</v>
          </cell>
          <cell r="M9639" t="str">
            <v>F</v>
          </cell>
          <cell r="AB9639" t="str">
            <v>WB</v>
          </cell>
          <cell r="AF9639">
            <v>0.2</v>
          </cell>
        </row>
        <row r="9640">
          <cell r="A9640" t="str">
            <v>IS_alqt_plus</v>
          </cell>
          <cell r="K9640" t="str">
            <v>LCAT</v>
          </cell>
          <cell r="M9640" t="str">
            <v>M</v>
          </cell>
          <cell r="AB9640" t="str">
            <v>serum</v>
          </cell>
          <cell r="AF9640">
            <v>1</v>
          </cell>
        </row>
        <row r="9641">
          <cell r="A9641" t="str">
            <v>IS_alqt_plus</v>
          </cell>
          <cell r="K9641" t="str">
            <v>PCOQ</v>
          </cell>
          <cell r="M9641" t="str">
            <v>F</v>
          </cell>
          <cell r="AB9641" t="str">
            <v>WB</v>
          </cell>
          <cell r="AF9641">
            <v>0.2</v>
          </cell>
        </row>
        <row r="9642">
          <cell r="A9642" t="str">
            <v>IS_alqt_minus</v>
          </cell>
          <cell r="K9642" t="str">
            <v>CMED</v>
          </cell>
          <cell r="M9642" t="str">
            <v>M</v>
          </cell>
          <cell r="AB9642" t="str">
            <v>PRBC</v>
          </cell>
          <cell r="AF9642">
            <v>0.1</v>
          </cell>
        </row>
        <row r="9643">
          <cell r="A9643" t="str">
            <v>IS_alqt_minus</v>
          </cell>
          <cell r="K9643" t="str">
            <v>CMED</v>
          </cell>
          <cell r="M9643" t="str">
            <v>F</v>
          </cell>
          <cell r="AB9643" t="str">
            <v>PRBC</v>
          </cell>
          <cell r="AF9643">
            <v>0.1</v>
          </cell>
        </row>
        <row r="9644">
          <cell r="A9644" t="str">
            <v>IS_alqt_minus</v>
          </cell>
          <cell r="K9644" t="str">
            <v>CMED</v>
          </cell>
          <cell r="M9644" t="str">
            <v>M</v>
          </cell>
          <cell r="AB9644" t="str">
            <v>PRBC</v>
          </cell>
          <cell r="AF9644">
            <v>0.1</v>
          </cell>
        </row>
        <row r="9645">
          <cell r="A9645" t="str">
            <v>IS_alqt_plus</v>
          </cell>
          <cell r="K9645" t="str">
            <v>CMED</v>
          </cell>
          <cell r="M9645" t="str">
            <v>F</v>
          </cell>
          <cell r="AB9645" t="str">
            <v>PRBC</v>
          </cell>
          <cell r="AF9645">
            <v>0.3</v>
          </cell>
        </row>
        <row r="9646">
          <cell r="A9646" t="str">
            <v>IS_alqt_minus</v>
          </cell>
          <cell r="K9646" t="str">
            <v>CMED</v>
          </cell>
          <cell r="M9646" t="str">
            <v>M</v>
          </cell>
          <cell r="AB9646" t="str">
            <v>PRBC</v>
          </cell>
          <cell r="AF9646">
            <v>0.1</v>
          </cell>
        </row>
        <row r="9647">
          <cell r="A9647" t="str">
            <v>IS_alqt_minus</v>
          </cell>
          <cell r="K9647" t="str">
            <v>CMED</v>
          </cell>
          <cell r="M9647" t="str">
            <v>M</v>
          </cell>
          <cell r="AB9647" t="str">
            <v>PRBC</v>
          </cell>
          <cell r="AF9647">
            <v>0.1</v>
          </cell>
        </row>
        <row r="9648">
          <cell r="A9648" t="str">
            <v>IS_alqt_minus</v>
          </cell>
          <cell r="K9648" t="str">
            <v>CMED</v>
          </cell>
          <cell r="M9648" t="str">
            <v>F</v>
          </cell>
          <cell r="AB9648" t="str">
            <v>PRBC</v>
          </cell>
          <cell r="AF9648">
            <v>0.1</v>
          </cell>
        </row>
        <row r="9649">
          <cell r="A9649" t="str">
            <v>IS_alqt_minus</v>
          </cell>
          <cell r="K9649" t="str">
            <v>CMED</v>
          </cell>
          <cell r="M9649" t="str">
            <v>F</v>
          </cell>
          <cell r="AB9649" t="str">
            <v>PRBC</v>
          </cell>
          <cell r="AF9649">
            <v>0.1</v>
          </cell>
        </row>
        <row r="9650">
          <cell r="A9650" t="str">
            <v>gone</v>
          </cell>
          <cell r="K9650" t="str">
            <v>MMUR</v>
          </cell>
          <cell r="M9650" t="str">
            <v>F</v>
          </cell>
          <cell r="AB9650" t="str">
            <v>WB</v>
          </cell>
          <cell r="AF9650">
            <v>0</v>
          </cell>
        </row>
        <row r="9651">
          <cell r="A9651" t="str">
            <v>IS_alqt_minus</v>
          </cell>
          <cell r="K9651" t="str">
            <v>CMED</v>
          </cell>
          <cell r="M9651" t="str">
            <v>F</v>
          </cell>
          <cell r="AB9651" t="str">
            <v>WB</v>
          </cell>
          <cell r="AF9651">
            <v>0.1</v>
          </cell>
        </row>
        <row r="9652">
          <cell r="A9652" t="str">
            <v>IS_alqt_plus</v>
          </cell>
          <cell r="K9652" t="str">
            <v>CMED</v>
          </cell>
          <cell r="M9652" t="str">
            <v>F</v>
          </cell>
          <cell r="AB9652" t="str">
            <v>WB</v>
          </cell>
          <cell r="AF9652">
            <v>0.2</v>
          </cell>
        </row>
        <row r="9653">
          <cell r="A9653" t="str">
            <v>IS_alqt_minus</v>
          </cell>
          <cell r="K9653" t="str">
            <v>MMUR</v>
          </cell>
          <cell r="M9653" t="str">
            <v>F</v>
          </cell>
          <cell r="AB9653" t="str">
            <v>WB</v>
          </cell>
          <cell r="AF9653">
            <v>0.15</v>
          </cell>
        </row>
        <row r="9654">
          <cell r="A9654" t="str">
            <v>IS_alqt_minus</v>
          </cell>
          <cell r="K9654" t="str">
            <v>MMUR</v>
          </cell>
          <cell r="M9654" t="str">
            <v>M</v>
          </cell>
          <cell r="AB9654" t="str">
            <v>WB</v>
          </cell>
          <cell r="AF9654">
            <v>0.05</v>
          </cell>
        </row>
        <row r="9655">
          <cell r="A9655" t="str">
            <v>IS_alqt_plus</v>
          </cell>
          <cell r="K9655" t="str">
            <v>PCOQ</v>
          </cell>
          <cell r="M9655" t="str">
            <v>F</v>
          </cell>
          <cell r="AB9655" t="str">
            <v>WB</v>
          </cell>
          <cell r="AF9655">
            <v>0.2</v>
          </cell>
        </row>
        <row r="9656">
          <cell r="A9656" t="str">
            <v>IS_alqt_plus</v>
          </cell>
          <cell r="K9656" t="str">
            <v>PCOQ</v>
          </cell>
          <cell r="M9656" t="str">
            <v>F</v>
          </cell>
          <cell r="AB9656" t="str">
            <v>WB</v>
          </cell>
          <cell r="AF9656">
            <v>0.2</v>
          </cell>
        </row>
        <row r="9657">
          <cell r="A9657" t="str">
            <v>IS_alqt_plus</v>
          </cell>
          <cell r="K9657" t="str">
            <v>EFLA</v>
          </cell>
          <cell r="M9657" t="str">
            <v>F</v>
          </cell>
          <cell r="AB9657" t="str">
            <v>serum</v>
          </cell>
          <cell r="AF9657">
            <v>0.2</v>
          </cell>
        </row>
        <row r="9658">
          <cell r="A9658" t="str">
            <v>IS_alqt_plus</v>
          </cell>
          <cell r="K9658" t="str">
            <v>EFLA</v>
          </cell>
          <cell r="M9658" t="str">
            <v>F</v>
          </cell>
          <cell r="AB9658" t="str">
            <v>serum</v>
          </cell>
          <cell r="AF9658">
            <v>0.2</v>
          </cell>
        </row>
        <row r="9659">
          <cell r="A9659" t="str">
            <v>IS_alqt_plus</v>
          </cell>
          <cell r="K9659" t="str">
            <v>EFLA</v>
          </cell>
          <cell r="M9659" t="str">
            <v>F</v>
          </cell>
          <cell r="AB9659" t="str">
            <v>serum</v>
          </cell>
          <cell r="AF9659">
            <v>0.3</v>
          </cell>
        </row>
        <row r="9660">
          <cell r="A9660" t="str">
            <v>IS_alqt_plus</v>
          </cell>
          <cell r="K9660" t="str">
            <v>EFLA</v>
          </cell>
          <cell r="M9660" t="str">
            <v>F</v>
          </cell>
          <cell r="AB9660" t="str">
            <v>serum</v>
          </cell>
          <cell r="AF9660">
            <v>0.2</v>
          </cell>
        </row>
        <row r="9661">
          <cell r="A9661" t="str">
            <v>IS_alqt_plus</v>
          </cell>
          <cell r="K9661" t="str">
            <v>EFLA</v>
          </cell>
          <cell r="M9661" t="str">
            <v>F</v>
          </cell>
          <cell r="AB9661" t="str">
            <v>serum</v>
          </cell>
          <cell r="AF9661">
            <v>0.2</v>
          </cell>
        </row>
        <row r="9662">
          <cell r="A9662" t="str">
            <v>IS_alqt_plus</v>
          </cell>
          <cell r="K9662" t="str">
            <v>EFLA</v>
          </cell>
          <cell r="M9662" t="str">
            <v>F</v>
          </cell>
          <cell r="AB9662" t="str">
            <v>serum</v>
          </cell>
          <cell r="AF9662">
            <v>0.2</v>
          </cell>
        </row>
        <row r="9663">
          <cell r="A9663" t="str">
            <v>IS_alqt_plus</v>
          </cell>
          <cell r="K9663" t="str">
            <v>EFLA</v>
          </cell>
          <cell r="M9663" t="str">
            <v>F</v>
          </cell>
          <cell r="AB9663" t="str">
            <v>serum</v>
          </cell>
          <cell r="AF9663">
            <v>0.2</v>
          </cell>
        </row>
        <row r="9664">
          <cell r="A9664" t="str">
            <v>IS_alqt_plus</v>
          </cell>
          <cell r="K9664" t="str">
            <v>EFLA</v>
          </cell>
          <cell r="M9664" t="str">
            <v>F</v>
          </cell>
          <cell r="AB9664" t="str">
            <v>WB</v>
          </cell>
          <cell r="AF9664">
            <v>1</v>
          </cell>
        </row>
        <row r="9665">
          <cell r="A9665" t="str">
            <v>IS_alqt_plus</v>
          </cell>
          <cell r="K9665" t="str">
            <v>EFLA</v>
          </cell>
          <cell r="M9665" t="str">
            <v>F</v>
          </cell>
          <cell r="AB9665" t="str">
            <v>WB</v>
          </cell>
          <cell r="AF9665">
            <v>1.5</v>
          </cell>
        </row>
        <row r="9666">
          <cell r="A9666" t="str">
            <v>unk</v>
          </cell>
          <cell r="K9666" t="str">
            <v>PCOQ</v>
          </cell>
          <cell r="M9666" t="str">
            <v>F</v>
          </cell>
          <cell r="AB9666" t="str">
            <v>WB</v>
          </cell>
          <cell r="AF9666">
            <v>0.2</v>
          </cell>
        </row>
        <row r="9667">
          <cell r="A9667" t="str">
            <v>IS_alqt_plus</v>
          </cell>
          <cell r="K9667" t="str">
            <v>LCAT</v>
          </cell>
          <cell r="M9667" t="str">
            <v>F</v>
          </cell>
          <cell r="AB9667" t="str">
            <v>serum</v>
          </cell>
          <cell r="AF9667">
            <v>1.25</v>
          </cell>
        </row>
        <row r="9668">
          <cell r="A9668" t="str">
            <v>IS_alqt_plus</v>
          </cell>
          <cell r="K9668" t="str">
            <v>GMOH</v>
          </cell>
          <cell r="M9668" t="str">
            <v>M</v>
          </cell>
          <cell r="AB9668" t="str">
            <v>WB</v>
          </cell>
          <cell r="AF9668">
            <v>0.5</v>
          </cell>
        </row>
        <row r="9669">
          <cell r="A9669" t="str">
            <v>IS_alqt_plus</v>
          </cell>
          <cell r="K9669" t="str">
            <v>GMOH</v>
          </cell>
          <cell r="M9669" t="str">
            <v>M</v>
          </cell>
          <cell r="AB9669" t="str">
            <v>WB</v>
          </cell>
          <cell r="AF9669">
            <v>0.4</v>
          </cell>
        </row>
        <row r="9670">
          <cell r="A9670" t="str">
            <v>IS_alqt_minus</v>
          </cell>
          <cell r="K9670" t="str">
            <v>GMOH</v>
          </cell>
          <cell r="M9670" t="str">
            <v>M</v>
          </cell>
          <cell r="AB9670" t="str">
            <v>WB</v>
          </cell>
          <cell r="AF9670">
            <v>0.1</v>
          </cell>
        </row>
        <row r="9671">
          <cell r="A9671" t="str">
            <v>IS_alqt_plus</v>
          </cell>
          <cell r="K9671" t="str">
            <v>GMOH</v>
          </cell>
          <cell r="M9671" t="str">
            <v>F</v>
          </cell>
          <cell r="AB9671" t="str">
            <v>WB</v>
          </cell>
          <cell r="AF9671">
            <v>0.5</v>
          </cell>
        </row>
        <row r="9672">
          <cell r="A9672" t="str">
            <v>IS_alqt_plus</v>
          </cell>
          <cell r="K9672" t="str">
            <v>GMOH</v>
          </cell>
          <cell r="M9672" t="str">
            <v>F</v>
          </cell>
          <cell r="AB9672" t="str">
            <v>WB</v>
          </cell>
          <cell r="AF9672">
            <v>0.25</v>
          </cell>
        </row>
        <row r="9673">
          <cell r="A9673" t="str">
            <v>IS_alqt_plus</v>
          </cell>
          <cell r="K9673" t="str">
            <v>GMOH</v>
          </cell>
          <cell r="M9673" t="str">
            <v>F</v>
          </cell>
          <cell r="AB9673" t="str">
            <v>WB</v>
          </cell>
          <cell r="AF9673">
            <v>0.3</v>
          </cell>
        </row>
        <row r="9674">
          <cell r="A9674" t="str">
            <v>gone</v>
          </cell>
          <cell r="K9674" t="str">
            <v>PCOQ</v>
          </cell>
          <cell r="M9674" t="str">
            <v>F</v>
          </cell>
          <cell r="AB9674" t="str">
            <v>WB</v>
          </cell>
          <cell r="AF9674">
            <v>0</v>
          </cell>
        </row>
        <row r="9675">
          <cell r="A9675" t="str">
            <v>IS_alqt_plus</v>
          </cell>
          <cell r="K9675" t="str">
            <v>LCAT</v>
          </cell>
          <cell r="M9675" t="str">
            <v>M</v>
          </cell>
          <cell r="AB9675" t="str">
            <v>serum</v>
          </cell>
          <cell r="AF9675">
            <v>1</v>
          </cell>
        </row>
        <row r="9676">
          <cell r="A9676" t="str">
            <v>IS_alqt_plus</v>
          </cell>
          <cell r="K9676" t="str">
            <v>DMAD</v>
          </cell>
          <cell r="M9676" t="str">
            <v>F</v>
          </cell>
          <cell r="AB9676" t="str">
            <v>WB</v>
          </cell>
          <cell r="AF9676">
            <v>0.25</v>
          </cell>
        </row>
        <row r="9677">
          <cell r="A9677" t="str">
            <v>IS_alqt_plus</v>
          </cell>
          <cell r="K9677" t="str">
            <v>MMUR</v>
          </cell>
          <cell r="M9677" t="str">
            <v>M</v>
          </cell>
          <cell r="AB9677" t="str">
            <v>WB</v>
          </cell>
          <cell r="AF9677">
            <v>1</v>
          </cell>
        </row>
        <row r="9678">
          <cell r="A9678" t="str">
            <v>IS_alqt_plus</v>
          </cell>
          <cell r="K9678" t="str">
            <v>MMUR</v>
          </cell>
          <cell r="M9678" t="str">
            <v>M</v>
          </cell>
          <cell r="AB9678" t="str">
            <v>WB</v>
          </cell>
          <cell r="AF9678">
            <v>0.25</v>
          </cell>
        </row>
        <row r="9679">
          <cell r="A9679" t="str">
            <v>IS_alqt_plus</v>
          </cell>
          <cell r="K9679" t="str">
            <v>VRUB</v>
          </cell>
          <cell r="M9679" t="str">
            <v>F</v>
          </cell>
          <cell r="AB9679" t="str">
            <v>WB</v>
          </cell>
          <cell r="AF9679">
            <v>1</v>
          </cell>
        </row>
        <row r="9680">
          <cell r="A9680" t="str">
            <v>IS_alqt_plus</v>
          </cell>
          <cell r="K9680" t="str">
            <v>VRUB</v>
          </cell>
          <cell r="M9680" t="str">
            <v>F</v>
          </cell>
          <cell r="AB9680" t="str">
            <v>serum</v>
          </cell>
          <cell r="AF9680">
            <v>0.75</v>
          </cell>
        </row>
        <row r="9681">
          <cell r="A9681" t="str">
            <v>gone</v>
          </cell>
          <cell r="K9681" t="str">
            <v>VVV</v>
          </cell>
          <cell r="M9681" t="str">
            <v>M</v>
          </cell>
          <cell r="AB9681" t="str">
            <v>WB</v>
          </cell>
          <cell r="AF9681">
            <v>0</v>
          </cell>
        </row>
        <row r="9682">
          <cell r="A9682" t="str">
            <v>IS_alqt_plus</v>
          </cell>
          <cell r="K9682" t="str">
            <v>VVV</v>
          </cell>
          <cell r="M9682" t="str">
            <v>M</v>
          </cell>
          <cell r="AB9682" t="str">
            <v>serum</v>
          </cell>
          <cell r="AF9682">
            <v>1.5</v>
          </cell>
        </row>
        <row r="9683">
          <cell r="A9683" t="str">
            <v>IS_alqt_plus</v>
          </cell>
          <cell r="K9683" t="str">
            <v>PCOQ</v>
          </cell>
          <cell r="M9683" t="str">
            <v>F</v>
          </cell>
          <cell r="AB9683" t="str">
            <v>serum</v>
          </cell>
          <cell r="AF9683">
            <v>0.2</v>
          </cell>
        </row>
        <row r="9684">
          <cell r="A9684" t="str">
            <v>IS_alqt_plus</v>
          </cell>
          <cell r="K9684" t="str">
            <v>PCOQ</v>
          </cell>
          <cell r="M9684" t="str">
            <v>F</v>
          </cell>
          <cell r="AB9684" t="str">
            <v>serum</v>
          </cell>
          <cell r="AF9684">
            <v>0.2</v>
          </cell>
        </row>
        <row r="9685">
          <cell r="A9685" t="str">
            <v>IS_alqt_plus</v>
          </cell>
          <cell r="K9685" t="str">
            <v>PCOQ</v>
          </cell>
          <cell r="M9685" t="str">
            <v>F</v>
          </cell>
          <cell r="AB9685" t="str">
            <v>serum</v>
          </cell>
          <cell r="AF9685">
            <v>0.2</v>
          </cell>
        </row>
        <row r="9686">
          <cell r="A9686" t="str">
            <v>IS_alqt_plus</v>
          </cell>
          <cell r="K9686" t="str">
            <v>PCOQ</v>
          </cell>
          <cell r="M9686" t="str">
            <v>F</v>
          </cell>
          <cell r="AB9686" t="str">
            <v>serum</v>
          </cell>
          <cell r="AF9686">
            <v>0.4</v>
          </cell>
        </row>
        <row r="9687">
          <cell r="A9687" t="str">
            <v>IS_alqt_plus</v>
          </cell>
          <cell r="K9687" t="str">
            <v>PCOQ</v>
          </cell>
          <cell r="M9687" t="str">
            <v>F</v>
          </cell>
          <cell r="AB9687" t="str">
            <v>serum</v>
          </cell>
          <cell r="AF9687">
            <v>1</v>
          </cell>
        </row>
        <row r="9688">
          <cell r="A9688" t="str">
            <v>IS_alqt_plus</v>
          </cell>
          <cell r="K9688" t="str">
            <v>PCOQ</v>
          </cell>
          <cell r="M9688" t="str">
            <v>F</v>
          </cell>
          <cell r="AB9688" t="str">
            <v>serum</v>
          </cell>
          <cell r="AF9688">
            <v>0.2</v>
          </cell>
        </row>
        <row r="9689">
          <cell r="A9689" t="str">
            <v>IS_alqt_plus</v>
          </cell>
          <cell r="K9689" t="str">
            <v>PCOQ</v>
          </cell>
          <cell r="M9689" t="str">
            <v>F</v>
          </cell>
          <cell r="AB9689" t="str">
            <v>serum</v>
          </cell>
          <cell r="AF9689">
            <v>0.2</v>
          </cell>
        </row>
        <row r="9690">
          <cell r="A9690" t="str">
            <v>IS_alqt_plus</v>
          </cell>
          <cell r="K9690" t="str">
            <v>PCOQ</v>
          </cell>
          <cell r="M9690" t="str">
            <v>F</v>
          </cell>
          <cell r="AB9690" t="str">
            <v>WB</v>
          </cell>
          <cell r="AF9690">
            <v>0.25</v>
          </cell>
        </row>
        <row r="9691">
          <cell r="A9691" t="str">
            <v>IS_alqt_plus</v>
          </cell>
          <cell r="K9691" t="str">
            <v>PCOQ</v>
          </cell>
          <cell r="M9691" t="str">
            <v>F</v>
          </cell>
          <cell r="AB9691" t="str">
            <v>WB</v>
          </cell>
          <cell r="AF9691">
            <v>1.5</v>
          </cell>
        </row>
        <row r="9692">
          <cell r="A9692" t="str">
            <v>IS_alqt_plus</v>
          </cell>
          <cell r="K9692" t="str">
            <v>ECOR</v>
          </cell>
          <cell r="M9692" t="str">
            <v>M</v>
          </cell>
          <cell r="AB9692" t="str">
            <v>serum</v>
          </cell>
          <cell r="AF9692">
            <v>1</v>
          </cell>
        </row>
        <row r="9693">
          <cell r="A9693" t="str">
            <v>IS_alqt_plus</v>
          </cell>
          <cell r="K9693" t="str">
            <v>ECOR</v>
          </cell>
          <cell r="M9693" t="str">
            <v>F</v>
          </cell>
          <cell r="AB9693" t="str">
            <v>serum</v>
          </cell>
          <cell r="AF9693">
            <v>1</v>
          </cell>
        </row>
        <row r="9694">
          <cell r="A9694" t="str">
            <v>IS_alqt_plus</v>
          </cell>
          <cell r="K9694" t="str">
            <v>ECOR</v>
          </cell>
          <cell r="M9694" t="str">
            <v>M</v>
          </cell>
          <cell r="AB9694" t="str">
            <v>WB</v>
          </cell>
          <cell r="AF9694">
            <v>0.75</v>
          </cell>
        </row>
        <row r="9695">
          <cell r="A9695" t="str">
            <v>IS_alqt_plus</v>
          </cell>
          <cell r="K9695" t="str">
            <v>ECOR</v>
          </cell>
          <cell r="M9695" t="str">
            <v>F</v>
          </cell>
          <cell r="AB9695" t="str">
            <v>WB</v>
          </cell>
          <cell r="AF9695">
            <v>1</v>
          </cell>
        </row>
        <row r="9696">
          <cell r="A9696" t="str">
            <v>IS_alqt_plus</v>
          </cell>
          <cell r="K9696" t="str">
            <v>ECOL</v>
          </cell>
          <cell r="M9696" t="str">
            <v>f</v>
          </cell>
          <cell r="AB9696" t="str">
            <v>WB</v>
          </cell>
          <cell r="AF9696">
            <v>1</v>
          </cell>
        </row>
        <row r="9697">
          <cell r="A9697" t="str">
            <v>IS_alqt_plus</v>
          </cell>
          <cell r="K9697" t="str">
            <v>PCOQ</v>
          </cell>
          <cell r="M9697" t="str">
            <v>F</v>
          </cell>
          <cell r="AB9697" t="str">
            <v>serum</v>
          </cell>
          <cell r="AF9697">
            <v>1</v>
          </cell>
        </row>
        <row r="9698">
          <cell r="A9698" t="str">
            <v>IS_alqt_plus</v>
          </cell>
          <cell r="K9698" t="str">
            <v>PCOQ</v>
          </cell>
          <cell r="M9698" t="str">
            <v>M</v>
          </cell>
          <cell r="AB9698" t="str">
            <v>WB</v>
          </cell>
          <cell r="AF9698">
            <v>0.2</v>
          </cell>
        </row>
        <row r="9699">
          <cell r="A9699" t="str">
            <v>IS_alqt_plus</v>
          </cell>
          <cell r="K9699" t="str">
            <v>PCOQ</v>
          </cell>
          <cell r="M9699" t="str">
            <v>M</v>
          </cell>
          <cell r="AB9699" t="str">
            <v>WB</v>
          </cell>
          <cell r="AF9699">
            <v>0.2</v>
          </cell>
        </row>
        <row r="9700">
          <cell r="A9700" t="str">
            <v>IS_alqt_minus</v>
          </cell>
          <cell r="K9700" t="str">
            <v>MMUR</v>
          </cell>
          <cell r="M9700" t="str">
            <v>M</v>
          </cell>
          <cell r="AB9700" t="str">
            <v>WB</v>
          </cell>
          <cell r="AF9700">
            <v>0.1</v>
          </cell>
        </row>
        <row r="9701">
          <cell r="A9701" t="str">
            <v>IS_alqt_plus</v>
          </cell>
          <cell r="K9701" t="str">
            <v>VVV</v>
          </cell>
          <cell r="M9701" t="str">
            <v>F</v>
          </cell>
          <cell r="AB9701" t="str">
            <v>WB</v>
          </cell>
          <cell r="AF9701">
            <v>1</v>
          </cell>
        </row>
        <row r="9702">
          <cell r="A9702" t="str">
            <v>IS_alqt_plus</v>
          </cell>
          <cell r="K9702" t="str">
            <v>VVV</v>
          </cell>
          <cell r="M9702" t="str">
            <v>F</v>
          </cell>
          <cell r="AB9702" t="str">
            <v>serum</v>
          </cell>
          <cell r="AF9702">
            <v>1</v>
          </cell>
        </row>
        <row r="9703">
          <cell r="A9703" t="str">
            <v>IS_alqt_plus</v>
          </cell>
          <cell r="K9703" t="str">
            <v>ECOR</v>
          </cell>
          <cell r="M9703" t="str">
            <v>F</v>
          </cell>
          <cell r="AB9703" t="str">
            <v>serum</v>
          </cell>
          <cell r="AF9703">
            <v>1</v>
          </cell>
        </row>
        <row r="9704">
          <cell r="A9704" t="str">
            <v>IS_alqt_plus</v>
          </cell>
          <cell r="K9704" t="str">
            <v>ECOR</v>
          </cell>
          <cell r="M9704" t="str">
            <v>F</v>
          </cell>
          <cell r="AB9704" t="str">
            <v>serum</v>
          </cell>
          <cell r="AF9704">
            <v>1</v>
          </cell>
        </row>
        <row r="9705">
          <cell r="A9705" t="str">
            <v>IS_alqt_plus</v>
          </cell>
          <cell r="K9705" t="str">
            <v>ECOR</v>
          </cell>
          <cell r="M9705" t="str">
            <v>F</v>
          </cell>
          <cell r="AB9705" t="str">
            <v>serum</v>
          </cell>
          <cell r="AF9705">
            <v>0.2</v>
          </cell>
        </row>
        <row r="9706">
          <cell r="A9706" t="str">
            <v>IS_alqt_plus</v>
          </cell>
          <cell r="K9706" t="str">
            <v>ECOR</v>
          </cell>
          <cell r="M9706" t="str">
            <v>F</v>
          </cell>
          <cell r="AB9706" t="str">
            <v>serum</v>
          </cell>
          <cell r="AF9706">
            <v>0.2</v>
          </cell>
        </row>
        <row r="9707">
          <cell r="A9707" t="str">
            <v>IS_alqt_plus</v>
          </cell>
          <cell r="K9707" t="str">
            <v>ECOR</v>
          </cell>
          <cell r="M9707" t="str">
            <v>F</v>
          </cell>
          <cell r="AB9707" t="str">
            <v>serum</v>
          </cell>
          <cell r="AF9707">
            <v>0.2</v>
          </cell>
        </row>
        <row r="9708">
          <cell r="A9708" t="str">
            <v>IS_alqt_plus</v>
          </cell>
          <cell r="K9708" t="str">
            <v>ECOR</v>
          </cell>
          <cell r="M9708" t="str">
            <v>F</v>
          </cell>
          <cell r="AB9708" t="str">
            <v>serum</v>
          </cell>
          <cell r="AF9708">
            <v>0.2</v>
          </cell>
        </row>
        <row r="9709">
          <cell r="A9709" t="str">
            <v>IS_alqt_plus</v>
          </cell>
          <cell r="K9709" t="str">
            <v>ECOR</v>
          </cell>
          <cell r="M9709" t="str">
            <v>F</v>
          </cell>
          <cell r="AB9709" t="str">
            <v>serum</v>
          </cell>
          <cell r="AF9709">
            <v>0.2</v>
          </cell>
        </row>
        <row r="9710">
          <cell r="A9710" t="str">
            <v>IS_alqt_plus</v>
          </cell>
          <cell r="K9710" t="str">
            <v>ECOR</v>
          </cell>
          <cell r="M9710" t="str">
            <v>F</v>
          </cell>
          <cell r="AB9710" t="str">
            <v>serum</v>
          </cell>
          <cell r="AF9710">
            <v>1</v>
          </cell>
        </row>
        <row r="9711">
          <cell r="A9711" t="str">
            <v>IS_alqt_plus</v>
          </cell>
          <cell r="K9711" t="str">
            <v>ECOR</v>
          </cell>
          <cell r="M9711" t="str">
            <v>F</v>
          </cell>
          <cell r="AB9711" t="str">
            <v>serum</v>
          </cell>
          <cell r="AF9711">
            <v>0.2</v>
          </cell>
        </row>
        <row r="9712">
          <cell r="A9712" t="str">
            <v>IS_alqt_plus</v>
          </cell>
          <cell r="K9712" t="str">
            <v>ECOR</v>
          </cell>
          <cell r="M9712" t="str">
            <v>F</v>
          </cell>
          <cell r="AB9712" t="str">
            <v>serum</v>
          </cell>
          <cell r="AF9712">
            <v>0.2</v>
          </cell>
        </row>
        <row r="9713">
          <cell r="A9713" t="str">
            <v>IS_alqt_plus</v>
          </cell>
          <cell r="K9713" t="str">
            <v>ECOR</v>
          </cell>
          <cell r="M9713" t="str">
            <v>F</v>
          </cell>
          <cell r="AB9713" t="str">
            <v>serum</v>
          </cell>
          <cell r="AF9713">
            <v>0.2</v>
          </cell>
        </row>
        <row r="9714">
          <cell r="A9714" t="str">
            <v>IS_alqt_plus</v>
          </cell>
          <cell r="K9714" t="str">
            <v>ECOR</v>
          </cell>
          <cell r="M9714" t="str">
            <v>F</v>
          </cell>
          <cell r="AB9714" t="str">
            <v>serum</v>
          </cell>
          <cell r="AF9714">
            <v>0.2</v>
          </cell>
        </row>
        <row r="9715">
          <cell r="A9715" t="str">
            <v>IS_alqt_plus</v>
          </cell>
          <cell r="K9715" t="str">
            <v>ECOR</v>
          </cell>
          <cell r="M9715" t="str">
            <v>F</v>
          </cell>
          <cell r="AB9715" t="str">
            <v>serum</v>
          </cell>
          <cell r="AF9715">
            <v>1</v>
          </cell>
        </row>
        <row r="9716">
          <cell r="A9716" t="str">
            <v>IS_alqt_plus</v>
          </cell>
          <cell r="K9716" t="str">
            <v>ECOR</v>
          </cell>
          <cell r="M9716" t="str">
            <v>F</v>
          </cell>
          <cell r="AB9716" t="str">
            <v>serum</v>
          </cell>
          <cell r="AF9716">
            <v>1</v>
          </cell>
        </row>
        <row r="9717">
          <cell r="A9717" t="str">
            <v>IS_alqt_plus</v>
          </cell>
          <cell r="K9717" t="str">
            <v>ECOR</v>
          </cell>
          <cell r="M9717" t="str">
            <v>F</v>
          </cell>
          <cell r="AB9717" t="str">
            <v>serum</v>
          </cell>
          <cell r="AF9717">
            <v>0.2</v>
          </cell>
        </row>
        <row r="9718">
          <cell r="A9718" t="str">
            <v>IS_alqt_plus</v>
          </cell>
          <cell r="K9718" t="str">
            <v>ECOR</v>
          </cell>
          <cell r="M9718" t="str">
            <v>F</v>
          </cell>
          <cell r="AB9718" t="str">
            <v>serum</v>
          </cell>
          <cell r="AF9718">
            <v>0.2</v>
          </cell>
        </row>
        <row r="9719">
          <cell r="A9719" t="str">
            <v>IS_alqt_plus</v>
          </cell>
          <cell r="K9719" t="str">
            <v>ECOR</v>
          </cell>
          <cell r="M9719" t="str">
            <v>F</v>
          </cell>
          <cell r="AB9719" t="str">
            <v>serum</v>
          </cell>
          <cell r="AF9719">
            <v>1</v>
          </cell>
        </row>
        <row r="9720">
          <cell r="A9720" t="str">
            <v>IS_alqt_plus</v>
          </cell>
          <cell r="K9720" t="str">
            <v>ECOR</v>
          </cell>
          <cell r="M9720" t="str">
            <v>F</v>
          </cell>
          <cell r="AB9720" t="str">
            <v>serum</v>
          </cell>
          <cell r="AF9720">
            <v>1</v>
          </cell>
        </row>
        <row r="9721">
          <cell r="A9721" t="str">
            <v>IS_alqt_plus</v>
          </cell>
          <cell r="K9721" t="str">
            <v>ECOR</v>
          </cell>
          <cell r="M9721" t="str">
            <v>F</v>
          </cell>
          <cell r="AB9721" t="str">
            <v>serum</v>
          </cell>
          <cell r="AF9721">
            <v>0.2</v>
          </cell>
        </row>
        <row r="9722">
          <cell r="A9722" t="str">
            <v>IS_alqt_plus</v>
          </cell>
          <cell r="K9722" t="str">
            <v>ECOR</v>
          </cell>
          <cell r="M9722" t="str">
            <v>F</v>
          </cell>
          <cell r="AB9722" t="str">
            <v>serum</v>
          </cell>
          <cell r="AF9722">
            <v>1</v>
          </cell>
        </row>
        <row r="9723">
          <cell r="A9723" t="str">
            <v>IS_alqt_plus</v>
          </cell>
          <cell r="K9723" t="str">
            <v>ECOR</v>
          </cell>
          <cell r="M9723" t="str">
            <v>F</v>
          </cell>
          <cell r="AB9723" t="str">
            <v>serum</v>
          </cell>
          <cell r="AF9723">
            <v>1</v>
          </cell>
        </row>
        <row r="9724">
          <cell r="A9724" t="str">
            <v>IS_alqt_plus</v>
          </cell>
          <cell r="K9724" t="str">
            <v>ECOR</v>
          </cell>
          <cell r="M9724" t="str">
            <v>F</v>
          </cell>
          <cell r="AB9724" t="str">
            <v>serum</v>
          </cell>
          <cell r="AF9724">
            <v>1</v>
          </cell>
        </row>
        <row r="9725">
          <cell r="A9725" t="str">
            <v>IS_alqt_plus</v>
          </cell>
          <cell r="K9725" t="str">
            <v>ECOR</v>
          </cell>
          <cell r="M9725" t="str">
            <v>F</v>
          </cell>
          <cell r="AB9725" t="str">
            <v>serum</v>
          </cell>
          <cell r="AF9725">
            <v>1</v>
          </cell>
        </row>
        <row r="9726">
          <cell r="A9726" t="str">
            <v>IS_alqt_plus</v>
          </cell>
          <cell r="K9726" t="str">
            <v>ECOR</v>
          </cell>
          <cell r="M9726" t="str">
            <v>F</v>
          </cell>
          <cell r="AB9726" t="str">
            <v>serum</v>
          </cell>
          <cell r="AF9726">
            <v>1</v>
          </cell>
        </row>
        <row r="9727">
          <cell r="A9727" t="str">
            <v>IS_alqt_plus</v>
          </cell>
          <cell r="K9727" t="str">
            <v>ECOR</v>
          </cell>
          <cell r="M9727" t="str">
            <v>F</v>
          </cell>
          <cell r="AB9727" t="str">
            <v>serum</v>
          </cell>
          <cell r="AF9727">
            <v>1</v>
          </cell>
        </row>
        <row r="9728">
          <cell r="A9728" t="str">
            <v>IS_alqt_plus</v>
          </cell>
          <cell r="K9728" t="str">
            <v>ECOR</v>
          </cell>
          <cell r="M9728" t="str">
            <v>F</v>
          </cell>
          <cell r="AB9728" t="str">
            <v>serum</v>
          </cell>
          <cell r="AF9728">
            <v>1</v>
          </cell>
        </row>
        <row r="9729">
          <cell r="A9729" t="str">
            <v>IS_alqt_plus</v>
          </cell>
          <cell r="K9729" t="str">
            <v>ECOR</v>
          </cell>
          <cell r="M9729" t="str">
            <v>F</v>
          </cell>
          <cell r="AB9729" t="str">
            <v>serum</v>
          </cell>
          <cell r="AF9729">
            <v>0.2</v>
          </cell>
        </row>
        <row r="9730">
          <cell r="A9730" t="str">
            <v>IS_alqt_plus</v>
          </cell>
          <cell r="K9730" t="str">
            <v>HGG</v>
          </cell>
          <cell r="M9730" t="str">
            <v>M</v>
          </cell>
          <cell r="AB9730" t="str">
            <v>serum</v>
          </cell>
          <cell r="AF9730">
            <v>0.25</v>
          </cell>
        </row>
        <row r="9731">
          <cell r="A9731" t="str">
            <v>gone</v>
          </cell>
          <cell r="K9731" t="str">
            <v>ECOR</v>
          </cell>
          <cell r="M9731" t="str">
            <v>F</v>
          </cell>
          <cell r="AB9731" t="str">
            <v>WB</v>
          </cell>
          <cell r="AF9731">
            <v>0</v>
          </cell>
        </row>
        <row r="9732">
          <cell r="A9732" t="str">
            <v>IS_alqt_plus</v>
          </cell>
          <cell r="K9732" t="str">
            <v>ECOR</v>
          </cell>
          <cell r="M9732" t="str">
            <v>F</v>
          </cell>
          <cell r="AB9732" t="str">
            <v>WB</v>
          </cell>
          <cell r="AF9732">
            <v>0.5</v>
          </cell>
        </row>
        <row r="9733">
          <cell r="A9733" t="str">
            <v>IS_alqt_plus</v>
          </cell>
          <cell r="K9733" t="str">
            <v>ECOR</v>
          </cell>
          <cell r="M9733" t="str">
            <v>F</v>
          </cell>
          <cell r="AB9733" t="str">
            <v>WB</v>
          </cell>
          <cell r="AF9733">
            <v>1</v>
          </cell>
        </row>
        <row r="9734">
          <cell r="A9734" t="str">
            <v>IS_alqt_plus</v>
          </cell>
          <cell r="K9734" t="str">
            <v>ECOR</v>
          </cell>
          <cell r="M9734" t="str">
            <v>F</v>
          </cell>
          <cell r="AB9734" t="str">
            <v>WB</v>
          </cell>
          <cell r="AF9734">
            <v>1</v>
          </cell>
        </row>
        <row r="9735">
          <cell r="A9735" t="str">
            <v>IS_alqt_plus</v>
          </cell>
          <cell r="K9735" t="str">
            <v>ECOR</v>
          </cell>
          <cell r="M9735" t="str">
            <v>F</v>
          </cell>
          <cell r="AB9735" t="str">
            <v>WB</v>
          </cell>
          <cell r="AF9735">
            <v>1</v>
          </cell>
        </row>
        <row r="9736">
          <cell r="A9736" t="str">
            <v>IS_alqt_plus</v>
          </cell>
          <cell r="K9736" t="str">
            <v>ECOR</v>
          </cell>
          <cell r="M9736" t="str">
            <v>F</v>
          </cell>
          <cell r="AB9736" t="str">
            <v>WB</v>
          </cell>
          <cell r="AF9736">
            <v>1</v>
          </cell>
        </row>
        <row r="9737">
          <cell r="A9737" t="str">
            <v>IS_alqt_plus</v>
          </cell>
          <cell r="K9737" t="str">
            <v>ECOR</v>
          </cell>
          <cell r="M9737" t="str">
            <v>F</v>
          </cell>
          <cell r="AB9737" t="str">
            <v>WB</v>
          </cell>
          <cell r="AF9737">
            <v>1</v>
          </cell>
        </row>
        <row r="9738">
          <cell r="A9738" t="str">
            <v>IS_alqt_plus</v>
          </cell>
          <cell r="K9738" t="str">
            <v>ECOR</v>
          </cell>
          <cell r="M9738" t="str">
            <v>F</v>
          </cell>
          <cell r="AB9738" t="str">
            <v>WB</v>
          </cell>
          <cell r="AF9738">
            <v>1</v>
          </cell>
        </row>
        <row r="9739">
          <cell r="A9739" t="str">
            <v>IS_alqt_plus</v>
          </cell>
          <cell r="K9739" t="str">
            <v>ECOR</v>
          </cell>
          <cell r="M9739" t="str">
            <v>F</v>
          </cell>
          <cell r="AB9739" t="str">
            <v>WB</v>
          </cell>
          <cell r="AF9739">
            <v>1</v>
          </cell>
        </row>
        <row r="9740">
          <cell r="A9740" t="str">
            <v>IS_alqt_plus</v>
          </cell>
          <cell r="K9740" t="str">
            <v>ECOR</v>
          </cell>
          <cell r="M9740" t="str">
            <v>F</v>
          </cell>
          <cell r="AB9740" t="str">
            <v>WB</v>
          </cell>
          <cell r="AF9740">
            <v>1</v>
          </cell>
        </row>
        <row r="9741">
          <cell r="A9741" t="str">
            <v>IS_alqt_plus</v>
          </cell>
          <cell r="K9741" t="str">
            <v>ECOR</v>
          </cell>
          <cell r="M9741" t="str">
            <v>F</v>
          </cell>
          <cell r="AB9741" t="str">
            <v>WB</v>
          </cell>
          <cell r="AF9741">
            <v>1</v>
          </cell>
        </row>
        <row r="9742">
          <cell r="A9742" t="str">
            <v>IS_alqt_plus</v>
          </cell>
          <cell r="K9742" t="str">
            <v>ECOR</v>
          </cell>
          <cell r="M9742" t="str">
            <v>F</v>
          </cell>
          <cell r="AB9742" t="str">
            <v>WB</v>
          </cell>
          <cell r="AF9742">
            <v>1</v>
          </cell>
        </row>
        <row r="9743">
          <cell r="A9743" t="str">
            <v>IS_alqt_plus</v>
          </cell>
          <cell r="K9743" t="str">
            <v>ECOR</v>
          </cell>
          <cell r="M9743" t="str">
            <v>F</v>
          </cell>
          <cell r="AB9743" t="str">
            <v>WB</v>
          </cell>
          <cell r="AF9743">
            <v>0.2</v>
          </cell>
        </row>
        <row r="9744">
          <cell r="A9744" t="str">
            <v>IS_alqt_plus</v>
          </cell>
          <cell r="K9744" t="str">
            <v>ECOR</v>
          </cell>
          <cell r="M9744" t="str">
            <v>F</v>
          </cell>
          <cell r="AB9744" t="str">
            <v>WB</v>
          </cell>
          <cell r="AF9744">
            <v>0.2</v>
          </cell>
        </row>
        <row r="9745">
          <cell r="A9745" t="str">
            <v>IS_alqt_plus</v>
          </cell>
          <cell r="K9745" t="str">
            <v>ECOR</v>
          </cell>
          <cell r="M9745" t="str">
            <v>F</v>
          </cell>
          <cell r="AB9745" t="str">
            <v>WB</v>
          </cell>
          <cell r="AF9745">
            <v>1</v>
          </cell>
        </row>
        <row r="9746">
          <cell r="A9746" t="str">
            <v>IS_alqt_plus</v>
          </cell>
          <cell r="K9746" t="str">
            <v>ECOR</v>
          </cell>
          <cell r="M9746" t="str">
            <v>F</v>
          </cell>
          <cell r="AB9746" t="str">
            <v>WB</v>
          </cell>
          <cell r="AF9746">
            <v>1</v>
          </cell>
        </row>
        <row r="9747">
          <cell r="A9747" t="str">
            <v>IS_alqt_plus</v>
          </cell>
          <cell r="K9747" t="str">
            <v>ECOR</v>
          </cell>
          <cell r="M9747" t="str">
            <v>F</v>
          </cell>
          <cell r="AB9747" t="str">
            <v>WB</v>
          </cell>
          <cell r="AF9747">
            <v>0.2</v>
          </cell>
        </row>
        <row r="9748">
          <cell r="A9748" t="str">
            <v>IS_alqt_plus</v>
          </cell>
          <cell r="K9748" t="str">
            <v>ECOR</v>
          </cell>
          <cell r="M9748" t="str">
            <v>F</v>
          </cell>
          <cell r="AB9748" t="str">
            <v>WB</v>
          </cell>
          <cell r="AF9748">
            <v>0.2</v>
          </cell>
        </row>
        <row r="9749">
          <cell r="A9749" t="str">
            <v>IS_alqt_plus</v>
          </cell>
          <cell r="K9749" t="str">
            <v>ECOR</v>
          </cell>
          <cell r="M9749" t="str">
            <v>F</v>
          </cell>
          <cell r="AB9749" t="str">
            <v>WB</v>
          </cell>
          <cell r="AF9749">
            <v>0.2</v>
          </cell>
        </row>
        <row r="9750">
          <cell r="A9750" t="str">
            <v>IS_alqt_plus</v>
          </cell>
          <cell r="K9750" t="str">
            <v>ECOR</v>
          </cell>
          <cell r="M9750" t="str">
            <v>F</v>
          </cell>
          <cell r="AB9750" t="str">
            <v>WB</v>
          </cell>
          <cell r="AF9750">
            <v>0.2</v>
          </cell>
        </row>
        <row r="9751">
          <cell r="A9751" t="str">
            <v>IS_alqt_plus</v>
          </cell>
          <cell r="K9751" t="str">
            <v>ECOR</v>
          </cell>
          <cell r="M9751" t="str">
            <v>F</v>
          </cell>
          <cell r="AB9751" t="str">
            <v>WB</v>
          </cell>
          <cell r="AF9751">
            <v>0.2</v>
          </cell>
        </row>
        <row r="9752">
          <cell r="A9752" t="str">
            <v>IS_alqt_plus</v>
          </cell>
          <cell r="K9752" t="str">
            <v>ECOR</v>
          </cell>
          <cell r="M9752" t="str">
            <v>F</v>
          </cell>
          <cell r="AB9752" t="str">
            <v>WB</v>
          </cell>
          <cell r="AF9752">
            <v>0.2</v>
          </cell>
        </row>
        <row r="9753">
          <cell r="A9753" t="str">
            <v>IS_alqt_plus</v>
          </cell>
          <cell r="K9753" t="str">
            <v>ECOR</v>
          </cell>
          <cell r="M9753" t="str">
            <v>F</v>
          </cell>
          <cell r="AB9753" t="str">
            <v>WB</v>
          </cell>
          <cell r="AF9753">
            <v>0.2</v>
          </cell>
        </row>
        <row r="9754">
          <cell r="A9754" t="str">
            <v>IS_alqt_plus</v>
          </cell>
          <cell r="K9754" t="str">
            <v>ECOR</v>
          </cell>
          <cell r="M9754" t="str">
            <v>F</v>
          </cell>
          <cell r="AB9754" t="str">
            <v>WB</v>
          </cell>
          <cell r="AF9754">
            <v>0.2</v>
          </cell>
        </row>
        <row r="9755">
          <cell r="A9755" t="str">
            <v>unk</v>
          </cell>
          <cell r="K9755" t="str">
            <v>ECOR</v>
          </cell>
          <cell r="M9755" t="str">
            <v>F</v>
          </cell>
          <cell r="AB9755" t="str">
            <v>WB</v>
          </cell>
          <cell r="AF9755">
            <v>0.2</v>
          </cell>
        </row>
        <row r="9756">
          <cell r="A9756" t="str">
            <v>IS_alqt_plus</v>
          </cell>
          <cell r="K9756" t="str">
            <v>HGG</v>
          </cell>
          <cell r="M9756" t="str">
            <v>M</v>
          </cell>
          <cell r="AB9756" t="str">
            <v>WB</v>
          </cell>
          <cell r="AF9756">
            <v>0.6</v>
          </cell>
        </row>
        <row r="9757">
          <cell r="A9757" t="str">
            <v>unk</v>
          </cell>
          <cell r="K9757" t="str">
            <v>PCOQ</v>
          </cell>
          <cell r="M9757" t="str">
            <v>M</v>
          </cell>
          <cell r="AB9757" t="str">
            <v>WB</v>
          </cell>
          <cell r="AF9757">
            <v>0.2</v>
          </cell>
        </row>
        <row r="9758">
          <cell r="A9758" t="str">
            <v>IS_alqt_minus</v>
          </cell>
          <cell r="K9758" t="str">
            <v>PCOQ</v>
          </cell>
          <cell r="M9758" t="str">
            <v>M</v>
          </cell>
          <cell r="AB9758" t="str">
            <v>WB</v>
          </cell>
          <cell r="AF9758">
            <v>0.1</v>
          </cell>
        </row>
        <row r="9759">
          <cell r="A9759" t="str">
            <v>IS_alqt_plus</v>
          </cell>
          <cell r="K9759" t="str">
            <v>LCAT</v>
          </cell>
          <cell r="M9759" t="str">
            <v>M</v>
          </cell>
          <cell r="AB9759" t="str">
            <v>serum</v>
          </cell>
          <cell r="AF9759">
            <v>1</v>
          </cell>
        </row>
        <row r="9760">
          <cell r="A9760" t="str">
            <v>IS_alqt_plus</v>
          </cell>
          <cell r="K9760" t="str">
            <v>LCAT</v>
          </cell>
          <cell r="M9760" t="str">
            <v>F</v>
          </cell>
          <cell r="AB9760" t="str">
            <v>serum</v>
          </cell>
          <cell r="AF9760">
            <v>1.25</v>
          </cell>
        </row>
        <row r="9761">
          <cell r="A9761" t="str">
            <v>IS_alqt_plus</v>
          </cell>
          <cell r="K9761" t="str">
            <v>ECOR</v>
          </cell>
          <cell r="M9761" t="str">
            <v>M</v>
          </cell>
          <cell r="AB9761" t="str">
            <v>serum</v>
          </cell>
          <cell r="AF9761">
            <v>0.4</v>
          </cell>
        </row>
        <row r="9762">
          <cell r="A9762" t="str">
            <v>IS_alqt_plus</v>
          </cell>
          <cell r="K9762" t="str">
            <v>ECOR</v>
          </cell>
          <cell r="M9762" t="str">
            <v>M</v>
          </cell>
          <cell r="AB9762" t="str">
            <v>WB</v>
          </cell>
          <cell r="AF9762">
            <v>1</v>
          </cell>
        </row>
        <row r="9763">
          <cell r="A9763" t="str">
            <v>IS_alqt_minus</v>
          </cell>
          <cell r="K9763" t="str">
            <v>MMUR</v>
          </cell>
          <cell r="M9763" t="str">
            <v>M</v>
          </cell>
          <cell r="AB9763" t="str">
            <v>WB</v>
          </cell>
          <cell r="AF9763">
            <v>0.05</v>
          </cell>
        </row>
        <row r="9764">
          <cell r="A9764" t="str">
            <v>IS_alqt_minus</v>
          </cell>
          <cell r="K9764" t="str">
            <v>MMUR</v>
          </cell>
          <cell r="M9764" t="str">
            <v>M</v>
          </cell>
          <cell r="AB9764" t="str">
            <v>WB</v>
          </cell>
          <cell r="AF9764">
            <v>0.1</v>
          </cell>
        </row>
        <row r="9765">
          <cell r="A9765" t="str">
            <v>IS_alqt_minus</v>
          </cell>
          <cell r="K9765" t="str">
            <v>CMED</v>
          </cell>
          <cell r="M9765" t="str">
            <v>F</v>
          </cell>
          <cell r="AB9765" t="str">
            <v>PRBC</v>
          </cell>
          <cell r="AF9765">
            <v>0.1</v>
          </cell>
        </row>
        <row r="9766">
          <cell r="A9766" t="str">
            <v>IS_alqt_plus</v>
          </cell>
          <cell r="K9766" t="str">
            <v>CMED</v>
          </cell>
          <cell r="M9766" t="str">
            <v>M</v>
          </cell>
          <cell r="AB9766" t="str">
            <v>PRBC</v>
          </cell>
          <cell r="AF9766">
            <v>0.2</v>
          </cell>
        </row>
        <row r="9767">
          <cell r="A9767" t="str">
            <v>IS_alqt_minus</v>
          </cell>
          <cell r="K9767" t="str">
            <v>CMED</v>
          </cell>
          <cell r="M9767" t="str">
            <v>F</v>
          </cell>
          <cell r="AB9767" t="str">
            <v>PRBC</v>
          </cell>
          <cell r="AF9767">
            <v>0.1</v>
          </cell>
        </row>
        <row r="9768">
          <cell r="A9768" t="str">
            <v>IS_alqt_minus</v>
          </cell>
          <cell r="K9768" t="str">
            <v>CMED</v>
          </cell>
          <cell r="M9768" t="str">
            <v>M</v>
          </cell>
          <cell r="AB9768" t="str">
            <v>PRBC</v>
          </cell>
          <cell r="AF9768">
            <v>0.1</v>
          </cell>
        </row>
        <row r="9769">
          <cell r="A9769" t="str">
            <v>IS_alqt_plus</v>
          </cell>
          <cell r="K9769" t="str">
            <v>CMED</v>
          </cell>
          <cell r="M9769" t="str">
            <v>F</v>
          </cell>
          <cell r="AB9769" t="str">
            <v>PRBC</v>
          </cell>
          <cell r="AF9769">
            <v>0.2</v>
          </cell>
        </row>
        <row r="9770">
          <cell r="A9770" t="str">
            <v>IS_alqt_plus</v>
          </cell>
          <cell r="K9770" t="str">
            <v>CMED</v>
          </cell>
          <cell r="M9770" t="str">
            <v>F</v>
          </cell>
          <cell r="AB9770" t="str">
            <v>PRBC</v>
          </cell>
          <cell r="AF9770">
            <v>0.2</v>
          </cell>
        </row>
        <row r="9771">
          <cell r="A9771" t="str">
            <v>IS_alqt_minus</v>
          </cell>
          <cell r="K9771" t="str">
            <v>CMED</v>
          </cell>
          <cell r="M9771" t="str">
            <v>F</v>
          </cell>
          <cell r="AB9771" t="str">
            <v>PRBC</v>
          </cell>
          <cell r="AF9771">
            <v>0.15</v>
          </cell>
        </row>
        <row r="9772">
          <cell r="A9772" t="str">
            <v>IS_alqt_minus</v>
          </cell>
          <cell r="K9772" t="str">
            <v>CMED</v>
          </cell>
          <cell r="M9772" t="str">
            <v>M</v>
          </cell>
          <cell r="AB9772" t="str">
            <v>WB</v>
          </cell>
          <cell r="AF9772">
            <v>0.1</v>
          </cell>
        </row>
        <row r="9773">
          <cell r="A9773" t="str">
            <v>IS_alqt_plus</v>
          </cell>
          <cell r="K9773" t="str">
            <v>CMED</v>
          </cell>
          <cell r="M9773" t="str">
            <v>M</v>
          </cell>
          <cell r="AB9773" t="str">
            <v>PRBC</v>
          </cell>
          <cell r="AF9773">
            <v>0.2</v>
          </cell>
        </row>
        <row r="9774">
          <cell r="A9774" t="str">
            <v>IS_alqt_plus</v>
          </cell>
          <cell r="K9774" t="str">
            <v>ECOR</v>
          </cell>
          <cell r="M9774" t="str">
            <v>M</v>
          </cell>
          <cell r="AB9774" t="str">
            <v>serum</v>
          </cell>
          <cell r="AF9774">
            <v>1</v>
          </cell>
        </row>
        <row r="9775">
          <cell r="A9775" t="str">
            <v>IS_alqt_plus</v>
          </cell>
          <cell r="K9775" t="str">
            <v>ECOR</v>
          </cell>
          <cell r="M9775" t="str">
            <v>M</v>
          </cell>
          <cell r="AB9775" t="str">
            <v>serum</v>
          </cell>
          <cell r="AF9775">
            <v>1</v>
          </cell>
        </row>
        <row r="9776">
          <cell r="A9776" t="str">
            <v>IS_alqt_plus</v>
          </cell>
          <cell r="K9776" t="str">
            <v>ECOR</v>
          </cell>
          <cell r="M9776" t="str">
            <v>M</v>
          </cell>
          <cell r="AB9776" t="str">
            <v>serum</v>
          </cell>
          <cell r="AF9776">
            <v>1</v>
          </cell>
        </row>
        <row r="9777">
          <cell r="A9777" t="str">
            <v>IS_alqt_plus</v>
          </cell>
          <cell r="K9777" t="str">
            <v>ECOR</v>
          </cell>
          <cell r="M9777" t="str">
            <v>M</v>
          </cell>
          <cell r="AB9777" t="str">
            <v>serum</v>
          </cell>
          <cell r="AF9777">
            <v>1</v>
          </cell>
        </row>
        <row r="9778">
          <cell r="A9778" t="str">
            <v>IS_alqt_plus</v>
          </cell>
          <cell r="K9778" t="str">
            <v>ECOR</v>
          </cell>
          <cell r="M9778" t="str">
            <v>M</v>
          </cell>
          <cell r="AB9778" t="str">
            <v>serum</v>
          </cell>
          <cell r="AF9778">
            <v>0.75</v>
          </cell>
        </row>
        <row r="9779">
          <cell r="A9779" t="str">
            <v>IS_alqt_plus</v>
          </cell>
          <cell r="K9779" t="str">
            <v>ECOR</v>
          </cell>
          <cell r="M9779" t="str">
            <v>M</v>
          </cell>
          <cell r="AB9779" t="str">
            <v>serum</v>
          </cell>
          <cell r="AF9779">
            <v>1</v>
          </cell>
        </row>
        <row r="9780">
          <cell r="A9780" t="str">
            <v>IS_alqt_plus</v>
          </cell>
          <cell r="K9780" t="str">
            <v>ECOR</v>
          </cell>
          <cell r="M9780" t="str">
            <v>M</v>
          </cell>
          <cell r="AB9780" t="str">
            <v>serum</v>
          </cell>
          <cell r="AF9780">
            <v>1</v>
          </cell>
        </row>
        <row r="9781">
          <cell r="A9781" t="str">
            <v>IS_alqt_plus</v>
          </cell>
          <cell r="K9781" t="str">
            <v>ECOR</v>
          </cell>
          <cell r="M9781" t="str">
            <v>M</v>
          </cell>
          <cell r="AB9781" t="str">
            <v>serum</v>
          </cell>
          <cell r="AF9781">
            <v>1</v>
          </cell>
        </row>
        <row r="9782">
          <cell r="A9782" t="str">
            <v>IS_alqt_plus</v>
          </cell>
          <cell r="K9782" t="str">
            <v>ECOR</v>
          </cell>
          <cell r="M9782" t="str">
            <v>M</v>
          </cell>
          <cell r="AB9782" t="str">
            <v>serum</v>
          </cell>
          <cell r="AF9782">
            <v>1</v>
          </cell>
        </row>
        <row r="9783">
          <cell r="A9783" t="str">
            <v>IS_alqt_plus</v>
          </cell>
          <cell r="K9783" t="str">
            <v>ECOR</v>
          </cell>
          <cell r="M9783" t="str">
            <v>M</v>
          </cell>
          <cell r="AB9783" t="str">
            <v>serum</v>
          </cell>
          <cell r="AF9783">
            <v>1</v>
          </cell>
        </row>
        <row r="9784">
          <cell r="A9784" t="str">
            <v>IS_alqt_plus</v>
          </cell>
          <cell r="K9784" t="str">
            <v>ECOR</v>
          </cell>
          <cell r="M9784" t="str">
            <v>M</v>
          </cell>
          <cell r="AB9784" t="str">
            <v>WB</v>
          </cell>
          <cell r="AF9784">
            <v>1</v>
          </cell>
        </row>
        <row r="9785">
          <cell r="A9785" t="str">
            <v>IS_alqt_plus</v>
          </cell>
          <cell r="K9785" t="str">
            <v>ECOR</v>
          </cell>
          <cell r="M9785" t="str">
            <v>M</v>
          </cell>
          <cell r="AB9785" t="str">
            <v>WB</v>
          </cell>
          <cell r="AF9785">
            <v>1</v>
          </cell>
        </row>
        <row r="9786">
          <cell r="A9786" t="str">
            <v>IS_alqt_plus</v>
          </cell>
          <cell r="K9786" t="str">
            <v>ECOR</v>
          </cell>
          <cell r="M9786" t="str">
            <v>M</v>
          </cell>
          <cell r="AB9786" t="str">
            <v>WB</v>
          </cell>
          <cell r="AF9786">
            <v>1</v>
          </cell>
        </row>
        <row r="9787">
          <cell r="A9787" t="str">
            <v>IS_alqt_plus</v>
          </cell>
          <cell r="K9787" t="str">
            <v>ECOR</v>
          </cell>
          <cell r="M9787" t="str">
            <v>M</v>
          </cell>
          <cell r="AB9787" t="str">
            <v>WB</v>
          </cell>
          <cell r="AF9787">
            <v>0.4</v>
          </cell>
        </row>
        <row r="9788">
          <cell r="A9788" t="str">
            <v>gone</v>
          </cell>
          <cell r="K9788" t="str">
            <v>ECOR</v>
          </cell>
          <cell r="M9788" t="str">
            <v>M</v>
          </cell>
          <cell r="AB9788" t="str">
            <v>WB</v>
          </cell>
          <cell r="AF9788">
            <v>0</v>
          </cell>
        </row>
        <row r="9789">
          <cell r="A9789" t="str">
            <v>IS_alqt_plus</v>
          </cell>
          <cell r="K9789" t="str">
            <v>ECOR</v>
          </cell>
          <cell r="M9789" t="str">
            <v>M</v>
          </cell>
          <cell r="AB9789" t="str">
            <v>WB</v>
          </cell>
          <cell r="AF9789">
            <v>0.2</v>
          </cell>
        </row>
        <row r="9790">
          <cell r="A9790" t="str">
            <v>IS_alqt_plus</v>
          </cell>
          <cell r="K9790" t="str">
            <v>ECOR</v>
          </cell>
          <cell r="M9790" t="str">
            <v>M</v>
          </cell>
          <cell r="AB9790" t="str">
            <v>WB</v>
          </cell>
          <cell r="AF9790">
            <v>0.2</v>
          </cell>
        </row>
        <row r="9791">
          <cell r="A9791" t="str">
            <v>IS_alqt_plus</v>
          </cell>
          <cell r="K9791" t="str">
            <v>ECOR</v>
          </cell>
          <cell r="M9791" t="str">
            <v>M</v>
          </cell>
          <cell r="AB9791" t="str">
            <v>WB</v>
          </cell>
          <cell r="AF9791">
            <v>0.2</v>
          </cell>
        </row>
        <row r="9792">
          <cell r="A9792" t="str">
            <v>IS_alqt_plus</v>
          </cell>
          <cell r="K9792" t="str">
            <v>ECOR</v>
          </cell>
          <cell r="M9792" t="str">
            <v>M</v>
          </cell>
          <cell r="AB9792" t="str">
            <v>WB</v>
          </cell>
          <cell r="AF9792">
            <v>0.2</v>
          </cell>
        </row>
        <row r="9793">
          <cell r="A9793" t="str">
            <v>unk</v>
          </cell>
          <cell r="K9793" t="str">
            <v>ECOR</v>
          </cell>
          <cell r="M9793" t="str">
            <v>M</v>
          </cell>
          <cell r="AB9793" t="str">
            <v>WB</v>
          </cell>
          <cell r="AF9793">
            <v>0.5</v>
          </cell>
        </row>
        <row r="9794">
          <cell r="A9794" t="str">
            <v>IS_alqt_minus</v>
          </cell>
          <cell r="K9794" t="str">
            <v>MMUR</v>
          </cell>
          <cell r="M9794" t="str">
            <v>M</v>
          </cell>
          <cell r="AB9794" t="str">
            <v>WB</v>
          </cell>
          <cell r="AF9794">
            <v>0.1</v>
          </cell>
        </row>
        <row r="9795">
          <cell r="A9795" t="str">
            <v>IS_alqt_plus</v>
          </cell>
          <cell r="K9795" t="str">
            <v>PCOQ</v>
          </cell>
          <cell r="M9795" t="str">
            <v>M</v>
          </cell>
          <cell r="AB9795" t="str">
            <v>WB</v>
          </cell>
          <cell r="AF9795">
            <v>0.5</v>
          </cell>
        </row>
        <row r="9796">
          <cell r="A9796" t="str">
            <v>IS_alqt_plus</v>
          </cell>
          <cell r="K9796" t="str">
            <v>LCAT</v>
          </cell>
          <cell r="M9796" t="str">
            <v>F</v>
          </cell>
          <cell r="AB9796" t="str">
            <v>serum</v>
          </cell>
          <cell r="AF9796">
            <v>1.25</v>
          </cell>
        </row>
        <row r="9797">
          <cell r="A9797" t="str">
            <v>IS_alqt_plus</v>
          </cell>
          <cell r="K9797" t="str">
            <v>VRUB</v>
          </cell>
          <cell r="M9797" t="str">
            <v>M</v>
          </cell>
          <cell r="AB9797" t="str">
            <v>WB</v>
          </cell>
          <cell r="AF9797">
            <v>1</v>
          </cell>
        </row>
        <row r="9798">
          <cell r="A9798" t="str">
            <v>IS_alqt_plus</v>
          </cell>
          <cell r="K9798" t="str">
            <v>VRUB</v>
          </cell>
          <cell r="M9798" t="str">
            <v>M</v>
          </cell>
          <cell r="AB9798" t="str">
            <v>serum</v>
          </cell>
          <cell r="AF9798">
            <v>1</v>
          </cell>
        </row>
        <row r="9799">
          <cell r="A9799" t="str">
            <v>IS_alqt_plus</v>
          </cell>
          <cell r="K9799" t="str">
            <v>ECOL</v>
          </cell>
          <cell r="M9799" t="str">
            <v>F</v>
          </cell>
          <cell r="AB9799" t="str">
            <v>serum</v>
          </cell>
          <cell r="AF9799">
            <v>1</v>
          </cell>
        </row>
        <row r="9800">
          <cell r="A9800" t="str">
            <v>IS_alqt_plus</v>
          </cell>
          <cell r="K9800" t="str">
            <v>ECOL</v>
          </cell>
          <cell r="M9800" t="str">
            <v>F</v>
          </cell>
          <cell r="AB9800" t="str">
            <v>serum</v>
          </cell>
          <cell r="AF9800">
            <v>1</v>
          </cell>
        </row>
        <row r="9801">
          <cell r="A9801" t="str">
            <v>IS_alqt_plus</v>
          </cell>
          <cell r="K9801" t="str">
            <v>ECOL</v>
          </cell>
          <cell r="M9801" t="str">
            <v>F</v>
          </cell>
          <cell r="AB9801" t="str">
            <v>WB</v>
          </cell>
          <cell r="AF9801">
            <v>1</v>
          </cell>
        </row>
        <row r="9802">
          <cell r="A9802" t="str">
            <v>IS_alqt_minus</v>
          </cell>
          <cell r="K9802" t="str">
            <v>MMUR</v>
          </cell>
          <cell r="M9802" t="str">
            <v>M</v>
          </cell>
          <cell r="AB9802" t="str">
            <v>WB</v>
          </cell>
          <cell r="AF9802">
            <v>0.1</v>
          </cell>
        </row>
        <row r="9803">
          <cell r="A9803" t="str">
            <v>IS_alqt_plus</v>
          </cell>
          <cell r="K9803" t="str">
            <v>PCOQ</v>
          </cell>
          <cell r="M9803" t="str">
            <v>F</v>
          </cell>
          <cell r="AB9803" t="str">
            <v>serum</v>
          </cell>
          <cell r="AF9803">
            <v>1.25</v>
          </cell>
        </row>
        <row r="9804">
          <cell r="A9804" t="str">
            <v>IS_alqt_plus</v>
          </cell>
          <cell r="K9804" t="str">
            <v>PCOQ</v>
          </cell>
          <cell r="M9804" t="str">
            <v>M</v>
          </cell>
          <cell r="AB9804" t="str">
            <v>WB</v>
          </cell>
          <cell r="AF9804">
            <v>0.5</v>
          </cell>
        </row>
        <row r="9805">
          <cell r="A9805" t="str">
            <v>IS_alqt_plus</v>
          </cell>
          <cell r="K9805" t="str">
            <v>PCOQ</v>
          </cell>
          <cell r="M9805" t="str">
            <v>M</v>
          </cell>
          <cell r="AB9805" t="str">
            <v>serum</v>
          </cell>
          <cell r="AF9805">
            <v>1</v>
          </cell>
        </row>
        <row r="9806">
          <cell r="A9806" t="str">
            <v>on hold</v>
          </cell>
          <cell r="K9806" t="str">
            <v>PCOQ</v>
          </cell>
          <cell r="M9806" t="str">
            <v>M</v>
          </cell>
          <cell r="AB9806" t="str">
            <v>WB</v>
          </cell>
          <cell r="AF9806">
            <v>0.5</v>
          </cell>
        </row>
        <row r="9807">
          <cell r="A9807" t="str">
            <v>IS_alqt_plus</v>
          </cell>
          <cell r="K9807" t="str">
            <v>PCOQ</v>
          </cell>
          <cell r="M9807" t="str">
            <v>M</v>
          </cell>
          <cell r="AB9807" t="str">
            <v>WB</v>
          </cell>
          <cell r="AF9807">
            <v>1</v>
          </cell>
        </row>
        <row r="9808">
          <cell r="A9808" t="str">
            <v>IS_alqt_plus</v>
          </cell>
          <cell r="K9808" t="str">
            <v>PCOQ</v>
          </cell>
          <cell r="M9808" t="str">
            <v>F</v>
          </cell>
          <cell r="AB9808" t="str">
            <v>serum</v>
          </cell>
          <cell r="AF9808">
            <v>0.8</v>
          </cell>
        </row>
        <row r="9809">
          <cell r="A9809" t="str">
            <v>IS_alqt_plus</v>
          </cell>
          <cell r="K9809" t="str">
            <v>PCOQ</v>
          </cell>
          <cell r="M9809" t="str">
            <v>F</v>
          </cell>
          <cell r="AB9809" t="str">
            <v>serum</v>
          </cell>
          <cell r="AF9809">
            <v>0.4</v>
          </cell>
        </row>
        <row r="9810">
          <cell r="A9810" t="str">
            <v>IS_alqt_minus</v>
          </cell>
          <cell r="K9810" t="str">
            <v>MMUR</v>
          </cell>
          <cell r="M9810" t="str">
            <v>F</v>
          </cell>
          <cell r="AB9810" t="str">
            <v>serum</v>
          </cell>
          <cell r="AF9810">
            <v>0.15</v>
          </cell>
        </row>
        <row r="9811">
          <cell r="A9811" t="str">
            <v>IS_alqt_plus</v>
          </cell>
          <cell r="K9811" t="str">
            <v>MMUR</v>
          </cell>
          <cell r="M9811" t="str">
            <v>F</v>
          </cell>
          <cell r="AB9811" t="str">
            <v>serum</v>
          </cell>
          <cell r="AF9811">
            <v>0.5</v>
          </cell>
        </row>
        <row r="9812">
          <cell r="A9812" t="str">
            <v>IS_alqt_plus</v>
          </cell>
          <cell r="K9812" t="str">
            <v>MMUR</v>
          </cell>
          <cell r="M9812" t="str">
            <v>F</v>
          </cell>
          <cell r="AB9812" t="str">
            <v>serum</v>
          </cell>
          <cell r="AF9812">
            <v>0.25</v>
          </cell>
        </row>
        <row r="9813">
          <cell r="A9813" t="str">
            <v>IS_alqt_plus</v>
          </cell>
          <cell r="K9813" t="str">
            <v>PCOQ</v>
          </cell>
          <cell r="M9813" t="str">
            <v>M</v>
          </cell>
          <cell r="AB9813" t="str">
            <v>serum</v>
          </cell>
          <cell r="AF9813">
            <v>1.5</v>
          </cell>
        </row>
        <row r="9814">
          <cell r="A9814" t="str">
            <v>IS_alqt_plus</v>
          </cell>
          <cell r="K9814" t="str">
            <v>MMUR</v>
          </cell>
          <cell r="M9814" t="str">
            <v>F</v>
          </cell>
          <cell r="AB9814" t="str">
            <v>WB</v>
          </cell>
          <cell r="AF9814">
            <v>0.75</v>
          </cell>
        </row>
        <row r="9815">
          <cell r="A9815" t="str">
            <v>IS_alqt_plus</v>
          </cell>
          <cell r="K9815" t="str">
            <v>PCOQ</v>
          </cell>
          <cell r="M9815" t="str">
            <v>M</v>
          </cell>
          <cell r="AB9815" t="str">
            <v>WB</v>
          </cell>
          <cell r="AF9815">
            <v>1</v>
          </cell>
        </row>
        <row r="9816">
          <cell r="A9816" t="str">
            <v>IS_alqt_plus</v>
          </cell>
          <cell r="K9816" t="str">
            <v>PCOQ</v>
          </cell>
          <cell r="M9816" t="str">
            <v>M</v>
          </cell>
          <cell r="AB9816" t="str">
            <v>WB</v>
          </cell>
          <cell r="AF9816">
            <v>0.25</v>
          </cell>
        </row>
        <row r="9817">
          <cell r="A9817" t="str">
            <v>IS_alqt_plus</v>
          </cell>
          <cell r="K9817" t="str">
            <v>LCAT</v>
          </cell>
          <cell r="M9817" t="str">
            <v>F</v>
          </cell>
          <cell r="AB9817" t="str">
            <v>serum</v>
          </cell>
          <cell r="AF9817">
            <v>1</v>
          </cell>
        </row>
        <row r="9818">
          <cell r="A9818" t="str">
            <v>IS_alqt_plus</v>
          </cell>
          <cell r="K9818" t="str">
            <v>PCOQ</v>
          </cell>
          <cell r="M9818" t="str">
            <v>M</v>
          </cell>
          <cell r="AB9818" t="str">
            <v>serum</v>
          </cell>
          <cell r="AF9818">
            <v>0.5</v>
          </cell>
        </row>
        <row r="9819">
          <cell r="A9819" t="str">
            <v>IS_alqt_plus</v>
          </cell>
          <cell r="K9819" t="str">
            <v>PCOQ</v>
          </cell>
          <cell r="M9819" t="str">
            <v>F</v>
          </cell>
          <cell r="AB9819" t="str">
            <v>WB</v>
          </cell>
          <cell r="AF9819">
            <v>1</v>
          </cell>
        </row>
        <row r="9820">
          <cell r="A9820" t="str">
            <v>IS_alqt_plus</v>
          </cell>
          <cell r="K9820" t="str">
            <v>PCOQ</v>
          </cell>
          <cell r="M9820" t="str">
            <v>M</v>
          </cell>
          <cell r="AB9820" t="str">
            <v>WB</v>
          </cell>
          <cell r="AF9820">
            <v>0.5</v>
          </cell>
        </row>
        <row r="9821">
          <cell r="A9821" t="str">
            <v>IS_alqt_minus</v>
          </cell>
          <cell r="K9821" t="str">
            <v>MMUR</v>
          </cell>
          <cell r="M9821" t="str">
            <v>M</v>
          </cell>
          <cell r="AB9821" t="str">
            <v>WB</v>
          </cell>
          <cell r="AF9821">
            <v>0.1</v>
          </cell>
        </row>
        <row r="9822">
          <cell r="A9822" t="str">
            <v>IS_alqt_minus</v>
          </cell>
          <cell r="K9822" t="str">
            <v>MMUR</v>
          </cell>
          <cell r="M9822" t="str">
            <v>M</v>
          </cell>
          <cell r="AB9822" t="str">
            <v>WB</v>
          </cell>
          <cell r="AF9822">
            <v>0.1</v>
          </cell>
        </row>
        <row r="9823">
          <cell r="A9823" t="str">
            <v>IS_alqt_plus</v>
          </cell>
          <cell r="K9823" t="str">
            <v>PCOQ</v>
          </cell>
          <cell r="M9823" t="str">
            <v>F</v>
          </cell>
          <cell r="AB9823" t="str">
            <v>serum</v>
          </cell>
          <cell r="AF9823">
            <v>1</v>
          </cell>
        </row>
        <row r="9824">
          <cell r="A9824" t="str">
            <v>gone</v>
          </cell>
          <cell r="K9824" t="str">
            <v>CMED</v>
          </cell>
          <cell r="M9824" t="str">
            <v>F</v>
          </cell>
          <cell r="AB9824" t="str">
            <v>WB</v>
          </cell>
          <cell r="AF9824">
            <v>0</v>
          </cell>
        </row>
        <row r="9825">
          <cell r="A9825" t="str">
            <v>gone</v>
          </cell>
          <cell r="K9825" t="str">
            <v>CMED</v>
          </cell>
          <cell r="M9825" t="str">
            <v>F</v>
          </cell>
          <cell r="AB9825" t="str">
            <v>WB</v>
          </cell>
          <cell r="AF9825">
            <v>0</v>
          </cell>
        </row>
        <row r="9826">
          <cell r="A9826" t="str">
            <v>IS_alqt_plus</v>
          </cell>
          <cell r="K9826" t="str">
            <v>PCOQ</v>
          </cell>
          <cell r="M9826" t="str">
            <v>M</v>
          </cell>
          <cell r="AB9826" t="str">
            <v>WB</v>
          </cell>
          <cell r="AF9826">
            <v>0.55000000000000004</v>
          </cell>
        </row>
        <row r="9827">
          <cell r="A9827" t="str">
            <v>IS_alqt_plus</v>
          </cell>
          <cell r="K9827" t="str">
            <v>VVV</v>
          </cell>
          <cell r="M9827" t="str">
            <v>M</v>
          </cell>
          <cell r="AB9827" t="str">
            <v>WB</v>
          </cell>
          <cell r="AF9827">
            <v>1</v>
          </cell>
        </row>
        <row r="9828">
          <cell r="A9828" t="str">
            <v>IS_alqt_plus</v>
          </cell>
          <cell r="K9828" t="str">
            <v>VVV</v>
          </cell>
          <cell r="M9828" t="str">
            <v>M</v>
          </cell>
          <cell r="AB9828" t="str">
            <v>serum</v>
          </cell>
          <cell r="AF9828">
            <v>1.5</v>
          </cell>
        </row>
        <row r="9829">
          <cell r="A9829" t="str">
            <v>gone</v>
          </cell>
          <cell r="K9829" t="str">
            <v>VVV</v>
          </cell>
          <cell r="M9829" t="str">
            <v>M</v>
          </cell>
          <cell r="AB9829" t="str">
            <v>WB</v>
          </cell>
          <cell r="AF9829">
            <v>0</v>
          </cell>
        </row>
        <row r="9830">
          <cell r="A9830" t="str">
            <v>IS_alqt_plus</v>
          </cell>
          <cell r="K9830" t="str">
            <v>PCOQ</v>
          </cell>
          <cell r="M9830" t="str">
            <v>F</v>
          </cell>
          <cell r="AB9830" t="str">
            <v>WB</v>
          </cell>
          <cell r="AF9830">
            <v>0.3</v>
          </cell>
        </row>
        <row r="9831">
          <cell r="A9831" t="str">
            <v>gone</v>
          </cell>
          <cell r="K9831" t="str">
            <v>PCOQ</v>
          </cell>
          <cell r="M9831" t="str">
            <v>F</v>
          </cell>
          <cell r="AB9831" t="str">
            <v>WB</v>
          </cell>
          <cell r="AF9831">
            <v>0</v>
          </cell>
        </row>
        <row r="9832">
          <cell r="A9832" t="str">
            <v>IS_alqt_plus</v>
          </cell>
          <cell r="K9832" t="str">
            <v>EMON</v>
          </cell>
          <cell r="M9832" t="str">
            <v>M</v>
          </cell>
          <cell r="AB9832" t="str">
            <v>WB</v>
          </cell>
          <cell r="AF9832">
            <v>1.1000000000000001</v>
          </cell>
        </row>
        <row r="9833">
          <cell r="A9833" t="str">
            <v>IS_alqt_plus</v>
          </cell>
          <cell r="K9833" t="str">
            <v>EMON</v>
          </cell>
          <cell r="M9833" t="str">
            <v>M</v>
          </cell>
          <cell r="AB9833" t="str">
            <v>WB</v>
          </cell>
          <cell r="AF9833">
            <v>0.75</v>
          </cell>
        </row>
        <row r="9834">
          <cell r="A9834" t="str">
            <v>IS_alqt_plus</v>
          </cell>
          <cell r="K9834" t="str">
            <v>PCOQ</v>
          </cell>
          <cell r="M9834" t="str">
            <v>M</v>
          </cell>
          <cell r="AB9834" t="str">
            <v>WB</v>
          </cell>
          <cell r="AF9834">
            <v>0.85</v>
          </cell>
        </row>
        <row r="9835">
          <cell r="A9835" t="str">
            <v>IS_alqt_plus</v>
          </cell>
          <cell r="K9835" t="str">
            <v>PCOQ</v>
          </cell>
          <cell r="M9835" t="str">
            <v>M</v>
          </cell>
          <cell r="AB9835" t="str">
            <v>WB</v>
          </cell>
          <cell r="AF9835">
            <v>1</v>
          </cell>
        </row>
        <row r="9836">
          <cell r="A9836" t="str">
            <v>IS_alqt_minus</v>
          </cell>
          <cell r="K9836" t="str">
            <v>MMUR</v>
          </cell>
          <cell r="M9836" t="str">
            <v>M</v>
          </cell>
          <cell r="AB9836" t="str">
            <v>WB</v>
          </cell>
          <cell r="AF9836">
            <v>0.1</v>
          </cell>
        </row>
        <row r="9837">
          <cell r="A9837" t="str">
            <v>IS_alqt_plus</v>
          </cell>
          <cell r="K9837" t="str">
            <v>MMUR</v>
          </cell>
          <cell r="M9837" t="str">
            <v>M</v>
          </cell>
          <cell r="AB9837" t="str">
            <v>serum</v>
          </cell>
          <cell r="AF9837">
            <v>0.6</v>
          </cell>
        </row>
        <row r="9838">
          <cell r="A9838" t="str">
            <v>IS_alqt_plus</v>
          </cell>
          <cell r="K9838" t="str">
            <v>PCOQ</v>
          </cell>
          <cell r="M9838" t="str">
            <v>M</v>
          </cell>
          <cell r="AB9838" t="str">
            <v>WB</v>
          </cell>
          <cell r="AF9838">
            <v>1</v>
          </cell>
        </row>
        <row r="9839">
          <cell r="A9839" t="str">
            <v>unk</v>
          </cell>
          <cell r="K9839" t="str">
            <v>LCAT</v>
          </cell>
          <cell r="M9839" t="str">
            <v>M</v>
          </cell>
          <cell r="AB9839" t="str">
            <v>serum</v>
          </cell>
          <cell r="AF9839">
            <v>1</v>
          </cell>
        </row>
        <row r="9840">
          <cell r="A9840" t="str">
            <v>IS_alqt_plus</v>
          </cell>
          <cell r="K9840" t="str">
            <v>MMUR</v>
          </cell>
          <cell r="M9840" t="str">
            <v>M</v>
          </cell>
          <cell r="AB9840" t="str">
            <v>serum</v>
          </cell>
          <cell r="AF9840">
            <v>0.7</v>
          </cell>
        </row>
        <row r="9841">
          <cell r="A9841" t="str">
            <v>IS_alqt_plus</v>
          </cell>
          <cell r="K9841" t="str">
            <v>MMUR</v>
          </cell>
          <cell r="M9841" t="str">
            <v>M</v>
          </cell>
          <cell r="AB9841" t="str">
            <v>WB</v>
          </cell>
          <cell r="AF9841">
            <v>0.2</v>
          </cell>
        </row>
        <row r="9842">
          <cell r="A9842" t="str">
            <v>IS_alqt_plus</v>
          </cell>
          <cell r="K9842" t="str">
            <v>MMUR</v>
          </cell>
          <cell r="M9842" t="str">
            <v>M</v>
          </cell>
          <cell r="AB9842" t="str">
            <v>WB</v>
          </cell>
          <cell r="AF9842">
            <v>0.2</v>
          </cell>
        </row>
        <row r="9843">
          <cell r="A9843" t="str">
            <v>IS_alqt_plus</v>
          </cell>
          <cell r="K9843" t="str">
            <v>PCOQ</v>
          </cell>
          <cell r="M9843" t="str">
            <v>M</v>
          </cell>
          <cell r="AB9843" t="str">
            <v>WB</v>
          </cell>
          <cell r="AF9843">
            <v>1</v>
          </cell>
        </row>
        <row r="9844">
          <cell r="A9844" t="str">
            <v>IS_alqt_plus</v>
          </cell>
          <cell r="K9844" t="str">
            <v>LCAT</v>
          </cell>
          <cell r="M9844" t="str">
            <v>F</v>
          </cell>
          <cell r="AB9844" t="str">
            <v>serum</v>
          </cell>
          <cell r="AF9844">
            <v>1.5</v>
          </cell>
        </row>
        <row r="9845">
          <cell r="A9845" t="str">
            <v>IS_alqt_plus</v>
          </cell>
          <cell r="K9845" t="str">
            <v>LCAT</v>
          </cell>
          <cell r="M9845" t="str">
            <v>F</v>
          </cell>
          <cell r="AB9845" t="str">
            <v>serum</v>
          </cell>
          <cell r="AF9845">
            <v>1.25</v>
          </cell>
        </row>
        <row r="9846">
          <cell r="A9846" t="str">
            <v>IS_alqt_plus</v>
          </cell>
          <cell r="K9846" t="str">
            <v>PCOQ</v>
          </cell>
          <cell r="M9846" t="str">
            <v>F</v>
          </cell>
          <cell r="AB9846" t="str">
            <v>serum</v>
          </cell>
          <cell r="AF9846">
            <v>1.25</v>
          </cell>
        </row>
        <row r="9847">
          <cell r="A9847" t="str">
            <v>IS_alqt_plus</v>
          </cell>
          <cell r="K9847" t="str">
            <v>PCOQ</v>
          </cell>
          <cell r="M9847" t="str">
            <v>M</v>
          </cell>
          <cell r="AB9847" t="str">
            <v>WB</v>
          </cell>
          <cell r="AF9847">
            <v>1</v>
          </cell>
        </row>
        <row r="9848">
          <cell r="A9848" t="str">
            <v>IS_alqt_plus</v>
          </cell>
          <cell r="K9848" t="str">
            <v>EMON</v>
          </cell>
          <cell r="M9848" t="str">
            <v>F</v>
          </cell>
          <cell r="AB9848" t="str">
            <v>WB</v>
          </cell>
          <cell r="AF9848">
            <v>1.2</v>
          </cell>
        </row>
        <row r="9849">
          <cell r="A9849" t="str">
            <v>IS_alqt_plus</v>
          </cell>
          <cell r="K9849" t="str">
            <v>EMON</v>
          </cell>
          <cell r="M9849" t="str">
            <v>M</v>
          </cell>
          <cell r="AB9849" t="str">
            <v>WB</v>
          </cell>
          <cell r="AF9849">
            <v>0.5</v>
          </cell>
        </row>
        <row r="9850">
          <cell r="A9850" t="str">
            <v>IS_alqt_plus</v>
          </cell>
          <cell r="K9850" t="str">
            <v>EMON</v>
          </cell>
          <cell r="M9850" t="str">
            <v>F</v>
          </cell>
          <cell r="AB9850" t="str">
            <v>WB</v>
          </cell>
          <cell r="AF9850">
            <v>1</v>
          </cell>
        </row>
        <row r="9851">
          <cell r="A9851" t="str">
            <v>IS_alqt_plus</v>
          </cell>
          <cell r="K9851" t="str">
            <v>EMON</v>
          </cell>
          <cell r="M9851" t="str">
            <v>M</v>
          </cell>
          <cell r="AB9851" t="str">
            <v>WB</v>
          </cell>
          <cell r="AF9851">
            <v>0.3</v>
          </cell>
        </row>
        <row r="9852">
          <cell r="A9852" t="str">
            <v>IS_alqt_plus</v>
          </cell>
          <cell r="K9852" t="str">
            <v>EMON</v>
          </cell>
          <cell r="M9852" t="str">
            <v>M</v>
          </cell>
          <cell r="AB9852" t="str">
            <v>serum</v>
          </cell>
          <cell r="AF9852">
            <v>0.6</v>
          </cell>
        </row>
        <row r="9853">
          <cell r="A9853" t="str">
            <v>IS_alqt_plus</v>
          </cell>
          <cell r="K9853" t="str">
            <v>EMON</v>
          </cell>
          <cell r="M9853" t="str">
            <v>M</v>
          </cell>
          <cell r="AB9853" t="str">
            <v>WB</v>
          </cell>
          <cell r="AF9853">
            <v>0.8</v>
          </cell>
        </row>
        <row r="9854">
          <cell r="A9854" t="str">
            <v>IS_alqt_plus</v>
          </cell>
          <cell r="K9854" t="str">
            <v>EMON</v>
          </cell>
          <cell r="M9854" t="str">
            <v>M</v>
          </cell>
          <cell r="AB9854" t="str">
            <v>WB</v>
          </cell>
          <cell r="AF9854">
            <v>1</v>
          </cell>
        </row>
        <row r="9855">
          <cell r="A9855" t="str">
            <v>IS_alqt_plus</v>
          </cell>
          <cell r="K9855" t="str">
            <v>EMON</v>
          </cell>
          <cell r="M9855" t="str">
            <v>M</v>
          </cell>
          <cell r="AB9855" t="str">
            <v>WB</v>
          </cell>
          <cell r="AF9855">
            <v>0.5</v>
          </cell>
        </row>
        <row r="9856">
          <cell r="A9856" t="str">
            <v>IS_alqt_plus</v>
          </cell>
          <cell r="K9856" t="str">
            <v>EMON</v>
          </cell>
          <cell r="M9856" t="str">
            <v>M</v>
          </cell>
          <cell r="AB9856" t="str">
            <v>WB</v>
          </cell>
          <cell r="AF9856">
            <v>1.25</v>
          </cell>
        </row>
        <row r="9857">
          <cell r="A9857" t="str">
            <v>IS_alqt_plus</v>
          </cell>
          <cell r="K9857" t="str">
            <v>EMON</v>
          </cell>
          <cell r="M9857" t="str">
            <v>M</v>
          </cell>
          <cell r="AB9857" t="str">
            <v>WB</v>
          </cell>
          <cell r="AF9857">
            <v>1.1499999999999999</v>
          </cell>
        </row>
        <row r="9858">
          <cell r="A9858" t="str">
            <v>IS_alqt_plus</v>
          </cell>
          <cell r="K9858" t="str">
            <v>EMON</v>
          </cell>
          <cell r="M9858" t="str">
            <v>M</v>
          </cell>
          <cell r="AB9858" t="str">
            <v>WB</v>
          </cell>
          <cell r="AF9858">
            <v>0.9</v>
          </cell>
        </row>
        <row r="9859">
          <cell r="A9859" t="str">
            <v>IS_alqt_plus</v>
          </cell>
          <cell r="K9859" t="str">
            <v>EMON</v>
          </cell>
          <cell r="M9859" t="str">
            <v>M</v>
          </cell>
          <cell r="AB9859" t="str">
            <v>WB</v>
          </cell>
          <cell r="AF9859">
            <v>1.5</v>
          </cell>
        </row>
        <row r="9860">
          <cell r="A9860" t="str">
            <v>IS_alqt_plus</v>
          </cell>
          <cell r="K9860" t="str">
            <v>EMON</v>
          </cell>
          <cell r="M9860" t="str">
            <v>M</v>
          </cell>
          <cell r="AB9860" t="str">
            <v>WB</v>
          </cell>
          <cell r="AF9860">
            <v>0.5</v>
          </cell>
        </row>
        <row r="9861">
          <cell r="A9861" t="str">
            <v>IS_alqt_plus</v>
          </cell>
          <cell r="K9861" t="str">
            <v>EMON</v>
          </cell>
          <cell r="M9861" t="str">
            <v>M</v>
          </cell>
          <cell r="AB9861" t="str">
            <v>WB</v>
          </cell>
          <cell r="AF9861">
            <v>1.5</v>
          </cell>
        </row>
        <row r="9862">
          <cell r="A9862" t="str">
            <v>IS_alqt_plus</v>
          </cell>
          <cell r="K9862" t="str">
            <v>EMON</v>
          </cell>
          <cell r="M9862" t="str">
            <v>M</v>
          </cell>
          <cell r="AB9862" t="str">
            <v>WB</v>
          </cell>
          <cell r="AF9862">
            <v>0.5</v>
          </cell>
        </row>
        <row r="9863">
          <cell r="A9863" t="str">
            <v>gone</v>
          </cell>
          <cell r="K9863" t="str">
            <v>EMON</v>
          </cell>
          <cell r="M9863" t="str">
            <v>M</v>
          </cell>
          <cell r="AB9863" t="str">
            <v>WB</v>
          </cell>
          <cell r="AF9863">
            <v>0</v>
          </cell>
        </row>
        <row r="9864">
          <cell r="A9864" t="str">
            <v>IS_alqt_plus</v>
          </cell>
          <cell r="K9864" t="str">
            <v>EMON</v>
          </cell>
          <cell r="M9864" t="str">
            <v>M</v>
          </cell>
          <cell r="AB9864" t="str">
            <v>WB</v>
          </cell>
          <cell r="AF9864">
            <v>1</v>
          </cell>
        </row>
        <row r="9865">
          <cell r="A9865" t="str">
            <v>IS_alqt_plus</v>
          </cell>
          <cell r="K9865" t="str">
            <v>EMON</v>
          </cell>
          <cell r="M9865" t="str">
            <v>M</v>
          </cell>
          <cell r="AB9865" t="str">
            <v>WB</v>
          </cell>
          <cell r="AF9865">
            <v>1</v>
          </cell>
        </row>
        <row r="9866">
          <cell r="A9866" t="str">
            <v>IS_alqt_plus</v>
          </cell>
          <cell r="K9866" t="str">
            <v>VVV</v>
          </cell>
          <cell r="M9866" t="str">
            <v>F</v>
          </cell>
          <cell r="AB9866" t="str">
            <v>WB</v>
          </cell>
          <cell r="AF9866">
            <v>1</v>
          </cell>
        </row>
        <row r="9867">
          <cell r="A9867" t="str">
            <v>IS_alqt_plus</v>
          </cell>
          <cell r="K9867" t="str">
            <v>VVV</v>
          </cell>
          <cell r="M9867" t="str">
            <v>F</v>
          </cell>
          <cell r="AB9867" t="str">
            <v>serum</v>
          </cell>
          <cell r="AF9867">
            <v>1</v>
          </cell>
        </row>
        <row r="9868">
          <cell r="A9868" t="str">
            <v>IS_alqt_plus</v>
          </cell>
          <cell r="K9868" t="str">
            <v>VRUB</v>
          </cell>
          <cell r="M9868" t="str">
            <v>M</v>
          </cell>
          <cell r="AB9868" t="str">
            <v>WB</v>
          </cell>
          <cell r="AF9868">
            <v>1</v>
          </cell>
        </row>
        <row r="9869">
          <cell r="A9869" t="str">
            <v>IS_alqt_plus</v>
          </cell>
          <cell r="K9869" t="str">
            <v>VRUB</v>
          </cell>
          <cell r="M9869" t="str">
            <v>M</v>
          </cell>
          <cell r="AB9869" t="str">
            <v>serum</v>
          </cell>
          <cell r="AF9869">
            <v>1.5</v>
          </cell>
        </row>
        <row r="9870">
          <cell r="A9870" t="str">
            <v>IS_alqt_plus</v>
          </cell>
          <cell r="K9870" t="str">
            <v>PCOQ</v>
          </cell>
          <cell r="M9870" t="str">
            <v>M</v>
          </cell>
          <cell r="AB9870" t="str">
            <v>WB</v>
          </cell>
          <cell r="AF9870">
            <v>1.5</v>
          </cell>
        </row>
        <row r="9871">
          <cell r="A9871" t="str">
            <v>IS_alqt_plus</v>
          </cell>
          <cell r="K9871" t="str">
            <v>PCOQ</v>
          </cell>
          <cell r="M9871" t="str">
            <v>M</v>
          </cell>
          <cell r="AB9871" t="str">
            <v>serum</v>
          </cell>
          <cell r="AF9871">
            <v>1.5</v>
          </cell>
        </row>
        <row r="9872">
          <cell r="A9872" t="str">
            <v>IS_alqt_plus</v>
          </cell>
          <cell r="K9872" t="str">
            <v>PCOQ</v>
          </cell>
          <cell r="M9872" t="str">
            <v>F</v>
          </cell>
          <cell r="AB9872" t="str">
            <v>WB</v>
          </cell>
          <cell r="AF9872">
            <v>0.35</v>
          </cell>
        </row>
        <row r="9873">
          <cell r="A9873" t="str">
            <v>IS_alqt_plus</v>
          </cell>
          <cell r="K9873" t="str">
            <v>DMAD</v>
          </cell>
          <cell r="M9873" t="str">
            <v>F</v>
          </cell>
          <cell r="AB9873" t="str">
            <v>serum</v>
          </cell>
          <cell r="AF9873">
            <v>1</v>
          </cell>
        </row>
        <row r="9874">
          <cell r="A9874" t="str">
            <v>IS_alqt_plus</v>
          </cell>
          <cell r="K9874" t="str">
            <v>DMAD</v>
          </cell>
          <cell r="M9874" t="str">
            <v>F</v>
          </cell>
          <cell r="AB9874" t="str">
            <v>WB</v>
          </cell>
          <cell r="AF9874">
            <v>0.4</v>
          </cell>
        </row>
        <row r="9875">
          <cell r="A9875" t="str">
            <v>IS_alqt_plus</v>
          </cell>
          <cell r="K9875" t="str">
            <v>DMAD</v>
          </cell>
          <cell r="M9875" t="str">
            <v>F</v>
          </cell>
          <cell r="AB9875" t="str">
            <v>WB</v>
          </cell>
          <cell r="AF9875">
            <v>1</v>
          </cell>
        </row>
        <row r="9876">
          <cell r="A9876" t="str">
            <v>IS_alqt_plus</v>
          </cell>
          <cell r="K9876" t="str">
            <v>GMOH</v>
          </cell>
          <cell r="M9876" t="str">
            <v>F</v>
          </cell>
          <cell r="AB9876" t="str">
            <v>WB</v>
          </cell>
          <cell r="AF9876">
            <v>0.5</v>
          </cell>
        </row>
        <row r="9877">
          <cell r="A9877" t="str">
            <v>IS_alqt_plus</v>
          </cell>
          <cell r="K9877" t="str">
            <v>VVV</v>
          </cell>
          <cell r="M9877" t="str">
            <v>F</v>
          </cell>
          <cell r="AB9877" t="str">
            <v>WB</v>
          </cell>
          <cell r="AF9877">
            <v>0.75</v>
          </cell>
        </row>
        <row r="9878">
          <cell r="A9878" t="str">
            <v>gone</v>
          </cell>
          <cell r="K9878" t="str">
            <v>VVV</v>
          </cell>
          <cell r="M9878" t="str">
            <v>F</v>
          </cell>
          <cell r="AB9878" t="str">
            <v>serum</v>
          </cell>
          <cell r="AF9878">
            <v>0</v>
          </cell>
        </row>
        <row r="9879">
          <cell r="A9879" t="str">
            <v>IS_alqt_plus</v>
          </cell>
          <cell r="K9879" t="str">
            <v>PCOQ</v>
          </cell>
          <cell r="M9879" t="str">
            <v>M</v>
          </cell>
          <cell r="AB9879" t="str">
            <v>WB</v>
          </cell>
          <cell r="AF9879">
            <v>1</v>
          </cell>
        </row>
        <row r="9880">
          <cell r="A9880" t="str">
            <v>IS_alqt_plus</v>
          </cell>
          <cell r="K9880" t="str">
            <v>PCOQ</v>
          </cell>
          <cell r="M9880" t="str">
            <v>F</v>
          </cell>
          <cell r="AB9880" t="str">
            <v>WB</v>
          </cell>
          <cell r="AF9880">
            <v>0.2</v>
          </cell>
        </row>
        <row r="9881">
          <cell r="A9881" t="str">
            <v>IS_alqt_plus</v>
          </cell>
          <cell r="K9881" t="str">
            <v>PCOQ</v>
          </cell>
          <cell r="M9881" t="str">
            <v>F</v>
          </cell>
          <cell r="AB9881" t="str">
            <v>WB</v>
          </cell>
          <cell r="AF9881">
            <v>0.2</v>
          </cell>
        </row>
        <row r="9882">
          <cell r="A9882" t="str">
            <v>IS_alqt_plus</v>
          </cell>
          <cell r="K9882" t="str">
            <v>PCOQ</v>
          </cell>
          <cell r="M9882" t="str">
            <v>F</v>
          </cell>
          <cell r="AB9882" t="str">
            <v>WB</v>
          </cell>
          <cell r="AF9882">
            <v>0.2</v>
          </cell>
        </row>
        <row r="9883">
          <cell r="A9883" t="str">
            <v>IS_alqt_plus</v>
          </cell>
          <cell r="K9883" t="str">
            <v>PCOQ</v>
          </cell>
          <cell r="M9883" t="str">
            <v>F</v>
          </cell>
          <cell r="AB9883" t="str">
            <v>WB</v>
          </cell>
          <cell r="AF9883">
            <v>0.2</v>
          </cell>
        </row>
        <row r="9884">
          <cell r="A9884" t="str">
            <v>IS_alqt_plus</v>
          </cell>
          <cell r="K9884" t="str">
            <v>LCAT</v>
          </cell>
          <cell r="M9884" t="str">
            <v>M</v>
          </cell>
          <cell r="AB9884" t="str">
            <v>plasma</v>
          </cell>
          <cell r="AF9884">
            <v>1</v>
          </cell>
        </row>
        <row r="9885">
          <cell r="A9885" t="str">
            <v>IS_alqt_plus</v>
          </cell>
          <cell r="K9885" t="str">
            <v>LCAT</v>
          </cell>
          <cell r="M9885" t="str">
            <v>F</v>
          </cell>
          <cell r="AB9885" t="str">
            <v>plasma</v>
          </cell>
          <cell r="AF9885">
            <v>1</v>
          </cell>
        </row>
        <row r="9886">
          <cell r="A9886" t="str">
            <v>IS_alqt_plus</v>
          </cell>
          <cell r="K9886" t="str">
            <v>PCOQ</v>
          </cell>
          <cell r="M9886" t="str">
            <v>F</v>
          </cell>
          <cell r="AB9886" t="str">
            <v>WB</v>
          </cell>
          <cell r="AF9886">
            <v>0.2</v>
          </cell>
        </row>
        <row r="9887">
          <cell r="A9887" t="str">
            <v>IS_alqt_plus</v>
          </cell>
          <cell r="K9887" t="str">
            <v>EFLA</v>
          </cell>
          <cell r="M9887" t="str">
            <v>F</v>
          </cell>
          <cell r="AB9887" t="str">
            <v>WB</v>
          </cell>
          <cell r="AF9887">
            <v>0.2</v>
          </cell>
        </row>
        <row r="9888">
          <cell r="A9888" t="str">
            <v>unk</v>
          </cell>
          <cell r="K9888" t="str">
            <v>PCOQ</v>
          </cell>
          <cell r="M9888" t="str">
            <v>F</v>
          </cell>
          <cell r="AB9888" t="str">
            <v>WB</v>
          </cell>
          <cell r="AF9888">
            <v>0.2</v>
          </cell>
        </row>
        <row r="9889">
          <cell r="A9889" t="str">
            <v>unk</v>
          </cell>
          <cell r="K9889" t="str">
            <v>PCOQ</v>
          </cell>
          <cell r="M9889" t="str">
            <v>F</v>
          </cell>
          <cell r="AB9889" t="str">
            <v>WB</v>
          </cell>
          <cell r="AF9889">
            <v>0.2</v>
          </cell>
        </row>
        <row r="9890">
          <cell r="A9890" t="str">
            <v>unk</v>
          </cell>
          <cell r="K9890" t="str">
            <v>PCOQ</v>
          </cell>
          <cell r="M9890" t="str">
            <v>F</v>
          </cell>
          <cell r="AB9890" t="str">
            <v>WB</v>
          </cell>
          <cell r="AF9890">
            <v>0.2</v>
          </cell>
        </row>
        <row r="9891">
          <cell r="A9891" t="str">
            <v>unk</v>
          </cell>
          <cell r="K9891" t="str">
            <v>PCOQ</v>
          </cell>
          <cell r="M9891" t="str">
            <v>F</v>
          </cell>
          <cell r="AB9891" t="str">
            <v>WB</v>
          </cell>
          <cell r="AF9891">
            <v>0.2</v>
          </cell>
        </row>
        <row r="9892">
          <cell r="A9892" t="str">
            <v>IS_alqt_plus</v>
          </cell>
          <cell r="K9892" t="str">
            <v>LCAT</v>
          </cell>
          <cell r="M9892" t="str">
            <v>M</v>
          </cell>
          <cell r="AB9892" t="str">
            <v>serum</v>
          </cell>
          <cell r="AF9892">
            <v>1</v>
          </cell>
        </row>
        <row r="9893">
          <cell r="A9893" t="str">
            <v>unk</v>
          </cell>
          <cell r="K9893" t="str">
            <v>LCAT</v>
          </cell>
          <cell r="M9893" t="str">
            <v>M</v>
          </cell>
          <cell r="AB9893" t="str">
            <v>plasma</v>
          </cell>
          <cell r="AF9893">
            <v>1</v>
          </cell>
        </row>
        <row r="9894">
          <cell r="A9894" t="str">
            <v>unk</v>
          </cell>
          <cell r="K9894" t="str">
            <v>PCOQ</v>
          </cell>
          <cell r="M9894" t="str">
            <v>F</v>
          </cell>
          <cell r="AB9894" t="str">
            <v>WB</v>
          </cell>
          <cell r="AF9894">
            <v>0.2</v>
          </cell>
        </row>
        <row r="9895">
          <cell r="A9895" t="str">
            <v>IS_alqt_plus</v>
          </cell>
          <cell r="K9895" t="str">
            <v>ECOR</v>
          </cell>
          <cell r="M9895" t="str">
            <v>M</v>
          </cell>
          <cell r="AB9895" t="str">
            <v>serum</v>
          </cell>
          <cell r="AF9895">
            <v>1.1000000000000001</v>
          </cell>
        </row>
        <row r="9896">
          <cell r="A9896" t="str">
            <v>IS_alqt_plus</v>
          </cell>
          <cell r="K9896" t="str">
            <v>ECOR</v>
          </cell>
          <cell r="M9896" t="str">
            <v>M</v>
          </cell>
          <cell r="AB9896" t="str">
            <v>WB</v>
          </cell>
          <cell r="AF9896">
            <v>1</v>
          </cell>
        </row>
        <row r="9897">
          <cell r="A9897" t="str">
            <v>IS_alqt_minus</v>
          </cell>
          <cell r="K9897" t="str">
            <v>PCOQ</v>
          </cell>
          <cell r="M9897" t="str">
            <v>F</v>
          </cell>
          <cell r="AB9897" t="str">
            <v>serum</v>
          </cell>
          <cell r="AF9897">
            <v>0.15</v>
          </cell>
        </row>
        <row r="9898">
          <cell r="A9898" t="str">
            <v>unk</v>
          </cell>
          <cell r="K9898" t="str">
            <v>PCOQ</v>
          </cell>
          <cell r="M9898" t="str">
            <v>F</v>
          </cell>
          <cell r="AB9898" t="str">
            <v>WB</v>
          </cell>
          <cell r="AF9898">
            <v>0.5</v>
          </cell>
        </row>
        <row r="9899">
          <cell r="A9899" t="str">
            <v>IS_alqt_plus</v>
          </cell>
          <cell r="K9899" t="str">
            <v>PCOQ</v>
          </cell>
          <cell r="M9899" t="str">
            <v>M</v>
          </cell>
          <cell r="AB9899" t="str">
            <v>serum</v>
          </cell>
          <cell r="AF9899">
            <v>1</v>
          </cell>
        </row>
        <row r="9900">
          <cell r="A9900" t="str">
            <v>IS_alqt_plus</v>
          </cell>
          <cell r="K9900" t="str">
            <v>PCOQ</v>
          </cell>
          <cell r="M9900" t="str">
            <v>M</v>
          </cell>
          <cell r="AB9900" t="str">
            <v>serum</v>
          </cell>
          <cell r="AF9900">
            <v>1</v>
          </cell>
        </row>
        <row r="9901">
          <cell r="A9901" t="str">
            <v>IS_alqt_plus</v>
          </cell>
          <cell r="K9901" t="str">
            <v>PCOQ</v>
          </cell>
          <cell r="M9901" t="str">
            <v>F</v>
          </cell>
          <cell r="AB9901" t="str">
            <v>WB</v>
          </cell>
          <cell r="AF9901">
            <v>0.2</v>
          </cell>
        </row>
        <row r="9902">
          <cell r="A9902" t="str">
            <v>IS_alqt_plus</v>
          </cell>
          <cell r="K9902" t="str">
            <v>PCOQ</v>
          </cell>
          <cell r="M9902" t="str">
            <v>F</v>
          </cell>
          <cell r="AB9902" t="str">
            <v>WB</v>
          </cell>
          <cell r="AF9902">
            <v>0.2</v>
          </cell>
        </row>
        <row r="9903">
          <cell r="A9903" t="str">
            <v>IS_alqt_plus</v>
          </cell>
          <cell r="K9903" t="str">
            <v>PCOQ</v>
          </cell>
          <cell r="M9903" t="str">
            <v>M</v>
          </cell>
          <cell r="AB9903" t="str">
            <v>serum</v>
          </cell>
          <cell r="AF9903">
            <v>1.5</v>
          </cell>
        </row>
        <row r="9904">
          <cell r="A9904" t="str">
            <v>IS_alqt_plus</v>
          </cell>
          <cell r="K9904" t="str">
            <v>PCOQ</v>
          </cell>
          <cell r="M9904" t="str">
            <v>M</v>
          </cell>
          <cell r="AB9904" t="str">
            <v>serum</v>
          </cell>
          <cell r="AF9904">
            <v>1</v>
          </cell>
        </row>
        <row r="9905">
          <cell r="A9905" t="str">
            <v>IS_alqt_plus</v>
          </cell>
          <cell r="K9905" t="str">
            <v>PCOQ</v>
          </cell>
          <cell r="M9905" t="str">
            <v>F</v>
          </cell>
          <cell r="AB9905" t="str">
            <v>serum</v>
          </cell>
          <cell r="AF9905">
            <v>1.5</v>
          </cell>
        </row>
        <row r="9906">
          <cell r="A9906" t="str">
            <v>IS_alqt_plus</v>
          </cell>
          <cell r="K9906" t="str">
            <v>PCOQ</v>
          </cell>
          <cell r="M9906" t="str">
            <v>F</v>
          </cell>
          <cell r="AB9906" t="str">
            <v>WB</v>
          </cell>
          <cell r="AF9906">
            <v>0.2</v>
          </cell>
        </row>
        <row r="9907">
          <cell r="A9907" t="str">
            <v>gone</v>
          </cell>
          <cell r="K9907" t="str">
            <v>PCOQ</v>
          </cell>
          <cell r="M9907" t="str">
            <v>F</v>
          </cell>
          <cell r="AB9907" t="str">
            <v>WB</v>
          </cell>
          <cell r="AF9907">
            <v>0</v>
          </cell>
        </row>
        <row r="9908">
          <cell r="A9908" t="str">
            <v>gone</v>
          </cell>
          <cell r="K9908" t="str">
            <v>PCOQ</v>
          </cell>
          <cell r="M9908" t="str">
            <v>M</v>
          </cell>
          <cell r="AB9908" t="str">
            <v>WB</v>
          </cell>
          <cell r="AF9908">
            <v>0</v>
          </cell>
        </row>
        <row r="9909">
          <cell r="A9909" t="str">
            <v>IS_alqt_plus</v>
          </cell>
          <cell r="K9909" t="str">
            <v>ECOL</v>
          </cell>
          <cell r="M9909" t="str">
            <v>F</v>
          </cell>
          <cell r="AB9909" t="str">
            <v>serum</v>
          </cell>
          <cell r="AF9909">
            <v>1</v>
          </cell>
        </row>
        <row r="9910">
          <cell r="A9910" t="str">
            <v>gone</v>
          </cell>
          <cell r="K9910" t="str">
            <v>ECOL</v>
          </cell>
          <cell r="M9910" t="str">
            <v>F</v>
          </cell>
          <cell r="AB9910" t="str">
            <v>WB</v>
          </cell>
          <cell r="AF9910">
            <v>0</v>
          </cell>
        </row>
        <row r="9911">
          <cell r="A9911" t="str">
            <v>IS_alqt_plus</v>
          </cell>
          <cell r="K9911" t="str">
            <v>DMAD</v>
          </cell>
          <cell r="M9911" t="str">
            <v>F</v>
          </cell>
          <cell r="AB9911" t="str">
            <v>serum</v>
          </cell>
          <cell r="AF9911">
            <v>1</v>
          </cell>
        </row>
        <row r="9912">
          <cell r="A9912" t="str">
            <v>IS_alqt_plus</v>
          </cell>
          <cell r="K9912" t="str">
            <v>DMAD</v>
          </cell>
          <cell r="M9912" t="str">
            <v>F</v>
          </cell>
          <cell r="AB9912" t="str">
            <v>WB</v>
          </cell>
          <cell r="AF9912">
            <v>1</v>
          </cell>
        </row>
        <row r="9913">
          <cell r="A9913" t="str">
            <v>unk</v>
          </cell>
          <cell r="K9913" t="str">
            <v>PCOQ</v>
          </cell>
          <cell r="M9913" t="str">
            <v>F</v>
          </cell>
          <cell r="AB9913" t="str">
            <v>serum</v>
          </cell>
          <cell r="AF9913">
            <v>0.5</v>
          </cell>
        </row>
        <row r="9914">
          <cell r="A9914" t="str">
            <v>IS_alqt_plus</v>
          </cell>
          <cell r="K9914" t="str">
            <v>PCOQ</v>
          </cell>
          <cell r="M9914" t="str">
            <v>M</v>
          </cell>
          <cell r="AB9914" t="str">
            <v>WB</v>
          </cell>
          <cell r="AF9914">
            <v>0.75</v>
          </cell>
        </row>
        <row r="9915">
          <cell r="A9915" t="str">
            <v>IS_alqt_plus</v>
          </cell>
          <cell r="K9915" t="str">
            <v>PCOQ</v>
          </cell>
          <cell r="M9915" t="str">
            <v>F</v>
          </cell>
          <cell r="AB9915" t="str">
            <v>WB</v>
          </cell>
          <cell r="AF9915">
            <v>1</v>
          </cell>
        </row>
        <row r="9916">
          <cell r="A9916" t="str">
            <v>gone</v>
          </cell>
          <cell r="K9916" t="str">
            <v>PCOQ</v>
          </cell>
          <cell r="M9916" t="str">
            <v>F</v>
          </cell>
          <cell r="AB9916" t="str">
            <v>WB</v>
          </cell>
          <cell r="AF9916">
            <v>0</v>
          </cell>
        </row>
        <row r="9917">
          <cell r="A9917" t="str">
            <v>IS_alqt_plus</v>
          </cell>
          <cell r="K9917" t="str">
            <v>PCOQ</v>
          </cell>
          <cell r="M9917" t="str">
            <v>M</v>
          </cell>
          <cell r="AB9917" t="str">
            <v>WB</v>
          </cell>
          <cell r="AF9917">
            <v>0.75</v>
          </cell>
        </row>
        <row r="9918">
          <cell r="A9918" t="str">
            <v>IS_alqt_plus</v>
          </cell>
          <cell r="K9918" t="str">
            <v>PCOQ</v>
          </cell>
          <cell r="M9918" t="str">
            <v>M</v>
          </cell>
          <cell r="AB9918" t="str">
            <v>WB</v>
          </cell>
          <cell r="AF9918">
            <v>1.2</v>
          </cell>
        </row>
        <row r="9919">
          <cell r="A9919" t="str">
            <v>IS_alqt_plus</v>
          </cell>
          <cell r="K9919" t="str">
            <v>LCAT</v>
          </cell>
          <cell r="M9919" t="str">
            <v>F</v>
          </cell>
          <cell r="AB9919" t="str">
            <v>serum</v>
          </cell>
          <cell r="AF9919">
            <v>1</v>
          </cell>
        </row>
        <row r="9920">
          <cell r="A9920" t="str">
            <v>gone</v>
          </cell>
          <cell r="K9920" t="str">
            <v>PCOQ</v>
          </cell>
          <cell r="M9920" t="str">
            <v>M</v>
          </cell>
          <cell r="AB9920" t="str">
            <v>WB</v>
          </cell>
          <cell r="AF9920">
            <v>0</v>
          </cell>
        </row>
        <row r="9921">
          <cell r="A9921" t="str">
            <v>IS_alqt_plus</v>
          </cell>
          <cell r="K9921" t="str">
            <v>EMON</v>
          </cell>
          <cell r="M9921" t="str">
            <v>F</v>
          </cell>
          <cell r="AB9921" t="str">
            <v>PRBC</v>
          </cell>
          <cell r="AF9921">
            <v>0.3</v>
          </cell>
        </row>
        <row r="9922">
          <cell r="A9922" t="str">
            <v>IS_alqt_plus</v>
          </cell>
          <cell r="K9922" t="str">
            <v>EMON</v>
          </cell>
          <cell r="M9922" t="str">
            <v>F</v>
          </cell>
          <cell r="AB9922" t="str">
            <v>PRBC</v>
          </cell>
          <cell r="AF9922">
            <v>1.5</v>
          </cell>
        </row>
        <row r="9923">
          <cell r="A9923" t="str">
            <v>IS_alqt_plus</v>
          </cell>
          <cell r="K9923" t="str">
            <v>PCOQ</v>
          </cell>
          <cell r="M9923" t="str">
            <v>F</v>
          </cell>
          <cell r="AB9923" t="str">
            <v>serum</v>
          </cell>
          <cell r="AF9923">
            <v>1</v>
          </cell>
        </row>
        <row r="9924">
          <cell r="A9924" t="str">
            <v>IS_alqt_plus</v>
          </cell>
          <cell r="K9924" t="str">
            <v>PCOQ</v>
          </cell>
          <cell r="M9924" t="str">
            <v>M</v>
          </cell>
          <cell r="AB9924" t="str">
            <v>WB</v>
          </cell>
          <cell r="AF9924">
            <v>0.4</v>
          </cell>
        </row>
        <row r="9925">
          <cell r="A9925" t="str">
            <v>IS_alqt_plus</v>
          </cell>
          <cell r="K9925" t="str">
            <v>PCOQ</v>
          </cell>
          <cell r="M9925" t="str">
            <v>M</v>
          </cell>
          <cell r="AB9925" t="str">
            <v>WB</v>
          </cell>
          <cell r="AF9925">
            <v>1.5</v>
          </cell>
        </row>
        <row r="9926">
          <cell r="A9926" t="str">
            <v>IS_alqt_plus</v>
          </cell>
          <cell r="K9926" t="str">
            <v>PCOQ</v>
          </cell>
          <cell r="M9926" t="str">
            <v>M</v>
          </cell>
          <cell r="AB9926" t="str">
            <v>WB</v>
          </cell>
          <cell r="AF9926">
            <v>1</v>
          </cell>
        </row>
        <row r="9927">
          <cell r="A9927" t="str">
            <v>IS_alqt_plus</v>
          </cell>
          <cell r="K9927" t="str">
            <v>PCOQ</v>
          </cell>
          <cell r="M9927" t="str">
            <v>M</v>
          </cell>
          <cell r="AB9927" t="str">
            <v>WB</v>
          </cell>
          <cell r="AF9927">
            <v>0.25</v>
          </cell>
        </row>
        <row r="9928">
          <cell r="A9928" t="str">
            <v>on hold</v>
          </cell>
          <cell r="K9928" t="str">
            <v>LCAT</v>
          </cell>
          <cell r="M9928" t="str">
            <v>M</v>
          </cell>
          <cell r="AB9928" t="str">
            <v>serum</v>
          </cell>
          <cell r="AF9928">
            <v>0</v>
          </cell>
        </row>
        <row r="9929">
          <cell r="A9929" t="str">
            <v>IS_alqt_plus</v>
          </cell>
          <cell r="K9929" t="str">
            <v>PCOQ</v>
          </cell>
          <cell r="M9929" t="str">
            <v>M</v>
          </cell>
          <cell r="AB9929" t="str">
            <v>WB</v>
          </cell>
          <cell r="AF9929">
            <v>0.5</v>
          </cell>
        </row>
        <row r="9930">
          <cell r="A9930" t="str">
            <v>gone</v>
          </cell>
          <cell r="K9930" t="str">
            <v>PCOQ</v>
          </cell>
          <cell r="M9930" t="str">
            <v>F</v>
          </cell>
          <cell r="AB9930" t="str">
            <v>serum</v>
          </cell>
          <cell r="AF9930">
            <v>0</v>
          </cell>
        </row>
        <row r="9931">
          <cell r="A9931" t="str">
            <v>IS_alqt_plus</v>
          </cell>
          <cell r="K9931" t="str">
            <v>PCOQ</v>
          </cell>
          <cell r="M9931" t="str">
            <v>F</v>
          </cell>
          <cell r="AB9931" t="str">
            <v>WB</v>
          </cell>
          <cell r="AF9931">
            <v>0.7</v>
          </cell>
        </row>
        <row r="9932">
          <cell r="A9932" t="str">
            <v>IS_alqt_plus</v>
          </cell>
          <cell r="K9932" t="str">
            <v>PCOQ</v>
          </cell>
          <cell r="M9932" t="str">
            <v>F</v>
          </cell>
          <cell r="AB9932" t="str">
            <v>WB</v>
          </cell>
          <cell r="AF9932">
            <v>0.6</v>
          </cell>
        </row>
        <row r="9933">
          <cell r="A9933" t="str">
            <v>IS_alqt_plus</v>
          </cell>
          <cell r="K9933" t="str">
            <v>EFLA</v>
          </cell>
          <cell r="M9933" t="str">
            <v>F</v>
          </cell>
          <cell r="AB9933" t="str">
            <v>serum</v>
          </cell>
          <cell r="AF9933">
            <v>1.2</v>
          </cell>
        </row>
        <row r="9934">
          <cell r="A9934" t="str">
            <v>IS_alqt_plus</v>
          </cell>
          <cell r="K9934" t="str">
            <v>EFLA</v>
          </cell>
          <cell r="M9934" t="str">
            <v>F</v>
          </cell>
          <cell r="AB9934" t="str">
            <v>WB</v>
          </cell>
          <cell r="AF9934">
            <v>1</v>
          </cell>
        </row>
        <row r="9935">
          <cell r="A9935" t="str">
            <v>IS_alqt_plus</v>
          </cell>
          <cell r="K9935" t="str">
            <v>ECOL</v>
          </cell>
          <cell r="M9935" t="str">
            <v>M</v>
          </cell>
          <cell r="AB9935" t="str">
            <v>serum</v>
          </cell>
          <cell r="AF9935">
            <v>1</v>
          </cell>
        </row>
        <row r="9936">
          <cell r="A9936" t="str">
            <v>gone</v>
          </cell>
          <cell r="K9936" t="str">
            <v>ECOL</v>
          </cell>
          <cell r="M9936" t="str">
            <v>M</v>
          </cell>
          <cell r="AB9936" t="str">
            <v>WB</v>
          </cell>
          <cell r="AF9936">
            <v>0</v>
          </cell>
        </row>
        <row r="9937">
          <cell r="A9937" t="str">
            <v>IS_alqt_plus</v>
          </cell>
          <cell r="K9937" t="str">
            <v>VRUB</v>
          </cell>
          <cell r="M9937" t="str">
            <v>F</v>
          </cell>
          <cell r="AB9937" t="str">
            <v>WB</v>
          </cell>
          <cell r="AF9937">
            <v>0.75</v>
          </cell>
        </row>
        <row r="9938">
          <cell r="A9938" t="str">
            <v>IS_alqt_plus</v>
          </cell>
          <cell r="K9938" t="str">
            <v>VRUB</v>
          </cell>
          <cell r="M9938" t="str">
            <v>F</v>
          </cell>
          <cell r="AB9938" t="str">
            <v>serum</v>
          </cell>
          <cell r="AF9938">
            <v>0.5</v>
          </cell>
        </row>
        <row r="9939">
          <cell r="A9939" t="str">
            <v>IS_alqt_plus</v>
          </cell>
          <cell r="K9939" t="str">
            <v>DMAD</v>
          </cell>
          <cell r="M9939" t="str">
            <v>M</v>
          </cell>
          <cell r="AB9939" t="str">
            <v>serum</v>
          </cell>
          <cell r="AF9939">
            <v>1</v>
          </cell>
        </row>
        <row r="9940">
          <cell r="A9940" t="str">
            <v>gone</v>
          </cell>
          <cell r="K9940" t="str">
            <v>DMAD</v>
          </cell>
          <cell r="M9940" t="str">
            <v>M</v>
          </cell>
          <cell r="AB9940" t="str">
            <v>WB</v>
          </cell>
          <cell r="AF9940">
            <v>0</v>
          </cell>
        </row>
        <row r="9941">
          <cell r="A9941" t="str">
            <v>IS_alqt_plus</v>
          </cell>
          <cell r="K9941" t="str">
            <v>PCOQ</v>
          </cell>
          <cell r="M9941" t="str">
            <v>F</v>
          </cell>
          <cell r="AB9941" t="str">
            <v>WB</v>
          </cell>
          <cell r="AF9941">
            <v>0.5</v>
          </cell>
        </row>
        <row r="9942">
          <cell r="A9942" t="str">
            <v>IS_alqt_minus</v>
          </cell>
          <cell r="K9942" t="str">
            <v>MMUR</v>
          </cell>
          <cell r="M9942" t="str">
            <v>F</v>
          </cell>
          <cell r="AB9942" t="str">
            <v>WB</v>
          </cell>
          <cell r="AF9942">
            <v>0.1</v>
          </cell>
        </row>
        <row r="9943">
          <cell r="A9943" t="str">
            <v>IS_alqt_minus</v>
          </cell>
          <cell r="K9943" t="str">
            <v>MMUR</v>
          </cell>
          <cell r="M9943" t="str">
            <v>F</v>
          </cell>
          <cell r="AB9943" t="str">
            <v>WB</v>
          </cell>
          <cell r="AF9943">
            <v>0.1</v>
          </cell>
        </row>
        <row r="9944">
          <cell r="A9944" t="str">
            <v>IS_alqt_plus</v>
          </cell>
          <cell r="K9944" t="str">
            <v>HGG</v>
          </cell>
          <cell r="M9944" t="str">
            <v>M</v>
          </cell>
          <cell r="AB9944" t="str">
            <v>serum</v>
          </cell>
          <cell r="AF9944">
            <v>1</v>
          </cell>
        </row>
        <row r="9945">
          <cell r="A9945" t="str">
            <v>unk</v>
          </cell>
          <cell r="K9945" t="str">
            <v>HGG</v>
          </cell>
          <cell r="M9945" t="str">
            <v>F</v>
          </cell>
          <cell r="AB9945" t="str">
            <v>serum</v>
          </cell>
          <cell r="AF9945">
            <v>1</v>
          </cell>
        </row>
        <row r="9946">
          <cell r="A9946" t="str">
            <v>unk</v>
          </cell>
          <cell r="K9946" t="str">
            <v>HGG</v>
          </cell>
          <cell r="M9946" t="str">
            <v>M</v>
          </cell>
          <cell r="AB9946" t="str">
            <v>WB</v>
          </cell>
          <cell r="AF9946">
            <v>1.3</v>
          </cell>
        </row>
        <row r="9947">
          <cell r="A9947" t="str">
            <v>unk</v>
          </cell>
          <cell r="K9947" t="str">
            <v>HGG</v>
          </cell>
          <cell r="M9947" t="str">
            <v>F</v>
          </cell>
          <cell r="AB9947" t="str">
            <v>WB</v>
          </cell>
          <cell r="AF9947">
            <v>1</v>
          </cell>
        </row>
        <row r="9948">
          <cell r="A9948" t="str">
            <v>IS_alqt_plus</v>
          </cell>
          <cell r="K9948" t="str">
            <v>PCOQ</v>
          </cell>
          <cell r="M9948" t="str">
            <v>F</v>
          </cell>
          <cell r="AB9948" t="str">
            <v>WB</v>
          </cell>
          <cell r="AF9948">
            <v>0.2</v>
          </cell>
        </row>
        <row r="9949">
          <cell r="A9949" t="str">
            <v>IS_alqt_plus</v>
          </cell>
          <cell r="K9949" t="str">
            <v>PCOQ</v>
          </cell>
          <cell r="M9949" t="str">
            <v>F</v>
          </cell>
          <cell r="AB9949" t="str">
            <v>WB</v>
          </cell>
          <cell r="AF9949">
            <v>0.3</v>
          </cell>
        </row>
        <row r="9950">
          <cell r="A9950" t="str">
            <v>on hold</v>
          </cell>
          <cell r="K9950" t="str">
            <v>LCAT</v>
          </cell>
          <cell r="M9950" t="str">
            <v>F</v>
          </cell>
          <cell r="AB9950" t="str">
            <v>serum</v>
          </cell>
          <cell r="AF9950">
            <v>1</v>
          </cell>
        </row>
        <row r="9951">
          <cell r="A9951" t="str">
            <v>IS_alqt_plus</v>
          </cell>
          <cell r="K9951" t="str">
            <v>EMON</v>
          </cell>
          <cell r="M9951" t="str">
            <v>M</v>
          </cell>
          <cell r="AB9951" t="str">
            <v>WB</v>
          </cell>
          <cell r="AF9951">
            <v>0.5</v>
          </cell>
        </row>
        <row r="9952">
          <cell r="A9952" t="str">
            <v>IS_alqt_plus</v>
          </cell>
          <cell r="K9952" t="str">
            <v>EMON</v>
          </cell>
          <cell r="M9952" t="str">
            <v>M</v>
          </cell>
          <cell r="AB9952" t="str">
            <v>WB</v>
          </cell>
          <cell r="AF9952">
            <v>1</v>
          </cell>
        </row>
        <row r="9953">
          <cell r="A9953" t="str">
            <v>IS_alqt_plus</v>
          </cell>
          <cell r="K9953" t="str">
            <v>PCOQ</v>
          </cell>
          <cell r="M9953" t="str">
            <v>F</v>
          </cell>
          <cell r="AB9953" t="str">
            <v>WB</v>
          </cell>
          <cell r="AF9953">
            <v>0.2</v>
          </cell>
        </row>
        <row r="9954">
          <cell r="A9954" t="str">
            <v>IS_alqt_plus</v>
          </cell>
          <cell r="K9954" t="str">
            <v>EFLA</v>
          </cell>
          <cell r="M9954" t="str">
            <v>F</v>
          </cell>
          <cell r="AB9954" t="str">
            <v>WB</v>
          </cell>
          <cell r="AF9954">
            <v>0.2</v>
          </cell>
        </row>
        <row r="9955">
          <cell r="A9955" t="str">
            <v>gone</v>
          </cell>
          <cell r="K9955" t="str">
            <v>PCOQ</v>
          </cell>
          <cell r="M9955" t="str">
            <v>F</v>
          </cell>
          <cell r="AB9955" t="str">
            <v>serum</v>
          </cell>
          <cell r="AF9955">
            <v>0</v>
          </cell>
        </row>
        <row r="9956">
          <cell r="A9956" t="str">
            <v>IS_alqt_plus</v>
          </cell>
          <cell r="K9956" t="str">
            <v>PCOQ</v>
          </cell>
          <cell r="M9956" t="str">
            <v>F</v>
          </cell>
          <cell r="AB9956" t="str">
            <v>serum</v>
          </cell>
          <cell r="AF9956">
            <v>1</v>
          </cell>
        </row>
        <row r="9957">
          <cell r="A9957" t="str">
            <v>IS_alqt_plus</v>
          </cell>
          <cell r="K9957" t="str">
            <v>PCOQ</v>
          </cell>
          <cell r="M9957" t="str">
            <v>F</v>
          </cell>
          <cell r="AB9957" t="str">
            <v>serum</v>
          </cell>
          <cell r="AF9957">
            <v>1</v>
          </cell>
        </row>
        <row r="9958">
          <cell r="A9958" t="str">
            <v>IS_alqt_plus</v>
          </cell>
          <cell r="K9958" t="str">
            <v>PCOQ</v>
          </cell>
          <cell r="M9958" t="str">
            <v>F</v>
          </cell>
          <cell r="AB9958" t="str">
            <v>serum</v>
          </cell>
          <cell r="AF9958">
            <v>1</v>
          </cell>
        </row>
        <row r="9959">
          <cell r="A9959" t="str">
            <v>IS_alqt_plus</v>
          </cell>
          <cell r="K9959" t="str">
            <v>PCOQ</v>
          </cell>
          <cell r="M9959" t="str">
            <v>F</v>
          </cell>
          <cell r="AB9959" t="str">
            <v>serum</v>
          </cell>
          <cell r="AF9959">
            <v>1</v>
          </cell>
        </row>
        <row r="9960">
          <cell r="A9960" t="str">
            <v>IS_alqt_plus</v>
          </cell>
          <cell r="K9960" t="str">
            <v>PCOQ</v>
          </cell>
          <cell r="M9960" t="str">
            <v>F</v>
          </cell>
          <cell r="AB9960" t="str">
            <v>serum</v>
          </cell>
          <cell r="AF9960">
            <v>1</v>
          </cell>
        </row>
        <row r="9961">
          <cell r="A9961" t="str">
            <v>IS_alqt_plus</v>
          </cell>
          <cell r="K9961" t="str">
            <v>PCOQ</v>
          </cell>
          <cell r="M9961" t="str">
            <v>F</v>
          </cell>
          <cell r="AB9961" t="str">
            <v>serum</v>
          </cell>
          <cell r="AF9961">
            <v>1</v>
          </cell>
        </row>
        <row r="9962">
          <cell r="A9962" t="str">
            <v>IS_alqt_plus</v>
          </cell>
          <cell r="K9962" t="str">
            <v>PCOQ</v>
          </cell>
          <cell r="M9962" t="str">
            <v>F</v>
          </cell>
          <cell r="AB9962" t="str">
            <v>serum</v>
          </cell>
          <cell r="AF9962">
            <v>1</v>
          </cell>
        </row>
        <row r="9963">
          <cell r="A9963" t="str">
            <v>IS_alqt_plus</v>
          </cell>
          <cell r="K9963" t="str">
            <v>PCOQ</v>
          </cell>
          <cell r="M9963" t="str">
            <v>F</v>
          </cell>
          <cell r="AB9963" t="str">
            <v>serum</v>
          </cell>
          <cell r="AF9963">
            <v>1</v>
          </cell>
        </row>
        <row r="9964">
          <cell r="A9964" t="str">
            <v>IS_alqt_plus</v>
          </cell>
          <cell r="K9964" t="str">
            <v>PCOQ</v>
          </cell>
          <cell r="M9964" t="str">
            <v>F</v>
          </cell>
          <cell r="AB9964" t="str">
            <v>serum</v>
          </cell>
          <cell r="AF9964">
            <v>1</v>
          </cell>
        </row>
        <row r="9965">
          <cell r="A9965" t="str">
            <v>IS_alqt_plus</v>
          </cell>
          <cell r="K9965" t="str">
            <v>PCOQ</v>
          </cell>
          <cell r="M9965" t="str">
            <v>F</v>
          </cell>
          <cell r="AB9965" t="str">
            <v>serum</v>
          </cell>
          <cell r="AF9965">
            <v>1</v>
          </cell>
        </row>
        <row r="9966">
          <cell r="A9966" t="str">
            <v>IS_alqt_plus</v>
          </cell>
          <cell r="K9966" t="str">
            <v>PCOQ</v>
          </cell>
          <cell r="M9966" t="str">
            <v>F</v>
          </cell>
          <cell r="AB9966" t="str">
            <v>serum</v>
          </cell>
          <cell r="AF9966">
            <v>1</v>
          </cell>
        </row>
        <row r="9967">
          <cell r="A9967" t="str">
            <v>IS_alqt_plus</v>
          </cell>
          <cell r="K9967" t="str">
            <v>PCOQ</v>
          </cell>
          <cell r="M9967" t="str">
            <v>F</v>
          </cell>
          <cell r="AB9967" t="str">
            <v>serum</v>
          </cell>
          <cell r="AF9967">
            <v>1</v>
          </cell>
        </row>
        <row r="9968">
          <cell r="A9968" t="str">
            <v>IS_alqt_plus</v>
          </cell>
          <cell r="K9968" t="str">
            <v>PCOQ</v>
          </cell>
          <cell r="M9968" t="str">
            <v>F</v>
          </cell>
          <cell r="AB9968" t="str">
            <v>serum</v>
          </cell>
          <cell r="AF9968">
            <v>1</v>
          </cell>
        </row>
        <row r="9969">
          <cell r="A9969" t="str">
            <v>IS_alqt_plus</v>
          </cell>
          <cell r="K9969" t="str">
            <v>PCOQ</v>
          </cell>
          <cell r="M9969" t="str">
            <v>F</v>
          </cell>
          <cell r="AB9969" t="str">
            <v>serum</v>
          </cell>
          <cell r="AF9969">
            <v>1</v>
          </cell>
        </row>
        <row r="9970">
          <cell r="A9970" t="str">
            <v>IS_alqt_plus</v>
          </cell>
          <cell r="K9970" t="str">
            <v>PCOQ</v>
          </cell>
          <cell r="M9970" t="str">
            <v>F</v>
          </cell>
          <cell r="AB9970" t="str">
            <v>serum</v>
          </cell>
          <cell r="AF9970">
            <v>1</v>
          </cell>
        </row>
        <row r="9971">
          <cell r="A9971" t="str">
            <v>IS_alqt_plus</v>
          </cell>
          <cell r="K9971" t="str">
            <v>PCOQ</v>
          </cell>
          <cell r="M9971" t="str">
            <v>F</v>
          </cell>
          <cell r="AB9971" t="str">
            <v>serum</v>
          </cell>
          <cell r="AF9971">
            <v>1</v>
          </cell>
        </row>
        <row r="9972">
          <cell r="A9972" t="str">
            <v>IS_alqt_plus</v>
          </cell>
          <cell r="K9972" t="str">
            <v>PCOQ</v>
          </cell>
          <cell r="M9972" t="str">
            <v>F</v>
          </cell>
          <cell r="AB9972" t="str">
            <v>serum</v>
          </cell>
          <cell r="AF9972">
            <v>1</v>
          </cell>
        </row>
        <row r="9973">
          <cell r="A9973" t="str">
            <v>IS_alqt_plus</v>
          </cell>
          <cell r="K9973" t="str">
            <v>PCOQ</v>
          </cell>
          <cell r="M9973" t="str">
            <v>F</v>
          </cell>
          <cell r="AB9973" t="str">
            <v>serum</v>
          </cell>
          <cell r="AF9973">
            <v>1</v>
          </cell>
        </row>
        <row r="9974">
          <cell r="A9974" t="str">
            <v>IS_alqt_plus</v>
          </cell>
          <cell r="K9974" t="str">
            <v>PCOQ</v>
          </cell>
          <cell r="M9974" t="str">
            <v>F</v>
          </cell>
          <cell r="AB9974" t="str">
            <v>serum</v>
          </cell>
          <cell r="AF9974">
            <v>1</v>
          </cell>
        </row>
        <row r="9975">
          <cell r="A9975" t="str">
            <v>IS_alqt_plus</v>
          </cell>
          <cell r="K9975" t="str">
            <v>PCOQ</v>
          </cell>
          <cell r="M9975" t="str">
            <v>F</v>
          </cell>
          <cell r="AB9975" t="str">
            <v>serum</v>
          </cell>
          <cell r="AF9975">
            <v>1</v>
          </cell>
        </row>
        <row r="9976">
          <cell r="A9976" t="str">
            <v>IS_alqt_plus</v>
          </cell>
          <cell r="K9976" t="str">
            <v>PCOQ</v>
          </cell>
          <cell r="M9976" t="str">
            <v>F</v>
          </cell>
          <cell r="AB9976" t="str">
            <v>serum</v>
          </cell>
          <cell r="AF9976">
            <v>1</v>
          </cell>
        </row>
        <row r="9977">
          <cell r="A9977" t="str">
            <v>IS_alqt_plus</v>
          </cell>
          <cell r="K9977" t="str">
            <v>PCOQ</v>
          </cell>
          <cell r="M9977" t="str">
            <v>F</v>
          </cell>
          <cell r="AB9977" t="str">
            <v>serum</v>
          </cell>
          <cell r="AF9977">
            <v>1</v>
          </cell>
        </row>
        <row r="9978">
          <cell r="A9978" t="str">
            <v>IS_alqt_plus</v>
          </cell>
          <cell r="K9978" t="str">
            <v>PCOQ</v>
          </cell>
          <cell r="M9978" t="str">
            <v>F</v>
          </cell>
          <cell r="AB9978" t="str">
            <v>serum</v>
          </cell>
          <cell r="AF9978">
            <v>1</v>
          </cell>
        </row>
        <row r="9979">
          <cell r="A9979" t="str">
            <v>IS_alqt_plus</v>
          </cell>
          <cell r="K9979" t="str">
            <v>PCOQ</v>
          </cell>
          <cell r="M9979" t="str">
            <v>F</v>
          </cell>
          <cell r="AB9979" t="str">
            <v>serum</v>
          </cell>
          <cell r="AF9979">
            <v>1</v>
          </cell>
        </row>
        <row r="9980">
          <cell r="A9980" t="str">
            <v>IS_alqt_plus</v>
          </cell>
          <cell r="K9980" t="str">
            <v>PCOQ</v>
          </cell>
          <cell r="M9980" t="str">
            <v>F</v>
          </cell>
          <cell r="AB9980" t="str">
            <v>serum</v>
          </cell>
          <cell r="AF9980">
            <v>1</v>
          </cell>
        </row>
        <row r="9981">
          <cell r="A9981" t="str">
            <v>IS_alqt_plus</v>
          </cell>
          <cell r="K9981" t="str">
            <v>PCOQ</v>
          </cell>
          <cell r="M9981" t="str">
            <v>F</v>
          </cell>
          <cell r="AB9981" t="str">
            <v>serum</v>
          </cell>
          <cell r="AF9981">
            <v>1</v>
          </cell>
        </row>
        <row r="9982">
          <cell r="A9982" t="str">
            <v>IS_alqt_plus</v>
          </cell>
          <cell r="K9982" t="str">
            <v>PCOQ</v>
          </cell>
          <cell r="M9982" t="str">
            <v>F</v>
          </cell>
          <cell r="AB9982" t="str">
            <v>serum</v>
          </cell>
          <cell r="AF9982">
            <v>1</v>
          </cell>
        </row>
        <row r="9983">
          <cell r="A9983" t="str">
            <v>IS_alqt_plus</v>
          </cell>
          <cell r="K9983" t="str">
            <v>PCOQ</v>
          </cell>
          <cell r="M9983" t="str">
            <v>F</v>
          </cell>
          <cell r="AB9983" t="str">
            <v>serum</v>
          </cell>
          <cell r="AF9983">
            <v>1</v>
          </cell>
        </row>
        <row r="9984">
          <cell r="A9984" t="str">
            <v>IS_alqt_plus</v>
          </cell>
          <cell r="K9984" t="str">
            <v>PCOQ</v>
          </cell>
          <cell r="M9984" t="str">
            <v>F</v>
          </cell>
          <cell r="AB9984" t="str">
            <v>serum</v>
          </cell>
          <cell r="AF9984">
            <v>1</v>
          </cell>
        </row>
        <row r="9985">
          <cell r="A9985" t="str">
            <v>IS_alqt_plus</v>
          </cell>
          <cell r="K9985" t="str">
            <v>PCOQ</v>
          </cell>
          <cell r="M9985" t="str">
            <v>F</v>
          </cell>
          <cell r="AB9985" t="str">
            <v>serum</v>
          </cell>
          <cell r="AF9985">
            <v>1</v>
          </cell>
        </row>
        <row r="9986">
          <cell r="A9986" t="str">
            <v>IS_alqt_plus</v>
          </cell>
          <cell r="K9986" t="str">
            <v>PCOQ</v>
          </cell>
          <cell r="M9986" t="str">
            <v>F</v>
          </cell>
          <cell r="AB9986" t="str">
            <v>serum</v>
          </cell>
          <cell r="AF9986">
            <v>1</v>
          </cell>
        </row>
        <row r="9987">
          <cell r="A9987" t="str">
            <v>IS_alqt_plus</v>
          </cell>
          <cell r="K9987" t="str">
            <v>PCOQ</v>
          </cell>
          <cell r="M9987" t="str">
            <v>F</v>
          </cell>
          <cell r="AB9987" t="str">
            <v>serum</v>
          </cell>
          <cell r="AF9987">
            <v>1</v>
          </cell>
        </row>
        <row r="9988">
          <cell r="A9988" t="str">
            <v>IS_alqt_plus</v>
          </cell>
          <cell r="K9988" t="str">
            <v>PCOQ</v>
          </cell>
          <cell r="M9988" t="str">
            <v>F</v>
          </cell>
          <cell r="AB9988" t="str">
            <v>serum</v>
          </cell>
          <cell r="AF9988">
            <v>1</v>
          </cell>
        </row>
        <row r="9989">
          <cell r="A9989" t="str">
            <v>IS_alqt_plus</v>
          </cell>
          <cell r="K9989" t="str">
            <v>PCOQ</v>
          </cell>
          <cell r="M9989" t="str">
            <v>F</v>
          </cell>
          <cell r="AB9989" t="str">
            <v>serum</v>
          </cell>
          <cell r="AF9989">
            <v>1</v>
          </cell>
        </row>
        <row r="9990">
          <cell r="A9990" t="str">
            <v>IS_alqt_plus</v>
          </cell>
          <cell r="K9990" t="str">
            <v>PCOQ</v>
          </cell>
          <cell r="M9990" t="str">
            <v>F</v>
          </cell>
          <cell r="AB9990" t="str">
            <v>serum</v>
          </cell>
          <cell r="AF9990">
            <v>1</v>
          </cell>
        </row>
        <row r="9991">
          <cell r="A9991" t="str">
            <v>IS_alqt_plus</v>
          </cell>
          <cell r="K9991" t="str">
            <v>PCOQ</v>
          </cell>
          <cell r="M9991" t="str">
            <v>F</v>
          </cell>
          <cell r="AB9991" t="str">
            <v>serum</v>
          </cell>
          <cell r="AF9991">
            <v>1</v>
          </cell>
        </row>
        <row r="9992">
          <cell r="A9992" t="str">
            <v>IS_alqt_plus</v>
          </cell>
          <cell r="K9992" t="str">
            <v>PCOQ</v>
          </cell>
          <cell r="M9992" t="str">
            <v>F</v>
          </cell>
          <cell r="AB9992" t="str">
            <v>serum</v>
          </cell>
          <cell r="AF9992">
            <v>1</v>
          </cell>
        </row>
        <row r="9993">
          <cell r="A9993" t="str">
            <v>IS_alqt_plus</v>
          </cell>
          <cell r="K9993" t="str">
            <v>PCOQ</v>
          </cell>
          <cell r="M9993" t="str">
            <v>F</v>
          </cell>
          <cell r="AB9993" t="str">
            <v>serum</v>
          </cell>
          <cell r="AF9993">
            <v>1</v>
          </cell>
        </row>
        <row r="9994">
          <cell r="A9994" t="str">
            <v>IS_alqt_plus</v>
          </cell>
          <cell r="K9994" t="str">
            <v>PCOQ</v>
          </cell>
          <cell r="M9994" t="str">
            <v>F</v>
          </cell>
          <cell r="AB9994" t="str">
            <v>serum</v>
          </cell>
          <cell r="AF9994">
            <v>1</v>
          </cell>
        </row>
        <row r="9995">
          <cell r="A9995" t="str">
            <v>gone</v>
          </cell>
          <cell r="K9995" t="str">
            <v>PCOQ</v>
          </cell>
          <cell r="M9995" t="str">
            <v>F</v>
          </cell>
          <cell r="AB9995" t="str">
            <v>serum</v>
          </cell>
          <cell r="AF9995">
            <v>0</v>
          </cell>
        </row>
        <row r="9996">
          <cell r="A9996" t="str">
            <v>IS_alqt_plus</v>
          </cell>
          <cell r="K9996" t="str">
            <v>PCOQ</v>
          </cell>
          <cell r="M9996" t="str">
            <v>F</v>
          </cell>
          <cell r="AB9996" t="str">
            <v>serum</v>
          </cell>
          <cell r="AF9996">
            <v>1</v>
          </cell>
        </row>
        <row r="9997">
          <cell r="A9997" t="str">
            <v>IS_alqt_plus</v>
          </cell>
          <cell r="K9997" t="str">
            <v>PCOQ</v>
          </cell>
          <cell r="M9997" t="str">
            <v>F</v>
          </cell>
          <cell r="AB9997" t="str">
            <v>serum</v>
          </cell>
          <cell r="AF9997">
            <v>1</v>
          </cell>
        </row>
        <row r="9998">
          <cell r="A9998" t="str">
            <v>IS_alqt_plus</v>
          </cell>
          <cell r="K9998" t="str">
            <v>PCOQ</v>
          </cell>
          <cell r="M9998" t="str">
            <v>F</v>
          </cell>
          <cell r="AB9998" t="str">
            <v>serum</v>
          </cell>
          <cell r="AF9998">
            <v>1</v>
          </cell>
        </row>
        <row r="9999">
          <cell r="A9999" t="str">
            <v>IS_alqt_plus</v>
          </cell>
          <cell r="K9999" t="str">
            <v>PCOQ</v>
          </cell>
          <cell r="M9999" t="str">
            <v>F</v>
          </cell>
          <cell r="AB9999" t="str">
            <v>serum</v>
          </cell>
          <cell r="AF9999">
            <v>1</v>
          </cell>
        </row>
        <row r="10000">
          <cell r="A10000" t="str">
            <v>IS_alqt_plus</v>
          </cell>
          <cell r="K10000" t="str">
            <v>PCOQ</v>
          </cell>
          <cell r="M10000" t="str">
            <v>F</v>
          </cell>
          <cell r="AB10000" t="str">
            <v>serum</v>
          </cell>
          <cell r="AF10000">
            <v>1</v>
          </cell>
        </row>
        <row r="10001">
          <cell r="A10001" t="str">
            <v>IS_alqt_plus</v>
          </cell>
          <cell r="K10001" t="str">
            <v>PCOQ</v>
          </cell>
          <cell r="M10001" t="str">
            <v>F</v>
          </cell>
          <cell r="AB10001" t="str">
            <v>serum</v>
          </cell>
          <cell r="AF10001">
            <v>1</v>
          </cell>
        </row>
        <row r="10002">
          <cell r="A10002" t="str">
            <v>IS_alqt_plus</v>
          </cell>
          <cell r="K10002" t="str">
            <v>PCOQ</v>
          </cell>
          <cell r="M10002" t="str">
            <v>F</v>
          </cell>
          <cell r="AB10002" t="str">
            <v>serum</v>
          </cell>
          <cell r="AF10002">
            <v>1</v>
          </cell>
        </row>
        <row r="10003">
          <cell r="A10003" t="str">
            <v>IS_alqt_plus</v>
          </cell>
          <cell r="K10003" t="str">
            <v>PCOQ</v>
          </cell>
          <cell r="M10003" t="str">
            <v>F</v>
          </cell>
          <cell r="AB10003" t="str">
            <v>WB</v>
          </cell>
          <cell r="AF10003">
            <v>0.2</v>
          </cell>
        </row>
        <row r="10004">
          <cell r="A10004" t="str">
            <v>IS_alqt_plus</v>
          </cell>
          <cell r="K10004" t="str">
            <v>PCOQ</v>
          </cell>
          <cell r="M10004" t="str">
            <v>F</v>
          </cell>
          <cell r="AB10004" t="str">
            <v>WB</v>
          </cell>
          <cell r="AF10004">
            <v>0.35</v>
          </cell>
        </row>
        <row r="10005">
          <cell r="A10005" t="str">
            <v>IS_alqt_plus</v>
          </cell>
          <cell r="K10005" t="str">
            <v>PCOQ</v>
          </cell>
          <cell r="M10005" t="str">
            <v>M</v>
          </cell>
          <cell r="AB10005" t="str">
            <v>WB</v>
          </cell>
          <cell r="AF10005">
            <v>0.65</v>
          </cell>
        </row>
        <row r="10006">
          <cell r="A10006" t="str">
            <v>IS_alqt_plus</v>
          </cell>
          <cell r="K10006" t="str">
            <v>PCOQ</v>
          </cell>
          <cell r="M10006" t="str">
            <v>F</v>
          </cell>
          <cell r="AB10006" t="str">
            <v>WB</v>
          </cell>
          <cell r="AF10006">
            <v>0.25</v>
          </cell>
        </row>
        <row r="10007">
          <cell r="A10007" t="str">
            <v>IS_alqt_plus</v>
          </cell>
          <cell r="K10007" t="str">
            <v>PCOQ</v>
          </cell>
          <cell r="M10007" t="str">
            <v>F</v>
          </cell>
          <cell r="AB10007" t="str">
            <v>WB</v>
          </cell>
          <cell r="AF10007">
            <v>0.25</v>
          </cell>
        </row>
        <row r="10008">
          <cell r="A10008" t="str">
            <v>IS_alqt_plus</v>
          </cell>
          <cell r="K10008" t="str">
            <v>PCOQ</v>
          </cell>
          <cell r="M10008" t="str">
            <v>M</v>
          </cell>
          <cell r="AB10008" t="str">
            <v>WB</v>
          </cell>
          <cell r="AF10008">
            <v>1</v>
          </cell>
        </row>
        <row r="10009">
          <cell r="A10009" t="str">
            <v>IS_alqt_plus</v>
          </cell>
          <cell r="K10009" t="str">
            <v>PCOQ</v>
          </cell>
          <cell r="M10009" t="str">
            <v>M</v>
          </cell>
          <cell r="AB10009" t="str">
            <v>WB</v>
          </cell>
          <cell r="AF10009">
            <v>1</v>
          </cell>
        </row>
        <row r="10010">
          <cell r="A10010" t="str">
            <v>IS_alqt_plus</v>
          </cell>
          <cell r="K10010" t="str">
            <v>PCOQ</v>
          </cell>
          <cell r="M10010" t="str">
            <v>M</v>
          </cell>
          <cell r="AB10010" t="str">
            <v>WB</v>
          </cell>
          <cell r="AF10010">
            <v>1</v>
          </cell>
        </row>
        <row r="10011">
          <cell r="A10011" t="str">
            <v>IS_alqt_plus</v>
          </cell>
          <cell r="K10011" t="str">
            <v>PCOQ</v>
          </cell>
          <cell r="M10011" t="str">
            <v>M</v>
          </cell>
          <cell r="AB10011" t="str">
            <v>WB</v>
          </cell>
          <cell r="AF10011">
            <v>1</v>
          </cell>
        </row>
        <row r="10012">
          <cell r="A10012" t="str">
            <v>IS_alqt_plus</v>
          </cell>
          <cell r="K10012" t="str">
            <v>PCOQ</v>
          </cell>
          <cell r="M10012" t="str">
            <v>M</v>
          </cell>
          <cell r="AB10012" t="str">
            <v>WB</v>
          </cell>
          <cell r="AF10012">
            <v>1</v>
          </cell>
        </row>
        <row r="10013">
          <cell r="A10013" t="str">
            <v>IS_alqt_plus</v>
          </cell>
          <cell r="K10013" t="str">
            <v>PCOQ</v>
          </cell>
          <cell r="M10013" t="str">
            <v>M</v>
          </cell>
          <cell r="AB10013" t="str">
            <v>WB</v>
          </cell>
          <cell r="AF10013">
            <v>1</v>
          </cell>
        </row>
        <row r="10014">
          <cell r="A10014" t="str">
            <v>IS_alqt_plus</v>
          </cell>
          <cell r="K10014" t="str">
            <v>PCOQ</v>
          </cell>
          <cell r="M10014" t="str">
            <v>M</v>
          </cell>
          <cell r="AB10014" t="str">
            <v>WB</v>
          </cell>
          <cell r="AF10014">
            <v>1</v>
          </cell>
        </row>
        <row r="10015">
          <cell r="A10015" t="str">
            <v>IS_alqt_plus</v>
          </cell>
          <cell r="K10015" t="str">
            <v>PCOQ</v>
          </cell>
          <cell r="M10015" t="str">
            <v>M</v>
          </cell>
          <cell r="AB10015" t="str">
            <v>WB</v>
          </cell>
          <cell r="AF10015">
            <v>1</v>
          </cell>
        </row>
        <row r="10016">
          <cell r="A10016" t="str">
            <v>IS_alqt_plus</v>
          </cell>
          <cell r="K10016" t="str">
            <v>PCOQ</v>
          </cell>
          <cell r="M10016" t="str">
            <v>M</v>
          </cell>
          <cell r="AB10016" t="str">
            <v>WB</v>
          </cell>
          <cell r="AF10016">
            <v>1</v>
          </cell>
        </row>
        <row r="10017">
          <cell r="A10017" t="str">
            <v>IS_alqt_plus</v>
          </cell>
          <cell r="K10017" t="str">
            <v>PCOQ</v>
          </cell>
          <cell r="M10017" t="str">
            <v>M</v>
          </cell>
          <cell r="AB10017" t="str">
            <v>WB</v>
          </cell>
          <cell r="AF10017">
            <v>1</v>
          </cell>
        </row>
        <row r="10018">
          <cell r="A10018" t="str">
            <v>IS_alqt_plus</v>
          </cell>
          <cell r="K10018" t="str">
            <v>PCOQ</v>
          </cell>
          <cell r="M10018" t="str">
            <v>F</v>
          </cell>
          <cell r="AB10018" t="str">
            <v>WB</v>
          </cell>
          <cell r="AF10018">
            <v>0.5</v>
          </cell>
        </row>
        <row r="10019">
          <cell r="A10019" t="str">
            <v>IS_alqt_plus</v>
          </cell>
          <cell r="K10019" t="str">
            <v>PCOQ</v>
          </cell>
          <cell r="M10019" t="str">
            <v>M</v>
          </cell>
          <cell r="AB10019" t="str">
            <v>WB</v>
          </cell>
          <cell r="AF10019">
            <v>0.5</v>
          </cell>
        </row>
        <row r="10020">
          <cell r="A10020" t="str">
            <v>gone</v>
          </cell>
          <cell r="K10020" t="str">
            <v>PCOQ</v>
          </cell>
          <cell r="M10020" t="str">
            <v>M</v>
          </cell>
          <cell r="AB10020" t="str">
            <v>WB</v>
          </cell>
          <cell r="AF10020">
            <v>0</v>
          </cell>
        </row>
        <row r="10021">
          <cell r="A10021" t="str">
            <v>IS_alqt_plus</v>
          </cell>
          <cell r="K10021" t="str">
            <v>PCOQ</v>
          </cell>
          <cell r="M10021" t="str">
            <v>F</v>
          </cell>
          <cell r="AB10021" t="str">
            <v>WB</v>
          </cell>
          <cell r="AF10021">
            <v>1</v>
          </cell>
        </row>
        <row r="10022">
          <cell r="A10022" t="str">
            <v>IS_alqt_plus</v>
          </cell>
          <cell r="K10022" t="str">
            <v>PCOQ</v>
          </cell>
          <cell r="M10022" t="str">
            <v>F</v>
          </cell>
          <cell r="AB10022" t="str">
            <v>WB</v>
          </cell>
          <cell r="AF10022">
            <v>0.5</v>
          </cell>
        </row>
        <row r="10023">
          <cell r="A10023" t="str">
            <v>IS_alqt_plus</v>
          </cell>
          <cell r="K10023" t="str">
            <v>PCOQ</v>
          </cell>
          <cell r="M10023" t="str">
            <v>M</v>
          </cell>
          <cell r="AB10023" t="str">
            <v>WB</v>
          </cell>
          <cell r="AF10023">
            <v>0.25</v>
          </cell>
        </row>
        <row r="10024">
          <cell r="A10024" t="str">
            <v>IS_alqt_plus</v>
          </cell>
          <cell r="K10024" t="str">
            <v>PCOQ</v>
          </cell>
          <cell r="M10024" t="str">
            <v>M</v>
          </cell>
          <cell r="AB10024" t="str">
            <v>WB</v>
          </cell>
          <cell r="AF10024">
            <v>0.2</v>
          </cell>
        </row>
        <row r="10025">
          <cell r="A10025" t="str">
            <v>IS_alqt_plus</v>
          </cell>
          <cell r="K10025" t="str">
            <v>PCOQ</v>
          </cell>
          <cell r="M10025" t="str">
            <v>M</v>
          </cell>
          <cell r="AB10025" t="str">
            <v>WB</v>
          </cell>
          <cell r="AF10025">
            <v>0.2</v>
          </cell>
        </row>
        <row r="10026">
          <cell r="A10026" t="str">
            <v>IS_alqt_plus</v>
          </cell>
          <cell r="K10026" t="str">
            <v>PCOQ</v>
          </cell>
          <cell r="M10026" t="str">
            <v>M</v>
          </cell>
          <cell r="AB10026" t="str">
            <v>WB</v>
          </cell>
          <cell r="AF10026">
            <v>0.2</v>
          </cell>
        </row>
        <row r="10027">
          <cell r="A10027" t="str">
            <v>IS_alqt_plus</v>
          </cell>
          <cell r="K10027" t="str">
            <v>PCOQ</v>
          </cell>
          <cell r="M10027" t="str">
            <v>M</v>
          </cell>
          <cell r="AB10027" t="str">
            <v>WB</v>
          </cell>
          <cell r="AF10027">
            <v>0.2</v>
          </cell>
        </row>
        <row r="10028">
          <cell r="A10028" t="str">
            <v>IS_alqt_plus</v>
          </cell>
          <cell r="K10028" t="str">
            <v>PCOQ</v>
          </cell>
          <cell r="M10028" t="str">
            <v>M</v>
          </cell>
          <cell r="AB10028" t="str">
            <v>WB</v>
          </cell>
          <cell r="AF10028">
            <v>0.25</v>
          </cell>
        </row>
        <row r="10029">
          <cell r="A10029" t="str">
            <v>IS_alqt_plus</v>
          </cell>
          <cell r="K10029" t="str">
            <v>PCOQ</v>
          </cell>
          <cell r="M10029" t="str">
            <v>F</v>
          </cell>
          <cell r="AB10029" t="str">
            <v>WB</v>
          </cell>
          <cell r="AF10029">
            <v>0.6</v>
          </cell>
        </row>
        <row r="10030">
          <cell r="A10030" t="str">
            <v>IS_alqt_plus</v>
          </cell>
          <cell r="K10030" t="str">
            <v>PCOQ</v>
          </cell>
          <cell r="M10030" t="str">
            <v>M</v>
          </cell>
          <cell r="AB10030" t="str">
            <v>WB</v>
          </cell>
          <cell r="AF10030">
            <v>1</v>
          </cell>
        </row>
        <row r="10031">
          <cell r="A10031" t="str">
            <v>IS_alqt_plus</v>
          </cell>
          <cell r="K10031" t="str">
            <v>PCOQ</v>
          </cell>
          <cell r="M10031" t="str">
            <v>M</v>
          </cell>
          <cell r="AB10031" t="str">
            <v>WB</v>
          </cell>
          <cell r="AF10031">
            <v>1</v>
          </cell>
        </row>
        <row r="10032">
          <cell r="A10032" t="str">
            <v>IS_alqt_plus</v>
          </cell>
          <cell r="K10032" t="str">
            <v>PCOQ</v>
          </cell>
          <cell r="M10032" t="str">
            <v>F</v>
          </cell>
          <cell r="AB10032" t="str">
            <v>WB</v>
          </cell>
          <cell r="AF10032">
            <v>0.5</v>
          </cell>
        </row>
        <row r="10033">
          <cell r="A10033" t="str">
            <v>IS_alqt_plus</v>
          </cell>
          <cell r="K10033" t="str">
            <v>PCOQ</v>
          </cell>
          <cell r="M10033" t="str">
            <v>M</v>
          </cell>
          <cell r="AB10033" t="str">
            <v>WB</v>
          </cell>
          <cell r="AF10033">
            <v>0.9</v>
          </cell>
        </row>
        <row r="10034">
          <cell r="A10034" t="str">
            <v>IS_alqt_plus</v>
          </cell>
          <cell r="K10034" t="str">
            <v>PCOQ</v>
          </cell>
          <cell r="M10034" t="str">
            <v>M</v>
          </cell>
          <cell r="AB10034" t="str">
            <v>WB</v>
          </cell>
          <cell r="AF10034">
            <v>0.75</v>
          </cell>
        </row>
        <row r="10035">
          <cell r="A10035" t="str">
            <v>IS_alqt_plus</v>
          </cell>
          <cell r="K10035" t="str">
            <v>PCOQ</v>
          </cell>
          <cell r="M10035" t="str">
            <v>M</v>
          </cell>
          <cell r="AB10035" t="str">
            <v>WB</v>
          </cell>
          <cell r="AF10035">
            <v>0.7</v>
          </cell>
        </row>
        <row r="10036">
          <cell r="A10036" t="str">
            <v>IS_alqt_plus</v>
          </cell>
          <cell r="K10036" t="str">
            <v>PCOQ</v>
          </cell>
          <cell r="M10036" t="str">
            <v>M</v>
          </cell>
          <cell r="AB10036" t="str">
            <v>WB</v>
          </cell>
          <cell r="AF10036">
            <v>1</v>
          </cell>
        </row>
        <row r="10037">
          <cell r="A10037" t="str">
            <v>IS_alqt_plus</v>
          </cell>
          <cell r="K10037" t="str">
            <v>PCOQ</v>
          </cell>
          <cell r="M10037" t="str">
            <v>M</v>
          </cell>
          <cell r="AB10037" t="str">
            <v>WB</v>
          </cell>
          <cell r="AF10037">
            <v>0.25</v>
          </cell>
        </row>
        <row r="10038">
          <cell r="A10038" t="str">
            <v>IS_alqt_plus</v>
          </cell>
          <cell r="K10038" t="str">
            <v>PCOQ</v>
          </cell>
          <cell r="M10038" t="str">
            <v>M</v>
          </cell>
          <cell r="AB10038" t="str">
            <v>WB</v>
          </cell>
          <cell r="AF10038">
            <v>1</v>
          </cell>
        </row>
        <row r="10039">
          <cell r="A10039" t="str">
            <v>IS_alqt_minus</v>
          </cell>
          <cell r="K10039" t="str">
            <v>EFLA</v>
          </cell>
          <cell r="M10039" t="str">
            <v>F</v>
          </cell>
          <cell r="AB10039" t="str">
            <v>WB</v>
          </cell>
          <cell r="AF10039">
            <v>0.15</v>
          </cell>
        </row>
        <row r="10040">
          <cell r="A10040" t="str">
            <v>IS_alqt_minus</v>
          </cell>
          <cell r="K10040" t="str">
            <v>EMAC</v>
          </cell>
          <cell r="M10040" t="str">
            <v>M</v>
          </cell>
          <cell r="AB10040" t="str">
            <v>WB</v>
          </cell>
          <cell r="AF10040">
            <v>0.19</v>
          </cell>
        </row>
        <row r="10041">
          <cell r="A10041" t="str">
            <v>gone</v>
          </cell>
          <cell r="K10041" t="str">
            <v>PCOQ</v>
          </cell>
          <cell r="M10041" t="str">
            <v>M</v>
          </cell>
          <cell r="AB10041" t="str">
            <v>serum</v>
          </cell>
          <cell r="AF10041">
            <v>0</v>
          </cell>
        </row>
        <row r="10042">
          <cell r="A10042" t="str">
            <v>IS_alqt_plus</v>
          </cell>
          <cell r="K10042" t="str">
            <v>PCOQ</v>
          </cell>
          <cell r="M10042" t="str">
            <v>F</v>
          </cell>
          <cell r="AB10042" t="str">
            <v>WB</v>
          </cell>
          <cell r="AF10042">
            <v>0.4</v>
          </cell>
        </row>
        <row r="10043">
          <cell r="A10043" t="str">
            <v>IS_alqt_minus</v>
          </cell>
          <cell r="K10043" t="str">
            <v>PCOQ</v>
          </cell>
          <cell r="M10043" t="str">
            <v>F</v>
          </cell>
          <cell r="AB10043" t="str">
            <v>WB</v>
          </cell>
          <cell r="AF10043">
            <v>0.15</v>
          </cell>
        </row>
        <row r="10044">
          <cell r="A10044" t="str">
            <v>IS_alqt_plus</v>
          </cell>
          <cell r="K10044" t="str">
            <v>PCOQ</v>
          </cell>
          <cell r="M10044" t="str">
            <v>F</v>
          </cell>
          <cell r="AB10044" t="str">
            <v>WB</v>
          </cell>
          <cell r="AF10044">
            <v>0.2</v>
          </cell>
        </row>
        <row r="10045">
          <cell r="A10045" t="str">
            <v>IS_alqt_plus</v>
          </cell>
          <cell r="K10045" t="str">
            <v>PCOQ</v>
          </cell>
          <cell r="M10045" t="str">
            <v>F</v>
          </cell>
          <cell r="AB10045" t="str">
            <v>WB</v>
          </cell>
          <cell r="AF10045">
            <v>0.2</v>
          </cell>
        </row>
        <row r="10046">
          <cell r="A10046" t="str">
            <v>IS_alqt_plus</v>
          </cell>
          <cell r="K10046" t="str">
            <v>PCOQ</v>
          </cell>
          <cell r="M10046" t="str">
            <v>F</v>
          </cell>
          <cell r="AB10046" t="str">
            <v>WB</v>
          </cell>
          <cell r="AF10046">
            <v>0.2</v>
          </cell>
        </row>
        <row r="10047">
          <cell r="A10047" t="str">
            <v>gone</v>
          </cell>
          <cell r="K10047" t="str">
            <v>PCOQ</v>
          </cell>
          <cell r="M10047" t="str">
            <v>M</v>
          </cell>
          <cell r="AB10047" t="str">
            <v>serum</v>
          </cell>
          <cell r="AF10047">
            <v>0</v>
          </cell>
        </row>
        <row r="10048">
          <cell r="A10048" t="str">
            <v>IS_alqt_plus</v>
          </cell>
          <cell r="K10048" t="str">
            <v>PCOQ</v>
          </cell>
          <cell r="M10048" t="str">
            <v>M</v>
          </cell>
          <cell r="AB10048" t="str">
            <v>WB</v>
          </cell>
          <cell r="AF10048">
            <v>0.5</v>
          </cell>
        </row>
        <row r="10049">
          <cell r="A10049" t="str">
            <v>IS_alqt_plus</v>
          </cell>
          <cell r="K10049" t="str">
            <v>PCOQ</v>
          </cell>
          <cell r="M10049" t="str">
            <v>M</v>
          </cell>
          <cell r="AB10049" t="str">
            <v>WB</v>
          </cell>
          <cell r="AF10049">
            <v>0.8</v>
          </cell>
        </row>
        <row r="10050">
          <cell r="A10050" t="str">
            <v>IS_alqt_plus</v>
          </cell>
          <cell r="K10050" t="str">
            <v>PCOQ</v>
          </cell>
          <cell r="M10050" t="str">
            <v>M</v>
          </cell>
          <cell r="AB10050" t="str">
            <v>WB</v>
          </cell>
          <cell r="AF10050">
            <v>1.3</v>
          </cell>
        </row>
        <row r="10051">
          <cell r="A10051" t="str">
            <v>IS_alqt_plus</v>
          </cell>
          <cell r="K10051" t="str">
            <v>ERUF</v>
          </cell>
          <cell r="M10051" t="str">
            <v>M</v>
          </cell>
          <cell r="AB10051" t="str">
            <v>serum</v>
          </cell>
          <cell r="AF10051">
            <v>1.5</v>
          </cell>
        </row>
        <row r="10052">
          <cell r="A10052" t="str">
            <v>IS_alqt_plus</v>
          </cell>
          <cell r="K10052" t="str">
            <v>ERUF</v>
          </cell>
          <cell r="M10052" t="str">
            <v>F</v>
          </cell>
          <cell r="AB10052" t="str">
            <v>serum</v>
          </cell>
          <cell r="AF10052">
            <v>1</v>
          </cell>
        </row>
        <row r="10053">
          <cell r="A10053" t="str">
            <v>IS_alqt_plus</v>
          </cell>
          <cell r="K10053" t="str">
            <v>ERUF</v>
          </cell>
          <cell r="M10053" t="str">
            <v>M</v>
          </cell>
          <cell r="AB10053" t="str">
            <v>WB</v>
          </cell>
          <cell r="AF10053">
            <v>0.75</v>
          </cell>
        </row>
        <row r="10054">
          <cell r="A10054" t="str">
            <v>IS_alqt_plus</v>
          </cell>
          <cell r="K10054" t="str">
            <v>ERUF</v>
          </cell>
          <cell r="M10054" t="str">
            <v>F</v>
          </cell>
          <cell r="AB10054" t="str">
            <v>WB</v>
          </cell>
          <cell r="AF10054">
            <v>0.2</v>
          </cell>
        </row>
        <row r="10055">
          <cell r="A10055" t="str">
            <v>IS_alqt_plus</v>
          </cell>
          <cell r="K10055" t="str">
            <v>ERUF</v>
          </cell>
          <cell r="M10055" t="str">
            <v>F</v>
          </cell>
          <cell r="AB10055" t="str">
            <v>WB</v>
          </cell>
          <cell r="AF10055">
            <v>0.5</v>
          </cell>
        </row>
        <row r="10056">
          <cell r="A10056" t="str">
            <v>IS_alqt_plus</v>
          </cell>
          <cell r="K10056" t="str">
            <v>ERUF</v>
          </cell>
          <cell r="M10056" t="str">
            <v>F</v>
          </cell>
          <cell r="AB10056" t="str">
            <v>WB</v>
          </cell>
          <cell r="AF10056">
            <v>0.75</v>
          </cell>
        </row>
        <row r="10057">
          <cell r="A10057" t="str">
            <v>IS_alqt_plus</v>
          </cell>
          <cell r="K10057" t="str">
            <v>ERUF</v>
          </cell>
          <cell r="M10057" t="str">
            <v>F</v>
          </cell>
          <cell r="AB10057" t="str">
            <v>WB</v>
          </cell>
          <cell r="AF10057">
            <v>0.75</v>
          </cell>
        </row>
        <row r="10058">
          <cell r="A10058" t="str">
            <v>IS_alqt_plus</v>
          </cell>
          <cell r="K10058" t="str">
            <v>VRUB</v>
          </cell>
          <cell r="M10058" t="str">
            <v>M</v>
          </cell>
          <cell r="AB10058" t="str">
            <v>WB</v>
          </cell>
          <cell r="AF10058">
            <v>0.5</v>
          </cell>
        </row>
        <row r="10059">
          <cell r="A10059" t="str">
            <v>IS_alqt_plus</v>
          </cell>
          <cell r="K10059" t="str">
            <v>VRUB</v>
          </cell>
          <cell r="M10059" t="str">
            <v>M</v>
          </cell>
          <cell r="AB10059" t="str">
            <v>serum</v>
          </cell>
          <cell r="AF10059">
            <v>1</v>
          </cell>
        </row>
        <row r="10060">
          <cell r="A10060" t="str">
            <v>IS_alqt_plus</v>
          </cell>
          <cell r="K10060" t="str">
            <v>VRUB</v>
          </cell>
          <cell r="M10060" t="str">
            <v>M</v>
          </cell>
          <cell r="AB10060" t="str">
            <v>serum</v>
          </cell>
          <cell r="AF10060">
            <v>0.8</v>
          </cell>
        </row>
        <row r="10061">
          <cell r="A10061" t="str">
            <v>IS_alqt_plus</v>
          </cell>
          <cell r="K10061" t="str">
            <v>LCAT</v>
          </cell>
          <cell r="M10061" t="str">
            <v>F</v>
          </cell>
          <cell r="AB10061" t="str">
            <v>serum</v>
          </cell>
          <cell r="AF10061">
            <v>0.4</v>
          </cell>
        </row>
        <row r="10062">
          <cell r="A10062" t="str">
            <v>gone</v>
          </cell>
          <cell r="K10062" t="str">
            <v>PCOQ</v>
          </cell>
          <cell r="M10062" t="str">
            <v>F</v>
          </cell>
          <cell r="AB10062" t="str">
            <v>WB</v>
          </cell>
          <cell r="AF10062">
            <v>0</v>
          </cell>
        </row>
        <row r="10063">
          <cell r="A10063" t="str">
            <v>IS_alqt_minus</v>
          </cell>
          <cell r="K10063" t="str">
            <v>CMED</v>
          </cell>
          <cell r="M10063" t="str">
            <v>M</v>
          </cell>
          <cell r="AB10063" t="str">
            <v>WB</v>
          </cell>
          <cell r="AF10063">
            <v>0.1</v>
          </cell>
        </row>
        <row r="10064">
          <cell r="A10064" t="str">
            <v>on hold</v>
          </cell>
          <cell r="K10064" t="str">
            <v>PCOQ</v>
          </cell>
          <cell r="M10064" t="str">
            <v>M</v>
          </cell>
          <cell r="AB10064" t="str">
            <v>serum</v>
          </cell>
          <cell r="AF10064">
            <v>0.5</v>
          </cell>
        </row>
        <row r="10065">
          <cell r="A10065" t="str">
            <v>IS_alqt_plus</v>
          </cell>
          <cell r="K10065" t="str">
            <v>PCOQ</v>
          </cell>
          <cell r="M10065" t="str">
            <v>F</v>
          </cell>
          <cell r="AB10065" t="str">
            <v>WB</v>
          </cell>
          <cell r="AF10065">
            <v>1</v>
          </cell>
        </row>
        <row r="10066">
          <cell r="A10066" t="str">
            <v>IS_alqt_plus</v>
          </cell>
          <cell r="K10066" t="str">
            <v>PCOQ</v>
          </cell>
          <cell r="M10066" t="str">
            <v>F</v>
          </cell>
          <cell r="AB10066" t="str">
            <v>WB</v>
          </cell>
          <cell r="AF10066">
            <v>1</v>
          </cell>
        </row>
        <row r="10067">
          <cell r="A10067" t="str">
            <v>IS_alqt_plus</v>
          </cell>
          <cell r="K10067" t="str">
            <v>PCOQ</v>
          </cell>
          <cell r="M10067" t="str">
            <v>M</v>
          </cell>
          <cell r="AB10067" t="str">
            <v>serum</v>
          </cell>
          <cell r="AF10067">
            <v>0.75</v>
          </cell>
        </row>
        <row r="10068">
          <cell r="A10068" t="str">
            <v>IS_alqt_plus</v>
          </cell>
          <cell r="K10068" t="str">
            <v>PCOQ</v>
          </cell>
          <cell r="M10068" t="str">
            <v>M</v>
          </cell>
          <cell r="AB10068" t="str">
            <v>serum</v>
          </cell>
          <cell r="AF10068">
            <v>1</v>
          </cell>
        </row>
        <row r="10069">
          <cell r="A10069" t="str">
            <v>IS_alqt_plus</v>
          </cell>
          <cell r="K10069" t="str">
            <v>PCOQ</v>
          </cell>
          <cell r="M10069" t="str">
            <v>M</v>
          </cell>
          <cell r="AB10069" t="str">
            <v>serum</v>
          </cell>
          <cell r="AF10069">
            <v>1</v>
          </cell>
        </row>
        <row r="10070">
          <cell r="A10070" t="str">
            <v>IS_alqt_plus</v>
          </cell>
          <cell r="K10070" t="str">
            <v>PCOQ</v>
          </cell>
          <cell r="M10070" t="str">
            <v>M</v>
          </cell>
          <cell r="AB10070" t="str">
            <v>serum</v>
          </cell>
          <cell r="AF10070">
            <v>0.5</v>
          </cell>
        </row>
        <row r="10071">
          <cell r="A10071" t="str">
            <v>IS_alqt_plus</v>
          </cell>
          <cell r="K10071" t="str">
            <v>PCOQ</v>
          </cell>
          <cell r="M10071" t="str">
            <v>M</v>
          </cell>
          <cell r="AB10071" t="str">
            <v>serum</v>
          </cell>
          <cell r="AF10071">
            <v>0.75</v>
          </cell>
        </row>
        <row r="10072">
          <cell r="A10072" t="str">
            <v>IS_alqt_plus</v>
          </cell>
          <cell r="K10072" t="str">
            <v>PCOQ</v>
          </cell>
          <cell r="M10072" t="str">
            <v>M</v>
          </cell>
          <cell r="AB10072" t="str">
            <v>serum</v>
          </cell>
          <cell r="AF10072">
            <v>0.75</v>
          </cell>
        </row>
        <row r="10073">
          <cell r="A10073" t="str">
            <v>IS_alqt_plus</v>
          </cell>
          <cell r="K10073" t="str">
            <v>PCOQ</v>
          </cell>
          <cell r="M10073" t="str">
            <v>M</v>
          </cell>
          <cell r="AB10073" t="str">
            <v>serum</v>
          </cell>
          <cell r="AF10073">
            <v>1</v>
          </cell>
        </row>
        <row r="10074">
          <cell r="A10074" t="str">
            <v>IS_alqt_plus</v>
          </cell>
          <cell r="K10074" t="str">
            <v>PCOQ</v>
          </cell>
          <cell r="M10074" t="str">
            <v>M</v>
          </cell>
          <cell r="AB10074" t="str">
            <v>serum</v>
          </cell>
          <cell r="AF10074">
            <v>1</v>
          </cell>
        </row>
        <row r="10075">
          <cell r="A10075" t="str">
            <v>IS_alqt_plus</v>
          </cell>
          <cell r="K10075" t="str">
            <v>PCOQ</v>
          </cell>
          <cell r="M10075" t="str">
            <v>M</v>
          </cell>
          <cell r="AB10075" t="str">
            <v>serum</v>
          </cell>
          <cell r="AF10075">
            <v>0.75</v>
          </cell>
        </row>
        <row r="10076">
          <cell r="A10076" t="str">
            <v>IS_alqt_plus</v>
          </cell>
          <cell r="K10076" t="str">
            <v>PCOQ</v>
          </cell>
          <cell r="M10076" t="str">
            <v>M</v>
          </cell>
          <cell r="AB10076" t="str">
            <v>serum</v>
          </cell>
          <cell r="AF10076">
            <v>0.75</v>
          </cell>
        </row>
        <row r="10077">
          <cell r="A10077" t="str">
            <v>IS_alqt_plus</v>
          </cell>
          <cell r="K10077" t="str">
            <v>PCOQ</v>
          </cell>
          <cell r="M10077" t="str">
            <v>M</v>
          </cell>
          <cell r="AB10077" t="str">
            <v>serum</v>
          </cell>
          <cell r="AF10077">
            <v>0.5</v>
          </cell>
        </row>
        <row r="10078">
          <cell r="A10078" t="str">
            <v>IS_alqt_plus</v>
          </cell>
          <cell r="K10078" t="str">
            <v>PCOQ</v>
          </cell>
          <cell r="M10078" t="str">
            <v>M</v>
          </cell>
          <cell r="AB10078" t="str">
            <v>serum</v>
          </cell>
          <cell r="AF10078">
            <v>1</v>
          </cell>
        </row>
        <row r="10079">
          <cell r="A10079" t="str">
            <v>IS_alqt_plus</v>
          </cell>
          <cell r="K10079" t="str">
            <v>PCOQ</v>
          </cell>
          <cell r="M10079" t="str">
            <v>M</v>
          </cell>
          <cell r="AB10079" t="str">
            <v>serum</v>
          </cell>
          <cell r="AF10079">
            <v>1</v>
          </cell>
        </row>
        <row r="10080">
          <cell r="A10080" t="str">
            <v>IS_alqt_plus</v>
          </cell>
          <cell r="K10080" t="str">
            <v>PCOQ</v>
          </cell>
          <cell r="M10080" t="str">
            <v>M</v>
          </cell>
          <cell r="AB10080" t="str">
            <v>serum</v>
          </cell>
          <cell r="AF10080">
            <v>0.75</v>
          </cell>
        </row>
        <row r="10081">
          <cell r="A10081" t="str">
            <v>unk</v>
          </cell>
          <cell r="K10081" t="str">
            <v>PCOQ</v>
          </cell>
          <cell r="M10081" t="str">
            <v>M</v>
          </cell>
          <cell r="AB10081" t="str">
            <v>serum</v>
          </cell>
          <cell r="AF10081">
            <v>1</v>
          </cell>
        </row>
        <row r="10082">
          <cell r="A10082" t="str">
            <v>unk</v>
          </cell>
          <cell r="K10082" t="str">
            <v>PCOQ</v>
          </cell>
          <cell r="M10082" t="str">
            <v>M</v>
          </cell>
          <cell r="AB10082" t="str">
            <v>serum</v>
          </cell>
          <cell r="AF10082">
            <v>1</v>
          </cell>
        </row>
        <row r="10083">
          <cell r="A10083" t="str">
            <v>unk</v>
          </cell>
          <cell r="K10083" t="str">
            <v>PCOQ</v>
          </cell>
          <cell r="M10083" t="str">
            <v>M</v>
          </cell>
          <cell r="AB10083" t="str">
            <v>serum</v>
          </cell>
          <cell r="AF10083">
            <v>1</v>
          </cell>
        </row>
        <row r="10084">
          <cell r="A10084" t="str">
            <v>unk</v>
          </cell>
          <cell r="K10084" t="str">
            <v>PCOQ</v>
          </cell>
          <cell r="M10084" t="str">
            <v>M</v>
          </cell>
          <cell r="AB10084" t="str">
            <v>serum</v>
          </cell>
          <cell r="AF10084">
            <v>1</v>
          </cell>
        </row>
        <row r="10085">
          <cell r="A10085" t="str">
            <v>unk</v>
          </cell>
          <cell r="K10085" t="str">
            <v>PCOQ</v>
          </cell>
          <cell r="M10085" t="str">
            <v>M</v>
          </cell>
          <cell r="AB10085" t="str">
            <v>serum</v>
          </cell>
          <cell r="AF10085">
            <v>1</v>
          </cell>
        </row>
        <row r="10086">
          <cell r="A10086" t="str">
            <v>unk</v>
          </cell>
          <cell r="K10086" t="str">
            <v>PCOQ</v>
          </cell>
          <cell r="M10086" t="str">
            <v>M</v>
          </cell>
          <cell r="AB10086" t="str">
            <v>serum</v>
          </cell>
          <cell r="AF10086">
            <v>1</v>
          </cell>
        </row>
        <row r="10087">
          <cell r="A10087" t="str">
            <v>unk</v>
          </cell>
          <cell r="K10087" t="str">
            <v>PCOQ</v>
          </cell>
          <cell r="M10087" t="str">
            <v>M</v>
          </cell>
          <cell r="AB10087" t="str">
            <v>serum</v>
          </cell>
          <cell r="AF10087">
            <v>1</v>
          </cell>
        </row>
        <row r="10088">
          <cell r="A10088" t="str">
            <v>unk</v>
          </cell>
          <cell r="K10088" t="str">
            <v>PCOQ</v>
          </cell>
          <cell r="M10088" t="str">
            <v>M</v>
          </cell>
          <cell r="AB10088" t="str">
            <v>serum</v>
          </cell>
          <cell r="AF10088">
            <v>1</v>
          </cell>
        </row>
        <row r="10089">
          <cell r="A10089" t="str">
            <v>unk</v>
          </cell>
          <cell r="K10089" t="str">
            <v>PCOQ</v>
          </cell>
          <cell r="M10089" t="str">
            <v>M</v>
          </cell>
          <cell r="AB10089" t="str">
            <v>serum</v>
          </cell>
          <cell r="AF10089">
            <v>1</v>
          </cell>
        </row>
        <row r="10090">
          <cell r="A10090" t="str">
            <v>unk</v>
          </cell>
          <cell r="K10090" t="str">
            <v>PCOQ</v>
          </cell>
          <cell r="M10090" t="str">
            <v>M</v>
          </cell>
          <cell r="AB10090" t="str">
            <v>serum</v>
          </cell>
          <cell r="AF10090">
            <v>1</v>
          </cell>
        </row>
        <row r="10091">
          <cell r="A10091" t="str">
            <v>unk</v>
          </cell>
          <cell r="K10091" t="str">
            <v>PCOQ</v>
          </cell>
          <cell r="M10091" t="str">
            <v>M</v>
          </cell>
          <cell r="AB10091" t="str">
            <v>serum</v>
          </cell>
          <cell r="AF10091">
            <v>1</v>
          </cell>
        </row>
        <row r="10092">
          <cell r="A10092" t="str">
            <v>unk</v>
          </cell>
          <cell r="K10092" t="str">
            <v>PCOQ</v>
          </cell>
          <cell r="M10092" t="str">
            <v>M</v>
          </cell>
          <cell r="AB10092" t="str">
            <v>serum</v>
          </cell>
          <cell r="AF10092">
            <v>1</v>
          </cell>
        </row>
        <row r="10093">
          <cell r="A10093" t="str">
            <v>unk</v>
          </cell>
          <cell r="K10093" t="str">
            <v>PCOQ</v>
          </cell>
          <cell r="M10093" t="str">
            <v>M</v>
          </cell>
          <cell r="AB10093" t="str">
            <v>serum</v>
          </cell>
          <cell r="AF10093">
            <v>1</v>
          </cell>
        </row>
        <row r="10094">
          <cell r="A10094" t="str">
            <v>unk</v>
          </cell>
          <cell r="K10094" t="str">
            <v>PCOQ</v>
          </cell>
          <cell r="M10094" t="str">
            <v>M</v>
          </cell>
          <cell r="AB10094" t="str">
            <v>serum</v>
          </cell>
          <cell r="AF10094">
            <v>1</v>
          </cell>
        </row>
        <row r="10095">
          <cell r="A10095" t="str">
            <v>unk</v>
          </cell>
          <cell r="K10095" t="str">
            <v>PCOQ</v>
          </cell>
          <cell r="M10095" t="str">
            <v>M</v>
          </cell>
          <cell r="AB10095" t="str">
            <v>serum</v>
          </cell>
          <cell r="AF10095">
            <v>1</v>
          </cell>
        </row>
        <row r="10096">
          <cell r="A10096" t="str">
            <v>unk</v>
          </cell>
          <cell r="K10096" t="str">
            <v>PCOQ</v>
          </cell>
          <cell r="M10096" t="str">
            <v>M</v>
          </cell>
          <cell r="AB10096" t="str">
            <v>serum</v>
          </cell>
          <cell r="AF10096">
            <v>1</v>
          </cell>
        </row>
        <row r="10097">
          <cell r="A10097" t="str">
            <v>IS_alqt_plus</v>
          </cell>
          <cell r="K10097" t="str">
            <v>PCOQ</v>
          </cell>
          <cell r="M10097" t="str">
            <v>F</v>
          </cell>
          <cell r="AB10097" t="str">
            <v>WB</v>
          </cell>
          <cell r="AF10097">
            <v>1</v>
          </cell>
        </row>
        <row r="10098">
          <cell r="A10098" t="str">
            <v>IS_alqt_plus</v>
          </cell>
          <cell r="K10098" t="str">
            <v>PCOQ</v>
          </cell>
          <cell r="M10098" t="str">
            <v>F</v>
          </cell>
          <cell r="AB10098" t="str">
            <v>WB</v>
          </cell>
          <cell r="AF10098">
            <v>1</v>
          </cell>
        </row>
        <row r="10099">
          <cell r="A10099" t="str">
            <v>IS_alqt_plus</v>
          </cell>
          <cell r="K10099" t="str">
            <v>PCOQ</v>
          </cell>
          <cell r="M10099" t="str">
            <v>F</v>
          </cell>
          <cell r="AB10099" t="str">
            <v>WB</v>
          </cell>
          <cell r="AF10099">
            <v>1</v>
          </cell>
        </row>
        <row r="10100">
          <cell r="A10100" t="str">
            <v>IS_alqt_plus</v>
          </cell>
          <cell r="K10100" t="str">
            <v>PCOQ</v>
          </cell>
          <cell r="M10100" t="str">
            <v>F</v>
          </cell>
          <cell r="AB10100" t="str">
            <v>WB</v>
          </cell>
          <cell r="AF10100">
            <v>1</v>
          </cell>
        </row>
        <row r="10101">
          <cell r="A10101" t="str">
            <v>IS_alqt_plus</v>
          </cell>
          <cell r="K10101" t="str">
            <v>PCOQ</v>
          </cell>
          <cell r="M10101" t="str">
            <v>F</v>
          </cell>
          <cell r="AB10101" t="str">
            <v>WB</v>
          </cell>
          <cell r="AF10101">
            <v>1</v>
          </cell>
        </row>
        <row r="10102">
          <cell r="A10102" t="str">
            <v>IS_alqt_plus</v>
          </cell>
          <cell r="K10102" t="str">
            <v>PCOQ</v>
          </cell>
          <cell r="M10102" t="str">
            <v>F</v>
          </cell>
          <cell r="AB10102" t="str">
            <v>WB</v>
          </cell>
          <cell r="AF10102">
            <v>1</v>
          </cell>
        </row>
        <row r="10103">
          <cell r="A10103" t="str">
            <v>IS_alqt_plus</v>
          </cell>
          <cell r="K10103" t="str">
            <v>PCOQ</v>
          </cell>
          <cell r="M10103" t="str">
            <v>F</v>
          </cell>
          <cell r="AB10103" t="str">
            <v>WB</v>
          </cell>
          <cell r="AF10103">
            <v>1</v>
          </cell>
        </row>
        <row r="10104">
          <cell r="A10104" t="str">
            <v>IS_alqt_plus</v>
          </cell>
          <cell r="K10104" t="str">
            <v>PCOQ</v>
          </cell>
          <cell r="M10104" t="str">
            <v>F</v>
          </cell>
          <cell r="AB10104" t="str">
            <v>WB</v>
          </cell>
          <cell r="AF10104">
            <v>1</v>
          </cell>
        </row>
        <row r="10105">
          <cell r="A10105" t="str">
            <v>IS_alqt_plus</v>
          </cell>
          <cell r="K10105" t="str">
            <v>PCOQ</v>
          </cell>
          <cell r="M10105" t="str">
            <v>F</v>
          </cell>
          <cell r="AB10105" t="str">
            <v>WB</v>
          </cell>
          <cell r="AF10105">
            <v>1</v>
          </cell>
        </row>
        <row r="10106">
          <cell r="A10106" t="str">
            <v>IS_alqt_plus</v>
          </cell>
          <cell r="K10106" t="str">
            <v>PCOQ</v>
          </cell>
          <cell r="M10106" t="str">
            <v>F</v>
          </cell>
          <cell r="AB10106" t="str">
            <v>WB</v>
          </cell>
          <cell r="AF10106">
            <v>1</v>
          </cell>
        </row>
        <row r="10107">
          <cell r="A10107" t="str">
            <v>IS_alqt_plus</v>
          </cell>
          <cell r="K10107" t="str">
            <v>PCOQ</v>
          </cell>
          <cell r="M10107" t="str">
            <v>F</v>
          </cell>
          <cell r="AB10107" t="str">
            <v>WB</v>
          </cell>
          <cell r="AF10107">
            <v>1</v>
          </cell>
        </row>
        <row r="10108">
          <cell r="A10108" t="str">
            <v>IS_alqt_plus</v>
          </cell>
          <cell r="K10108" t="str">
            <v>PCOQ</v>
          </cell>
          <cell r="M10108" t="str">
            <v>F</v>
          </cell>
          <cell r="AB10108" t="str">
            <v>WB</v>
          </cell>
          <cell r="AF10108">
            <v>1</v>
          </cell>
        </row>
        <row r="10109">
          <cell r="A10109" t="str">
            <v>IS_alqt_plus</v>
          </cell>
          <cell r="K10109" t="str">
            <v>PCOQ</v>
          </cell>
          <cell r="M10109" t="str">
            <v>F</v>
          </cell>
          <cell r="AB10109" t="str">
            <v>WB</v>
          </cell>
          <cell r="AF10109">
            <v>1</v>
          </cell>
        </row>
        <row r="10110">
          <cell r="A10110" t="str">
            <v>IS_alqt_plus</v>
          </cell>
          <cell r="K10110" t="str">
            <v>PCOQ</v>
          </cell>
          <cell r="M10110" t="str">
            <v>F</v>
          </cell>
          <cell r="AB10110" t="str">
            <v>WB</v>
          </cell>
          <cell r="AF10110">
            <v>1</v>
          </cell>
        </row>
        <row r="10111">
          <cell r="A10111" t="str">
            <v>IS_alqt_plus</v>
          </cell>
          <cell r="K10111" t="str">
            <v>PCOQ</v>
          </cell>
          <cell r="M10111" t="str">
            <v>F</v>
          </cell>
          <cell r="AB10111" t="str">
            <v>WB</v>
          </cell>
          <cell r="AF10111">
            <v>1</v>
          </cell>
        </row>
        <row r="10112">
          <cell r="A10112" t="str">
            <v>IS_alqt_plus</v>
          </cell>
          <cell r="K10112" t="str">
            <v>PCOQ</v>
          </cell>
          <cell r="M10112" t="str">
            <v>F</v>
          </cell>
          <cell r="AB10112" t="str">
            <v>WB</v>
          </cell>
          <cell r="AF10112">
            <v>1</v>
          </cell>
        </row>
        <row r="10113">
          <cell r="A10113" t="str">
            <v>IS_alqt_plus</v>
          </cell>
          <cell r="K10113" t="str">
            <v>PCOQ</v>
          </cell>
          <cell r="M10113" t="str">
            <v>F</v>
          </cell>
          <cell r="AB10113" t="str">
            <v>WB</v>
          </cell>
          <cell r="AF10113">
            <v>1</v>
          </cell>
        </row>
        <row r="10114">
          <cell r="A10114" t="str">
            <v>IS_alqt_plus</v>
          </cell>
          <cell r="K10114" t="str">
            <v>PCOQ</v>
          </cell>
          <cell r="M10114" t="str">
            <v>F</v>
          </cell>
          <cell r="AB10114" t="str">
            <v>WB</v>
          </cell>
          <cell r="AF10114">
            <v>1</v>
          </cell>
        </row>
        <row r="10115">
          <cell r="A10115" t="str">
            <v>IS_alqt_plus</v>
          </cell>
          <cell r="K10115" t="str">
            <v>PCOQ</v>
          </cell>
          <cell r="M10115" t="str">
            <v>F</v>
          </cell>
          <cell r="AB10115" t="str">
            <v>WB</v>
          </cell>
          <cell r="AF10115">
            <v>1</v>
          </cell>
        </row>
        <row r="10116">
          <cell r="A10116" t="str">
            <v>IS_alqt_plus</v>
          </cell>
          <cell r="K10116" t="str">
            <v>PCOQ</v>
          </cell>
          <cell r="M10116" t="str">
            <v>F</v>
          </cell>
          <cell r="AB10116" t="str">
            <v>WB</v>
          </cell>
          <cell r="AF10116">
            <v>1</v>
          </cell>
        </row>
        <row r="10117">
          <cell r="A10117" t="str">
            <v>IS_alqt_plus</v>
          </cell>
          <cell r="K10117" t="str">
            <v>PCOQ</v>
          </cell>
          <cell r="M10117" t="str">
            <v>F</v>
          </cell>
          <cell r="AB10117" t="str">
            <v>WB</v>
          </cell>
          <cell r="AF10117">
            <v>1</v>
          </cell>
        </row>
        <row r="10118">
          <cell r="A10118" t="str">
            <v>IS_alqt_plus</v>
          </cell>
          <cell r="K10118" t="str">
            <v>PCOQ</v>
          </cell>
          <cell r="M10118" t="str">
            <v>F</v>
          </cell>
          <cell r="AB10118" t="str">
            <v>WB</v>
          </cell>
          <cell r="AF10118">
            <v>1</v>
          </cell>
        </row>
        <row r="10119">
          <cell r="A10119" t="str">
            <v>IS_alqt_plus</v>
          </cell>
          <cell r="K10119" t="str">
            <v>PCOQ</v>
          </cell>
          <cell r="M10119" t="str">
            <v>F</v>
          </cell>
          <cell r="AB10119" t="str">
            <v>WB</v>
          </cell>
          <cell r="AF10119">
            <v>1</v>
          </cell>
        </row>
        <row r="10120">
          <cell r="A10120" t="str">
            <v>IS_alqt_plus</v>
          </cell>
          <cell r="K10120" t="str">
            <v>PCOQ</v>
          </cell>
          <cell r="M10120" t="str">
            <v>F</v>
          </cell>
          <cell r="AB10120" t="str">
            <v>WB</v>
          </cell>
          <cell r="AF10120">
            <v>1</v>
          </cell>
        </row>
        <row r="10121">
          <cell r="A10121" t="str">
            <v>IS_alqt_plus</v>
          </cell>
          <cell r="K10121" t="str">
            <v>PCOQ</v>
          </cell>
          <cell r="M10121" t="str">
            <v>F</v>
          </cell>
          <cell r="AB10121" t="str">
            <v>WB</v>
          </cell>
          <cell r="AF10121">
            <v>1</v>
          </cell>
        </row>
        <row r="10122">
          <cell r="A10122" t="str">
            <v>IS_alqt_plus</v>
          </cell>
          <cell r="K10122" t="str">
            <v>PCOQ</v>
          </cell>
          <cell r="M10122" t="str">
            <v>F</v>
          </cell>
          <cell r="AB10122" t="str">
            <v>WB</v>
          </cell>
          <cell r="AF10122">
            <v>1</v>
          </cell>
        </row>
        <row r="10123">
          <cell r="A10123" t="str">
            <v>IS_alqt_plus</v>
          </cell>
          <cell r="K10123" t="str">
            <v>PCOQ</v>
          </cell>
          <cell r="M10123" t="str">
            <v>F</v>
          </cell>
          <cell r="AB10123" t="str">
            <v>WB</v>
          </cell>
          <cell r="AF10123">
            <v>1</v>
          </cell>
        </row>
        <row r="10124">
          <cell r="A10124" t="str">
            <v>IS_alqt_plus</v>
          </cell>
          <cell r="K10124" t="str">
            <v>PCOQ</v>
          </cell>
          <cell r="M10124" t="str">
            <v>F</v>
          </cell>
          <cell r="AB10124" t="str">
            <v>WB</v>
          </cell>
          <cell r="AF10124">
            <v>1</v>
          </cell>
        </row>
        <row r="10125">
          <cell r="A10125" t="str">
            <v>IS_alqt_plus</v>
          </cell>
          <cell r="K10125" t="str">
            <v>PCOQ</v>
          </cell>
          <cell r="M10125" t="str">
            <v>F</v>
          </cell>
          <cell r="AB10125" t="str">
            <v>WB</v>
          </cell>
          <cell r="AF10125">
            <v>1</v>
          </cell>
        </row>
        <row r="10126">
          <cell r="A10126" t="str">
            <v>IS_alqt_plus</v>
          </cell>
          <cell r="K10126" t="str">
            <v>PCOQ</v>
          </cell>
          <cell r="M10126" t="str">
            <v>F</v>
          </cell>
          <cell r="AB10126" t="str">
            <v>WB</v>
          </cell>
          <cell r="AF10126">
            <v>1</v>
          </cell>
        </row>
        <row r="10127">
          <cell r="A10127" t="str">
            <v>IS_alqt_plus</v>
          </cell>
          <cell r="K10127" t="str">
            <v>PCOQ</v>
          </cell>
          <cell r="M10127" t="str">
            <v>F</v>
          </cell>
          <cell r="AB10127" t="str">
            <v>WB</v>
          </cell>
          <cell r="AF10127">
            <v>1</v>
          </cell>
        </row>
        <row r="10128">
          <cell r="A10128" t="str">
            <v>IS_alqt_plus</v>
          </cell>
          <cell r="K10128" t="str">
            <v>PCOQ</v>
          </cell>
          <cell r="M10128" t="str">
            <v>F</v>
          </cell>
          <cell r="AB10128" t="str">
            <v>WB</v>
          </cell>
          <cell r="AF10128">
            <v>1</v>
          </cell>
        </row>
        <row r="10129">
          <cell r="A10129" t="str">
            <v>IS_alqt_plus</v>
          </cell>
          <cell r="K10129" t="str">
            <v>PCOQ</v>
          </cell>
          <cell r="M10129" t="str">
            <v>F</v>
          </cell>
          <cell r="AB10129" t="str">
            <v>WB</v>
          </cell>
          <cell r="AF10129">
            <v>1</v>
          </cell>
        </row>
        <row r="10130">
          <cell r="A10130" t="str">
            <v>IS_alqt_plus</v>
          </cell>
          <cell r="K10130" t="str">
            <v>PCOQ</v>
          </cell>
          <cell r="M10130" t="str">
            <v>F</v>
          </cell>
          <cell r="AB10130" t="str">
            <v>WB</v>
          </cell>
          <cell r="AF10130">
            <v>1</v>
          </cell>
        </row>
        <row r="10131">
          <cell r="A10131" t="str">
            <v>gone</v>
          </cell>
          <cell r="K10131" t="str">
            <v>PCOQ</v>
          </cell>
          <cell r="M10131" t="str">
            <v>F</v>
          </cell>
          <cell r="AB10131" t="str">
            <v>WB</v>
          </cell>
          <cell r="AF10131">
            <v>0</v>
          </cell>
        </row>
        <row r="10132">
          <cell r="A10132" t="str">
            <v>IS_alqt_plus</v>
          </cell>
          <cell r="K10132" t="str">
            <v>PCOQ</v>
          </cell>
          <cell r="M10132" t="str">
            <v>F</v>
          </cell>
          <cell r="AB10132" t="str">
            <v>WB</v>
          </cell>
          <cell r="AF10132">
            <v>1.3</v>
          </cell>
        </row>
        <row r="10133">
          <cell r="A10133" t="str">
            <v>IS_alqt_plus</v>
          </cell>
          <cell r="K10133" t="str">
            <v>PCOQ</v>
          </cell>
          <cell r="M10133" t="str">
            <v>F</v>
          </cell>
          <cell r="AB10133" t="str">
            <v>WB</v>
          </cell>
          <cell r="AF10133">
            <v>1.3</v>
          </cell>
        </row>
        <row r="10134">
          <cell r="A10134" t="str">
            <v>IS_alqt_plus</v>
          </cell>
          <cell r="K10134" t="str">
            <v>PCOQ</v>
          </cell>
          <cell r="M10134" t="str">
            <v>F</v>
          </cell>
          <cell r="AB10134" t="str">
            <v>WB</v>
          </cell>
          <cell r="AF10134">
            <v>1.3</v>
          </cell>
        </row>
        <row r="10135">
          <cell r="A10135" t="str">
            <v>IS_alqt_plus</v>
          </cell>
          <cell r="K10135" t="str">
            <v>PCOQ</v>
          </cell>
          <cell r="M10135" t="str">
            <v>F</v>
          </cell>
          <cell r="AB10135" t="str">
            <v>WB</v>
          </cell>
          <cell r="AF10135">
            <v>1.3</v>
          </cell>
        </row>
        <row r="10136">
          <cell r="A10136" t="str">
            <v>IS_alqt_plus</v>
          </cell>
          <cell r="K10136" t="str">
            <v>EFLA</v>
          </cell>
          <cell r="M10136" t="str">
            <v>F</v>
          </cell>
          <cell r="AB10136" t="str">
            <v>serum</v>
          </cell>
          <cell r="AF10136">
            <v>1</v>
          </cell>
        </row>
        <row r="10137">
          <cell r="A10137" t="str">
            <v>IS_alqt_plus</v>
          </cell>
          <cell r="K10137" t="str">
            <v>EFLA</v>
          </cell>
          <cell r="M10137" t="str">
            <v>F</v>
          </cell>
          <cell r="AB10137" t="str">
            <v>WB</v>
          </cell>
          <cell r="AF10137">
            <v>0.75</v>
          </cell>
        </row>
        <row r="10138">
          <cell r="A10138" t="str">
            <v>on hold</v>
          </cell>
          <cell r="K10138" t="str">
            <v>PCOQ</v>
          </cell>
          <cell r="M10138" t="str">
            <v>F</v>
          </cell>
          <cell r="AB10138" t="str">
            <v>serum</v>
          </cell>
          <cell r="AF10138">
            <v>0.8</v>
          </cell>
        </row>
        <row r="10139">
          <cell r="A10139" t="str">
            <v>IS_alqt_plus</v>
          </cell>
          <cell r="K10139" t="str">
            <v>PCOQ</v>
          </cell>
          <cell r="M10139" t="str">
            <v>F</v>
          </cell>
          <cell r="AB10139" t="str">
            <v>WB</v>
          </cell>
          <cell r="AF10139">
            <v>1.3</v>
          </cell>
        </row>
        <row r="10140">
          <cell r="A10140" t="str">
            <v>IS_alqt_plus</v>
          </cell>
          <cell r="K10140" t="str">
            <v>ECOL</v>
          </cell>
          <cell r="M10140" t="str">
            <v>M</v>
          </cell>
          <cell r="AB10140" t="str">
            <v>WB</v>
          </cell>
          <cell r="AF10140">
            <v>0.5</v>
          </cell>
        </row>
        <row r="10141">
          <cell r="A10141" t="str">
            <v>IS_alqt_plus</v>
          </cell>
          <cell r="K10141" t="str">
            <v>ECOR</v>
          </cell>
          <cell r="M10141" t="str">
            <v>F</v>
          </cell>
          <cell r="AB10141" t="str">
            <v>serum</v>
          </cell>
          <cell r="AF10141">
            <v>1</v>
          </cell>
        </row>
        <row r="10142">
          <cell r="A10142" t="str">
            <v>IS_alqt_plus</v>
          </cell>
          <cell r="K10142" t="str">
            <v>ECOR</v>
          </cell>
          <cell r="M10142" t="str">
            <v>F</v>
          </cell>
          <cell r="AB10142" t="str">
            <v>WB</v>
          </cell>
          <cell r="AF10142">
            <v>1</v>
          </cell>
        </row>
        <row r="10143">
          <cell r="A10143" t="str">
            <v>gone</v>
          </cell>
          <cell r="K10143" t="str">
            <v>VRUB</v>
          </cell>
          <cell r="M10143" t="str">
            <v>M</v>
          </cell>
          <cell r="AB10143" t="str">
            <v>WB</v>
          </cell>
          <cell r="AF10143">
            <v>0</v>
          </cell>
        </row>
        <row r="10144">
          <cell r="A10144" t="str">
            <v>IS_alqt_plus</v>
          </cell>
          <cell r="K10144" t="str">
            <v>VRUB</v>
          </cell>
          <cell r="M10144" t="str">
            <v>M</v>
          </cell>
          <cell r="AB10144" t="str">
            <v>WB</v>
          </cell>
          <cell r="AF10144">
            <v>1.5</v>
          </cell>
        </row>
        <row r="10145">
          <cell r="A10145" t="str">
            <v>IS_alqt_plus</v>
          </cell>
          <cell r="K10145" t="str">
            <v>VRUB</v>
          </cell>
          <cell r="M10145" t="str">
            <v>M</v>
          </cell>
          <cell r="AB10145" t="str">
            <v>WB</v>
          </cell>
          <cell r="AF10145">
            <v>0.5</v>
          </cell>
        </row>
        <row r="10146">
          <cell r="A10146" t="str">
            <v>IS_alqt_plus</v>
          </cell>
          <cell r="K10146" t="str">
            <v>VRUB</v>
          </cell>
          <cell r="M10146" t="str">
            <v>M</v>
          </cell>
          <cell r="AB10146" t="str">
            <v>WB</v>
          </cell>
          <cell r="AF10146">
            <v>0.75</v>
          </cell>
        </row>
        <row r="10147">
          <cell r="A10147" t="str">
            <v>IS_alqt_plus</v>
          </cell>
          <cell r="K10147" t="str">
            <v>VRUB</v>
          </cell>
          <cell r="M10147" t="str">
            <v>M</v>
          </cell>
          <cell r="AB10147" t="str">
            <v>WB</v>
          </cell>
          <cell r="AF10147">
            <v>1.5</v>
          </cell>
        </row>
        <row r="10148">
          <cell r="A10148" t="str">
            <v>IS_alqt_plus</v>
          </cell>
          <cell r="K10148" t="str">
            <v>VRUB</v>
          </cell>
          <cell r="M10148" t="str">
            <v>M</v>
          </cell>
          <cell r="AB10148" t="str">
            <v>WB</v>
          </cell>
          <cell r="AF10148">
            <v>0.75</v>
          </cell>
        </row>
        <row r="10149">
          <cell r="A10149" t="str">
            <v>IS_alqt_plus</v>
          </cell>
          <cell r="K10149" t="str">
            <v>VRUB</v>
          </cell>
          <cell r="M10149" t="str">
            <v>M</v>
          </cell>
          <cell r="AB10149" t="str">
            <v>WB</v>
          </cell>
          <cell r="AF10149">
            <v>1.5</v>
          </cell>
        </row>
        <row r="10150">
          <cell r="A10150" t="str">
            <v>IS_alqt_plus</v>
          </cell>
          <cell r="K10150" t="str">
            <v>VRUB</v>
          </cell>
          <cell r="M10150" t="str">
            <v>M</v>
          </cell>
          <cell r="AB10150" t="str">
            <v>WB</v>
          </cell>
          <cell r="AF10150">
            <v>1</v>
          </cell>
        </row>
        <row r="10151">
          <cell r="A10151" t="str">
            <v>IS_alqt_plus</v>
          </cell>
          <cell r="K10151" t="str">
            <v>VRUB</v>
          </cell>
          <cell r="M10151" t="str">
            <v>M</v>
          </cell>
          <cell r="AB10151" t="str">
            <v>WB</v>
          </cell>
          <cell r="AF10151">
            <v>1.5</v>
          </cell>
        </row>
        <row r="10152">
          <cell r="A10152" t="str">
            <v>IS_alqt_plus</v>
          </cell>
          <cell r="K10152" t="str">
            <v>VRUB</v>
          </cell>
          <cell r="M10152" t="str">
            <v>M</v>
          </cell>
          <cell r="AB10152" t="str">
            <v>WB</v>
          </cell>
          <cell r="AF10152">
            <v>1</v>
          </cell>
        </row>
        <row r="10153">
          <cell r="A10153" t="str">
            <v>IS_alqt_plus</v>
          </cell>
          <cell r="K10153" t="str">
            <v>VRUB</v>
          </cell>
          <cell r="M10153" t="str">
            <v>M</v>
          </cell>
          <cell r="AB10153" t="str">
            <v>WB</v>
          </cell>
          <cell r="AF10153">
            <v>1.5</v>
          </cell>
        </row>
        <row r="10154">
          <cell r="A10154" t="str">
            <v>IS_alqt_plus</v>
          </cell>
          <cell r="K10154" t="str">
            <v>VRUB</v>
          </cell>
          <cell r="M10154" t="str">
            <v>M</v>
          </cell>
          <cell r="AB10154" t="str">
            <v>WB</v>
          </cell>
          <cell r="AF10154">
            <v>1.5</v>
          </cell>
        </row>
        <row r="10155">
          <cell r="A10155" t="str">
            <v>IS_alqt_plus</v>
          </cell>
          <cell r="K10155" t="str">
            <v>VRUB</v>
          </cell>
          <cell r="M10155" t="str">
            <v>M</v>
          </cell>
          <cell r="AB10155" t="str">
            <v>WB</v>
          </cell>
          <cell r="AF10155">
            <v>1</v>
          </cell>
        </row>
        <row r="10156">
          <cell r="A10156" t="str">
            <v>IS_alqt_plus</v>
          </cell>
          <cell r="K10156" t="str">
            <v>VRUB</v>
          </cell>
          <cell r="M10156" t="str">
            <v>M</v>
          </cell>
          <cell r="AB10156" t="str">
            <v>WB</v>
          </cell>
          <cell r="AF10156">
            <v>0.75</v>
          </cell>
        </row>
        <row r="10157">
          <cell r="A10157" t="str">
            <v>IS_alqt_plus</v>
          </cell>
          <cell r="K10157" t="str">
            <v>VRUB</v>
          </cell>
          <cell r="M10157" t="str">
            <v>M</v>
          </cell>
          <cell r="AB10157" t="str">
            <v>WB</v>
          </cell>
          <cell r="AF10157">
            <v>1.5</v>
          </cell>
        </row>
        <row r="10158">
          <cell r="A10158" t="str">
            <v>IS_alqt_plus</v>
          </cell>
          <cell r="K10158" t="str">
            <v>VRUB</v>
          </cell>
          <cell r="M10158" t="str">
            <v>M</v>
          </cell>
          <cell r="AB10158" t="str">
            <v>WB</v>
          </cell>
          <cell r="AF10158">
            <v>1</v>
          </cell>
        </row>
        <row r="10159">
          <cell r="A10159" t="str">
            <v>IS_alqt_plus</v>
          </cell>
          <cell r="K10159" t="str">
            <v>VRUB</v>
          </cell>
          <cell r="M10159" t="str">
            <v>M</v>
          </cell>
          <cell r="AB10159" t="str">
            <v>WB</v>
          </cell>
          <cell r="AF10159">
            <v>1.2</v>
          </cell>
        </row>
        <row r="10160">
          <cell r="A10160" t="str">
            <v>IS_alqt_plus</v>
          </cell>
          <cell r="K10160" t="str">
            <v>VRUB</v>
          </cell>
          <cell r="M10160" t="str">
            <v>M</v>
          </cell>
          <cell r="AB10160" t="str">
            <v>WB</v>
          </cell>
          <cell r="AF10160">
            <v>1.5</v>
          </cell>
        </row>
        <row r="10161">
          <cell r="A10161" t="str">
            <v>IS_alqt_plus</v>
          </cell>
          <cell r="K10161" t="str">
            <v>VRUB</v>
          </cell>
          <cell r="M10161" t="str">
            <v>M</v>
          </cell>
          <cell r="AB10161" t="str">
            <v>WB</v>
          </cell>
          <cell r="AF10161">
            <v>1.5</v>
          </cell>
        </row>
        <row r="10162">
          <cell r="A10162" t="str">
            <v>IS_alqt_plus</v>
          </cell>
          <cell r="K10162" t="str">
            <v>VRUB</v>
          </cell>
          <cell r="M10162" t="str">
            <v>M</v>
          </cell>
          <cell r="AB10162" t="str">
            <v>WB</v>
          </cell>
          <cell r="AF10162">
            <v>1.25</v>
          </cell>
        </row>
        <row r="10163">
          <cell r="A10163" t="str">
            <v>IS_alqt_plus</v>
          </cell>
          <cell r="K10163" t="str">
            <v>VRUB</v>
          </cell>
          <cell r="M10163" t="str">
            <v>M</v>
          </cell>
          <cell r="AB10163" t="str">
            <v>WB</v>
          </cell>
          <cell r="AF10163">
            <v>1</v>
          </cell>
        </row>
        <row r="10164">
          <cell r="A10164" t="str">
            <v>IS_alqt_plus</v>
          </cell>
          <cell r="K10164" t="str">
            <v>VRUB</v>
          </cell>
          <cell r="M10164" t="str">
            <v>M</v>
          </cell>
          <cell r="AB10164" t="str">
            <v>WB</v>
          </cell>
          <cell r="AF10164">
            <v>1.5</v>
          </cell>
        </row>
        <row r="10165">
          <cell r="A10165" t="str">
            <v>IS_alqt_plus</v>
          </cell>
          <cell r="K10165" t="str">
            <v>VRUB</v>
          </cell>
          <cell r="M10165" t="str">
            <v>M</v>
          </cell>
          <cell r="AB10165" t="str">
            <v>WB</v>
          </cell>
          <cell r="AF10165">
            <v>1.5</v>
          </cell>
        </row>
        <row r="10166">
          <cell r="A10166" t="str">
            <v>IS_alqt_plus</v>
          </cell>
          <cell r="K10166" t="str">
            <v>VRUB</v>
          </cell>
          <cell r="M10166" t="str">
            <v>M</v>
          </cell>
          <cell r="AB10166" t="str">
            <v>WB</v>
          </cell>
          <cell r="AF10166">
            <v>1.5</v>
          </cell>
        </row>
        <row r="10167">
          <cell r="A10167" t="str">
            <v>IS_alqt_plus</v>
          </cell>
          <cell r="K10167" t="str">
            <v>VRUB</v>
          </cell>
          <cell r="M10167" t="str">
            <v>M</v>
          </cell>
          <cell r="AB10167" t="str">
            <v>WB</v>
          </cell>
          <cell r="AF10167">
            <v>1</v>
          </cell>
        </row>
        <row r="10168">
          <cell r="A10168" t="str">
            <v>IS_alqt_plus</v>
          </cell>
          <cell r="K10168" t="str">
            <v>VRUB</v>
          </cell>
          <cell r="M10168" t="str">
            <v>M</v>
          </cell>
          <cell r="AB10168" t="str">
            <v>WB</v>
          </cell>
          <cell r="AF10168">
            <v>1.5</v>
          </cell>
        </row>
        <row r="10169">
          <cell r="A10169" t="str">
            <v>IS_alqt_plus</v>
          </cell>
          <cell r="K10169" t="str">
            <v>VRUB</v>
          </cell>
          <cell r="M10169" t="str">
            <v>M</v>
          </cell>
          <cell r="AB10169" t="str">
            <v>WB</v>
          </cell>
          <cell r="AF10169">
            <v>1.5</v>
          </cell>
        </row>
        <row r="10170">
          <cell r="A10170" t="str">
            <v>IS_alqt_plus</v>
          </cell>
          <cell r="K10170" t="str">
            <v>VRUB</v>
          </cell>
          <cell r="M10170" t="str">
            <v>M</v>
          </cell>
          <cell r="AB10170" t="str">
            <v>WB</v>
          </cell>
          <cell r="AF10170">
            <v>1.5</v>
          </cell>
        </row>
        <row r="10171">
          <cell r="A10171" t="str">
            <v>IS_alqt_plus</v>
          </cell>
          <cell r="K10171" t="str">
            <v>VRUB</v>
          </cell>
          <cell r="M10171" t="str">
            <v>M</v>
          </cell>
          <cell r="AB10171" t="str">
            <v>WB</v>
          </cell>
          <cell r="AF10171">
            <v>1.5</v>
          </cell>
        </row>
        <row r="10172">
          <cell r="A10172" t="str">
            <v>IS_alqt_plus</v>
          </cell>
          <cell r="K10172" t="str">
            <v>VRUB</v>
          </cell>
          <cell r="M10172" t="str">
            <v>M</v>
          </cell>
          <cell r="AB10172" t="str">
            <v>WB</v>
          </cell>
          <cell r="AF10172">
            <v>1.5</v>
          </cell>
        </row>
        <row r="10173">
          <cell r="A10173" t="str">
            <v>IS_alqt_plus</v>
          </cell>
          <cell r="K10173" t="str">
            <v>VRUB</v>
          </cell>
          <cell r="M10173" t="str">
            <v>M</v>
          </cell>
          <cell r="AB10173" t="str">
            <v>WB</v>
          </cell>
          <cell r="AF10173">
            <v>1.5</v>
          </cell>
        </row>
        <row r="10174">
          <cell r="A10174" t="str">
            <v>IS_alqt_plus</v>
          </cell>
          <cell r="K10174" t="str">
            <v>VRUB</v>
          </cell>
          <cell r="M10174" t="str">
            <v>M</v>
          </cell>
          <cell r="AB10174" t="str">
            <v>WB</v>
          </cell>
          <cell r="AF10174">
            <v>1.5</v>
          </cell>
        </row>
        <row r="10175">
          <cell r="A10175" t="str">
            <v>IS_alqt_plus</v>
          </cell>
          <cell r="K10175" t="str">
            <v>VRUB</v>
          </cell>
          <cell r="M10175" t="str">
            <v>M</v>
          </cell>
          <cell r="AB10175" t="str">
            <v>WB</v>
          </cell>
          <cell r="AF10175">
            <v>1.5</v>
          </cell>
        </row>
        <row r="10176">
          <cell r="A10176" t="str">
            <v>IS_alqt_plus</v>
          </cell>
          <cell r="K10176" t="str">
            <v>VRUB</v>
          </cell>
          <cell r="M10176" t="str">
            <v>M</v>
          </cell>
          <cell r="AB10176" t="str">
            <v>WB</v>
          </cell>
          <cell r="AF10176">
            <v>1.5</v>
          </cell>
        </row>
        <row r="10177">
          <cell r="A10177" t="str">
            <v>IS_alqt_plus</v>
          </cell>
          <cell r="K10177" t="str">
            <v>VRUB</v>
          </cell>
          <cell r="M10177" t="str">
            <v>M</v>
          </cell>
          <cell r="AB10177" t="str">
            <v>WB</v>
          </cell>
          <cell r="AF10177">
            <v>1.5</v>
          </cell>
        </row>
        <row r="10178">
          <cell r="A10178" t="str">
            <v>IS_alqt_plus</v>
          </cell>
          <cell r="K10178" t="str">
            <v>VRUB</v>
          </cell>
          <cell r="M10178" t="str">
            <v>M</v>
          </cell>
          <cell r="AB10178" t="str">
            <v>WB</v>
          </cell>
          <cell r="AF10178">
            <v>1.5</v>
          </cell>
        </row>
        <row r="10179">
          <cell r="A10179" t="str">
            <v>IS_alqt_plus</v>
          </cell>
          <cell r="K10179" t="str">
            <v>VRUB</v>
          </cell>
          <cell r="M10179" t="str">
            <v>M</v>
          </cell>
          <cell r="AB10179" t="str">
            <v>WB</v>
          </cell>
          <cell r="AF10179">
            <v>1.5</v>
          </cell>
        </row>
        <row r="10180">
          <cell r="A10180" t="str">
            <v>gone</v>
          </cell>
          <cell r="K10180" t="str">
            <v>VVV</v>
          </cell>
          <cell r="M10180" t="str">
            <v>M</v>
          </cell>
          <cell r="AB10180" t="str">
            <v>WB</v>
          </cell>
          <cell r="AF10180">
            <v>0</v>
          </cell>
        </row>
        <row r="10181">
          <cell r="A10181" t="str">
            <v>IS_alqt_plus</v>
          </cell>
          <cell r="K10181" t="str">
            <v>VVV</v>
          </cell>
          <cell r="M10181" t="str">
            <v>M</v>
          </cell>
          <cell r="AB10181" t="str">
            <v>serum</v>
          </cell>
          <cell r="AF10181">
            <v>1.25</v>
          </cell>
        </row>
        <row r="10182">
          <cell r="A10182" t="str">
            <v>IS_alqt_plus</v>
          </cell>
          <cell r="K10182" t="str">
            <v>EFLA</v>
          </cell>
          <cell r="M10182" t="str">
            <v>F</v>
          </cell>
          <cell r="AB10182" t="str">
            <v>serum</v>
          </cell>
          <cell r="AF10182">
            <v>0.2</v>
          </cell>
        </row>
        <row r="10183">
          <cell r="A10183" t="str">
            <v>IS_alqt_plus</v>
          </cell>
          <cell r="K10183" t="str">
            <v>EFLA</v>
          </cell>
          <cell r="M10183" t="str">
            <v>F</v>
          </cell>
          <cell r="AB10183" t="str">
            <v>serum</v>
          </cell>
          <cell r="AF10183">
            <v>0.2</v>
          </cell>
        </row>
        <row r="10184">
          <cell r="A10184" t="str">
            <v>IS_alqt_plus</v>
          </cell>
          <cell r="K10184" t="str">
            <v>EFLA</v>
          </cell>
          <cell r="M10184" t="str">
            <v>F</v>
          </cell>
          <cell r="AB10184" t="str">
            <v>serum</v>
          </cell>
          <cell r="AF10184">
            <v>0.3</v>
          </cell>
        </row>
        <row r="10185">
          <cell r="A10185" t="str">
            <v>unk</v>
          </cell>
          <cell r="K10185" t="str">
            <v>EFLA</v>
          </cell>
          <cell r="M10185" t="str">
            <v>F</v>
          </cell>
          <cell r="AB10185" t="str">
            <v>serum</v>
          </cell>
          <cell r="AF10185">
            <v>1</v>
          </cell>
        </row>
        <row r="10186">
          <cell r="A10186" t="str">
            <v>IS_alqt_plus</v>
          </cell>
          <cell r="K10186" t="str">
            <v>EFLA</v>
          </cell>
          <cell r="M10186" t="str">
            <v>F</v>
          </cell>
          <cell r="AB10186" t="str">
            <v>WB</v>
          </cell>
          <cell r="AF10186">
            <v>1</v>
          </cell>
        </row>
        <row r="10187">
          <cell r="A10187" t="str">
            <v>unk</v>
          </cell>
          <cell r="K10187" t="str">
            <v>EFLA</v>
          </cell>
          <cell r="M10187" t="str">
            <v>F</v>
          </cell>
          <cell r="AB10187" t="str">
            <v>WB</v>
          </cell>
          <cell r="AF10187">
            <v>1</v>
          </cell>
        </row>
        <row r="10188">
          <cell r="A10188" t="str">
            <v>IS_alqt_plus</v>
          </cell>
          <cell r="K10188" t="str">
            <v>PCOQ</v>
          </cell>
          <cell r="M10188" t="str">
            <v>F</v>
          </cell>
          <cell r="AB10188" t="str">
            <v>WB</v>
          </cell>
          <cell r="AF10188">
            <v>1.3</v>
          </cell>
        </row>
        <row r="10189">
          <cell r="A10189" t="str">
            <v>IS_alqt_plus</v>
          </cell>
          <cell r="K10189" t="str">
            <v>PCOQ</v>
          </cell>
          <cell r="M10189" t="str">
            <v>F</v>
          </cell>
          <cell r="AB10189" t="str">
            <v>WB</v>
          </cell>
          <cell r="AF10189">
            <v>1.3</v>
          </cell>
        </row>
        <row r="10190">
          <cell r="A10190" t="str">
            <v>IS_alqt_plus</v>
          </cell>
          <cell r="K10190" t="str">
            <v>PCOQ</v>
          </cell>
          <cell r="M10190" t="str">
            <v>F</v>
          </cell>
          <cell r="AB10190" t="str">
            <v>WB</v>
          </cell>
          <cell r="AF10190">
            <v>1.3</v>
          </cell>
        </row>
        <row r="10191">
          <cell r="A10191" t="str">
            <v>IS_alqt_plus</v>
          </cell>
          <cell r="K10191" t="str">
            <v>PCOQ</v>
          </cell>
          <cell r="M10191" t="str">
            <v>F</v>
          </cell>
          <cell r="AB10191" t="str">
            <v>WB</v>
          </cell>
          <cell r="AF10191">
            <v>1.3</v>
          </cell>
        </row>
        <row r="10192">
          <cell r="A10192" t="str">
            <v>IS_alqt_plus</v>
          </cell>
          <cell r="K10192" t="str">
            <v>LCAT</v>
          </cell>
          <cell r="M10192" t="str">
            <v>M</v>
          </cell>
          <cell r="AB10192" t="str">
            <v>serum</v>
          </cell>
          <cell r="AF10192">
            <v>1.25</v>
          </cell>
        </row>
        <row r="10193">
          <cell r="A10193" t="str">
            <v>unk</v>
          </cell>
          <cell r="K10193" t="str">
            <v>LCAT</v>
          </cell>
          <cell r="M10193" t="str">
            <v>M</v>
          </cell>
          <cell r="AB10193" t="str">
            <v>serum</v>
          </cell>
          <cell r="AF10193">
            <v>1.25</v>
          </cell>
        </row>
        <row r="10194">
          <cell r="A10194" t="str">
            <v>IS_alqt_minus</v>
          </cell>
          <cell r="K10194" t="str">
            <v>DMAD</v>
          </cell>
          <cell r="M10194" t="str">
            <v>F</v>
          </cell>
          <cell r="AB10194" t="str">
            <v>WB</v>
          </cell>
          <cell r="AF10194">
            <v>0.1</v>
          </cell>
        </row>
        <row r="10195">
          <cell r="A10195" t="str">
            <v>unk</v>
          </cell>
          <cell r="K10195" t="str">
            <v>DMAD</v>
          </cell>
          <cell r="M10195" t="str">
            <v>F</v>
          </cell>
          <cell r="AB10195" t="str">
            <v>WB</v>
          </cell>
          <cell r="AF10195">
            <v>0.5</v>
          </cell>
        </row>
        <row r="10196">
          <cell r="A10196" t="str">
            <v>unk</v>
          </cell>
          <cell r="K10196" t="str">
            <v>LCAT</v>
          </cell>
          <cell r="M10196" t="str">
            <v>F</v>
          </cell>
          <cell r="AB10196" t="str">
            <v>PRBC</v>
          </cell>
          <cell r="AF10196">
            <v>1</v>
          </cell>
        </row>
        <row r="10197">
          <cell r="A10197" t="str">
            <v>unk</v>
          </cell>
          <cell r="K10197" t="str">
            <v>LCAT</v>
          </cell>
          <cell r="M10197" t="str">
            <v>F</v>
          </cell>
          <cell r="AB10197" t="str">
            <v>PRBC</v>
          </cell>
          <cell r="AF10197">
            <v>1</v>
          </cell>
        </row>
        <row r="10198">
          <cell r="A10198" t="str">
            <v>gone</v>
          </cell>
          <cell r="K10198" t="str">
            <v>GMOH</v>
          </cell>
          <cell r="M10198" t="str">
            <v>M</v>
          </cell>
          <cell r="AB10198" t="str">
            <v>PRBC</v>
          </cell>
          <cell r="AF10198">
            <v>0</v>
          </cell>
        </row>
        <row r="10199">
          <cell r="A10199" t="str">
            <v>gone</v>
          </cell>
          <cell r="K10199" t="str">
            <v>ECOL</v>
          </cell>
          <cell r="M10199" t="str">
            <v>M</v>
          </cell>
          <cell r="AB10199" t="str">
            <v>WB</v>
          </cell>
          <cell r="AF10199">
            <v>0</v>
          </cell>
        </row>
        <row r="10200">
          <cell r="A10200" t="str">
            <v>gone</v>
          </cell>
          <cell r="K10200" t="str">
            <v>LCAT</v>
          </cell>
          <cell r="M10200" t="str">
            <v>F</v>
          </cell>
          <cell r="AB10200" t="str">
            <v>WB</v>
          </cell>
          <cell r="AF10200">
            <v>0.5</v>
          </cell>
        </row>
        <row r="10201">
          <cell r="A10201" t="str">
            <v>gone</v>
          </cell>
          <cell r="K10201" t="str">
            <v>LCAT</v>
          </cell>
          <cell r="M10201" t="str">
            <v>F</v>
          </cell>
          <cell r="AB10201" t="str">
            <v>WB</v>
          </cell>
          <cell r="AF10201">
            <v>0</v>
          </cell>
        </row>
        <row r="10202">
          <cell r="A10202" t="str">
            <v>IS_alqt_plus</v>
          </cell>
          <cell r="K10202" t="str">
            <v>LCAT</v>
          </cell>
          <cell r="M10202" t="str">
            <v>F</v>
          </cell>
          <cell r="AB10202" t="str">
            <v>serum</v>
          </cell>
          <cell r="AF10202">
            <v>0.2</v>
          </cell>
        </row>
        <row r="10203">
          <cell r="A10203" t="str">
            <v>IS_alqt_plus</v>
          </cell>
          <cell r="K10203" t="str">
            <v>LCAT</v>
          </cell>
          <cell r="M10203" t="str">
            <v>F</v>
          </cell>
          <cell r="AB10203" t="str">
            <v>serum</v>
          </cell>
          <cell r="AF10203">
            <v>0.2</v>
          </cell>
        </row>
        <row r="10204">
          <cell r="A10204" t="str">
            <v>IS_alqt_plus</v>
          </cell>
          <cell r="K10204" t="str">
            <v>LCAT</v>
          </cell>
          <cell r="M10204" t="str">
            <v>F</v>
          </cell>
          <cell r="AB10204" t="str">
            <v>serum</v>
          </cell>
          <cell r="AF10204">
            <v>0.3</v>
          </cell>
        </row>
        <row r="10205">
          <cell r="A10205" t="str">
            <v>IS_alqt_plus</v>
          </cell>
          <cell r="K10205" t="str">
            <v>LCAT</v>
          </cell>
          <cell r="M10205" t="str">
            <v>F</v>
          </cell>
          <cell r="AB10205" t="str">
            <v>serum</v>
          </cell>
          <cell r="AF10205">
            <v>0.2</v>
          </cell>
        </row>
        <row r="10206">
          <cell r="A10206" t="str">
            <v>unk</v>
          </cell>
          <cell r="K10206" t="str">
            <v>LCAT</v>
          </cell>
          <cell r="M10206" t="str">
            <v>M</v>
          </cell>
          <cell r="AB10206" t="str">
            <v>PRBC</v>
          </cell>
          <cell r="AF10206">
            <v>1</v>
          </cell>
        </row>
        <row r="10207">
          <cell r="A10207" t="str">
            <v>unk</v>
          </cell>
          <cell r="K10207" t="str">
            <v>LCAT</v>
          </cell>
          <cell r="M10207" t="str">
            <v>M</v>
          </cell>
          <cell r="AB10207" t="str">
            <v>PRBC</v>
          </cell>
          <cell r="AF10207">
            <v>1</v>
          </cell>
        </row>
        <row r="10208">
          <cell r="A10208" t="str">
            <v>IS_alqt_plus</v>
          </cell>
          <cell r="K10208" t="str">
            <v>LCAT</v>
          </cell>
          <cell r="M10208" t="str">
            <v>M</v>
          </cell>
          <cell r="AB10208" t="str">
            <v>serum</v>
          </cell>
          <cell r="AF10208">
            <v>0.2</v>
          </cell>
        </row>
        <row r="10209">
          <cell r="A10209" t="str">
            <v>IS_alqt_plus</v>
          </cell>
          <cell r="K10209" t="str">
            <v>LCAT</v>
          </cell>
          <cell r="M10209" t="str">
            <v>M</v>
          </cell>
          <cell r="AB10209" t="str">
            <v>serum</v>
          </cell>
          <cell r="AF10209">
            <v>0.2</v>
          </cell>
        </row>
        <row r="10210">
          <cell r="A10210" t="str">
            <v>IS_alqt_plus</v>
          </cell>
          <cell r="K10210" t="str">
            <v>LCAT</v>
          </cell>
          <cell r="M10210" t="str">
            <v>M</v>
          </cell>
          <cell r="AB10210" t="str">
            <v>serum</v>
          </cell>
          <cell r="AF10210">
            <v>0.2</v>
          </cell>
        </row>
        <row r="10211">
          <cell r="A10211" t="str">
            <v>IS_alqt_plus</v>
          </cell>
          <cell r="K10211" t="str">
            <v>LCAT</v>
          </cell>
          <cell r="M10211" t="str">
            <v>M</v>
          </cell>
          <cell r="AB10211" t="str">
            <v>serum</v>
          </cell>
          <cell r="AF10211">
            <v>0.2</v>
          </cell>
        </row>
        <row r="10212">
          <cell r="A10212" t="str">
            <v>IS_alqt_plus</v>
          </cell>
          <cell r="K10212" t="str">
            <v>LCAT</v>
          </cell>
          <cell r="M10212" t="str">
            <v>M</v>
          </cell>
          <cell r="AB10212" t="str">
            <v>serum</v>
          </cell>
          <cell r="AF10212">
            <v>0.2</v>
          </cell>
        </row>
        <row r="10213">
          <cell r="A10213" t="str">
            <v>IS_alqt_plus</v>
          </cell>
          <cell r="K10213" t="str">
            <v>LCAT</v>
          </cell>
          <cell r="M10213" t="str">
            <v>M</v>
          </cell>
          <cell r="AB10213" t="str">
            <v>serum</v>
          </cell>
          <cell r="AF10213">
            <v>0.2</v>
          </cell>
        </row>
        <row r="10214">
          <cell r="A10214" t="str">
            <v>IS_alqt_plus</v>
          </cell>
          <cell r="K10214" t="str">
            <v>LCAT</v>
          </cell>
          <cell r="M10214" t="str">
            <v>M</v>
          </cell>
          <cell r="AB10214" t="str">
            <v>serum</v>
          </cell>
          <cell r="AF10214">
            <v>0.2</v>
          </cell>
        </row>
        <row r="10215">
          <cell r="A10215" t="str">
            <v>IS_alqt_plus</v>
          </cell>
          <cell r="K10215" t="str">
            <v>LCAT</v>
          </cell>
          <cell r="M10215" t="str">
            <v>M</v>
          </cell>
          <cell r="AB10215" t="str">
            <v>serum</v>
          </cell>
          <cell r="AF10215">
            <v>0.2</v>
          </cell>
        </row>
        <row r="10216">
          <cell r="A10216" t="str">
            <v>IS_alqt_plus</v>
          </cell>
          <cell r="K10216" t="str">
            <v>LCAT</v>
          </cell>
          <cell r="M10216" t="str">
            <v>M</v>
          </cell>
          <cell r="AB10216" t="str">
            <v>serum</v>
          </cell>
          <cell r="AF10216">
            <v>0.2</v>
          </cell>
        </row>
        <row r="10217">
          <cell r="A10217" t="str">
            <v>IS_alqt_plus</v>
          </cell>
          <cell r="K10217" t="str">
            <v>LCAT</v>
          </cell>
          <cell r="M10217" t="str">
            <v>F</v>
          </cell>
          <cell r="AB10217" t="str">
            <v>serum</v>
          </cell>
          <cell r="AF10217">
            <v>1.2</v>
          </cell>
        </row>
        <row r="10218">
          <cell r="A10218" t="str">
            <v>IS_alqt_minus</v>
          </cell>
          <cell r="K10218" t="str">
            <v>LCAT</v>
          </cell>
          <cell r="M10218" t="str">
            <v>F</v>
          </cell>
          <cell r="AB10218" t="str">
            <v>serum</v>
          </cell>
          <cell r="AF10218">
            <v>0.1</v>
          </cell>
        </row>
        <row r="10219">
          <cell r="A10219" t="str">
            <v>IS_alqt_plus</v>
          </cell>
          <cell r="K10219" t="str">
            <v>LCAT</v>
          </cell>
          <cell r="M10219" t="str">
            <v>F</v>
          </cell>
          <cell r="AB10219" t="str">
            <v>serum</v>
          </cell>
          <cell r="AF10219">
            <v>1.05</v>
          </cell>
        </row>
        <row r="10220">
          <cell r="A10220" t="str">
            <v>IS_alqt_plus</v>
          </cell>
          <cell r="K10220" t="str">
            <v>PCOQ</v>
          </cell>
          <cell r="M10220" t="str">
            <v>F</v>
          </cell>
          <cell r="AB10220" t="str">
            <v>WB</v>
          </cell>
          <cell r="AF10220">
            <v>1.3</v>
          </cell>
        </row>
        <row r="10221">
          <cell r="A10221" t="str">
            <v>IS_alqt_plus</v>
          </cell>
          <cell r="K10221" t="str">
            <v>LCAT</v>
          </cell>
          <cell r="M10221" t="str">
            <v>F</v>
          </cell>
          <cell r="AB10221" t="str">
            <v>serum</v>
          </cell>
          <cell r="AF10221">
            <v>1.25</v>
          </cell>
        </row>
        <row r="10222">
          <cell r="A10222" t="str">
            <v>IS_alqt_plus</v>
          </cell>
          <cell r="K10222" t="str">
            <v>PCOQ</v>
          </cell>
          <cell r="M10222" t="str">
            <v>F</v>
          </cell>
          <cell r="AB10222" t="str">
            <v>WB</v>
          </cell>
          <cell r="AF10222">
            <v>1.3</v>
          </cell>
        </row>
        <row r="10223">
          <cell r="A10223" t="str">
            <v>IS_alqt_plus</v>
          </cell>
          <cell r="K10223" t="str">
            <v>PCOQ</v>
          </cell>
          <cell r="M10223" t="str">
            <v>F</v>
          </cell>
          <cell r="AB10223" t="str">
            <v>WB</v>
          </cell>
          <cell r="AF10223">
            <v>1.3</v>
          </cell>
        </row>
        <row r="10224">
          <cell r="A10224" t="str">
            <v>IS_alqt_plus</v>
          </cell>
          <cell r="K10224" t="str">
            <v>PCOQ</v>
          </cell>
          <cell r="M10224" t="str">
            <v>F</v>
          </cell>
          <cell r="AB10224" t="str">
            <v>WB</v>
          </cell>
          <cell r="AF10224">
            <v>1.25</v>
          </cell>
        </row>
        <row r="10225">
          <cell r="A10225" t="str">
            <v>IS_alqt_plus</v>
          </cell>
          <cell r="K10225" t="str">
            <v>PCOQ</v>
          </cell>
          <cell r="M10225" t="str">
            <v>F</v>
          </cell>
          <cell r="AB10225" t="str">
            <v>WB</v>
          </cell>
          <cell r="AF10225">
            <v>0.5</v>
          </cell>
        </row>
        <row r="10226">
          <cell r="A10226" t="str">
            <v>unk</v>
          </cell>
          <cell r="K10226" t="str">
            <v>LCAT</v>
          </cell>
          <cell r="M10226" t="str">
            <v>M</v>
          </cell>
          <cell r="AB10226" t="str">
            <v>PRBC</v>
          </cell>
          <cell r="AF10226">
            <v>1</v>
          </cell>
        </row>
        <row r="10227">
          <cell r="A10227" t="str">
            <v>unk</v>
          </cell>
          <cell r="K10227" t="str">
            <v>LCAT</v>
          </cell>
          <cell r="M10227" t="str">
            <v>M</v>
          </cell>
          <cell r="AB10227" t="str">
            <v>PRBC</v>
          </cell>
          <cell r="AF10227">
            <v>1</v>
          </cell>
        </row>
        <row r="10228">
          <cell r="A10228" t="str">
            <v>IS_alqt_plus</v>
          </cell>
          <cell r="K10228" t="str">
            <v>LCAT</v>
          </cell>
          <cell r="M10228" t="str">
            <v>M</v>
          </cell>
          <cell r="AB10228" t="str">
            <v>serum</v>
          </cell>
          <cell r="AF10228">
            <v>0.2</v>
          </cell>
        </row>
        <row r="10229">
          <cell r="A10229" t="str">
            <v>IS_alqt_plus</v>
          </cell>
          <cell r="K10229" t="str">
            <v>LCAT</v>
          </cell>
          <cell r="M10229" t="str">
            <v>M</v>
          </cell>
          <cell r="AB10229" t="str">
            <v>serum</v>
          </cell>
          <cell r="AF10229">
            <v>0.2</v>
          </cell>
        </row>
        <row r="10230">
          <cell r="A10230" t="str">
            <v>IS_alqt_plus</v>
          </cell>
          <cell r="K10230" t="str">
            <v>LCAT</v>
          </cell>
          <cell r="M10230" t="str">
            <v>M</v>
          </cell>
          <cell r="AB10230" t="str">
            <v>serum</v>
          </cell>
          <cell r="AF10230">
            <v>0.2</v>
          </cell>
        </row>
        <row r="10231">
          <cell r="A10231" t="str">
            <v>IS_alqt_plus</v>
          </cell>
          <cell r="K10231" t="str">
            <v>LCAT</v>
          </cell>
          <cell r="M10231" t="str">
            <v>M</v>
          </cell>
          <cell r="AB10231" t="str">
            <v>serum</v>
          </cell>
          <cell r="AF10231">
            <v>0.2</v>
          </cell>
        </row>
        <row r="10232">
          <cell r="A10232" t="str">
            <v>IS_alqt_plus</v>
          </cell>
          <cell r="K10232" t="str">
            <v>LCAT</v>
          </cell>
          <cell r="M10232" t="str">
            <v>M</v>
          </cell>
          <cell r="AB10232" t="str">
            <v>serum</v>
          </cell>
          <cell r="AF10232">
            <v>0.2</v>
          </cell>
        </row>
        <row r="10233">
          <cell r="A10233" t="str">
            <v>IS_alqt_plus</v>
          </cell>
          <cell r="K10233" t="str">
            <v>LCAT</v>
          </cell>
          <cell r="M10233" t="str">
            <v>M</v>
          </cell>
          <cell r="AB10233" t="str">
            <v>serum</v>
          </cell>
          <cell r="AF10233">
            <v>0.2</v>
          </cell>
        </row>
        <row r="10234">
          <cell r="A10234" t="str">
            <v>IS_alqt_plus</v>
          </cell>
          <cell r="K10234" t="str">
            <v>LCAT</v>
          </cell>
          <cell r="M10234" t="str">
            <v>M</v>
          </cell>
          <cell r="AB10234" t="str">
            <v>serum</v>
          </cell>
          <cell r="AF10234">
            <v>0.2</v>
          </cell>
        </row>
        <row r="10235">
          <cell r="A10235" t="str">
            <v>IS_alqt_plus</v>
          </cell>
          <cell r="K10235" t="str">
            <v>LCAT</v>
          </cell>
          <cell r="M10235" t="str">
            <v>M</v>
          </cell>
          <cell r="AB10235" t="str">
            <v>serum</v>
          </cell>
          <cell r="AF10235">
            <v>0.2</v>
          </cell>
        </row>
        <row r="10236">
          <cell r="A10236" t="str">
            <v>IS_alqt_plus</v>
          </cell>
          <cell r="K10236" t="str">
            <v>LCAT</v>
          </cell>
          <cell r="M10236" t="str">
            <v>M</v>
          </cell>
          <cell r="AB10236" t="str">
            <v>serum</v>
          </cell>
          <cell r="AF10236">
            <v>0.2</v>
          </cell>
        </row>
        <row r="10237">
          <cell r="A10237" t="str">
            <v>IS_alqt_plus</v>
          </cell>
          <cell r="K10237" t="str">
            <v>PCOQ</v>
          </cell>
          <cell r="M10237" t="str">
            <v>F</v>
          </cell>
          <cell r="AB10237" t="str">
            <v>WB</v>
          </cell>
          <cell r="AF10237">
            <v>1</v>
          </cell>
        </row>
        <row r="10238">
          <cell r="A10238" t="str">
            <v>IS_alqt_plus</v>
          </cell>
          <cell r="K10238" t="str">
            <v>PCOQ</v>
          </cell>
          <cell r="M10238" t="str">
            <v>M</v>
          </cell>
          <cell r="AB10238" t="str">
            <v>WB</v>
          </cell>
          <cell r="AF10238">
            <v>0.4</v>
          </cell>
        </row>
        <row r="10239">
          <cell r="A10239" t="str">
            <v>IS_alqt_plus</v>
          </cell>
          <cell r="K10239" t="str">
            <v>PCOQ</v>
          </cell>
          <cell r="M10239" t="str">
            <v>M</v>
          </cell>
          <cell r="AB10239" t="str">
            <v>WB</v>
          </cell>
          <cell r="AF10239">
            <v>0.7</v>
          </cell>
        </row>
        <row r="10240">
          <cell r="A10240" t="str">
            <v>IS_alqt_plus</v>
          </cell>
          <cell r="K10240" t="str">
            <v>PCOQ</v>
          </cell>
          <cell r="M10240" t="str">
            <v>F</v>
          </cell>
          <cell r="AB10240" t="str">
            <v>WB</v>
          </cell>
          <cell r="AF10240">
            <v>0.4</v>
          </cell>
        </row>
        <row r="10241">
          <cell r="A10241" t="str">
            <v>IS_alqt_plus</v>
          </cell>
          <cell r="K10241" t="str">
            <v>PCOQ</v>
          </cell>
          <cell r="M10241" t="str">
            <v>F</v>
          </cell>
          <cell r="AB10241" t="str">
            <v>WB</v>
          </cell>
          <cell r="AF10241">
            <v>1</v>
          </cell>
        </row>
        <row r="10242">
          <cell r="A10242" t="str">
            <v>gone</v>
          </cell>
          <cell r="K10242" t="str">
            <v>ECOL</v>
          </cell>
          <cell r="M10242" t="str">
            <v>M</v>
          </cell>
          <cell r="AB10242" t="str">
            <v>WB</v>
          </cell>
          <cell r="AF10242">
            <v>0</v>
          </cell>
        </row>
        <row r="10243">
          <cell r="A10243" t="str">
            <v>IS_alqt_plus</v>
          </cell>
          <cell r="K10243" t="str">
            <v>PCOQ</v>
          </cell>
          <cell r="M10243" t="str">
            <v>M</v>
          </cell>
          <cell r="AB10243" t="str">
            <v>WB</v>
          </cell>
          <cell r="AF10243">
            <v>0.7</v>
          </cell>
        </row>
        <row r="10244">
          <cell r="A10244" t="str">
            <v>IS_alqt_plus</v>
          </cell>
          <cell r="K10244" t="str">
            <v>LCAT</v>
          </cell>
          <cell r="M10244" t="str">
            <v>F</v>
          </cell>
          <cell r="AB10244" t="str">
            <v>serum</v>
          </cell>
          <cell r="AF10244">
            <v>1.25</v>
          </cell>
        </row>
        <row r="10245">
          <cell r="A10245" t="str">
            <v>IS_alqt_plus</v>
          </cell>
          <cell r="K10245" t="str">
            <v>PCOQ</v>
          </cell>
          <cell r="M10245" t="str">
            <v>M</v>
          </cell>
          <cell r="AB10245" t="str">
            <v>WB</v>
          </cell>
          <cell r="AF10245">
            <v>0.7</v>
          </cell>
        </row>
        <row r="10246">
          <cell r="A10246" t="str">
            <v>IS_alqt_plus</v>
          </cell>
          <cell r="K10246" t="str">
            <v>LCAT</v>
          </cell>
          <cell r="M10246" t="str">
            <v>F</v>
          </cell>
          <cell r="AB10246" t="str">
            <v>serum</v>
          </cell>
          <cell r="AF10246">
            <v>0.7</v>
          </cell>
        </row>
        <row r="10247">
          <cell r="A10247" t="str">
            <v>IS_alqt_plus</v>
          </cell>
          <cell r="K10247" t="str">
            <v>PCOQ</v>
          </cell>
          <cell r="M10247" t="str">
            <v>M</v>
          </cell>
          <cell r="AB10247" t="str">
            <v>WB</v>
          </cell>
          <cell r="AF10247">
            <v>1</v>
          </cell>
        </row>
        <row r="10248">
          <cell r="A10248" t="str">
            <v>IS_alqt_plus</v>
          </cell>
          <cell r="K10248" t="str">
            <v>PCOQ</v>
          </cell>
          <cell r="M10248" t="str">
            <v>M</v>
          </cell>
          <cell r="AB10248" t="str">
            <v>WB</v>
          </cell>
          <cell r="AF10248">
            <v>0.9</v>
          </cell>
        </row>
        <row r="10249">
          <cell r="A10249" t="str">
            <v>gone</v>
          </cell>
          <cell r="K10249" t="str">
            <v>PCOQ</v>
          </cell>
          <cell r="M10249" t="str">
            <v>M</v>
          </cell>
          <cell r="AB10249" t="str">
            <v>WB</v>
          </cell>
          <cell r="AF10249">
            <v>0</v>
          </cell>
        </row>
        <row r="10250">
          <cell r="A10250" t="str">
            <v>IS_alqt_plus</v>
          </cell>
          <cell r="K10250" t="str">
            <v>PCOQ</v>
          </cell>
          <cell r="M10250" t="str">
            <v>M</v>
          </cell>
          <cell r="AB10250" t="str">
            <v>WB</v>
          </cell>
          <cell r="AF10250">
            <v>1</v>
          </cell>
        </row>
        <row r="10251">
          <cell r="A10251" t="str">
            <v>IS_alqt_plus</v>
          </cell>
          <cell r="K10251" t="str">
            <v>PCOQ</v>
          </cell>
          <cell r="M10251" t="str">
            <v>M</v>
          </cell>
          <cell r="AB10251" t="str">
            <v>WB</v>
          </cell>
          <cell r="AF10251">
            <v>0.25</v>
          </cell>
        </row>
        <row r="10252">
          <cell r="A10252" t="str">
            <v>IS_alqt_plus</v>
          </cell>
          <cell r="K10252" t="str">
            <v>PCOQ</v>
          </cell>
          <cell r="M10252" t="str">
            <v>M</v>
          </cell>
          <cell r="AB10252" t="str">
            <v>WB</v>
          </cell>
          <cell r="AF10252">
            <v>1.2</v>
          </cell>
        </row>
        <row r="10253">
          <cell r="A10253" t="str">
            <v>gone</v>
          </cell>
          <cell r="K10253" t="str">
            <v>ECOL</v>
          </cell>
          <cell r="M10253" t="str">
            <v>F</v>
          </cell>
          <cell r="AB10253" t="str">
            <v>WB</v>
          </cell>
          <cell r="AF10253">
            <v>0.3</v>
          </cell>
        </row>
        <row r="10254">
          <cell r="A10254" t="str">
            <v>gone</v>
          </cell>
          <cell r="K10254" t="str">
            <v>EALB</v>
          </cell>
          <cell r="M10254" t="str">
            <v>F</v>
          </cell>
          <cell r="AB10254" t="str">
            <v>serum</v>
          </cell>
          <cell r="AF10254">
            <v>0</v>
          </cell>
        </row>
        <row r="10255">
          <cell r="A10255" t="str">
            <v>gone</v>
          </cell>
          <cell r="K10255" t="str">
            <v>ECOL</v>
          </cell>
          <cell r="M10255" t="str">
            <v>M</v>
          </cell>
          <cell r="AB10255" t="str">
            <v>WB</v>
          </cell>
          <cell r="AF10255">
            <v>0.4</v>
          </cell>
        </row>
        <row r="10256">
          <cell r="A10256" t="str">
            <v>gone</v>
          </cell>
          <cell r="K10256" t="str">
            <v>LCAT</v>
          </cell>
          <cell r="M10256" t="str">
            <v>F</v>
          </cell>
          <cell r="AB10256" t="str">
            <v>WB</v>
          </cell>
          <cell r="AF10256">
            <v>0</v>
          </cell>
        </row>
        <row r="10257">
          <cell r="A10257" t="str">
            <v>gone</v>
          </cell>
          <cell r="K10257" t="str">
            <v>LCAT</v>
          </cell>
          <cell r="M10257" t="str">
            <v>F</v>
          </cell>
          <cell r="AB10257" t="str">
            <v>WB</v>
          </cell>
          <cell r="AF10257">
            <v>0</v>
          </cell>
        </row>
        <row r="10258">
          <cell r="A10258" t="str">
            <v>IS_alqt_plus</v>
          </cell>
          <cell r="K10258" t="str">
            <v>LCAT</v>
          </cell>
          <cell r="M10258" t="str">
            <v>F</v>
          </cell>
          <cell r="AB10258" t="str">
            <v>serum</v>
          </cell>
          <cell r="AF10258">
            <v>0.2</v>
          </cell>
        </row>
        <row r="10259">
          <cell r="A10259" t="str">
            <v>IS_alqt_plus</v>
          </cell>
          <cell r="K10259" t="str">
            <v>LCAT</v>
          </cell>
          <cell r="M10259" t="str">
            <v>F</v>
          </cell>
          <cell r="AB10259" t="str">
            <v>serum</v>
          </cell>
          <cell r="AF10259">
            <v>0.2</v>
          </cell>
        </row>
        <row r="10260">
          <cell r="A10260" t="str">
            <v>unk</v>
          </cell>
          <cell r="K10260" t="str">
            <v>LCAT</v>
          </cell>
          <cell r="M10260" t="str">
            <v>F</v>
          </cell>
          <cell r="AB10260" t="str">
            <v>serum</v>
          </cell>
          <cell r="AF10260">
            <v>0.5</v>
          </cell>
        </row>
        <row r="10261">
          <cell r="A10261" t="str">
            <v>gone</v>
          </cell>
          <cell r="K10261" t="str">
            <v>PCOQ</v>
          </cell>
          <cell r="M10261" t="str">
            <v>M</v>
          </cell>
          <cell r="AB10261" t="str">
            <v>WB</v>
          </cell>
          <cell r="AF10261">
            <v>0</v>
          </cell>
        </row>
        <row r="10262">
          <cell r="A10262" t="str">
            <v>IS_alqt_plus</v>
          </cell>
          <cell r="K10262" t="str">
            <v>LCAT</v>
          </cell>
          <cell r="M10262" t="str">
            <v>F</v>
          </cell>
          <cell r="AB10262" t="str">
            <v>serum</v>
          </cell>
          <cell r="AF10262">
            <v>0.7</v>
          </cell>
        </row>
        <row r="10263">
          <cell r="A10263" t="str">
            <v>IS_alqt_plus</v>
          </cell>
          <cell r="K10263" t="str">
            <v>PCOQ</v>
          </cell>
          <cell r="M10263" t="str">
            <v>M</v>
          </cell>
          <cell r="AB10263" t="str">
            <v>WB</v>
          </cell>
          <cell r="AF10263">
            <v>1.5</v>
          </cell>
        </row>
        <row r="10264">
          <cell r="A10264" t="str">
            <v>IS_alqt_plus</v>
          </cell>
          <cell r="K10264" t="str">
            <v>PCOQ</v>
          </cell>
          <cell r="M10264" t="str">
            <v>M</v>
          </cell>
          <cell r="AB10264" t="str">
            <v>WB</v>
          </cell>
          <cell r="AF10264">
            <v>1.5</v>
          </cell>
        </row>
        <row r="10265">
          <cell r="A10265" t="str">
            <v>IS_alqt_plus</v>
          </cell>
          <cell r="K10265" t="str">
            <v>PCOQ</v>
          </cell>
          <cell r="M10265" t="str">
            <v>M</v>
          </cell>
          <cell r="AB10265" t="str">
            <v>WB</v>
          </cell>
          <cell r="AF10265">
            <v>1.5</v>
          </cell>
        </row>
        <row r="10266">
          <cell r="A10266" t="str">
            <v>IS_alqt_plus</v>
          </cell>
          <cell r="K10266" t="str">
            <v>LCAT</v>
          </cell>
          <cell r="M10266" t="str">
            <v>M</v>
          </cell>
          <cell r="AB10266" t="str">
            <v>serum</v>
          </cell>
          <cell r="AF10266">
            <v>0.2</v>
          </cell>
        </row>
        <row r="10267">
          <cell r="A10267" t="str">
            <v>gone</v>
          </cell>
          <cell r="K10267" t="str">
            <v>LCAT</v>
          </cell>
          <cell r="M10267" t="str">
            <v>M</v>
          </cell>
          <cell r="AB10267" t="str">
            <v>plasma</v>
          </cell>
          <cell r="AF10267">
            <v>0</v>
          </cell>
        </row>
        <row r="10268">
          <cell r="A10268" t="str">
            <v>gone</v>
          </cell>
          <cell r="K10268" t="str">
            <v>LCAT</v>
          </cell>
          <cell r="M10268" t="str">
            <v>M</v>
          </cell>
          <cell r="AB10268" t="str">
            <v>WB</v>
          </cell>
          <cell r="AF10268">
            <v>0</v>
          </cell>
        </row>
        <row r="10269">
          <cell r="A10269" t="str">
            <v>gone</v>
          </cell>
          <cell r="K10269" t="str">
            <v>LCAT</v>
          </cell>
          <cell r="M10269" t="str">
            <v>M</v>
          </cell>
          <cell r="AB10269" t="str">
            <v>WB</v>
          </cell>
          <cell r="AF10269">
            <v>0</v>
          </cell>
        </row>
        <row r="10270">
          <cell r="A10270" t="str">
            <v>gone</v>
          </cell>
          <cell r="K10270" t="str">
            <v>LCAT</v>
          </cell>
          <cell r="M10270" t="str">
            <v>F</v>
          </cell>
          <cell r="AB10270" t="str">
            <v>WB</v>
          </cell>
          <cell r="AF10270">
            <v>0.2</v>
          </cell>
        </row>
        <row r="10271">
          <cell r="A10271" t="str">
            <v>gone</v>
          </cell>
          <cell r="K10271" t="str">
            <v>LCAT</v>
          </cell>
          <cell r="M10271" t="str">
            <v>F</v>
          </cell>
          <cell r="AB10271" t="str">
            <v>WB</v>
          </cell>
          <cell r="AF10271">
            <v>0.2</v>
          </cell>
        </row>
        <row r="10272">
          <cell r="A10272" t="str">
            <v>IS_alqt_minus</v>
          </cell>
          <cell r="K10272" t="str">
            <v>MMUR</v>
          </cell>
          <cell r="M10272" t="str">
            <v>M</v>
          </cell>
          <cell r="AB10272" t="str">
            <v>WB</v>
          </cell>
          <cell r="AF10272">
            <v>0.15</v>
          </cell>
        </row>
        <row r="10273">
          <cell r="A10273" t="str">
            <v>unk</v>
          </cell>
          <cell r="K10273" t="str">
            <v>MMUR</v>
          </cell>
          <cell r="M10273" t="str">
            <v>M</v>
          </cell>
          <cell r="AB10273" t="str">
            <v>WB</v>
          </cell>
          <cell r="AF10273">
            <v>0.15</v>
          </cell>
        </row>
        <row r="10274">
          <cell r="A10274" t="str">
            <v>IS_alqt_plus</v>
          </cell>
          <cell r="K10274" t="str">
            <v>MMUR</v>
          </cell>
          <cell r="M10274" t="str">
            <v>M</v>
          </cell>
          <cell r="AB10274" t="str">
            <v>WB</v>
          </cell>
          <cell r="AF10274">
            <v>0.4</v>
          </cell>
        </row>
        <row r="10275">
          <cell r="A10275" t="str">
            <v>unk</v>
          </cell>
          <cell r="K10275" t="str">
            <v>MMUR</v>
          </cell>
          <cell r="M10275" t="str">
            <v>M</v>
          </cell>
          <cell r="AB10275" t="str">
            <v>WB</v>
          </cell>
          <cell r="AF10275">
            <v>0.4</v>
          </cell>
        </row>
        <row r="10276">
          <cell r="A10276" t="str">
            <v>IS_alqt_plus</v>
          </cell>
          <cell r="K10276" t="str">
            <v>DMAD</v>
          </cell>
          <cell r="M10276" t="str">
            <v>F</v>
          </cell>
          <cell r="AB10276" t="str">
            <v>serum</v>
          </cell>
          <cell r="AF10276">
            <v>0.7</v>
          </cell>
        </row>
        <row r="10277">
          <cell r="A10277" t="str">
            <v>IS_alqt_plus</v>
          </cell>
          <cell r="K10277" t="str">
            <v>DMAD</v>
          </cell>
          <cell r="M10277" t="str">
            <v>F</v>
          </cell>
          <cell r="AB10277" t="str">
            <v>serum</v>
          </cell>
          <cell r="AF10277">
            <v>1</v>
          </cell>
        </row>
        <row r="10278">
          <cell r="A10278" t="str">
            <v>IS_alqt_plus</v>
          </cell>
          <cell r="K10278" t="str">
            <v>DMAD</v>
          </cell>
          <cell r="M10278" t="str">
            <v>F</v>
          </cell>
          <cell r="AB10278" t="str">
            <v>WB</v>
          </cell>
          <cell r="AF10278">
            <v>0.2</v>
          </cell>
        </row>
        <row r="10279">
          <cell r="A10279" t="str">
            <v>IS_alqt_plus</v>
          </cell>
          <cell r="K10279" t="str">
            <v>DMAD</v>
          </cell>
          <cell r="M10279" t="str">
            <v>F</v>
          </cell>
          <cell r="AB10279" t="str">
            <v>WB</v>
          </cell>
          <cell r="AF10279">
            <v>0.2</v>
          </cell>
        </row>
        <row r="10280">
          <cell r="A10280" t="str">
            <v>IS_alqt_plus</v>
          </cell>
          <cell r="K10280" t="str">
            <v>DMAD</v>
          </cell>
          <cell r="M10280" t="str">
            <v>F</v>
          </cell>
          <cell r="AB10280" t="str">
            <v>WB</v>
          </cell>
          <cell r="AF10280">
            <v>0.2</v>
          </cell>
        </row>
        <row r="10281">
          <cell r="A10281" t="str">
            <v>IS_alqt_plus</v>
          </cell>
          <cell r="K10281" t="str">
            <v>DMAD</v>
          </cell>
          <cell r="M10281" t="str">
            <v>F</v>
          </cell>
          <cell r="AB10281" t="str">
            <v>WB</v>
          </cell>
          <cell r="AF10281">
            <v>0.2</v>
          </cell>
        </row>
        <row r="10282">
          <cell r="A10282" t="str">
            <v>IS_alqt_plus</v>
          </cell>
          <cell r="K10282" t="str">
            <v>DMAD</v>
          </cell>
          <cell r="M10282" t="str">
            <v>F</v>
          </cell>
          <cell r="AB10282" t="str">
            <v>WB</v>
          </cell>
          <cell r="AF10282">
            <v>1</v>
          </cell>
        </row>
        <row r="10283">
          <cell r="A10283" t="str">
            <v>IS_alqt_plus</v>
          </cell>
          <cell r="K10283" t="str">
            <v>DMAD</v>
          </cell>
          <cell r="M10283" t="str">
            <v>F</v>
          </cell>
          <cell r="AB10283" t="str">
            <v>WB</v>
          </cell>
          <cell r="AF10283">
            <v>1</v>
          </cell>
        </row>
        <row r="10284">
          <cell r="A10284" t="str">
            <v>gone</v>
          </cell>
          <cell r="K10284" t="str">
            <v>DMAD</v>
          </cell>
          <cell r="M10284" t="str">
            <v>F</v>
          </cell>
          <cell r="AB10284" t="str">
            <v>WB</v>
          </cell>
          <cell r="AF10284">
            <v>0</v>
          </cell>
        </row>
        <row r="10285">
          <cell r="A10285" t="str">
            <v>IS_alqt_plus</v>
          </cell>
          <cell r="K10285" t="str">
            <v>DMAD</v>
          </cell>
          <cell r="M10285" t="str">
            <v>F</v>
          </cell>
          <cell r="AB10285" t="str">
            <v>WB</v>
          </cell>
          <cell r="AF10285">
            <v>1</v>
          </cell>
        </row>
        <row r="10286">
          <cell r="A10286" t="str">
            <v>IS_alqt_plus</v>
          </cell>
          <cell r="K10286" t="str">
            <v>PCOQ</v>
          </cell>
          <cell r="M10286" t="str">
            <v>M</v>
          </cell>
          <cell r="AB10286" t="str">
            <v>WB</v>
          </cell>
          <cell r="AF10286">
            <v>1.5</v>
          </cell>
        </row>
        <row r="10287">
          <cell r="A10287" t="str">
            <v>IS_alqt_plus</v>
          </cell>
          <cell r="K10287" t="str">
            <v>PCOQ</v>
          </cell>
          <cell r="M10287" t="str">
            <v>M</v>
          </cell>
          <cell r="AB10287" t="str">
            <v>WB</v>
          </cell>
          <cell r="AF10287">
            <v>1.5</v>
          </cell>
        </row>
        <row r="10288">
          <cell r="A10288" t="str">
            <v>IS_alqt_plus</v>
          </cell>
          <cell r="K10288" t="str">
            <v>PCOQ</v>
          </cell>
          <cell r="M10288" t="str">
            <v>M</v>
          </cell>
          <cell r="AB10288" t="str">
            <v>WB</v>
          </cell>
          <cell r="AF10288">
            <v>1.5</v>
          </cell>
        </row>
        <row r="10289">
          <cell r="A10289" t="str">
            <v>IS_alqt_plus</v>
          </cell>
          <cell r="K10289" t="str">
            <v>PCOQ</v>
          </cell>
          <cell r="M10289" t="str">
            <v>M</v>
          </cell>
          <cell r="AB10289" t="str">
            <v>WB</v>
          </cell>
          <cell r="AF10289">
            <v>1.5</v>
          </cell>
        </row>
        <row r="10290">
          <cell r="A10290" t="str">
            <v>IS_alqt_plus</v>
          </cell>
          <cell r="K10290" t="str">
            <v>PCOQ</v>
          </cell>
          <cell r="M10290" t="str">
            <v>M</v>
          </cell>
          <cell r="AB10290" t="str">
            <v>WB</v>
          </cell>
          <cell r="AF10290">
            <v>1.5</v>
          </cell>
        </row>
        <row r="10291">
          <cell r="A10291" t="str">
            <v>IS_alqt_plus</v>
          </cell>
          <cell r="K10291" t="str">
            <v>PCOQ</v>
          </cell>
          <cell r="M10291" t="str">
            <v>M</v>
          </cell>
          <cell r="AB10291" t="str">
            <v>WB</v>
          </cell>
          <cell r="AF10291">
            <v>1.5</v>
          </cell>
        </row>
        <row r="10292">
          <cell r="A10292" t="str">
            <v>IS_alqt_plus</v>
          </cell>
          <cell r="K10292" t="str">
            <v>PCOQ</v>
          </cell>
          <cell r="M10292" t="str">
            <v>M</v>
          </cell>
          <cell r="AB10292" t="str">
            <v>WB</v>
          </cell>
          <cell r="AF10292">
            <v>1.5</v>
          </cell>
        </row>
        <row r="10293">
          <cell r="A10293" t="str">
            <v>IS_alqt_plus</v>
          </cell>
          <cell r="K10293" t="str">
            <v>PCOQ</v>
          </cell>
          <cell r="M10293" t="str">
            <v>M</v>
          </cell>
          <cell r="AB10293" t="str">
            <v>WB</v>
          </cell>
          <cell r="AF10293">
            <v>1.5</v>
          </cell>
        </row>
        <row r="10294">
          <cell r="A10294" t="str">
            <v>IS_alqt_plus</v>
          </cell>
          <cell r="K10294" t="str">
            <v>PCOQ</v>
          </cell>
          <cell r="M10294" t="str">
            <v>M</v>
          </cell>
          <cell r="AB10294" t="str">
            <v>WB</v>
          </cell>
          <cell r="AF10294">
            <v>1.5</v>
          </cell>
        </row>
        <row r="10295">
          <cell r="A10295" t="str">
            <v>IS_alqt_plus</v>
          </cell>
          <cell r="K10295" t="str">
            <v>PCOQ</v>
          </cell>
          <cell r="M10295" t="str">
            <v>M</v>
          </cell>
          <cell r="AB10295" t="str">
            <v>WB</v>
          </cell>
          <cell r="AF10295">
            <v>1.5</v>
          </cell>
        </row>
        <row r="10296">
          <cell r="A10296" t="str">
            <v>IS_alqt_plus</v>
          </cell>
          <cell r="K10296" t="str">
            <v>PCOQ</v>
          </cell>
          <cell r="M10296" t="str">
            <v>M</v>
          </cell>
          <cell r="AB10296" t="str">
            <v>WB</v>
          </cell>
          <cell r="AF10296">
            <v>1.5</v>
          </cell>
        </row>
        <row r="10297">
          <cell r="A10297" t="str">
            <v>IS_alqt_plus</v>
          </cell>
          <cell r="K10297" t="str">
            <v>PCOQ</v>
          </cell>
          <cell r="M10297" t="str">
            <v>M</v>
          </cell>
          <cell r="AB10297" t="str">
            <v>WB</v>
          </cell>
          <cell r="AF10297">
            <v>1.5</v>
          </cell>
        </row>
        <row r="10298">
          <cell r="A10298" t="str">
            <v>IS_alqt_plus</v>
          </cell>
          <cell r="K10298" t="str">
            <v>PCOQ</v>
          </cell>
          <cell r="M10298" t="str">
            <v>M</v>
          </cell>
          <cell r="AB10298" t="str">
            <v>WB</v>
          </cell>
          <cell r="AF10298">
            <v>1.5</v>
          </cell>
        </row>
        <row r="10299">
          <cell r="A10299" t="str">
            <v>IS_alqt_plus</v>
          </cell>
          <cell r="K10299" t="str">
            <v>PCOQ</v>
          </cell>
          <cell r="M10299" t="str">
            <v>M</v>
          </cell>
          <cell r="AB10299" t="str">
            <v>WB</v>
          </cell>
          <cell r="AF10299">
            <v>1.5</v>
          </cell>
        </row>
        <row r="10300">
          <cell r="A10300" t="str">
            <v>IS_alqt_plus</v>
          </cell>
          <cell r="K10300" t="str">
            <v>PCOQ</v>
          </cell>
          <cell r="M10300" t="str">
            <v>M</v>
          </cell>
          <cell r="AB10300" t="str">
            <v>WB</v>
          </cell>
          <cell r="AF10300">
            <v>1.5</v>
          </cell>
        </row>
        <row r="10301">
          <cell r="A10301" t="str">
            <v>IS_alqt_plus</v>
          </cell>
          <cell r="K10301" t="str">
            <v>PCOQ</v>
          </cell>
          <cell r="M10301" t="str">
            <v>M</v>
          </cell>
          <cell r="AB10301" t="str">
            <v>WB</v>
          </cell>
          <cell r="AF10301">
            <v>1.5</v>
          </cell>
        </row>
        <row r="10302">
          <cell r="A10302" t="str">
            <v>IS_alqt_plus</v>
          </cell>
          <cell r="K10302" t="str">
            <v>PCOQ</v>
          </cell>
          <cell r="M10302" t="str">
            <v>M</v>
          </cell>
          <cell r="AB10302" t="str">
            <v>WB</v>
          </cell>
          <cell r="AF10302">
            <v>1.5</v>
          </cell>
        </row>
        <row r="10303">
          <cell r="A10303" t="str">
            <v>IS_alqt_plus</v>
          </cell>
          <cell r="K10303" t="str">
            <v>PCOQ</v>
          </cell>
          <cell r="M10303" t="str">
            <v>M</v>
          </cell>
          <cell r="AB10303" t="str">
            <v>WB</v>
          </cell>
          <cell r="AF10303">
            <v>1.5</v>
          </cell>
        </row>
        <row r="10304">
          <cell r="A10304" t="str">
            <v>IS_alqt_plus</v>
          </cell>
          <cell r="K10304" t="str">
            <v>LCAT</v>
          </cell>
          <cell r="M10304" t="str">
            <v>F</v>
          </cell>
          <cell r="AB10304" t="str">
            <v>serum</v>
          </cell>
          <cell r="AF10304">
            <v>0.25</v>
          </cell>
        </row>
        <row r="10305">
          <cell r="A10305" t="str">
            <v>IS_alqt_plus</v>
          </cell>
          <cell r="K10305" t="str">
            <v>LCAT</v>
          </cell>
          <cell r="M10305" t="str">
            <v>F</v>
          </cell>
          <cell r="AB10305" t="str">
            <v>serum</v>
          </cell>
          <cell r="AF10305">
            <v>0.25</v>
          </cell>
        </row>
        <row r="10306">
          <cell r="A10306" t="str">
            <v>IS_alqt_minus</v>
          </cell>
          <cell r="K10306" t="str">
            <v>LCAT</v>
          </cell>
          <cell r="M10306" t="str">
            <v>F</v>
          </cell>
          <cell r="AB10306" t="str">
            <v>serum</v>
          </cell>
          <cell r="AF10306">
            <v>0.1</v>
          </cell>
        </row>
        <row r="10307">
          <cell r="A10307" t="str">
            <v>IS_alqt_plus</v>
          </cell>
          <cell r="K10307" t="str">
            <v>LCAT</v>
          </cell>
          <cell r="M10307" t="str">
            <v>F</v>
          </cell>
          <cell r="AB10307" t="str">
            <v>serum</v>
          </cell>
          <cell r="AF10307">
            <v>0.2</v>
          </cell>
        </row>
        <row r="10308">
          <cell r="A10308" t="str">
            <v>IS_alqt_plus</v>
          </cell>
          <cell r="K10308" t="str">
            <v>LCAT</v>
          </cell>
          <cell r="M10308" t="str">
            <v>F</v>
          </cell>
          <cell r="AB10308" t="str">
            <v>serum</v>
          </cell>
          <cell r="AF10308">
            <v>0.25</v>
          </cell>
        </row>
        <row r="10309">
          <cell r="A10309" t="str">
            <v>gone</v>
          </cell>
          <cell r="K10309" t="str">
            <v>LCAT</v>
          </cell>
          <cell r="M10309" t="str">
            <v>F</v>
          </cell>
          <cell r="AB10309" t="str">
            <v>WB</v>
          </cell>
          <cell r="AF10309">
            <v>0.2</v>
          </cell>
        </row>
        <row r="10310">
          <cell r="A10310" t="str">
            <v>gone</v>
          </cell>
          <cell r="K10310" t="str">
            <v>LCAT</v>
          </cell>
          <cell r="M10310" t="str">
            <v>F</v>
          </cell>
          <cell r="AB10310" t="str">
            <v>WB</v>
          </cell>
          <cell r="AF10310">
            <v>0</v>
          </cell>
        </row>
        <row r="10311">
          <cell r="A10311" t="str">
            <v>IS_alqt_plus</v>
          </cell>
          <cell r="K10311" t="str">
            <v>LCAT</v>
          </cell>
          <cell r="M10311" t="str">
            <v>F</v>
          </cell>
          <cell r="AB10311" t="str">
            <v>serum</v>
          </cell>
          <cell r="AF10311">
            <v>0.2</v>
          </cell>
        </row>
        <row r="10312">
          <cell r="A10312" t="str">
            <v>IS_alqt_plus</v>
          </cell>
          <cell r="K10312" t="str">
            <v>LCAT</v>
          </cell>
          <cell r="M10312" t="str">
            <v>F</v>
          </cell>
          <cell r="AB10312" t="str">
            <v>serum</v>
          </cell>
          <cell r="AF10312">
            <v>0.2</v>
          </cell>
        </row>
        <row r="10313">
          <cell r="A10313" t="str">
            <v>gone</v>
          </cell>
          <cell r="K10313" t="str">
            <v>LCAT</v>
          </cell>
          <cell r="M10313" t="str">
            <v>F</v>
          </cell>
          <cell r="AB10313" t="str">
            <v>WB</v>
          </cell>
          <cell r="AF10313">
            <v>0</v>
          </cell>
        </row>
        <row r="10314">
          <cell r="A10314" t="str">
            <v>gone</v>
          </cell>
          <cell r="K10314" t="str">
            <v>LCAT</v>
          </cell>
          <cell r="M10314" t="str">
            <v>F</v>
          </cell>
          <cell r="AB10314" t="str">
            <v>WB</v>
          </cell>
          <cell r="AF10314">
            <v>0</v>
          </cell>
        </row>
        <row r="10315">
          <cell r="A10315" t="str">
            <v>IS_alqt_plus</v>
          </cell>
          <cell r="K10315" t="str">
            <v>PCOQ</v>
          </cell>
          <cell r="M10315" t="str">
            <v>M</v>
          </cell>
          <cell r="AB10315" t="str">
            <v>WB</v>
          </cell>
          <cell r="AF10315">
            <v>1.5</v>
          </cell>
        </row>
        <row r="10316">
          <cell r="A10316" t="str">
            <v>IS_alqt_plus</v>
          </cell>
          <cell r="K10316" t="str">
            <v>PCOQ</v>
          </cell>
          <cell r="M10316" t="str">
            <v>M</v>
          </cell>
          <cell r="AB10316" t="str">
            <v>WB</v>
          </cell>
          <cell r="AF10316">
            <v>1.5</v>
          </cell>
        </row>
        <row r="10317">
          <cell r="A10317" t="str">
            <v>IS_alqt_plus</v>
          </cell>
          <cell r="K10317" t="str">
            <v>LCAT</v>
          </cell>
          <cell r="M10317" t="str">
            <v>M</v>
          </cell>
          <cell r="AB10317" t="str">
            <v>serum</v>
          </cell>
          <cell r="AF10317">
            <v>0.2</v>
          </cell>
        </row>
        <row r="10318">
          <cell r="A10318" t="str">
            <v>IS_alqt_plus</v>
          </cell>
          <cell r="K10318" t="str">
            <v>LCAT</v>
          </cell>
          <cell r="M10318" t="str">
            <v>M</v>
          </cell>
          <cell r="AB10318" t="str">
            <v>serum</v>
          </cell>
          <cell r="AF10318">
            <v>0.2</v>
          </cell>
        </row>
        <row r="10319">
          <cell r="A10319" t="str">
            <v>IS_alqt_plus</v>
          </cell>
          <cell r="K10319" t="str">
            <v>LCAT</v>
          </cell>
          <cell r="M10319" t="str">
            <v>M</v>
          </cell>
          <cell r="AB10319" t="str">
            <v>serum</v>
          </cell>
          <cell r="AF10319">
            <v>0.2</v>
          </cell>
        </row>
        <row r="10320">
          <cell r="A10320" t="str">
            <v>IS_alqt_minus</v>
          </cell>
          <cell r="K10320" t="str">
            <v>LCAT</v>
          </cell>
          <cell r="M10320" t="str">
            <v>M</v>
          </cell>
          <cell r="AB10320" t="str">
            <v>serum</v>
          </cell>
          <cell r="AF10320">
            <v>0.05</v>
          </cell>
        </row>
        <row r="10321">
          <cell r="A10321" t="str">
            <v>IS_alqt_minus</v>
          </cell>
          <cell r="K10321" t="str">
            <v>LCAT</v>
          </cell>
          <cell r="M10321" t="str">
            <v>M</v>
          </cell>
          <cell r="AB10321" t="str">
            <v>serum</v>
          </cell>
          <cell r="AF10321">
            <v>0.05</v>
          </cell>
        </row>
        <row r="10322">
          <cell r="A10322" t="str">
            <v>IS_alqt_plus</v>
          </cell>
          <cell r="K10322" t="str">
            <v>PCOQ</v>
          </cell>
          <cell r="M10322" t="str">
            <v>M</v>
          </cell>
          <cell r="AB10322" t="str">
            <v>WB</v>
          </cell>
          <cell r="AF10322">
            <v>1.5</v>
          </cell>
        </row>
        <row r="10323">
          <cell r="A10323" t="str">
            <v>IS_alqt_plus</v>
          </cell>
          <cell r="K10323" t="str">
            <v>PCOQ</v>
          </cell>
          <cell r="M10323" t="str">
            <v>M</v>
          </cell>
          <cell r="AB10323" t="str">
            <v>WB</v>
          </cell>
          <cell r="AF10323">
            <v>1.5</v>
          </cell>
        </row>
        <row r="10324">
          <cell r="A10324" t="str">
            <v>IS_alqt_plus</v>
          </cell>
          <cell r="K10324" t="str">
            <v>PCOQ</v>
          </cell>
          <cell r="M10324" t="str">
            <v>M</v>
          </cell>
          <cell r="AB10324" t="str">
            <v>WB</v>
          </cell>
          <cell r="AF10324">
            <v>1.5</v>
          </cell>
        </row>
        <row r="10325">
          <cell r="A10325" t="str">
            <v>IS_alqt_plus</v>
          </cell>
          <cell r="K10325" t="str">
            <v>PCOQ</v>
          </cell>
          <cell r="M10325" t="str">
            <v>M</v>
          </cell>
          <cell r="AB10325" t="str">
            <v>WB</v>
          </cell>
          <cell r="AF10325">
            <v>1.5</v>
          </cell>
        </row>
        <row r="10326">
          <cell r="A10326" t="str">
            <v>IS_alqt_plus</v>
          </cell>
          <cell r="K10326" t="str">
            <v>PCOQ</v>
          </cell>
          <cell r="M10326" t="str">
            <v>M</v>
          </cell>
          <cell r="AB10326" t="str">
            <v>WB</v>
          </cell>
          <cell r="AF10326">
            <v>1.5</v>
          </cell>
        </row>
        <row r="10327">
          <cell r="A10327" t="str">
            <v>IS_alqt_plus</v>
          </cell>
          <cell r="K10327" t="str">
            <v>PCOQ</v>
          </cell>
          <cell r="M10327" t="str">
            <v>M</v>
          </cell>
          <cell r="AB10327" t="str">
            <v>WB</v>
          </cell>
          <cell r="AF10327">
            <v>1.5</v>
          </cell>
        </row>
        <row r="10328">
          <cell r="A10328" t="str">
            <v>IS_alqt_plus</v>
          </cell>
          <cell r="K10328" t="str">
            <v>PCOQ</v>
          </cell>
          <cell r="M10328" t="str">
            <v>M</v>
          </cell>
          <cell r="AB10328" t="str">
            <v>WB</v>
          </cell>
          <cell r="AF10328">
            <v>1.5</v>
          </cell>
        </row>
        <row r="10329">
          <cell r="A10329" t="str">
            <v>IS_alqt_plus</v>
          </cell>
          <cell r="K10329" t="str">
            <v>PCOQ</v>
          </cell>
          <cell r="M10329" t="str">
            <v>M</v>
          </cell>
          <cell r="AB10329" t="str">
            <v>WB</v>
          </cell>
          <cell r="AF10329">
            <v>1.5</v>
          </cell>
        </row>
        <row r="10330">
          <cell r="A10330" t="str">
            <v>IS_alqt_plus</v>
          </cell>
          <cell r="K10330" t="str">
            <v>PCOQ</v>
          </cell>
          <cell r="M10330" t="str">
            <v>M</v>
          </cell>
          <cell r="AB10330" t="str">
            <v>WB</v>
          </cell>
          <cell r="AF10330">
            <v>1.5</v>
          </cell>
        </row>
        <row r="10331">
          <cell r="A10331" t="str">
            <v>IS_alqt_plus</v>
          </cell>
          <cell r="K10331" t="str">
            <v>PCOQ</v>
          </cell>
          <cell r="M10331" t="str">
            <v>M</v>
          </cell>
          <cell r="AB10331" t="str">
            <v>WB</v>
          </cell>
          <cell r="AF10331">
            <v>1.5</v>
          </cell>
        </row>
        <row r="10332">
          <cell r="A10332" t="str">
            <v>IS_alqt_plus</v>
          </cell>
          <cell r="K10332" t="str">
            <v>PCOQ</v>
          </cell>
          <cell r="M10332" t="str">
            <v>M</v>
          </cell>
          <cell r="AB10332" t="str">
            <v>WB</v>
          </cell>
          <cell r="AF10332">
            <v>1.5</v>
          </cell>
        </row>
        <row r="10333">
          <cell r="A10333" t="str">
            <v>IS_alqt_plus</v>
          </cell>
          <cell r="K10333" t="str">
            <v>PCOQ</v>
          </cell>
          <cell r="M10333" t="str">
            <v>M</v>
          </cell>
          <cell r="AB10333" t="str">
            <v>WB</v>
          </cell>
          <cell r="AF10333">
            <v>1.5</v>
          </cell>
        </row>
        <row r="10334">
          <cell r="A10334" t="str">
            <v>IS_alqt_plus</v>
          </cell>
          <cell r="K10334" t="str">
            <v>PCOQ</v>
          </cell>
          <cell r="M10334" t="str">
            <v>M</v>
          </cell>
          <cell r="AB10334" t="str">
            <v>WB</v>
          </cell>
          <cell r="AF10334">
            <v>1.5</v>
          </cell>
        </row>
        <row r="10335">
          <cell r="A10335" t="str">
            <v>IS_alqt_plus</v>
          </cell>
          <cell r="K10335" t="str">
            <v>PCOQ</v>
          </cell>
          <cell r="M10335" t="str">
            <v>M</v>
          </cell>
          <cell r="AB10335" t="str">
            <v>WB</v>
          </cell>
          <cell r="AF10335">
            <v>1</v>
          </cell>
        </row>
        <row r="10336">
          <cell r="A10336" t="str">
            <v>IS_alqt_plus</v>
          </cell>
          <cell r="K10336" t="str">
            <v>PCOQ</v>
          </cell>
          <cell r="M10336" t="str">
            <v>M</v>
          </cell>
          <cell r="AB10336" t="str">
            <v>WB</v>
          </cell>
          <cell r="AF10336">
            <v>1.5</v>
          </cell>
        </row>
        <row r="10337">
          <cell r="A10337" t="str">
            <v>IS_alqt_plus</v>
          </cell>
          <cell r="K10337" t="str">
            <v>PCOQ</v>
          </cell>
          <cell r="M10337" t="str">
            <v>M</v>
          </cell>
          <cell r="AB10337" t="str">
            <v>WB</v>
          </cell>
          <cell r="AF10337">
            <v>1.5</v>
          </cell>
        </row>
        <row r="10338">
          <cell r="A10338" t="str">
            <v>IS_alqt_plus</v>
          </cell>
          <cell r="K10338" t="str">
            <v>PCOQ</v>
          </cell>
          <cell r="M10338" t="str">
            <v>M</v>
          </cell>
          <cell r="AB10338" t="str">
            <v>WB</v>
          </cell>
          <cell r="AF10338">
            <v>1.5</v>
          </cell>
        </row>
        <row r="10339">
          <cell r="A10339" t="str">
            <v>IS_alqt_plus</v>
          </cell>
          <cell r="K10339" t="str">
            <v>PCOQ</v>
          </cell>
          <cell r="M10339" t="str">
            <v>M</v>
          </cell>
          <cell r="AB10339" t="str">
            <v>WB</v>
          </cell>
          <cell r="AF10339">
            <v>1.5</v>
          </cell>
        </row>
        <row r="10340">
          <cell r="A10340" t="str">
            <v>IS_alqt_plus</v>
          </cell>
          <cell r="K10340" t="str">
            <v>PCOQ</v>
          </cell>
          <cell r="M10340" t="str">
            <v>M</v>
          </cell>
          <cell r="AB10340" t="str">
            <v>WB</v>
          </cell>
          <cell r="AF10340">
            <v>1.5</v>
          </cell>
        </row>
        <row r="10341">
          <cell r="A10341" t="str">
            <v>IS_alqt_plus</v>
          </cell>
          <cell r="K10341" t="str">
            <v>PCOQ</v>
          </cell>
          <cell r="M10341" t="str">
            <v>M</v>
          </cell>
          <cell r="AB10341" t="str">
            <v>WB</v>
          </cell>
          <cell r="AF10341">
            <v>1.5</v>
          </cell>
        </row>
        <row r="10342">
          <cell r="A10342" t="str">
            <v>IS_alqt_plus</v>
          </cell>
          <cell r="K10342" t="str">
            <v>PCOQ</v>
          </cell>
          <cell r="M10342" t="str">
            <v>M</v>
          </cell>
          <cell r="AB10342" t="str">
            <v>WB</v>
          </cell>
          <cell r="AF10342">
            <v>1.5</v>
          </cell>
        </row>
        <row r="10343">
          <cell r="A10343" t="str">
            <v>IS_alqt_plus</v>
          </cell>
          <cell r="K10343" t="str">
            <v>PCOQ</v>
          </cell>
          <cell r="M10343" t="str">
            <v>M</v>
          </cell>
          <cell r="AB10343" t="str">
            <v>WB</v>
          </cell>
          <cell r="AF10343">
            <v>1.5</v>
          </cell>
        </row>
        <row r="10344">
          <cell r="A10344" t="str">
            <v>IS_alqt_plus</v>
          </cell>
          <cell r="K10344" t="str">
            <v>PCOQ</v>
          </cell>
          <cell r="M10344" t="str">
            <v>F</v>
          </cell>
          <cell r="AB10344" t="str">
            <v>WB</v>
          </cell>
          <cell r="AF10344">
            <v>0.75</v>
          </cell>
        </row>
        <row r="10345">
          <cell r="A10345" t="str">
            <v>IS_alqt_plus</v>
          </cell>
          <cell r="K10345" t="str">
            <v>PCOQ</v>
          </cell>
          <cell r="M10345" t="str">
            <v>F</v>
          </cell>
          <cell r="AB10345" t="str">
            <v>WB</v>
          </cell>
          <cell r="AF10345">
            <v>1</v>
          </cell>
        </row>
        <row r="10346">
          <cell r="A10346" t="str">
            <v>IS_alqt_plus</v>
          </cell>
          <cell r="K10346" t="str">
            <v>PCOQ</v>
          </cell>
          <cell r="M10346" t="str">
            <v>F</v>
          </cell>
          <cell r="AB10346" t="str">
            <v>WB</v>
          </cell>
          <cell r="AF10346">
            <v>0.5</v>
          </cell>
        </row>
        <row r="10347">
          <cell r="A10347" t="str">
            <v>IS_alqt_plus</v>
          </cell>
          <cell r="K10347" t="str">
            <v>PCOQ</v>
          </cell>
          <cell r="M10347" t="str">
            <v>F</v>
          </cell>
          <cell r="AB10347" t="str">
            <v>WB</v>
          </cell>
          <cell r="AF10347">
            <v>1</v>
          </cell>
        </row>
        <row r="10348">
          <cell r="A10348" t="str">
            <v>gone</v>
          </cell>
          <cell r="K10348" t="str">
            <v>EFUL</v>
          </cell>
          <cell r="M10348" t="str">
            <v>F</v>
          </cell>
          <cell r="AB10348" t="str">
            <v>unk</v>
          </cell>
          <cell r="AF10348">
            <v>0</v>
          </cell>
        </row>
        <row r="10349">
          <cell r="A10349" t="str">
            <v>gone</v>
          </cell>
          <cell r="K10349" t="str">
            <v>LCAT</v>
          </cell>
          <cell r="M10349" t="str">
            <v>M</v>
          </cell>
          <cell r="AB10349" t="str">
            <v>WB</v>
          </cell>
          <cell r="AF10349">
            <v>0</v>
          </cell>
        </row>
        <row r="10350">
          <cell r="A10350" t="str">
            <v>gone</v>
          </cell>
          <cell r="K10350" t="str">
            <v>LCAT</v>
          </cell>
          <cell r="M10350" t="str">
            <v>F</v>
          </cell>
          <cell r="AB10350" t="str">
            <v>WB</v>
          </cell>
          <cell r="AF10350">
            <v>0</v>
          </cell>
        </row>
        <row r="10351">
          <cell r="A10351" t="str">
            <v>gone</v>
          </cell>
          <cell r="K10351" t="str">
            <v>LCAT</v>
          </cell>
          <cell r="M10351" t="str">
            <v>F</v>
          </cell>
          <cell r="AB10351" t="str">
            <v>WB</v>
          </cell>
          <cell r="AF10351">
            <v>0</v>
          </cell>
        </row>
        <row r="10352">
          <cell r="A10352" t="str">
            <v>gone</v>
          </cell>
          <cell r="K10352" t="str">
            <v>CMED</v>
          </cell>
          <cell r="M10352" t="str">
            <v>M</v>
          </cell>
          <cell r="AB10352" t="str">
            <v>WB</v>
          </cell>
          <cell r="AF10352">
            <v>0.25</v>
          </cell>
        </row>
        <row r="10353">
          <cell r="A10353" t="str">
            <v>IS_alqt_plus</v>
          </cell>
          <cell r="K10353" t="str">
            <v>LCAT</v>
          </cell>
          <cell r="M10353" t="str">
            <v>M</v>
          </cell>
          <cell r="AB10353" t="str">
            <v>serum</v>
          </cell>
          <cell r="AF10353">
            <v>0.2</v>
          </cell>
        </row>
        <row r="10354">
          <cell r="A10354" t="str">
            <v>IS_alqt_plus</v>
          </cell>
          <cell r="K10354" t="str">
            <v>LCAT</v>
          </cell>
          <cell r="M10354" t="str">
            <v>M</v>
          </cell>
          <cell r="AB10354" t="str">
            <v>serum</v>
          </cell>
          <cell r="AF10354">
            <v>0.2</v>
          </cell>
        </row>
        <row r="10355">
          <cell r="A10355" t="str">
            <v>IS_alqt_plus</v>
          </cell>
          <cell r="K10355" t="str">
            <v>LCAT</v>
          </cell>
          <cell r="M10355" t="str">
            <v>M</v>
          </cell>
          <cell r="AB10355" t="str">
            <v>serum</v>
          </cell>
          <cell r="AF10355">
            <v>0.2</v>
          </cell>
        </row>
        <row r="10356">
          <cell r="A10356" t="str">
            <v>IS_alqt_plus</v>
          </cell>
          <cell r="K10356" t="str">
            <v>LCAT</v>
          </cell>
          <cell r="M10356" t="str">
            <v>M</v>
          </cell>
          <cell r="AB10356" t="str">
            <v>serum</v>
          </cell>
          <cell r="AF10356">
            <v>0.2</v>
          </cell>
        </row>
        <row r="10357">
          <cell r="A10357" t="str">
            <v>IS_alqt_plus</v>
          </cell>
          <cell r="K10357" t="str">
            <v>LCAT</v>
          </cell>
          <cell r="M10357" t="str">
            <v>M</v>
          </cell>
          <cell r="AB10357" t="str">
            <v>serum</v>
          </cell>
          <cell r="AF10357">
            <v>0.2</v>
          </cell>
        </row>
        <row r="10358">
          <cell r="A10358" t="str">
            <v>IS_alqt_minus</v>
          </cell>
          <cell r="K10358" t="str">
            <v>LCAT</v>
          </cell>
          <cell r="M10358" t="str">
            <v>M</v>
          </cell>
          <cell r="AB10358" t="str">
            <v>serum</v>
          </cell>
          <cell r="AF10358">
            <v>0.1</v>
          </cell>
        </row>
        <row r="10359">
          <cell r="A10359" t="str">
            <v>gone</v>
          </cell>
          <cell r="K10359" t="str">
            <v>PCOQ</v>
          </cell>
          <cell r="M10359" t="str">
            <v>M</v>
          </cell>
          <cell r="AB10359" t="str">
            <v>WB</v>
          </cell>
          <cell r="AF10359">
            <v>1.5</v>
          </cell>
        </row>
        <row r="10360">
          <cell r="A10360" t="str">
            <v>gone</v>
          </cell>
          <cell r="K10360" t="str">
            <v>PCOQ</v>
          </cell>
          <cell r="M10360" t="str">
            <v>F</v>
          </cell>
          <cell r="AB10360" t="str">
            <v>WB</v>
          </cell>
          <cell r="AF10360">
            <v>0</v>
          </cell>
        </row>
        <row r="10361">
          <cell r="A10361" t="str">
            <v>gone</v>
          </cell>
          <cell r="K10361" t="str">
            <v>LCAT</v>
          </cell>
          <cell r="M10361" t="str">
            <v>M</v>
          </cell>
          <cell r="AB10361" t="str">
            <v>serum</v>
          </cell>
          <cell r="AF10361">
            <v>1</v>
          </cell>
        </row>
        <row r="10362">
          <cell r="A10362" t="str">
            <v>gone</v>
          </cell>
          <cell r="K10362" t="str">
            <v>PCOQ</v>
          </cell>
          <cell r="M10362" t="str">
            <v>F</v>
          </cell>
          <cell r="AB10362" t="str">
            <v>WB</v>
          </cell>
          <cell r="AF10362">
            <v>0.5</v>
          </cell>
        </row>
        <row r="10363">
          <cell r="A10363" t="str">
            <v>gone</v>
          </cell>
          <cell r="K10363" t="str">
            <v>LCAT</v>
          </cell>
          <cell r="M10363" t="str">
            <v>F</v>
          </cell>
          <cell r="AB10363" t="str">
            <v>serum</v>
          </cell>
          <cell r="AF10363">
            <v>0</v>
          </cell>
        </row>
        <row r="10364">
          <cell r="A10364" t="str">
            <v>IS_alqt_plus</v>
          </cell>
          <cell r="K10364" t="str">
            <v>ECOR</v>
          </cell>
          <cell r="M10364" t="str">
            <v>M</v>
          </cell>
          <cell r="AB10364" t="str">
            <v>serum</v>
          </cell>
          <cell r="AF10364">
            <v>1.25</v>
          </cell>
        </row>
        <row r="10365">
          <cell r="A10365" t="str">
            <v>IS_alqt_plus</v>
          </cell>
          <cell r="K10365" t="str">
            <v>ECOR</v>
          </cell>
          <cell r="M10365" t="str">
            <v>M</v>
          </cell>
          <cell r="AB10365" t="str">
            <v>WB</v>
          </cell>
          <cell r="AF10365">
            <v>0.75</v>
          </cell>
        </row>
        <row r="10366">
          <cell r="A10366" t="str">
            <v>IS_alqt_plus</v>
          </cell>
          <cell r="K10366" t="str">
            <v>VVV</v>
          </cell>
          <cell r="M10366" t="str">
            <v>M</v>
          </cell>
          <cell r="AB10366" t="str">
            <v>WB</v>
          </cell>
          <cell r="AF10366">
            <v>1</v>
          </cell>
        </row>
        <row r="10367">
          <cell r="A10367" t="str">
            <v>gone</v>
          </cell>
          <cell r="K10367" t="str">
            <v>VVV</v>
          </cell>
          <cell r="M10367" t="str">
            <v>M</v>
          </cell>
          <cell r="AB10367" t="str">
            <v>serum</v>
          </cell>
          <cell r="AF10367">
            <v>0</v>
          </cell>
        </row>
        <row r="10368">
          <cell r="A10368" t="str">
            <v>IS_alqt_plus</v>
          </cell>
          <cell r="K10368" t="str">
            <v>CMED</v>
          </cell>
          <cell r="M10368" t="str">
            <v>M</v>
          </cell>
          <cell r="AB10368" t="str">
            <v>PRBC</v>
          </cell>
          <cell r="AF10368">
            <v>0.25</v>
          </cell>
        </row>
        <row r="10369">
          <cell r="A10369" t="str">
            <v>IS_alqt_plus</v>
          </cell>
          <cell r="K10369" t="str">
            <v>CMED</v>
          </cell>
          <cell r="M10369" t="str">
            <v>M</v>
          </cell>
          <cell r="AB10369" t="str">
            <v>PRBC</v>
          </cell>
          <cell r="AF10369">
            <v>0.25</v>
          </cell>
        </row>
        <row r="10370">
          <cell r="A10370" t="str">
            <v>IS_alqt_plus</v>
          </cell>
          <cell r="K10370" t="str">
            <v>CMED</v>
          </cell>
          <cell r="M10370" t="str">
            <v>M</v>
          </cell>
          <cell r="AB10370" t="str">
            <v>PRBC</v>
          </cell>
          <cell r="AF10370">
            <v>0.25</v>
          </cell>
        </row>
        <row r="10371">
          <cell r="A10371" t="str">
            <v>IS_alqt_plus</v>
          </cell>
          <cell r="K10371" t="str">
            <v>CMED</v>
          </cell>
          <cell r="M10371" t="str">
            <v>M</v>
          </cell>
          <cell r="AB10371" t="str">
            <v>PRBC</v>
          </cell>
          <cell r="AF10371">
            <v>0.25</v>
          </cell>
        </row>
        <row r="10372">
          <cell r="A10372" t="str">
            <v>IS_alqt_minus</v>
          </cell>
          <cell r="K10372" t="str">
            <v>CMED</v>
          </cell>
          <cell r="M10372" t="str">
            <v>M</v>
          </cell>
          <cell r="AB10372" t="str">
            <v>WB</v>
          </cell>
          <cell r="AF10372">
            <v>0.1</v>
          </cell>
        </row>
        <row r="10373">
          <cell r="A10373" t="str">
            <v>IS_alqt_minus</v>
          </cell>
          <cell r="K10373" t="str">
            <v>CMED</v>
          </cell>
          <cell r="M10373" t="str">
            <v>F</v>
          </cell>
          <cell r="AB10373" t="str">
            <v>PRBC</v>
          </cell>
          <cell r="AF10373">
            <v>0.1</v>
          </cell>
        </row>
        <row r="10374">
          <cell r="A10374" t="str">
            <v>IS_alqt_minus</v>
          </cell>
          <cell r="K10374" t="str">
            <v>CMED</v>
          </cell>
          <cell r="M10374" t="str">
            <v>F</v>
          </cell>
          <cell r="AB10374" t="str">
            <v>PRBC</v>
          </cell>
          <cell r="AF10374">
            <v>0.1</v>
          </cell>
        </row>
        <row r="10375">
          <cell r="A10375" t="str">
            <v>IS_alqt_minus</v>
          </cell>
          <cell r="K10375" t="str">
            <v>CMED</v>
          </cell>
          <cell r="M10375" t="str">
            <v>M</v>
          </cell>
          <cell r="AB10375" t="str">
            <v>PRBC</v>
          </cell>
          <cell r="AF10375">
            <v>0.1</v>
          </cell>
        </row>
        <row r="10376">
          <cell r="A10376" t="str">
            <v>IS_alqt_plus</v>
          </cell>
          <cell r="K10376" t="str">
            <v>PCOQ</v>
          </cell>
          <cell r="M10376" t="str">
            <v>F</v>
          </cell>
          <cell r="AB10376" t="str">
            <v>WB</v>
          </cell>
          <cell r="AF10376">
            <v>0.8</v>
          </cell>
        </row>
        <row r="10377">
          <cell r="A10377" t="str">
            <v>IS_alqt_plus</v>
          </cell>
          <cell r="K10377" t="str">
            <v>PCOQ</v>
          </cell>
          <cell r="M10377" t="str">
            <v>M</v>
          </cell>
          <cell r="AB10377" t="str">
            <v>WB</v>
          </cell>
          <cell r="AF10377">
            <v>0.65</v>
          </cell>
        </row>
        <row r="10378">
          <cell r="A10378" t="str">
            <v>IS_alqt_plus</v>
          </cell>
          <cell r="K10378" t="str">
            <v>PCOQ</v>
          </cell>
          <cell r="M10378" t="str">
            <v>M</v>
          </cell>
          <cell r="AB10378" t="str">
            <v>WB</v>
          </cell>
          <cell r="AF10378">
            <v>0.75</v>
          </cell>
        </row>
        <row r="10379">
          <cell r="A10379" t="str">
            <v>IS_alqt_plus</v>
          </cell>
          <cell r="K10379" t="str">
            <v>PCOQ</v>
          </cell>
          <cell r="M10379" t="str">
            <v>M</v>
          </cell>
          <cell r="AB10379" t="str">
            <v>WB</v>
          </cell>
          <cell r="AF10379">
            <v>0.9</v>
          </cell>
        </row>
        <row r="10380">
          <cell r="A10380" t="str">
            <v>IS_alqt_plus</v>
          </cell>
          <cell r="K10380" t="str">
            <v>PCOQ</v>
          </cell>
          <cell r="M10380" t="str">
            <v>M</v>
          </cell>
          <cell r="AB10380" t="str">
            <v>WB</v>
          </cell>
          <cell r="AF10380">
            <v>0.75</v>
          </cell>
        </row>
        <row r="10381">
          <cell r="A10381" t="str">
            <v>IS_alqt_plus</v>
          </cell>
          <cell r="K10381" t="str">
            <v>PCOQ</v>
          </cell>
          <cell r="M10381" t="str">
            <v>M</v>
          </cell>
          <cell r="AB10381" t="str">
            <v>WB</v>
          </cell>
          <cell r="AF10381">
            <v>0.7</v>
          </cell>
        </row>
        <row r="10382">
          <cell r="A10382" t="str">
            <v>gone</v>
          </cell>
          <cell r="K10382" t="str">
            <v>PCOQ</v>
          </cell>
          <cell r="M10382" t="str">
            <v>F</v>
          </cell>
          <cell r="AB10382" t="str">
            <v>WB</v>
          </cell>
          <cell r="AF10382">
            <v>0</v>
          </cell>
        </row>
        <row r="10383">
          <cell r="A10383" t="str">
            <v>IS_alqt_plus</v>
          </cell>
          <cell r="K10383" t="str">
            <v>PCOQ</v>
          </cell>
          <cell r="M10383" t="str">
            <v>M</v>
          </cell>
          <cell r="AB10383" t="str">
            <v>WB</v>
          </cell>
          <cell r="AF10383">
            <v>1</v>
          </cell>
        </row>
        <row r="10384">
          <cell r="A10384" t="str">
            <v>IS_alqt_plus</v>
          </cell>
          <cell r="K10384" t="str">
            <v>PCOQ</v>
          </cell>
          <cell r="M10384" t="str">
            <v>F</v>
          </cell>
          <cell r="AB10384" t="str">
            <v>WB</v>
          </cell>
          <cell r="AF10384">
            <v>0.75</v>
          </cell>
        </row>
        <row r="10385">
          <cell r="A10385" t="str">
            <v>IS_alqt_plus</v>
          </cell>
          <cell r="K10385" t="str">
            <v>PCOQ</v>
          </cell>
          <cell r="M10385" t="str">
            <v>M</v>
          </cell>
          <cell r="AB10385" t="str">
            <v>WB</v>
          </cell>
          <cell r="AF10385">
            <v>0.6</v>
          </cell>
        </row>
        <row r="10386">
          <cell r="A10386" t="str">
            <v>IS_alqt_plus</v>
          </cell>
          <cell r="K10386" t="str">
            <v>PCOQ</v>
          </cell>
          <cell r="M10386" t="str">
            <v>M</v>
          </cell>
          <cell r="AB10386" t="str">
            <v>WB</v>
          </cell>
          <cell r="AF10386">
            <v>1.2</v>
          </cell>
        </row>
        <row r="10387">
          <cell r="A10387" t="str">
            <v>IS_alqt_plus</v>
          </cell>
          <cell r="K10387" t="str">
            <v>LCAT</v>
          </cell>
          <cell r="M10387" t="str">
            <v>F</v>
          </cell>
          <cell r="AB10387" t="str">
            <v>serum</v>
          </cell>
          <cell r="AF10387">
            <v>0.2</v>
          </cell>
        </row>
        <row r="10388">
          <cell r="A10388" t="str">
            <v>gone</v>
          </cell>
          <cell r="K10388" t="str">
            <v>LCAT</v>
          </cell>
          <cell r="M10388" t="str">
            <v>F</v>
          </cell>
          <cell r="AB10388" t="str">
            <v>serum</v>
          </cell>
          <cell r="AF10388">
            <v>0</v>
          </cell>
        </row>
        <row r="10389">
          <cell r="A10389" t="str">
            <v>gone</v>
          </cell>
          <cell r="K10389" t="str">
            <v>LCAT</v>
          </cell>
          <cell r="M10389" t="str">
            <v>F</v>
          </cell>
          <cell r="AB10389" t="str">
            <v>serum</v>
          </cell>
          <cell r="AF10389">
            <v>0</v>
          </cell>
        </row>
        <row r="10390">
          <cell r="A10390" t="str">
            <v>gone</v>
          </cell>
          <cell r="K10390" t="str">
            <v>LCAT</v>
          </cell>
          <cell r="M10390" t="str">
            <v>F</v>
          </cell>
          <cell r="AB10390" t="str">
            <v>serum</v>
          </cell>
          <cell r="AF10390">
            <v>0</v>
          </cell>
        </row>
        <row r="10391">
          <cell r="A10391" t="str">
            <v>gone</v>
          </cell>
          <cell r="K10391" t="str">
            <v>LCAT</v>
          </cell>
          <cell r="M10391" t="str">
            <v>F</v>
          </cell>
          <cell r="AB10391" t="str">
            <v>serum</v>
          </cell>
          <cell r="AF10391">
            <v>0</v>
          </cell>
        </row>
        <row r="10392">
          <cell r="A10392" t="str">
            <v>IS_alqt_plus</v>
          </cell>
          <cell r="K10392" t="str">
            <v>ECOL</v>
          </cell>
          <cell r="M10392" t="str">
            <v>M</v>
          </cell>
          <cell r="AB10392" t="str">
            <v>serum</v>
          </cell>
          <cell r="AF10392">
            <v>1</v>
          </cell>
        </row>
        <row r="10393">
          <cell r="A10393" t="str">
            <v>IS_alqt_plus</v>
          </cell>
          <cell r="K10393" t="str">
            <v>ECOL</v>
          </cell>
          <cell r="M10393" t="str">
            <v>M</v>
          </cell>
          <cell r="AB10393" t="str">
            <v>WB</v>
          </cell>
          <cell r="AF10393">
            <v>0.75</v>
          </cell>
        </row>
        <row r="10394">
          <cell r="A10394" t="str">
            <v>IS_alqt_plus</v>
          </cell>
          <cell r="K10394" t="str">
            <v>ECOL</v>
          </cell>
          <cell r="M10394" t="str">
            <v>M</v>
          </cell>
          <cell r="AB10394" t="str">
            <v>WB</v>
          </cell>
          <cell r="AF10394">
            <v>1.5</v>
          </cell>
        </row>
        <row r="10395">
          <cell r="A10395" t="str">
            <v>unk</v>
          </cell>
          <cell r="K10395" t="str">
            <v>ECOL</v>
          </cell>
          <cell r="M10395" t="str">
            <v>M</v>
          </cell>
          <cell r="AB10395" t="str">
            <v>WB</v>
          </cell>
          <cell r="AF10395">
            <v>1</v>
          </cell>
        </row>
        <row r="10396">
          <cell r="A10396" t="str">
            <v>IS_alqt_minus</v>
          </cell>
          <cell r="K10396" t="str">
            <v>CMED</v>
          </cell>
          <cell r="M10396" t="str">
            <v>M</v>
          </cell>
          <cell r="AB10396" t="str">
            <v>PRBC</v>
          </cell>
          <cell r="AF10396">
            <v>0.1</v>
          </cell>
        </row>
        <row r="10397">
          <cell r="A10397" t="str">
            <v>IS_alqt_minus</v>
          </cell>
          <cell r="K10397" t="str">
            <v>CMED</v>
          </cell>
          <cell r="M10397" t="str">
            <v>M</v>
          </cell>
          <cell r="AB10397" t="str">
            <v>PRBC</v>
          </cell>
          <cell r="AF10397">
            <v>0.1</v>
          </cell>
        </row>
        <row r="10398">
          <cell r="A10398" t="str">
            <v>IS_alqt_minus</v>
          </cell>
          <cell r="K10398" t="str">
            <v>CMED</v>
          </cell>
          <cell r="M10398" t="str">
            <v>M</v>
          </cell>
          <cell r="AB10398" t="str">
            <v>PRBC</v>
          </cell>
          <cell r="AF10398">
            <v>0.1</v>
          </cell>
        </row>
        <row r="10399">
          <cell r="A10399" t="str">
            <v>IS_alqt_minus</v>
          </cell>
          <cell r="K10399" t="str">
            <v>CMED</v>
          </cell>
          <cell r="M10399" t="str">
            <v>M</v>
          </cell>
          <cell r="AB10399" t="str">
            <v>PRBC</v>
          </cell>
          <cell r="AF10399">
            <v>0.1</v>
          </cell>
        </row>
        <row r="10400">
          <cell r="A10400" t="str">
            <v>IS_alqt_minus</v>
          </cell>
          <cell r="K10400" t="str">
            <v>CMED</v>
          </cell>
          <cell r="M10400" t="str">
            <v>M</v>
          </cell>
          <cell r="AB10400" t="str">
            <v>PRBC</v>
          </cell>
          <cell r="AF10400">
            <v>0.1</v>
          </cell>
        </row>
        <row r="10401">
          <cell r="A10401" t="str">
            <v>IS_alqt_minus</v>
          </cell>
          <cell r="K10401" t="str">
            <v>CMED</v>
          </cell>
          <cell r="M10401" t="str">
            <v>F</v>
          </cell>
          <cell r="AB10401" t="str">
            <v>PRBC</v>
          </cell>
          <cell r="AF10401">
            <v>0.1</v>
          </cell>
        </row>
        <row r="10402">
          <cell r="A10402" t="str">
            <v>IS_alqt_minus</v>
          </cell>
          <cell r="K10402" t="str">
            <v>CMED</v>
          </cell>
          <cell r="M10402" t="str">
            <v>F</v>
          </cell>
          <cell r="AB10402" t="str">
            <v>PRBC</v>
          </cell>
          <cell r="AF10402">
            <v>0.1</v>
          </cell>
        </row>
        <row r="10403">
          <cell r="A10403" t="str">
            <v>IS_alqt_minus</v>
          </cell>
          <cell r="K10403" t="str">
            <v>CMED</v>
          </cell>
          <cell r="M10403" t="str">
            <v>F</v>
          </cell>
          <cell r="AB10403" t="str">
            <v>WB</v>
          </cell>
          <cell r="AF10403">
            <v>0.1</v>
          </cell>
        </row>
        <row r="10404">
          <cell r="A10404" t="str">
            <v>IS_alqt_plus</v>
          </cell>
          <cell r="K10404" t="str">
            <v>ECOL</v>
          </cell>
          <cell r="M10404" t="str">
            <v>M</v>
          </cell>
          <cell r="AB10404" t="str">
            <v>serum</v>
          </cell>
          <cell r="AF10404">
            <v>1.5</v>
          </cell>
        </row>
        <row r="10405">
          <cell r="A10405" t="str">
            <v>IS_alqt_plus</v>
          </cell>
          <cell r="K10405" t="str">
            <v>ECOL</v>
          </cell>
          <cell r="M10405" t="str">
            <v>M</v>
          </cell>
          <cell r="AB10405" t="str">
            <v>serum</v>
          </cell>
          <cell r="AF10405">
            <v>1.5</v>
          </cell>
        </row>
        <row r="10406">
          <cell r="A10406" t="str">
            <v>IS_alqt_plus</v>
          </cell>
          <cell r="K10406" t="str">
            <v>ECOL</v>
          </cell>
          <cell r="M10406" t="str">
            <v>M</v>
          </cell>
          <cell r="AB10406" t="str">
            <v>serum</v>
          </cell>
          <cell r="AF10406">
            <v>1.5</v>
          </cell>
        </row>
        <row r="10407">
          <cell r="A10407" t="str">
            <v>IS_alqt_plus</v>
          </cell>
          <cell r="K10407" t="str">
            <v>ECOL</v>
          </cell>
          <cell r="M10407" t="str">
            <v>M</v>
          </cell>
          <cell r="AB10407" t="str">
            <v>serum</v>
          </cell>
          <cell r="AF10407">
            <v>1.5</v>
          </cell>
        </row>
        <row r="10408">
          <cell r="A10408" t="str">
            <v>IS_alqt_plus</v>
          </cell>
          <cell r="K10408" t="str">
            <v>ECOL</v>
          </cell>
          <cell r="M10408" t="str">
            <v>M</v>
          </cell>
          <cell r="AB10408" t="str">
            <v>serum</v>
          </cell>
          <cell r="AF10408">
            <v>1.5</v>
          </cell>
        </row>
        <row r="10409">
          <cell r="A10409" t="str">
            <v>IS_alqt_plus</v>
          </cell>
          <cell r="K10409" t="str">
            <v>ECOL</v>
          </cell>
          <cell r="M10409" t="str">
            <v>M</v>
          </cell>
          <cell r="AB10409" t="str">
            <v>serum</v>
          </cell>
          <cell r="AF10409">
            <v>1.5</v>
          </cell>
        </row>
        <row r="10410">
          <cell r="A10410" t="str">
            <v>IS_alqt_plus</v>
          </cell>
          <cell r="K10410" t="str">
            <v>ECOL</v>
          </cell>
          <cell r="M10410" t="str">
            <v>M</v>
          </cell>
          <cell r="AB10410" t="str">
            <v>serum</v>
          </cell>
          <cell r="AF10410">
            <v>1.5</v>
          </cell>
        </row>
        <row r="10411">
          <cell r="A10411" t="str">
            <v>IS_alqt_plus</v>
          </cell>
          <cell r="K10411" t="str">
            <v>ECOL</v>
          </cell>
          <cell r="M10411" t="str">
            <v>M</v>
          </cell>
          <cell r="AB10411" t="str">
            <v>serum</v>
          </cell>
          <cell r="AF10411">
            <v>1.3</v>
          </cell>
        </row>
        <row r="10412">
          <cell r="A10412" t="str">
            <v>IS_alqt_plus</v>
          </cell>
          <cell r="K10412" t="str">
            <v>ECOL</v>
          </cell>
          <cell r="M10412" t="str">
            <v>M</v>
          </cell>
          <cell r="AB10412" t="str">
            <v>serum</v>
          </cell>
          <cell r="AF10412">
            <v>1.5</v>
          </cell>
        </row>
        <row r="10413">
          <cell r="A10413" t="str">
            <v>IS_alqt_plus</v>
          </cell>
          <cell r="K10413" t="str">
            <v>ECOL</v>
          </cell>
          <cell r="M10413" t="str">
            <v>M</v>
          </cell>
          <cell r="AB10413" t="str">
            <v>serum</v>
          </cell>
          <cell r="AF10413">
            <v>1.5</v>
          </cell>
        </row>
        <row r="10414">
          <cell r="A10414" t="str">
            <v>IS_alqt_plus</v>
          </cell>
          <cell r="K10414" t="str">
            <v>ECOL</v>
          </cell>
          <cell r="M10414" t="str">
            <v>M</v>
          </cell>
          <cell r="AB10414" t="str">
            <v>serum</v>
          </cell>
          <cell r="AF10414">
            <v>1.5</v>
          </cell>
        </row>
        <row r="10415">
          <cell r="A10415" t="str">
            <v>IS_alqt_plus</v>
          </cell>
          <cell r="K10415" t="str">
            <v>ECOL</v>
          </cell>
          <cell r="M10415" t="str">
            <v>M</v>
          </cell>
          <cell r="AB10415" t="str">
            <v>serum</v>
          </cell>
          <cell r="AF10415">
            <v>1.5</v>
          </cell>
        </row>
        <row r="10416">
          <cell r="A10416" t="str">
            <v>IS_alqt_plus</v>
          </cell>
          <cell r="K10416" t="str">
            <v>ECOL</v>
          </cell>
          <cell r="M10416" t="str">
            <v>M</v>
          </cell>
          <cell r="AB10416" t="str">
            <v>serum</v>
          </cell>
          <cell r="AF10416">
            <v>1.5</v>
          </cell>
        </row>
        <row r="10417">
          <cell r="A10417" t="str">
            <v>IS_alqt_plus</v>
          </cell>
          <cell r="K10417" t="str">
            <v>ECOL</v>
          </cell>
          <cell r="M10417" t="str">
            <v>M</v>
          </cell>
          <cell r="AB10417" t="str">
            <v>serum</v>
          </cell>
          <cell r="AF10417">
            <v>1.5</v>
          </cell>
        </row>
        <row r="10418">
          <cell r="A10418" t="str">
            <v>IS_alqt_plus</v>
          </cell>
          <cell r="K10418" t="str">
            <v>ECOL</v>
          </cell>
          <cell r="M10418" t="str">
            <v>M</v>
          </cell>
          <cell r="AB10418" t="str">
            <v>serum</v>
          </cell>
          <cell r="AF10418">
            <v>1.5</v>
          </cell>
        </row>
        <row r="10419">
          <cell r="A10419" t="str">
            <v>IS_alqt_plus</v>
          </cell>
          <cell r="K10419" t="str">
            <v>ECOL</v>
          </cell>
          <cell r="M10419" t="str">
            <v>M</v>
          </cell>
          <cell r="AB10419" t="str">
            <v>serum</v>
          </cell>
          <cell r="AF10419">
            <v>1.5</v>
          </cell>
        </row>
        <row r="10420">
          <cell r="A10420" t="str">
            <v>IS_alqt_plus</v>
          </cell>
          <cell r="K10420" t="str">
            <v>ECOL</v>
          </cell>
          <cell r="M10420" t="str">
            <v>M</v>
          </cell>
          <cell r="AB10420" t="str">
            <v>serum</v>
          </cell>
          <cell r="AF10420">
            <v>1.5</v>
          </cell>
        </row>
        <row r="10421">
          <cell r="A10421" t="str">
            <v>IS_alqt_plus</v>
          </cell>
          <cell r="K10421" t="str">
            <v>ECOL</v>
          </cell>
          <cell r="M10421" t="str">
            <v>M</v>
          </cell>
          <cell r="AB10421" t="str">
            <v>serum</v>
          </cell>
          <cell r="AF10421">
            <v>1.5</v>
          </cell>
        </row>
        <row r="10422">
          <cell r="A10422" t="str">
            <v>IS_alqt_plus</v>
          </cell>
          <cell r="K10422" t="str">
            <v>ECOL</v>
          </cell>
          <cell r="M10422" t="str">
            <v>M</v>
          </cell>
          <cell r="AB10422" t="str">
            <v>serum</v>
          </cell>
          <cell r="AF10422">
            <v>1.5</v>
          </cell>
        </row>
        <row r="10423">
          <cell r="A10423" t="str">
            <v>IS_alqt_plus</v>
          </cell>
          <cell r="K10423" t="str">
            <v>ECOL</v>
          </cell>
          <cell r="M10423" t="str">
            <v>M</v>
          </cell>
          <cell r="AB10423" t="str">
            <v>serum</v>
          </cell>
          <cell r="AF10423">
            <v>1.5</v>
          </cell>
        </row>
        <row r="10424">
          <cell r="A10424" t="str">
            <v>IS_alqt_plus</v>
          </cell>
          <cell r="K10424" t="str">
            <v>ECOL</v>
          </cell>
          <cell r="M10424" t="str">
            <v>M</v>
          </cell>
          <cell r="AB10424" t="str">
            <v>serum</v>
          </cell>
          <cell r="AF10424">
            <v>1.5</v>
          </cell>
        </row>
        <row r="10425">
          <cell r="A10425" t="str">
            <v>IS_alqt_plus</v>
          </cell>
          <cell r="K10425" t="str">
            <v>ECOL</v>
          </cell>
          <cell r="M10425" t="str">
            <v>M</v>
          </cell>
          <cell r="AB10425" t="str">
            <v>serum</v>
          </cell>
          <cell r="AF10425">
            <v>1.5</v>
          </cell>
        </row>
        <row r="10426">
          <cell r="A10426" t="str">
            <v>IS_alqt_plus</v>
          </cell>
          <cell r="K10426" t="str">
            <v>ECOL</v>
          </cell>
          <cell r="M10426" t="str">
            <v>M</v>
          </cell>
          <cell r="AB10426" t="str">
            <v>serum</v>
          </cell>
          <cell r="AF10426">
            <v>1.5</v>
          </cell>
        </row>
        <row r="10427">
          <cell r="A10427" t="str">
            <v>IS_alqt_plus</v>
          </cell>
          <cell r="K10427" t="str">
            <v>ECOL</v>
          </cell>
          <cell r="M10427" t="str">
            <v>M</v>
          </cell>
          <cell r="AB10427" t="str">
            <v>serum</v>
          </cell>
          <cell r="AF10427">
            <v>1.5</v>
          </cell>
        </row>
        <row r="10428">
          <cell r="A10428" t="str">
            <v>IS_alqt_plus</v>
          </cell>
          <cell r="K10428" t="str">
            <v>ECOL</v>
          </cell>
          <cell r="M10428" t="str">
            <v>M</v>
          </cell>
          <cell r="AB10428" t="str">
            <v>serum</v>
          </cell>
          <cell r="AF10428">
            <v>1.5</v>
          </cell>
        </row>
        <row r="10429">
          <cell r="A10429" t="str">
            <v>IS_alqt_plus</v>
          </cell>
          <cell r="K10429" t="str">
            <v>ECOL</v>
          </cell>
          <cell r="M10429" t="str">
            <v>M</v>
          </cell>
          <cell r="AB10429" t="str">
            <v>serum</v>
          </cell>
          <cell r="AF10429">
            <v>1.5</v>
          </cell>
        </row>
        <row r="10430">
          <cell r="A10430" t="str">
            <v>IS_alqt_plus</v>
          </cell>
          <cell r="K10430" t="str">
            <v>ECOL</v>
          </cell>
          <cell r="M10430" t="str">
            <v>M</v>
          </cell>
          <cell r="AB10430" t="str">
            <v>serum</v>
          </cell>
          <cell r="AF10430">
            <v>1.5</v>
          </cell>
        </row>
        <row r="10431">
          <cell r="A10431" t="str">
            <v>IS_alqt_plus</v>
          </cell>
          <cell r="K10431" t="str">
            <v>ECOL</v>
          </cell>
          <cell r="M10431" t="str">
            <v>M</v>
          </cell>
          <cell r="AB10431" t="str">
            <v>serum</v>
          </cell>
          <cell r="AF10431">
            <v>1.5</v>
          </cell>
        </row>
        <row r="10432">
          <cell r="A10432" t="str">
            <v>IS_alqt_plus</v>
          </cell>
          <cell r="K10432" t="str">
            <v>ECOL</v>
          </cell>
          <cell r="M10432" t="str">
            <v>M</v>
          </cell>
          <cell r="AB10432" t="str">
            <v>serum</v>
          </cell>
          <cell r="AF10432">
            <v>1.5</v>
          </cell>
        </row>
        <row r="10433">
          <cell r="A10433" t="str">
            <v>IS_alqt_plus</v>
          </cell>
          <cell r="K10433" t="str">
            <v>ECOL</v>
          </cell>
          <cell r="M10433" t="str">
            <v>M</v>
          </cell>
          <cell r="AB10433" t="str">
            <v>serum</v>
          </cell>
          <cell r="AF10433">
            <v>1.5</v>
          </cell>
        </row>
        <row r="10434">
          <cell r="A10434" t="str">
            <v>IS_alqt_plus</v>
          </cell>
          <cell r="K10434" t="str">
            <v>ECOL</v>
          </cell>
          <cell r="M10434" t="str">
            <v>M</v>
          </cell>
          <cell r="AB10434" t="str">
            <v>serum</v>
          </cell>
          <cell r="AF10434">
            <v>1.5</v>
          </cell>
        </row>
        <row r="10435">
          <cell r="A10435" t="str">
            <v>IS_alqt_plus</v>
          </cell>
          <cell r="K10435" t="str">
            <v>ECOL</v>
          </cell>
          <cell r="M10435" t="str">
            <v>M</v>
          </cell>
          <cell r="AB10435" t="str">
            <v>serum</v>
          </cell>
          <cell r="AF10435">
            <v>1.5</v>
          </cell>
        </row>
        <row r="10436">
          <cell r="A10436" t="str">
            <v>IS_alqt_plus</v>
          </cell>
          <cell r="K10436" t="str">
            <v>ECOL</v>
          </cell>
          <cell r="M10436" t="str">
            <v>M</v>
          </cell>
          <cell r="AB10436" t="str">
            <v>serum</v>
          </cell>
          <cell r="AF10436">
            <v>1.5</v>
          </cell>
        </row>
        <row r="10437">
          <cell r="A10437" t="str">
            <v>IS_alqt_plus</v>
          </cell>
          <cell r="K10437" t="str">
            <v>ECOL</v>
          </cell>
          <cell r="M10437" t="str">
            <v>M</v>
          </cell>
          <cell r="AB10437" t="str">
            <v>WB</v>
          </cell>
          <cell r="AF10437">
            <v>1.5</v>
          </cell>
        </row>
        <row r="10438">
          <cell r="A10438" t="str">
            <v>IS_alqt_plus</v>
          </cell>
          <cell r="K10438" t="str">
            <v>ECOL</v>
          </cell>
          <cell r="M10438" t="str">
            <v>M</v>
          </cell>
          <cell r="AB10438" t="str">
            <v>WB</v>
          </cell>
          <cell r="AF10438">
            <v>1.5</v>
          </cell>
        </row>
        <row r="10439">
          <cell r="A10439" t="str">
            <v>IS_alqt_plus</v>
          </cell>
          <cell r="K10439" t="str">
            <v>ECOL</v>
          </cell>
          <cell r="M10439" t="str">
            <v>M</v>
          </cell>
          <cell r="AB10439" t="str">
            <v>WB</v>
          </cell>
          <cell r="AF10439">
            <v>1.5</v>
          </cell>
        </row>
        <row r="10440">
          <cell r="A10440" t="str">
            <v>gone</v>
          </cell>
          <cell r="K10440" t="str">
            <v>ECOL</v>
          </cell>
          <cell r="M10440" t="str">
            <v>M</v>
          </cell>
          <cell r="AB10440" t="str">
            <v>WB</v>
          </cell>
          <cell r="AF10440">
            <v>0</v>
          </cell>
        </row>
        <row r="10441">
          <cell r="A10441" t="str">
            <v>IS_alqt_plus</v>
          </cell>
          <cell r="K10441" t="str">
            <v>ECOL</v>
          </cell>
          <cell r="M10441" t="str">
            <v>M</v>
          </cell>
          <cell r="AB10441" t="str">
            <v>WB</v>
          </cell>
          <cell r="AF10441">
            <v>1.5</v>
          </cell>
        </row>
        <row r="10442">
          <cell r="A10442" t="str">
            <v>IS_alqt_plus</v>
          </cell>
          <cell r="K10442" t="str">
            <v>ECOL</v>
          </cell>
          <cell r="M10442" t="str">
            <v>M</v>
          </cell>
          <cell r="AB10442" t="str">
            <v>WB</v>
          </cell>
          <cell r="AF10442">
            <v>1.5</v>
          </cell>
        </row>
        <row r="10443">
          <cell r="A10443" t="str">
            <v>IS_alqt_plus</v>
          </cell>
          <cell r="K10443" t="str">
            <v>ECOL</v>
          </cell>
          <cell r="M10443" t="str">
            <v>M</v>
          </cell>
          <cell r="AB10443" t="str">
            <v>WB</v>
          </cell>
          <cell r="AF10443">
            <v>1.5</v>
          </cell>
        </row>
        <row r="10444">
          <cell r="A10444" t="str">
            <v>IS_alqt_plus</v>
          </cell>
          <cell r="K10444" t="str">
            <v>ECOL</v>
          </cell>
          <cell r="M10444" t="str">
            <v>M</v>
          </cell>
          <cell r="AB10444" t="str">
            <v>WB</v>
          </cell>
          <cell r="AF10444">
            <v>1.5</v>
          </cell>
        </row>
        <row r="10445">
          <cell r="A10445" t="str">
            <v>IS_alqt_plus</v>
          </cell>
          <cell r="K10445" t="str">
            <v>ECOL</v>
          </cell>
          <cell r="M10445" t="str">
            <v>M</v>
          </cell>
          <cell r="AB10445" t="str">
            <v>WB</v>
          </cell>
          <cell r="AF10445">
            <v>1.5</v>
          </cell>
        </row>
        <row r="10446">
          <cell r="A10446" t="str">
            <v>IS_alqt_plus</v>
          </cell>
          <cell r="K10446" t="str">
            <v>ECOL</v>
          </cell>
          <cell r="M10446" t="str">
            <v>M</v>
          </cell>
          <cell r="AB10446" t="str">
            <v>WB</v>
          </cell>
          <cell r="AF10446">
            <v>1.5</v>
          </cell>
        </row>
        <row r="10447">
          <cell r="A10447" t="str">
            <v>IS_alqt_plus</v>
          </cell>
          <cell r="K10447" t="str">
            <v>ECOL</v>
          </cell>
          <cell r="M10447" t="str">
            <v>M</v>
          </cell>
          <cell r="AB10447" t="str">
            <v>WB</v>
          </cell>
          <cell r="AF10447">
            <v>1.5</v>
          </cell>
        </row>
        <row r="10448">
          <cell r="A10448" t="str">
            <v>IS_alqt_plus</v>
          </cell>
          <cell r="K10448" t="str">
            <v>ECOL</v>
          </cell>
          <cell r="M10448" t="str">
            <v>M</v>
          </cell>
          <cell r="AB10448" t="str">
            <v>WB</v>
          </cell>
          <cell r="AF10448">
            <v>1.5</v>
          </cell>
        </row>
        <row r="10449">
          <cell r="A10449" t="str">
            <v>IS_alqt_plus</v>
          </cell>
          <cell r="K10449" t="str">
            <v>ECOL</v>
          </cell>
          <cell r="M10449" t="str">
            <v>M</v>
          </cell>
          <cell r="AB10449" t="str">
            <v>WB</v>
          </cell>
          <cell r="AF10449">
            <v>1.5</v>
          </cell>
        </row>
        <row r="10450">
          <cell r="A10450" t="str">
            <v>IS_alqt_plus</v>
          </cell>
          <cell r="K10450" t="str">
            <v>ECOL</v>
          </cell>
          <cell r="M10450" t="str">
            <v>M</v>
          </cell>
          <cell r="AB10450" t="str">
            <v>WB</v>
          </cell>
          <cell r="AF10450">
            <v>1.5</v>
          </cell>
        </row>
        <row r="10451">
          <cell r="A10451" t="str">
            <v>IS_alqt_plus</v>
          </cell>
          <cell r="K10451" t="str">
            <v>ECOL</v>
          </cell>
          <cell r="M10451" t="str">
            <v>M</v>
          </cell>
          <cell r="AB10451" t="str">
            <v>WB</v>
          </cell>
          <cell r="AF10451">
            <v>1.5</v>
          </cell>
        </row>
        <row r="10452">
          <cell r="A10452" t="str">
            <v>IS_alqt_plus</v>
          </cell>
          <cell r="K10452" t="str">
            <v>ECOL</v>
          </cell>
          <cell r="M10452" t="str">
            <v>M</v>
          </cell>
          <cell r="AB10452" t="str">
            <v>WB</v>
          </cell>
          <cell r="AF10452">
            <v>1.5</v>
          </cell>
        </row>
        <row r="10453">
          <cell r="A10453" t="str">
            <v>IS_alqt_plus</v>
          </cell>
          <cell r="K10453" t="str">
            <v>ECOL</v>
          </cell>
          <cell r="M10453" t="str">
            <v>M</v>
          </cell>
          <cell r="AB10453" t="str">
            <v>WB</v>
          </cell>
          <cell r="AF10453">
            <v>1.5</v>
          </cell>
        </row>
        <row r="10454">
          <cell r="A10454" t="str">
            <v>IS_alqt_plus</v>
          </cell>
          <cell r="K10454" t="str">
            <v>ECOL</v>
          </cell>
          <cell r="M10454" t="str">
            <v>M</v>
          </cell>
          <cell r="AB10454" t="str">
            <v>WB</v>
          </cell>
          <cell r="AF10454">
            <v>1.5</v>
          </cell>
        </row>
        <row r="10455">
          <cell r="A10455" t="str">
            <v>IS_alqt_plus</v>
          </cell>
          <cell r="K10455" t="str">
            <v>ECOL</v>
          </cell>
          <cell r="M10455" t="str">
            <v>M</v>
          </cell>
          <cell r="AB10455" t="str">
            <v>WB</v>
          </cell>
          <cell r="AF10455">
            <v>1.5</v>
          </cell>
        </row>
        <row r="10456">
          <cell r="A10456" t="str">
            <v>IS_alqt_plus</v>
          </cell>
          <cell r="K10456" t="str">
            <v>ECOL</v>
          </cell>
          <cell r="M10456" t="str">
            <v>M</v>
          </cell>
          <cell r="AB10456" t="str">
            <v>WB</v>
          </cell>
          <cell r="AF10456">
            <v>1.5</v>
          </cell>
        </row>
        <row r="10457">
          <cell r="A10457" t="str">
            <v>IS_alqt_plus</v>
          </cell>
          <cell r="K10457" t="str">
            <v>ECOL</v>
          </cell>
          <cell r="M10457" t="str">
            <v>M</v>
          </cell>
          <cell r="AB10457" t="str">
            <v>WB</v>
          </cell>
          <cell r="AF10457">
            <v>1.3</v>
          </cell>
        </row>
        <row r="10458">
          <cell r="A10458" t="str">
            <v>IS_alqt_plus</v>
          </cell>
          <cell r="K10458" t="str">
            <v>ECOL</v>
          </cell>
          <cell r="M10458" t="str">
            <v>M</v>
          </cell>
          <cell r="AB10458" t="str">
            <v>WB</v>
          </cell>
          <cell r="AF10458">
            <v>1.3</v>
          </cell>
        </row>
        <row r="10459">
          <cell r="A10459" t="str">
            <v>IS_alqt_plus</v>
          </cell>
          <cell r="K10459" t="str">
            <v>ECOL</v>
          </cell>
          <cell r="M10459" t="str">
            <v>M</v>
          </cell>
          <cell r="AB10459" t="str">
            <v>WB</v>
          </cell>
          <cell r="AF10459">
            <v>1.3</v>
          </cell>
        </row>
        <row r="10460">
          <cell r="A10460" t="str">
            <v>IS_alqt_plus</v>
          </cell>
          <cell r="K10460" t="str">
            <v>ECOL</v>
          </cell>
          <cell r="M10460" t="str">
            <v>M</v>
          </cell>
          <cell r="AB10460" t="str">
            <v>WB</v>
          </cell>
          <cell r="AF10460">
            <v>1.3</v>
          </cell>
        </row>
        <row r="10461">
          <cell r="A10461" t="str">
            <v>IS_alqt_plus</v>
          </cell>
          <cell r="K10461" t="str">
            <v>ECOL</v>
          </cell>
          <cell r="M10461" t="str">
            <v>M</v>
          </cell>
          <cell r="AB10461" t="str">
            <v>WB</v>
          </cell>
          <cell r="AF10461">
            <v>1.3</v>
          </cell>
        </row>
        <row r="10462">
          <cell r="A10462" t="str">
            <v>IS_alqt_plus</v>
          </cell>
          <cell r="K10462" t="str">
            <v>DMAD</v>
          </cell>
          <cell r="M10462" t="str">
            <v>M</v>
          </cell>
          <cell r="AB10462" t="str">
            <v>WB</v>
          </cell>
          <cell r="AF10462">
            <v>0.2</v>
          </cell>
        </row>
        <row r="10463">
          <cell r="A10463" t="str">
            <v>IS_alqt_plus</v>
          </cell>
          <cell r="K10463" t="str">
            <v>DMAD</v>
          </cell>
          <cell r="M10463" t="str">
            <v>M</v>
          </cell>
          <cell r="AB10463" t="str">
            <v>WB</v>
          </cell>
          <cell r="AF10463">
            <v>0.2</v>
          </cell>
        </row>
        <row r="10464">
          <cell r="A10464" t="str">
            <v>IS_alqt_plus</v>
          </cell>
          <cell r="K10464" t="str">
            <v>DMAD</v>
          </cell>
          <cell r="M10464" t="str">
            <v>M</v>
          </cell>
          <cell r="AB10464" t="str">
            <v>WB</v>
          </cell>
          <cell r="AF10464">
            <v>0.2</v>
          </cell>
        </row>
        <row r="10465">
          <cell r="A10465" t="str">
            <v>IS_alqt_plus</v>
          </cell>
          <cell r="K10465" t="str">
            <v>DMAD</v>
          </cell>
          <cell r="M10465" t="str">
            <v>M</v>
          </cell>
          <cell r="AB10465" t="str">
            <v>WB</v>
          </cell>
          <cell r="AF10465">
            <v>0.2</v>
          </cell>
        </row>
        <row r="10466">
          <cell r="A10466" t="str">
            <v>IS_alqt_plus</v>
          </cell>
          <cell r="K10466" t="str">
            <v>DMAD</v>
          </cell>
          <cell r="M10466" t="str">
            <v>M</v>
          </cell>
          <cell r="AB10466" t="str">
            <v>WB</v>
          </cell>
          <cell r="AF10466">
            <v>0.2</v>
          </cell>
        </row>
        <row r="10467">
          <cell r="A10467" t="str">
            <v>IS_alqt_plus</v>
          </cell>
          <cell r="K10467" t="str">
            <v>DMAD</v>
          </cell>
          <cell r="M10467" t="str">
            <v>M</v>
          </cell>
          <cell r="AB10467" t="str">
            <v>WB</v>
          </cell>
          <cell r="AF10467">
            <v>0.2</v>
          </cell>
        </row>
        <row r="10468">
          <cell r="A10468" t="str">
            <v>IS_alqt_plus</v>
          </cell>
          <cell r="K10468" t="str">
            <v>PCOQ</v>
          </cell>
          <cell r="M10468" t="str">
            <v>M</v>
          </cell>
          <cell r="AB10468" t="str">
            <v>WB</v>
          </cell>
          <cell r="AF10468">
            <v>0.8</v>
          </cell>
        </row>
        <row r="10469">
          <cell r="A10469" t="str">
            <v>IS_alqt_plus</v>
          </cell>
          <cell r="K10469" t="str">
            <v>PCOQ</v>
          </cell>
          <cell r="M10469" t="str">
            <v>F</v>
          </cell>
          <cell r="AB10469" t="str">
            <v>WB</v>
          </cell>
          <cell r="AF10469">
            <v>0.3</v>
          </cell>
        </row>
        <row r="10470">
          <cell r="A10470" t="str">
            <v>IS_alqt_plus</v>
          </cell>
          <cell r="K10470" t="str">
            <v>PCOQ</v>
          </cell>
          <cell r="M10470" t="str">
            <v>F</v>
          </cell>
          <cell r="AB10470" t="str">
            <v>WB</v>
          </cell>
          <cell r="AF10470">
            <v>1</v>
          </cell>
        </row>
        <row r="10471">
          <cell r="A10471" t="str">
            <v>gone</v>
          </cell>
          <cell r="K10471" t="str">
            <v>PCOQ</v>
          </cell>
          <cell r="M10471" t="str">
            <v>F</v>
          </cell>
          <cell r="AB10471" t="str">
            <v>WB</v>
          </cell>
          <cell r="AF10471">
            <v>0</v>
          </cell>
        </row>
        <row r="10472">
          <cell r="A10472" t="str">
            <v>IS_alqt_plus</v>
          </cell>
          <cell r="K10472" t="str">
            <v>PCOQ</v>
          </cell>
          <cell r="M10472" t="str">
            <v>F</v>
          </cell>
          <cell r="AB10472" t="str">
            <v>WB</v>
          </cell>
          <cell r="AF10472">
            <v>0.25</v>
          </cell>
        </row>
        <row r="10473">
          <cell r="A10473" t="str">
            <v>IS_alqt_plus</v>
          </cell>
          <cell r="K10473" t="str">
            <v>PCOQ</v>
          </cell>
          <cell r="M10473" t="str">
            <v>F</v>
          </cell>
          <cell r="AB10473" t="str">
            <v>WB</v>
          </cell>
          <cell r="AF10473">
            <v>0.9</v>
          </cell>
        </row>
        <row r="10474">
          <cell r="A10474" t="str">
            <v>IS_alqt_plus</v>
          </cell>
          <cell r="K10474" t="str">
            <v>PCOQ</v>
          </cell>
          <cell r="M10474" t="str">
            <v>F</v>
          </cell>
          <cell r="AB10474" t="str">
            <v>WB</v>
          </cell>
          <cell r="AF10474">
            <v>0.2</v>
          </cell>
        </row>
        <row r="10475">
          <cell r="A10475" t="str">
            <v>gone</v>
          </cell>
          <cell r="K10475" t="str">
            <v>LCAT</v>
          </cell>
          <cell r="M10475" t="str">
            <v>F</v>
          </cell>
          <cell r="AB10475" t="str">
            <v>serum</v>
          </cell>
          <cell r="AF10475">
            <v>0.15</v>
          </cell>
        </row>
        <row r="10476">
          <cell r="A10476" t="str">
            <v>IS_alqt_plus</v>
          </cell>
          <cell r="K10476" t="str">
            <v>PCOQ</v>
          </cell>
          <cell r="M10476" t="str">
            <v>F</v>
          </cell>
          <cell r="AB10476" t="str">
            <v>WB</v>
          </cell>
          <cell r="AF10476">
            <v>0.2</v>
          </cell>
        </row>
        <row r="10477">
          <cell r="A10477" t="str">
            <v>gone</v>
          </cell>
          <cell r="K10477" t="str">
            <v>PCOQ</v>
          </cell>
          <cell r="M10477" t="str">
            <v>F</v>
          </cell>
          <cell r="AB10477" t="str">
            <v>WB</v>
          </cell>
          <cell r="AF10477">
            <v>0</v>
          </cell>
        </row>
        <row r="10478">
          <cell r="A10478" t="str">
            <v>IS_alqt_plus</v>
          </cell>
          <cell r="K10478" t="str">
            <v>PCOQ</v>
          </cell>
          <cell r="M10478" t="str">
            <v>F</v>
          </cell>
          <cell r="AB10478" t="str">
            <v>WB</v>
          </cell>
          <cell r="AF10478">
            <v>0.5</v>
          </cell>
        </row>
        <row r="10479">
          <cell r="A10479" t="str">
            <v>IS_alqt_plus</v>
          </cell>
          <cell r="K10479" t="str">
            <v>PCOQ</v>
          </cell>
          <cell r="M10479" t="str">
            <v>F</v>
          </cell>
          <cell r="AB10479" t="str">
            <v>WB</v>
          </cell>
          <cell r="AF10479">
            <v>0.45</v>
          </cell>
        </row>
        <row r="10480">
          <cell r="A10480" t="str">
            <v>gone</v>
          </cell>
          <cell r="K10480" t="str">
            <v>PCOQ</v>
          </cell>
          <cell r="M10480" t="str">
            <v>M</v>
          </cell>
          <cell r="AB10480" t="str">
            <v>WB</v>
          </cell>
          <cell r="AF10480">
            <v>0</v>
          </cell>
        </row>
        <row r="10481">
          <cell r="A10481" t="str">
            <v>IS_alqt_plus</v>
          </cell>
          <cell r="K10481" t="str">
            <v>PCOQ</v>
          </cell>
          <cell r="M10481" t="str">
            <v>M</v>
          </cell>
          <cell r="AB10481" t="str">
            <v>WB</v>
          </cell>
          <cell r="AF10481">
            <v>0.5</v>
          </cell>
        </row>
        <row r="10482">
          <cell r="A10482" t="str">
            <v>gone</v>
          </cell>
          <cell r="K10482" t="str">
            <v>LCAT</v>
          </cell>
          <cell r="M10482" t="str">
            <v>F</v>
          </cell>
          <cell r="AB10482" t="str">
            <v>serum</v>
          </cell>
          <cell r="AF10482">
            <v>0</v>
          </cell>
        </row>
        <row r="10483">
          <cell r="A10483" t="str">
            <v>gone</v>
          </cell>
          <cell r="K10483" t="str">
            <v>LCAT</v>
          </cell>
          <cell r="M10483" t="str">
            <v>F</v>
          </cell>
          <cell r="AB10483" t="str">
            <v>serum</v>
          </cell>
          <cell r="AF10483">
            <v>0</v>
          </cell>
        </row>
        <row r="10484">
          <cell r="A10484" t="str">
            <v>gone</v>
          </cell>
          <cell r="K10484" t="str">
            <v>LCAT</v>
          </cell>
          <cell r="M10484" t="str">
            <v>F</v>
          </cell>
          <cell r="AB10484" t="str">
            <v>serum</v>
          </cell>
          <cell r="AF10484">
            <v>0</v>
          </cell>
        </row>
        <row r="10485">
          <cell r="A10485" t="str">
            <v>gone</v>
          </cell>
          <cell r="K10485" t="str">
            <v>LCAT</v>
          </cell>
          <cell r="M10485" t="str">
            <v>F</v>
          </cell>
          <cell r="AB10485" t="str">
            <v>serum</v>
          </cell>
          <cell r="AF10485">
            <v>0</v>
          </cell>
        </row>
        <row r="10486">
          <cell r="A10486" t="str">
            <v>gone</v>
          </cell>
          <cell r="K10486" t="str">
            <v>LCAT</v>
          </cell>
          <cell r="M10486" t="str">
            <v>F</v>
          </cell>
          <cell r="AB10486" t="str">
            <v>serum</v>
          </cell>
          <cell r="AF10486">
            <v>0</v>
          </cell>
        </row>
        <row r="10487">
          <cell r="A10487" t="str">
            <v>IS_alqt_plus</v>
          </cell>
          <cell r="K10487" t="str">
            <v>LCAT</v>
          </cell>
          <cell r="M10487" t="str">
            <v>F</v>
          </cell>
          <cell r="AB10487" t="str">
            <v>serum</v>
          </cell>
          <cell r="AF10487">
            <v>0.2</v>
          </cell>
        </row>
        <row r="10488">
          <cell r="A10488" t="str">
            <v>IS_alqt_plus</v>
          </cell>
          <cell r="K10488" t="str">
            <v>PCOQ</v>
          </cell>
          <cell r="M10488" t="str">
            <v>M</v>
          </cell>
          <cell r="AB10488" t="str">
            <v>WB</v>
          </cell>
          <cell r="AF10488">
            <v>0.7</v>
          </cell>
        </row>
        <row r="10489">
          <cell r="A10489" t="str">
            <v>IS_alqt_plus</v>
          </cell>
          <cell r="K10489" t="str">
            <v>PCOQ</v>
          </cell>
          <cell r="M10489" t="str">
            <v>M</v>
          </cell>
          <cell r="AB10489" t="str">
            <v>WB</v>
          </cell>
          <cell r="AF10489">
            <v>0.6</v>
          </cell>
        </row>
        <row r="10490">
          <cell r="A10490" t="str">
            <v>IS_alqt_plus</v>
          </cell>
          <cell r="K10490" t="str">
            <v>PCOQ</v>
          </cell>
          <cell r="M10490" t="str">
            <v>M</v>
          </cell>
          <cell r="AB10490" t="str">
            <v>WB</v>
          </cell>
          <cell r="AF10490">
            <v>1</v>
          </cell>
        </row>
        <row r="10491">
          <cell r="A10491" t="str">
            <v>IS_alqt_plus</v>
          </cell>
          <cell r="K10491" t="str">
            <v>PCOQ</v>
          </cell>
          <cell r="M10491" t="str">
            <v>M</v>
          </cell>
          <cell r="AB10491" t="str">
            <v>WB</v>
          </cell>
          <cell r="AF10491">
            <v>0.9</v>
          </cell>
        </row>
        <row r="10492">
          <cell r="A10492" t="str">
            <v>IS_alqt_plus</v>
          </cell>
          <cell r="K10492" t="str">
            <v>PCOQ</v>
          </cell>
          <cell r="M10492" t="str">
            <v>M</v>
          </cell>
          <cell r="AB10492" t="str">
            <v>WB</v>
          </cell>
          <cell r="AF10492">
            <v>0.75</v>
          </cell>
        </row>
        <row r="10493">
          <cell r="A10493" t="str">
            <v>IS_alqt_plus</v>
          </cell>
          <cell r="K10493" t="str">
            <v>PCOQ</v>
          </cell>
          <cell r="M10493" t="str">
            <v>M</v>
          </cell>
          <cell r="AB10493" t="str">
            <v>WB</v>
          </cell>
          <cell r="AF10493">
            <v>1.5</v>
          </cell>
        </row>
        <row r="10494">
          <cell r="A10494" t="str">
            <v>IS_alqt_plus</v>
          </cell>
          <cell r="K10494" t="str">
            <v>PCOQ</v>
          </cell>
          <cell r="M10494" t="str">
            <v>M</v>
          </cell>
          <cell r="AB10494" t="str">
            <v>WB</v>
          </cell>
          <cell r="AF10494">
            <v>1.5</v>
          </cell>
        </row>
        <row r="10495">
          <cell r="A10495" t="str">
            <v>IS_alqt_plus</v>
          </cell>
          <cell r="K10495" t="str">
            <v>PCOQ</v>
          </cell>
          <cell r="M10495" t="str">
            <v>M</v>
          </cell>
          <cell r="AB10495" t="str">
            <v>WB</v>
          </cell>
          <cell r="AF10495">
            <v>1.5</v>
          </cell>
        </row>
        <row r="10496">
          <cell r="A10496" t="str">
            <v>IS_alqt_plus</v>
          </cell>
          <cell r="K10496" t="str">
            <v>PCOQ</v>
          </cell>
          <cell r="M10496" t="str">
            <v>M</v>
          </cell>
          <cell r="AB10496" t="str">
            <v>WB</v>
          </cell>
          <cell r="AF10496">
            <v>1.5</v>
          </cell>
        </row>
        <row r="10497">
          <cell r="A10497" t="str">
            <v>IS_alqt_plus</v>
          </cell>
          <cell r="K10497" t="str">
            <v>PCOQ</v>
          </cell>
          <cell r="M10497" t="str">
            <v>M</v>
          </cell>
          <cell r="AB10497" t="str">
            <v>WB</v>
          </cell>
          <cell r="AF10497">
            <v>1.5</v>
          </cell>
        </row>
        <row r="10498">
          <cell r="A10498" t="str">
            <v>IS_alqt_plus</v>
          </cell>
          <cell r="K10498" t="str">
            <v>PCOQ</v>
          </cell>
          <cell r="M10498" t="str">
            <v>M</v>
          </cell>
          <cell r="AB10498" t="str">
            <v>WB</v>
          </cell>
          <cell r="AF10498">
            <v>1.5</v>
          </cell>
        </row>
        <row r="10499">
          <cell r="A10499" t="str">
            <v>gone</v>
          </cell>
          <cell r="K10499" t="str">
            <v>LCAT</v>
          </cell>
          <cell r="M10499" t="str">
            <v>F</v>
          </cell>
          <cell r="AB10499" t="str">
            <v>serum</v>
          </cell>
          <cell r="AF10499">
            <v>0.2</v>
          </cell>
        </row>
        <row r="10500">
          <cell r="A10500" t="str">
            <v>gone</v>
          </cell>
          <cell r="K10500" t="str">
            <v>LCAT</v>
          </cell>
          <cell r="M10500" t="str">
            <v>F</v>
          </cell>
          <cell r="AB10500" t="str">
            <v>serum</v>
          </cell>
          <cell r="AF10500">
            <v>0.2</v>
          </cell>
        </row>
        <row r="10501">
          <cell r="A10501" t="str">
            <v>gone</v>
          </cell>
          <cell r="K10501" t="str">
            <v>LCAT</v>
          </cell>
          <cell r="M10501" t="str">
            <v>F</v>
          </cell>
          <cell r="AB10501" t="str">
            <v>serum</v>
          </cell>
          <cell r="AF10501">
            <v>0.2</v>
          </cell>
        </row>
        <row r="10502">
          <cell r="A10502" t="str">
            <v>gone</v>
          </cell>
          <cell r="K10502" t="str">
            <v>LCAT</v>
          </cell>
          <cell r="M10502" t="str">
            <v>F</v>
          </cell>
          <cell r="AB10502" t="str">
            <v>serum</v>
          </cell>
          <cell r="AF10502">
            <v>0.2</v>
          </cell>
        </row>
        <row r="10503">
          <cell r="A10503" t="str">
            <v>gone</v>
          </cell>
          <cell r="K10503" t="str">
            <v>LCAT</v>
          </cell>
          <cell r="M10503" t="str">
            <v>M</v>
          </cell>
          <cell r="AB10503" t="str">
            <v>serum</v>
          </cell>
          <cell r="AF10503">
            <v>0</v>
          </cell>
        </row>
        <row r="10504">
          <cell r="A10504" t="str">
            <v>gone</v>
          </cell>
          <cell r="K10504" t="str">
            <v>LCAT</v>
          </cell>
          <cell r="M10504" t="str">
            <v>M</v>
          </cell>
          <cell r="AB10504" t="str">
            <v>serum</v>
          </cell>
          <cell r="AF10504">
            <v>0</v>
          </cell>
        </row>
        <row r="10505">
          <cell r="A10505" t="str">
            <v>IS_alqt_plus</v>
          </cell>
          <cell r="K10505" t="str">
            <v>PCOQ</v>
          </cell>
          <cell r="M10505" t="str">
            <v>F</v>
          </cell>
          <cell r="AB10505" t="str">
            <v>serum</v>
          </cell>
          <cell r="AF10505">
            <v>0.2</v>
          </cell>
        </row>
        <row r="10506">
          <cell r="A10506" t="str">
            <v>IS_alqt_plus</v>
          </cell>
          <cell r="K10506" t="str">
            <v>PCOQ</v>
          </cell>
          <cell r="M10506" t="str">
            <v>F</v>
          </cell>
          <cell r="AB10506" t="str">
            <v>serum</v>
          </cell>
          <cell r="AF10506">
            <v>0.2</v>
          </cell>
        </row>
        <row r="10507">
          <cell r="A10507" t="str">
            <v>IS_alqt_plus</v>
          </cell>
          <cell r="K10507" t="str">
            <v>PCOQ</v>
          </cell>
          <cell r="M10507" t="str">
            <v>F</v>
          </cell>
          <cell r="AB10507" t="str">
            <v>serum</v>
          </cell>
          <cell r="AF10507">
            <v>0.2</v>
          </cell>
        </row>
        <row r="10508">
          <cell r="A10508" t="str">
            <v>unk</v>
          </cell>
          <cell r="K10508" t="str">
            <v>PCOQ</v>
          </cell>
          <cell r="M10508" t="str">
            <v>F</v>
          </cell>
          <cell r="AB10508" t="str">
            <v>serum</v>
          </cell>
          <cell r="AF10508">
            <v>0.2</v>
          </cell>
        </row>
        <row r="10509">
          <cell r="A10509" t="str">
            <v>unk</v>
          </cell>
          <cell r="K10509" t="str">
            <v>PCOQ</v>
          </cell>
          <cell r="M10509" t="str">
            <v>F</v>
          </cell>
          <cell r="AB10509" t="str">
            <v>serum</v>
          </cell>
          <cell r="AF10509">
            <v>0.2</v>
          </cell>
        </row>
        <row r="10510">
          <cell r="A10510" t="str">
            <v>unk</v>
          </cell>
          <cell r="K10510" t="str">
            <v>PCOQ</v>
          </cell>
          <cell r="M10510" t="str">
            <v>F</v>
          </cell>
          <cell r="AB10510" t="str">
            <v>serum</v>
          </cell>
          <cell r="AF10510">
            <v>0.2</v>
          </cell>
        </row>
        <row r="10511">
          <cell r="A10511" t="str">
            <v>unk</v>
          </cell>
          <cell r="K10511" t="str">
            <v>PCOQ</v>
          </cell>
          <cell r="M10511" t="str">
            <v>F</v>
          </cell>
          <cell r="AB10511" t="str">
            <v>serum</v>
          </cell>
          <cell r="AF10511">
            <v>0.2</v>
          </cell>
        </row>
        <row r="10512">
          <cell r="A10512" t="str">
            <v>unk</v>
          </cell>
          <cell r="K10512" t="str">
            <v>PCOQ</v>
          </cell>
          <cell r="M10512" t="str">
            <v>F</v>
          </cell>
          <cell r="AB10512" t="str">
            <v>serum</v>
          </cell>
          <cell r="AF10512">
            <v>0.2</v>
          </cell>
        </row>
        <row r="10513">
          <cell r="A10513" t="str">
            <v>unk</v>
          </cell>
          <cell r="K10513" t="str">
            <v>PCOQ</v>
          </cell>
          <cell r="M10513" t="str">
            <v>F</v>
          </cell>
          <cell r="AB10513" t="str">
            <v>serum</v>
          </cell>
          <cell r="AF10513">
            <v>0.2</v>
          </cell>
        </row>
        <row r="10514">
          <cell r="A10514" t="str">
            <v>unk</v>
          </cell>
          <cell r="K10514" t="str">
            <v>PCOQ</v>
          </cell>
          <cell r="M10514" t="str">
            <v>F</v>
          </cell>
          <cell r="AB10514" t="str">
            <v>serum</v>
          </cell>
          <cell r="AF10514">
            <v>0.2</v>
          </cell>
        </row>
        <row r="10515">
          <cell r="A10515" t="str">
            <v>unk</v>
          </cell>
          <cell r="K10515" t="str">
            <v>PCOQ</v>
          </cell>
          <cell r="M10515" t="str">
            <v>F</v>
          </cell>
          <cell r="AB10515" t="str">
            <v>serum</v>
          </cell>
          <cell r="AF10515">
            <v>0.2</v>
          </cell>
        </row>
        <row r="10516">
          <cell r="A10516" t="str">
            <v>unk</v>
          </cell>
          <cell r="K10516" t="str">
            <v>PCOQ</v>
          </cell>
          <cell r="M10516" t="str">
            <v>F</v>
          </cell>
          <cell r="AB10516" t="str">
            <v>serum</v>
          </cell>
          <cell r="AF10516">
            <v>0.5</v>
          </cell>
        </row>
        <row r="10517">
          <cell r="A10517" t="str">
            <v>IS_alqt_plus</v>
          </cell>
          <cell r="K10517" t="str">
            <v>PCOQ</v>
          </cell>
          <cell r="M10517" t="str">
            <v>M</v>
          </cell>
          <cell r="AB10517" t="str">
            <v>WB</v>
          </cell>
          <cell r="AF10517">
            <v>1.5</v>
          </cell>
        </row>
        <row r="10518">
          <cell r="A10518" t="str">
            <v>IS_alqt_plus</v>
          </cell>
          <cell r="K10518" t="str">
            <v>PCOQ</v>
          </cell>
          <cell r="M10518" t="str">
            <v>M</v>
          </cell>
          <cell r="AB10518" t="str">
            <v>WB</v>
          </cell>
          <cell r="AF10518">
            <v>1.5</v>
          </cell>
        </row>
        <row r="10519">
          <cell r="A10519" t="str">
            <v>IS_alqt_plus</v>
          </cell>
          <cell r="K10519" t="str">
            <v>PCOQ</v>
          </cell>
          <cell r="M10519" t="str">
            <v>M</v>
          </cell>
          <cell r="AB10519" t="str">
            <v>WB</v>
          </cell>
          <cell r="AF10519">
            <v>1.5</v>
          </cell>
        </row>
        <row r="10520">
          <cell r="A10520" t="str">
            <v>IS_alqt_plus</v>
          </cell>
          <cell r="K10520" t="str">
            <v>PCOQ</v>
          </cell>
          <cell r="M10520" t="str">
            <v>M</v>
          </cell>
          <cell r="AB10520" t="str">
            <v>WB</v>
          </cell>
          <cell r="AF10520">
            <v>1.5</v>
          </cell>
        </row>
        <row r="10521">
          <cell r="A10521" t="str">
            <v>IS_alqt_plus</v>
          </cell>
          <cell r="K10521" t="str">
            <v>PCOQ</v>
          </cell>
          <cell r="M10521" t="str">
            <v>M</v>
          </cell>
          <cell r="AB10521" t="str">
            <v>WB</v>
          </cell>
          <cell r="AF10521">
            <v>1.5</v>
          </cell>
        </row>
        <row r="10522">
          <cell r="A10522" t="str">
            <v>IS_alqt_plus</v>
          </cell>
          <cell r="K10522" t="str">
            <v>PCOQ</v>
          </cell>
          <cell r="M10522" t="str">
            <v>M</v>
          </cell>
          <cell r="AB10522" t="str">
            <v>WB</v>
          </cell>
          <cell r="AF10522">
            <v>1.5</v>
          </cell>
        </row>
        <row r="10523">
          <cell r="A10523" t="str">
            <v>IS_alqt_plus</v>
          </cell>
          <cell r="K10523" t="str">
            <v>PCOQ</v>
          </cell>
          <cell r="M10523" t="str">
            <v>M</v>
          </cell>
          <cell r="AB10523" t="str">
            <v>WB</v>
          </cell>
          <cell r="AF10523">
            <v>1.5</v>
          </cell>
        </row>
        <row r="10524">
          <cell r="A10524" t="str">
            <v>IS_alqt_plus</v>
          </cell>
          <cell r="K10524" t="str">
            <v>PCOQ</v>
          </cell>
          <cell r="M10524" t="str">
            <v>M</v>
          </cell>
          <cell r="AB10524" t="str">
            <v>WB</v>
          </cell>
          <cell r="AF10524">
            <v>1.5</v>
          </cell>
        </row>
        <row r="10525">
          <cell r="A10525" t="str">
            <v>IS_alqt_plus</v>
          </cell>
          <cell r="K10525" t="str">
            <v>PCOQ</v>
          </cell>
          <cell r="M10525" t="str">
            <v>M</v>
          </cell>
          <cell r="AB10525" t="str">
            <v>WB</v>
          </cell>
          <cell r="AF10525">
            <v>1.5</v>
          </cell>
        </row>
        <row r="10526">
          <cell r="A10526" t="str">
            <v>IS_alqt_plus</v>
          </cell>
          <cell r="K10526" t="str">
            <v>PCOQ</v>
          </cell>
          <cell r="M10526" t="str">
            <v>M</v>
          </cell>
          <cell r="AB10526" t="str">
            <v>WB</v>
          </cell>
          <cell r="AF10526">
            <v>1.5</v>
          </cell>
        </row>
        <row r="10527">
          <cell r="A10527" t="str">
            <v>IS_alqt_plus</v>
          </cell>
          <cell r="K10527" t="str">
            <v>PCOQ</v>
          </cell>
          <cell r="M10527" t="str">
            <v>M</v>
          </cell>
          <cell r="AB10527" t="str">
            <v>WB</v>
          </cell>
          <cell r="AF10527">
            <v>1.5</v>
          </cell>
        </row>
        <row r="10528">
          <cell r="A10528" t="str">
            <v>IS_alqt_plus</v>
          </cell>
          <cell r="K10528" t="str">
            <v>PCOQ</v>
          </cell>
          <cell r="M10528" t="str">
            <v>M</v>
          </cell>
          <cell r="AB10528" t="str">
            <v>WB</v>
          </cell>
          <cell r="AF10528">
            <v>1.5</v>
          </cell>
        </row>
        <row r="10529">
          <cell r="A10529" t="str">
            <v>IS_alqt_plus</v>
          </cell>
          <cell r="K10529" t="str">
            <v>PCOQ</v>
          </cell>
          <cell r="M10529" t="str">
            <v>F</v>
          </cell>
          <cell r="AB10529" t="str">
            <v>serum</v>
          </cell>
          <cell r="AF10529">
            <v>1</v>
          </cell>
        </row>
        <row r="10530">
          <cell r="A10530" t="str">
            <v>IS_alqt_plus</v>
          </cell>
          <cell r="K10530" t="str">
            <v>PCOQ</v>
          </cell>
          <cell r="M10530" t="str">
            <v>M</v>
          </cell>
          <cell r="AB10530" t="str">
            <v>WB</v>
          </cell>
          <cell r="AF10530">
            <v>1.25</v>
          </cell>
        </row>
        <row r="10531">
          <cell r="A10531" t="str">
            <v>IS_alqt_plus</v>
          </cell>
          <cell r="K10531" t="str">
            <v>PCOQ</v>
          </cell>
          <cell r="M10531" t="str">
            <v>M</v>
          </cell>
          <cell r="AB10531" t="str">
            <v>WB</v>
          </cell>
          <cell r="AF10531">
            <v>1.5</v>
          </cell>
        </row>
        <row r="10532">
          <cell r="A10532" t="str">
            <v>IS_alqt_plus</v>
          </cell>
          <cell r="K10532" t="str">
            <v>PCOQ</v>
          </cell>
          <cell r="M10532" t="str">
            <v>M</v>
          </cell>
          <cell r="AB10532" t="str">
            <v>WB</v>
          </cell>
          <cell r="AF10532">
            <v>1.5</v>
          </cell>
        </row>
        <row r="10533">
          <cell r="A10533" t="str">
            <v>IS_alqt_plus</v>
          </cell>
          <cell r="K10533" t="str">
            <v>PCOQ</v>
          </cell>
          <cell r="M10533" t="str">
            <v>M</v>
          </cell>
          <cell r="AB10533" t="str">
            <v>WB</v>
          </cell>
          <cell r="AF10533">
            <v>1.5</v>
          </cell>
        </row>
        <row r="10534">
          <cell r="A10534" t="str">
            <v>IS_alqt_plus</v>
          </cell>
          <cell r="K10534" t="str">
            <v>PCOQ</v>
          </cell>
          <cell r="M10534" t="str">
            <v>M</v>
          </cell>
          <cell r="AB10534" t="str">
            <v>WB</v>
          </cell>
          <cell r="AF10534">
            <v>1.5</v>
          </cell>
        </row>
        <row r="10535">
          <cell r="A10535" t="str">
            <v>IS_alqt_plus</v>
          </cell>
          <cell r="K10535" t="str">
            <v>PCOQ</v>
          </cell>
          <cell r="M10535" t="str">
            <v>M</v>
          </cell>
          <cell r="AB10535" t="str">
            <v>WB</v>
          </cell>
          <cell r="AF10535">
            <v>1.5</v>
          </cell>
        </row>
        <row r="10536">
          <cell r="A10536" t="str">
            <v>IS_alqt_plus</v>
          </cell>
          <cell r="K10536" t="str">
            <v>PCOQ</v>
          </cell>
          <cell r="M10536" t="str">
            <v>M</v>
          </cell>
          <cell r="AB10536" t="str">
            <v>WB</v>
          </cell>
          <cell r="AF10536">
            <v>1.5</v>
          </cell>
        </row>
        <row r="10537">
          <cell r="A10537" t="str">
            <v>IS_alqt_plus</v>
          </cell>
          <cell r="K10537" t="str">
            <v>PCOQ</v>
          </cell>
          <cell r="M10537" t="str">
            <v>M</v>
          </cell>
          <cell r="AB10537" t="str">
            <v>WB</v>
          </cell>
          <cell r="AF10537">
            <v>1.5</v>
          </cell>
        </row>
        <row r="10538">
          <cell r="A10538" t="str">
            <v>IS_alqt_plus</v>
          </cell>
          <cell r="K10538" t="str">
            <v>PCOQ</v>
          </cell>
          <cell r="M10538" t="str">
            <v>M</v>
          </cell>
          <cell r="AB10538" t="str">
            <v>WB</v>
          </cell>
          <cell r="AF10538">
            <v>1.5</v>
          </cell>
        </row>
        <row r="10539">
          <cell r="A10539" t="str">
            <v>IS_alqt_plus</v>
          </cell>
          <cell r="K10539" t="str">
            <v>PCOQ</v>
          </cell>
          <cell r="M10539" t="str">
            <v>M</v>
          </cell>
          <cell r="AB10539" t="str">
            <v>WB</v>
          </cell>
          <cell r="AF10539">
            <v>1.5</v>
          </cell>
        </row>
        <row r="10540">
          <cell r="A10540" t="str">
            <v>IS_alqt_plus</v>
          </cell>
          <cell r="K10540" t="str">
            <v>PCOQ</v>
          </cell>
          <cell r="M10540" t="str">
            <v>M</v>
          </cell>
          <cell r="AB10540" t="str">
            <v>WB</v>
          </cell>
          <cell r="AF10540">
            <v>1.5</v>
          </cell>
        </row>
        <row r="10541">
          <cell r="A10541" t="str">
            <v>IS_alqt_plus</v>
          </cell>
          <cell r="K10541" t="str">
            <v>PCOQ</v>
          </cell>
          <cell r="M10541" t="str">
            <v>M</v>
          </cell>
          <cell r="AB10541" t="str">
            <v>WB</v>
          </cell>
          <cell r="AF10541">
            <v>1.5</v>
          </cell>
        </row>
        <row r="10542">
          <cell r="A10542" t="str">
            <v>IS_alqt_plus</v>
          </cell>
          <cell r="K10542" t="str">
            <v>PCOQ</v>
          </cell>
          <cell r="M10542" t="str">
            <v>M</v>
          </cell>
          <cell r="AB10542" t="str">
            <v>WB</v>
          </cell>
          <cell r="AF10542">
            <v>1.5</v>
          </cell>
        </row>
        <row r="10543">
          <cell r="A10543" t="str">
            <v>IS_alqt_plus</v>
          </cell>
          <cell r="K10543" t="str">
            <v>PCOQ</v>
          </cell>
          <cell r="M10543" t="str">
            <v>M</v>
          </cell>
          <cell r="AB10543" t="str">
            <v>WB</v>
          </cell>
          <cell r="AF10543">
            <v>1.5</v>
          </cell>
        </row>
        <row r="10544">
          <cell r="A10544" t="str">
            <v>IS_alqt_plus</v>
          </cell>
          <cell r="K10544" t="str">
            <v>PCOQ</v>
          </cell>
          <cell r="M10544" t="str">
            <v>M</v>
          </cell>
          <cell r="AB10544" t="str">
            <v>WB</v>
          </cell>
          <cell r="AF10544">
            <v>1.5</v>
          </cell>
        </row>
        <row r="10545">
          <cell r="A10545" t="str">
            <v>IS_alqt_plus</v>
          </cell>
          <cell r="K10545" t="str">
            <v>PCOQ</v>
          </cell>
          <cell r="M10545" t="str">
            <v>M</v>
          </cell>
          <cell r="AB10545" t="str">
            <v>WB</v>
          </cell>
          <cell r="AF10545">
            <v>1.5</v>
          </cell>
        </row>
        <row r="10546">
          <cell r="A10546" t="str">
            <v>IS_alqt_plus</v>
          </cell>
          <cell r="K10546" t="str">
            <v>PCOQ</v>
          </cell>
          <cell r="M10546" t="str">
            <v>M</v>
          </cell>
          <cell r="AB10546" t="str">
            <v>WB</v>
          </cell>
          <cell r="AF10546">
            <v>1.5</v>
          </cell>
        </row>
        <row r="10547">
          <cell r="A10547" t="str">
            <v>IS_alqt_plus</v>
          </cell>
          <cell r="K10547" t="str">
            <v>PCOQ</v>
          </cell>
          <cell r="M10547" t="str">
            <v>M</v>
          </cell>
          <cell r="AB10547" t="str">
            <v>WB</v>
          </cell>
          <cell r="AF10547">
            <v>1.5</v>
          </cell>
        </row>
        <row r="10548">
          <cell r="A10548" t="str">
            <v>IS_alqt_plus</v>
          </cell>
          <cell r="K10548" t="str">
            <v>PCOQ</v>
          </cell>
          <cell r="M10548" t="str">
            <v>M</v>
          </cell>
          <cell r="AB10548" t="str">
            <v>WB</v>
          </cell>
          <cell r="AF10548">
            <v>1.5</v>
          </cell>
        </row>
        <row r="10549">
          <cell r="A10549" t="str">
            <v>IS_alqt_plus</v>
          </cell>
          <cell r="K10549" t="str">
            <v>PCOQ</v>
          </cell>
          <cell r="M10549" t="str">
            <v>M</v>
          </cell>
          <cell r="AB10549" t="str">
            <v>WB</v>
          </cell>
          <cell r="AF10549">
            <v>1.5</v>
          </cell>
        </row>
        <row r="10550">
          <cell r="A10550" t="str">
            <v>IS_alqt_plus</v>
          </cell>
          <cell r="K10550" t="str">
            <v>PCOQ</v>
          </cell>
          <cell r="M10550" t="str">
            <v>M</v>
          </cell>
          <cell r="AB10550" t="str">
            <v>WB</v>
          </cell>
          <cell r="AF10550">
            <v>1.5</v>
          </cell>
        </row>
        <row r="10551">
          <cell r="A10551" t="str">
            <v>IS_alqt_plus</v>
          </cell>
          <cell r="K10551" t="str">
            <v>PCOQ</v>
          </cell>
          <cell r="M10551" t="str">
            <v>M</v>
          </cell>
          <cell r="AB10551" t="str">
            <v>WB</v>
          </cell>
          <cell r="AF10551">
            <v>1.5</v>
          </cell>
        </row>
        <row r="10552">
          <cell r="A10552" t="str">
            <v>IS_alqt_plus</v>
          </cell>
          <cell r="K10552" t="str">
            <v>PCOQ</v>
          </cell>
          <cell r="M10552" t="str">
            <v>M</v>
          </cell>
          <cell r="AB10552" t="str">
            <v>WB</v>
          </cell>
          <cell r="AF10552">
            <v>1.5</v>
          </cell>
        </row>
        <row r="10553">
          <cell r="A10553" t="str">
            <v>IS_alqt_plus</v>
          </cell>
          <cell r="K10553" t="str">
            <v>PCOQ</v>
          </cell>
          <cell r="M10553" t="str">
            <v>M</v>
          </cell>
          <cell r="AB10553" t="str">
            <v>WB</v>
          </cell>
          <cell r="AF10553">
            <v>1.5</v>
          </cell>
        </row>
        <row r="10554">
          <cell r="A10554" t="str">
            <v>IS_alqt_plus</v>
          </cell>
          <cell r="K10554" t="str">
            <v>PCOQ</v>
          </cell>
          <cell r="M10554" t="str">
            <v>M</v>
          </cell>
          <cell r="AB10554" t="str">
            <v>WB</v>
          </cell>
          <cell r="AF10554">
            <v>1.5</v>
          </cell>
        </row>
        <row r="10555">
          <cell r="A10555" t="str">
            <v>IS_alqt_plus</v>
          </cell>
          <cell r="K10555" t="str">
            <v>PCOQ</v>
          </cell>
          <cell r="M10555" t="str">
            <v>M</v>
          </cell>
          <cell r="AB10555" t="str">
            <v>WB</v>
          </cell>
          <cell r="AF10555">
            <v>1.5</v>
          </cell>
        </row>
        <row r="10556">
          <cell r="A10556" t="str">
            <v>IS_alqt_plus</v>
          </cell>
          <cell r="K10556" t="str">
            <v>PCOQ</v>
          </cell>
          <cell r="M10556" t="str">
            <v>M</v>
          </cell>
          <cell r="AB10556" t="str">
            <v>WB</v>
          </cell>
          <cell r="AF10556">
            <v>1.5</v>
          </cell>
        </row>
        <row r="10557">
          <cell r="A10557" t="str">
            <v>IS_alqt_plus</v>
          </cell>
          <cell r="K10557" t="str">
            <v>PCOQ</v>
          </cell>
          <cell r="M10557" t="str">
            <v>M</v>
          </cell>
          <cell r="AB10557" t="str">
            <v>WB</v>
          </cell>
          <cell r="AF10557">
            <v>1.5</v>
          </cell>
        </row>
        <row r="10558">
          <cell r="A10558" t="str">
            <v>gone</v>
          </cell>
          <cell r="K10558" t="str">
            <v>LCAT</v>
          </cell>
          <cell r="M10558" t="str">
            <v>M</v>
          </cell>
          <cell r="AB10558" t="str">
            <v>serum</v>
          </cell>
          <cell r="AF10558">
            <v>0</v>
          </cell>
        </row>
        <row r="10559">
          <cell r="A10559" t="str">
            <v>IS_alqt_plus</v>
          </cell>
          <cell r="K10559" t="str">
            <v>LCAT</v>
          </cell>
          <cell r="M10559" t="str">
            <v>M</v>
          </cell>
          <cell r="AB10559" t="str">
            <v>serum</v>
          </cell>
          <cell r="AF10559">
            <v>0.2</v>
          </cell>
        </row>
        <row r="10560">
          <cell r="A10560" t="str">
            <v>gone</v>
          </cell>
          <cell r="K10560" t="str">
            <v>LCAT</v>
          </cell>
          <cell r="M10560" t="str">
            <v>M</v>
          </cell>
          <cell r="AB10560" t="str">
            <v>serum</v>
          </cell>
          <cell r="AF10560">
            <v>0</v>
          </cell>
        </row>
        <row r="10561">
          <cell r="A10561" t="str">
            <v>IS_alqt_plus</v>
          </cell>
          <cell r="K10561" t="str">
            <v>LCAT</v>
          </cell>
          <cell r="M10561" t="str">
            <v>F</v>
          </cell>
          <cell r="AB10561" t="str">
            <v>serum</v>
          </cell>
          <cell r="AF10561">
            <v>0.2</v>
          </cell>
        </row>
        <row r="10562">
          <cell r="A10562" t="str">
            <v>gone</v>
          </cell>
          <cell r="K10562" t="str">
            <v>LCAT</v>
          </cell>
          <cell r="M10562" t="str">
            <v>M</v>
          </cell>
          <cell r="AB10562" t="str">
            <v>serum</v>
          </cell>
          <cell r="AF10562">
            <v>0</v>
          </cell>
        </row>
        <row r="10563">
          <cell r="A10563" t="str">
            <v>IS_alqt_plus</v>
          </cell>
          <cell r="K10563" t="str">
            <v>PCOQ</v>
          </cell>
          <cell r="M10563" t="str">
            <v>M</v>
          </cell>
          <cell r="AB10563" t="str">
            <v>WB</v>
          </cell>
          <cell r="AF10563">
            <v>1.5</v>
          </cell>
        </row>
        <row r="10564">
          <cell r="A10564" t="str">
            <v>IS_alqt_plus</v>
          </cell>
          <cell r="K10564" t="str">
            <v>ECOR</v>
          </cell>
          <cell r="M10564" t="str">
            <v>F</v>
          </cell>
          <cell r="AB10564" t="str">
            <v>serum</v>
          </cell>
          <cell r="AF10564">
            <v>1</v>
          </cell>
        </row>
        <row r="10565">
          <cell r="A10565" t="str">
            <v>IS_alqt_plus</v>
          </cell>
          <cell r="K10565" t="str">
            <v>ECOR</v>
          </cell>
          <cell r="M10565" t="str">
            <v>F</v>
          </cell>
          <cell r="AB10565" t="str">
            <v>WB</v>
          </cell>
          <cell r="AF10565">
            <v>1</v>
          </cell>
        </row>
        <row r="10566">
          <cell r="A10566" t="str">
            <v>IS_alqt_plus</v>
          </cell>
          <cell r="K10566" t="str">
            <v>EFLA</v>
          </cell>
          <cell r="M10566" t="str">
            <v>F</v>
          </cell>
          <cell r="AB10566" t="str">
            <v>serum</v>
          </cell>
          <cell r="AF10566">
            <v>1.5</v>
          </cell>
        </row>
        <row r="10567">
          <cell r="A10567" t="str">
            <v>IS_alqt_plus</v>
          </cell>
          <cell r="K10567" t="str">
            <v>EFLA</v>
          </cell>
          <cell r="M10567" t="str">
            <v>F</v>
          </cell>
          <cell r="AB10567" t="str">
            <v>WB</v>
          </cell>
          <cell r="AF10567">
            <v>1</v>
          </cell>
        </row>
        <row r="10568">
          <cell r="A10568" t="str">
            <v>IS_alqt_plus</v>
          </cell>
          <cell r="K10568" t="str">
            <v>PCOQ</v>
          </cell>
          <cell r="M10568" t="str">
            <v>F</v>
          </cell>
          <cell r="AB10568" t="str">
            <v>serum</v>
          </cell>
          <cell r="AF10568">
            <v>0.2</v>
          </cell>
        </row>
        <row r="10569">
          <cell r="A10569" t="str">
            <v>gone</v>
          </cell>
          <cell r="K10569" t="str">
            <v>PCOQ</v>
          </cell>
          <cell r="M10569" t="str">
            <v>F</v>
          </cell>
          <cell r="AB10569" t="str">
            <v>serum</v>
          </cell>
          <cell r="AF10569">
            <v>0</v>
          </cell>
        </row>
        <row r="10570">
          <cell r="A10570" t="str">
            <v>gone</v>
          </cell>
          <cell r="K10570" t="str">
            <v>PCOQ</v>
          </cell>
          <cell r="M10570" t="str">
            <v>F</v>
          </cell>
          <cell r="AB10570" t="str">
            <v>serum</v>
          </cell>
          <cell r="AF10570">
            <v>0</v>
          </cell>
        </row>
        <row r="10571">
          <cell r="A10571" t="str">
            <v>gone</v>
          </cell>
          <cell r="K10571" t="str">
            <v>PCOQ</v>
          </cell>
          <cell r="M10571" t="str">
            <v>F</v>
          </cell>
          <cell r="AB10571" t="str">
            <v>serum</v>
          </cell>
          <cell r="AF10571">
            <v>0</v>
          </cell>
        </row>
        <row r="10572">
          <cell r="A10572" t="str">
            <v>gone</v>
          </cell>
          <cell r="K10572" t="str">
            <v>PCOQ</v>
          </cell>
          <cell r="M10572" t="str">
            <v>F</v>
          </cell>
          <cell r="AB10572" t="str">
            <v>serum</v>
          </cell>
          <cell r="AF10572">
            <v>0</v>
          </cell>
        </row>
        <row r="10573">
          <cell r="A10573" t="str">
            <v>gone</v>
          </cell>
          <cell r="K10573" t="str">
            <v>PCOQ</v>
          </cell>
          <cell r="M10573" t="str">
            <v>F</v>
          </cell>
          <cell r="AB10573" t="str">
            <v>serum</v>
          </cell>
          <cell r="AF10573">
            <v>0</v>
          </cell>
        </row>
        <row r="10574">
          <cell r="A10574" t="str">
            <v>gone</v>
          </cell>
          <cell r="K10574" t="str">
            <v>PCOQ</v>
          </cell>
          <cell r="M10574" t="str">
            <v>M</v>
          </cell>
          <cell r="AB10574" t="str">
            <v>serum</v>
          </cell>
          <cell r="AF10574">
            <v>0</v>
          </cell>
        </row>
        <row r="10575">
          <cell r="A10575" t="str">
            <v>gone</v>
          </cell>
          <cell r="K10575" t="str">
            <v>PCOQ</v>
          </cell>
          <cell r="M10575" t="str">
            <v>M</v>
          </cell>
          <cell r="AB10575" t="str">
            <v>serum</v>
          </cell>
          <cell r="AF10575">
            <v>0</v>
          </cell>
        </row>
        <row r="10576">
          <cell r="A10576" t="str">
            <v>gone</v>
          </cell>
          <cell r="K10576" t="str">
            <v>PCOQ</v>
          </cell>
          <cell r="M10576" t="str">
            <v>M</v>
          </cell>
          <cell r="AB10576" t="str">
            <v>serum</v>
          </cell>
          <cell r="AF10576">
            <v>0</v>
          </cell>
        </row>
        <row r="10577">
          <cell r="A10577" t="str">
            <v>gone</v>
          </cell>
          <cell r="K10577" t="str">
            <v>PCOQ</v>
          </cell>
          <cell r="M10577" t="str">
            <v>M</v>
          </cell>
          <cell r="AB10577" t="str">
            <v>serum</v>
          </cell>
          <cell r="AF10577">
            <v>0</v>
          </cell>
        </row>
        <row r="10578">
          <cell r="A10578" t="str">
            <v>gone</v>
          </cell>
          <cell r="K10578" t="str">
            <v>PCOQ</v>
          </cell>
          <cell r="M10578" t="str">
            <v>M</v>
          </cell>
          <cell r="AB10578" t="str">
            <v>serum</v>
          </cell>
          <cell r="AF10578">
            <v>0</v>
          </cell>
        </row>
        <row r="10579">
          <cell r="A10579" t="str">
            <v>IS_alqt_plus</v>
          </cell>
          <cell r="K10579" t="str">
            <v>PCOQ</v>
          </cell>
          <cell r="M10579" t="str">
            <v>M</v>
          </cell>
          <cell r="AB10579" t="str">
            <v>serum</v>
          </cell>
          <cell r="AF10579">
            <v>0.2</v>
          </cell>
        </row>
        <row r="10580">
          <cell r="A10580" t="str">
            <v>IS_alqt_plus</v>
          </cell>
          <cell r="K10580" t="str">
            <v>PCOQ</v>
          </cell>
          <cell r="M10580" t="str">
            <v>M</v>
          </cell>
          <cell r="AB10580" t="str">
            <v>WB</v>
          </cell>
          <cell r="AF10580">
            <v>1.5</v>
          </cell>
        </row>
        <row r="10581">
          <cell r="A10581" t="str">
            <v>IS_alqt_plus</v>
          </cell>
          <cell r="K10581" t="str">
            <v>PCOQ</v>
          </cell>
          <cell r="M10581" t="str">
            <v>M</v>
          </cell>
          <cell r="AB10581" t="str">
            <v>WB</v>
          </cell>
          <cell r="AF10581">
            <v>1.5</v>
          </cell>
        </row>
        <row r="10582">
          <cell r="A10582" t="str">
            <v>IS_alqt_plus</v>
          </cell>
          <cell r="K10582" t="str">
            <v>PCOQ</v>
          </cell>
          <cell r="M10582" t="str">
            <v>M</v>
          </cell>
          <cell r="AB10582" t="str">
            <v>WB</v>
          </cell>
          <cell r="AF10582">
            <v>1.25</v>
          </cell>
        </row>
        <row r="10583">
          <cell r="A10583" t="str">
            <v>IS_alqt_plus</v>
          </cell>
          <cell r="K10583" t="str">
            <v>PCOQ</v>
          </cell>
          <cell r="M10583" t="str">
            <v>M</v>
          </cell>
          <cell r="AB10583" t="str">
            <v>WB</v>
          </cell>
          <cell r="AF10583">
            <v>1.5</v>
          </cell>
        </row>
        <row r="10584">
          <cell r="A10584" t="str">
            <v>IS_alqt_plus</v>
          </cell>
          <cell r="K10584" t="str">
            <v>PCOQ</v>
          </cell>
          <cell r="M10584" t="str">
            <v>M</v>
          </cell>
          <cell r="AB10584" t="str">
            <v>WB</v>
          </cell>
          <cell r="AF10584">
            <v>1.5</v>
          </cell>
        </row>
        <row r="10585">
          <cell r="A10585" t="str">
            <v>IS_alqt_plus</v>
          </cell>
          <cell r="K10585" t="str">
            <v>PCOQ</v>
          </cell>
          <cell r="M10585" t="str">
            <v>M</v>
          </cell>
          <cell r="AB10585" t="str">
            <v>WB</v>
          </cell>
          <cell r="AF10585">
            <v>1.5</v>
          </cell>
        </row>
        <row r="10586">
          <cell r="A10586" t="str">
            <v>IS_alqt_plus</v>
          </cell>
          <cell r="K10586" t="str">
            <v>PCOQ</v>
          </cell>
          <cell r="M10586" t="str">
            <v>M</v>
          </cell>
          <cell r="AB10586" t="str">
            <v>WB</v>
          </cell>
          <cell r="AF10586">
            <v>1</v>
          </cell>
        </row>
        <row r="10587">
          <cell r="A10587" t="str">
            <v>IS_alqt_plus</v>
          </cell>
          <cell r="K10587" t="str">
            <v>PCOQ</v>
          </cell>
          <cell r="M10587" t="str">
            <v>M</v>
          </cell>
          <cell r="AB10587" t="str">
            <v>WB</v>
          </cell>
          <cell r="AF10587">
            <v>1.5</v>
          </cell>
        </row>
        <row r="10588">
          <cell r="A10588" t="str">
            <v>IS_alqt_plus</v>
          </cell>
          <cell r="K10588" t="str">
            <v>PCOQ</v>
          </cell>
          <cell r="M10588" t="str">
            <v>M</v>
          </cell>
          <cell r="AB10588" t="str">
            <v>WB</v>
          </cell>
          <cell r="AF10588">
            <v>0.7</v>
          </cell>
        </row>
        <row r="10589">
          <cell r="A10589" t="str">
            <v>IS_alqt_plus</v>
          </cell>
          <cell r="K10589" t="str">
            <v>PCOQ</v>
          </cell>
          <cell r="M10589" t="str">
            <v>M</v>
          </cell>
          <cell r="AB10589" t="str">
            <v>WB</v>
          </cell>
          <cell r="AF10589">
            <v>0.5</v>
          </cell>
        </row>
        <row r="10590">
          <cell r="A10590" t="str">
            <v>IS_alqt_plus</v>
          </cell>
          <cell r="K10590" t="str">
            <v>PCOQ</v>
          </cell>
          <cell r="M10590" t="str">
            <v>F</v>
          </cell>
          <cell r="AB10590" t="str">
            <v>WB</v>
          </cell>
          <cell r="AF10590">
            <v>0.5</v>
          </cell>
        </row>
        <row r="10591">
          <cell r="A10591" t="str">
            <v>gone</v>
          </cell>
          <cell r="K10591" t="str">
            <v>PCOQ</v>
          </cell>
          <cell r="M10591" t="str">
            <v>F</v>
          </cell>
          <cell r="AB10591" t="str">
            <v>serum</v>
          </cell>
          <cell r="AF10591">
            <v>0</v>
          </cell>
        </row>
        <row r="10592">
          <cell r="A10592" t="str">
            <v>gone</v>
          </cell>
          <cell r="K10592" t="str">
            <v>PCOQ</v>
          </cell>
          <cell r="M10592" t="str">
            <v>F</v>
          </cell>
          <cell r="AB10592" t="str">
            <v>serum</v>
          </cell>
          <cell r="AF10592">
            <v>0</v>
          </cell>
        </row>
        <row r="10593">
          <cell r="A10593" t="str">
            <v>gone</v>
          </cell>
          <cell r="K10593" t="str">
            <v>PCOQ</v>
          </cell>
          <cell r="M10593" t="str">
            <v>F</v>
          </cell>
          <cell r="AB10593" t="str">
            <v>serum</v>
          </cell>
          <cell r="AF10593">
            <v>0</v>
          </cell>
        </row>
        <row r="10594">
          <cell r="A10594" t="str">
            <v>gone</v>
          </cell>
          <cell r="K10594" t="str">
            <v>PCOQ</v>
          </cell>
          <cell r="M10594" t="str">
            <v>F</v>
          </cell>
          <cell r="AB10594" t="str">
            <v>serum</v>
          </cell>
          <cell r="AF10594">
            <v>0</v>
          </cell>
        </row>
        <row r="10595">
          <cell r="A10595" t="str">
            <v>gone</v>
          </cell>
          <cell r="K10595" t="str">
            <v>PCOQ</v>
          </cell>
          <cell r="M10595" t="str">
            <v>F</v>
          </cell>
          <cell r="AB10595" t="str">
            <v>serum</v>
          </cell>
          <cell r="AF10595">
            <v>0</v>
          </cell>
        </row>
        <row r="10596">
          <cell r="A10596" t="str">
            <v>IS_alqt_plus</v>
          </cell>
          <cell r="K10596" t="str">
            <v>PCOQ</v>
          </cell>
          <cell r="M10596" t="str">
            <v>M</v>
          </cell>
          <cell r="AB10596" t="str">
            <v>WB</v>
          </cell>
          <cell r="AF10596">
            <v>0.4</v>
          </cell>
        </row>
        <row r="10597">
          <cell r="A10597" t="str">
            <v>gone</v>
          </cell>
          <cell r="K10597" t="str">
            <v>PCOQ</v>
          </cell>
          <cell r="M10597" t="str">
            <v>F</v>
          </cell>
          <cell r="AB10597" t="str">
            <v>WB</v>
          </cell>
          <cell r="AF10597">
            <v>0</v>
          </cell>
        </row>
        <row r="10598">
          <cell r="A10598" t="str">
            <v>IS_alqt_plus</v>
          </cell>
          <cell r="K10598" t="str">
            <v>PCOQ</v>
          </cell>
          <cell r="M10598" t="str">
            <v>M</v>
          </cell>
          <cell r="AB10598" t="str">
            <v>WB</v>
          </cell>
          <cell r="AF10598">
            <v>1.2</v>
          </cell>
        </row>
        <row r="10599">
          <cell r="A10599" t="str">
            <v>gone</v>
          </cell>
          <cell r="K10599" t="str">
            <v>PCOQ</v>
          </cell>
          <cell r="M10599" t="str">
            <v>M</v>
          </cell>
          <cell r="AB10599" t="str">
            <v>WB</v>
          </cell>
          <cell r="AF10599">
            <v>0</v>
          </cell>
        </row>
        <row r="10600">
          <cell r="A10600" t="str">
            <v>IS_alqt_plus</v>
          </cell>
          <cell r="K10600" t="str">
            <v>PCOQ</v>
          </cell>
          <cell r="M10600" t="str">
            <v>M</v>
          </cell>
          <cell r="AB10600" t="str">
            <v>WB</v>
          </cell>
          <cell r="AF10600">
            <v>0.75</v>
          </cell>
        </row>
        <row r="10601">
          <cell r="A10601" t="str">
            <v>IS_alqt_plus</v>
          </cell>
          <cell r="K10601" t="str">
            <v>PCOQ</v>
          </cell>
          <cell r="M10601" t="str">
            <v>M</v>
          </cell>
          <cell r="AB10601" t="str">
            <v>WB</v>
          </cell>
          <cell r="AF10601">
            <v>0.75</v>
          </cell>
        </row>
        <row r="10602">
          <cell r="A10602" t="str">
            <v>IS_alqt_plus</v>
          </cell>
          <cell r="K10602" t="str">
            <v>PCOQ</v>
          </cell>
          <cell r="M10602" t="str">
            <v>M</v>
          </cell>
          <cell r="AB10602" t="str">
            <v>WB</v>
          </cell>
          <cell r="AF10602">
            <v>0.5</v>
          </cell>
        </row>
        <row r="10603">
          <cell r="A10603" t="str">
            <v>IS_alqt_plus</v>
          </cell>
          <cell r="K10603" t="str">
            <v>PCOQ</v>
          </cell>
          <cell r="M10603" t="str">
            <v>M</v>
          </cell>
          <cell r="AB10603" t="str">
            <v>WB</v>
          </cell>
          <cell r="AF10603">
            <v>0.5</v>
          </cell>
        </row>
        <row r="10604">
          <cell r="A10604" t="str">
            <v>IS_alqt_plus</v>
          </cell>
          <cell r="K10604" t="str">
            <v>PCOQ</v>
          </cell>
          <cell r="M10604" t="str">
            <v>M</v>
          </cell>
          <cell r="AB10604" t="str">
            <v>WB</v>
          </cell>
          <cell r="AF10604">
            <v>0.5</v>
          </cell>
        </row>
        <row r="10605">
          <cell r="A10605" t="str">
            <v>IS_alqt_plus</v>
          </cell>
          <cell r="K10605" t="str">
            <v>PCOQ</v>
          </cell>
          <cell r="M10605" t="str">
            <v>M</v>
          </cell>
          <cell r="AB10605" t="str">
            <v>WB</v>
          </cell>
          <cell r="AF10605">
            <v>0.5</v>
          </cell>
        </row>
        <row r="10606">
          <cell r="A10606" t="str">
            <v>IS_alqt_plus</v>
          </cell>
          <cell r="K10606" t="str">
            <v>PCOQ</v>
          </cell>
          <cell r="M10606" t="str">
            <v>M</v>
          </cell>
          <cell r="AB10606" t="str">
            <v>WB</v>
          </cell>
          <cell r="AF10606">
            <v>0.7</v>
          </cell>
        </row>
        <row r="10607">
          <cell r="A10607" t="str">
            <v>IS_alqt_plus</v>
          </cell>
          <cell r="K10607" t="str">
            <v>PCOQ</v>
          </cell>
          <cell r="M10607" t="str">
            <v>M</v>
          </cell>
          <cell r="AB10607" t="str">
            <v>WB</v>
          </cell>
          <cell r="AF10607">
            <v>0.65</v>
          </cell>
        </row>
        <row r="10608">
          <cell r="A10608" t="str">
            <v>IS_alqt_plus</v>
          </cell>
          <cell r="K10608" t="str">
            <v>PCOQ</v>
          </cell>
          <cell r="M10608" t="str">
            <v>M</v>
          </cell>
          <cell r="AB10608" t="str">
            <v>WB</v>
          </cell>
          <cell r="AF10608">
            <v>0.7</v>
          </cell>
        </row>
        <row r="10609">
          <cell r="A10609" t="str">
            <v>IS_alqt_plus</v>
          </cell>
          <cell r="K10609" t="str">
            <v>PCOQ</v>
          </cell>
          <cell r="M10609" t="str">
            <v>M</v>
          </cell>
          <cell r="AB10609" t="str">
            <v>WB</v>
          </cell>
          <cell r="AF10609">
            <v>0.7</v>
          </cell>
        </row>
        <row r="10610">
          <cell r="A10610" t="str">
            <v>IS_alqt_plus</v>
          </cell>
          <cell r="K10610" t="str">
            <v>PCOQ</v>
          </cell>
          <cell r="M10610" t="str">
            <v>M</v>
          </cell>
          <cell r="AB10610" t="str">
            <v>WB</v>
          </cell>
          <cell r="AF10610">
            <v>0.25</v>
          </cell>
        </row>
        <row r="10611">
          <cell r="A10611" t="str">
            <v>unk</v>
          </cell>
          <cell r="K10611" t="str">
            <v>PCOQ</v>
          </cell>
          <cell r="M10611" t="str">
            <v>F</v>
          </cell>
          <cell r="AB10611" t="str">
            <v>WB</v>
          </cell>
          <cell r="AF10611" t="str">
            <v>.</v>
          </cell>
        </row>
        <row r="10612">
          <cell r="A10612" t="str">
            <v>IS_alqt_plus</v>
          </cell>
          <cell r="K10612" t="str">
            <v>PCOQ</v>
          </cell>
          <cell r="M10612" t="str">
            <v>M</v>
          </cell>
          <cell r="AB10612" t="str">
            <v>WB</v>
          </cell>
          <cell r="AF10612">
            <v>1.5</v>
          </cell>
        </row>
        <row r="10613">
          <cell r="A10613" t="str">
            <v>IS_alqt_plus</v>
          </cell>
          <cell r="K10613" t="str">
            <v>LCAT</v>
          </cell>
          <cell r="M10613" t="str">
            <v>F</v>
          </cell>
          <cell r="AB10613" t="str">
            <v>serum</v>
          </cell>
          <cell r="AF10613">
            <v>0.2</v>
          </cell>
        </row>
        <row r="10614">
          <cell r="A10614" t="str">
            <v>IS_alqt_plus</v>
          </cell>
          <cell r="K10614" t="str">
            <v>LCAT</v>
          </cell>
          <cell r="M10614" t="str">
            <v>F</v>
          </cell>
          <cell r="AB10614" t="str">
            <v>serum</v>
          </cell>
          <cell r="AF10614">
            <v>0.2</v>
          </cell>
        </row>
        <row r="10615">
          <cell r="A10615" t="str">
            <v>IS_alqt_plus</v>
          </cell>
          <cell r="K10615" t="str">
            <v>LCAT</v>
          </cell>
          <cell r="M10615" t="str">
            <v>F</v>
          </cell>
          <cell r="AB10615" t="str">
            <v>serum</v>
          </cell>
          <cell r="AF10615">
            <v>0.2</v>
          </cell>
        </row>
        <row r="10616">
          <cell r="A10616" t="str">
            <v>gone</v>
          </cell>
          <cell r="K10616" t="str">
            <v>LCAT</v>
          </cell>
          <cell r="M10616" t="str">
            <v>M</v>
          </cell>
          <cell r="AB10616" t="str">
            <v>serum</v>
          </cell>
          <cell r="AF10616">
            <v>0</v>
          </cell>
        </row>
        <row r="10617">
          <cell r="A10617" t="str">
            <v>gone</v>
          </cell>
          <cell r="K10617" t="str">
            <v>LCAT</v>
          </cell>
          <cell r="M10617" t="str">
            <v>F</v>
          </cell>
          <cell r="AB10617" t="str">
            <v>serum</v>
          </cell>
          <cell r="AF10617">
            <v>0</v>
          </cell>
        </row>
        <row r="10618">
          <cell r="A10618" t="str">
            <v>gone</v>
          </cell>
          <cell r="K10618" t="str">
            <v>LCAT</v>
          </cell>
          <cell r="M10618" t="str">
            <v>F</v>
          </cell>
          <cell r="AB10618" t="str">
            <v>serum</v>
          </cell>
          <cell r="AF10618">
            <v>0</v>
          </cell>
        </row>
        <row r="10619">
          <cell r="A10619" t="str">
            <v>gone</v>
          </cell>
          <cell r="K10619" t="str">
            <v>LCAT</v>
          </cell>
          <cell r="M10619" t="str">
            <v>F</v>
          </cell>
          <cell r="AB10619" t="str">
            <v>serum</v>
          </cell>
          <cell r="AF10619">
            <v>0.2</v>
          </cell>
        </row>
        <row r="10620">
          <cell r="A10620" t="str">
            <v>gone</v>
          </cell>
          <cell r="K10620" t="str">
            <v>LCAT</v>
          </cell>
          <cell r="M10620" t="str">
            <v>F</v>
          </cell>
          <cell r="AB10620" t="str">
            <v>serum</v>
          </cell>
          <cell r="AF10620">
            <v>0.3</v>
          </cell>
        </row>
        <row r="10621">
          <cell r="A10621" t="str">
            <v>gone</v>
          </cell>
          <cell r="K10621" t="str">
            <v>LCAT</v>
          </cell>
          <cell r="M10621" t="str">
            <v>M</v>
          </cell>
          <cell r="AB10621" t="str">
            <v>serum</v>
          </cell>
          <cell r="AF10621">
            <v>0</v>
          </cell>
        </row>
        <row r="10622">
          <cell r="A10622" t="str">
            <v>gone</v>
          </cell>
          <cell r="K10622" t="str">
            <v>LCAT</v>
          </cell>
          <cell r="M10622" t="str">
            <v>M</v>
          </cell>
          <cell r="AB10622" t="str">
            <v>serum</v>
          </cell>
          <cell r="AF10622">
            <v>0</v>
          </cell>
        </row>
        <row r="10623">
          <cell r="A10623" t="str">
            <v>gone</v>
          </cell>
          <cell r="K10623" t="str">
            <v>LCAT</v>
          </cell>
          <cell r="M10623" t="str">
            <v>M</v>
          </cell>
          <cell r="AB10623" t="str">
            <v>serum</v>
          </cell>
          <cell r="AF10623">
            <v>0</v>
          </cell>
        </row>
        <row r="10624">
          <cell r="A10624" t="str">
            <v>gone</v>
          </cell>
          <cell r="K10624" t="str">
            <v>LCAT</v>
          </cell>
          <cell r="M10624" t="str">
            <v>M</v>
          </cell>
          <cell r="AB10624" t="str">
            <v>serum</v>
          </cell>
          <cell r="AF10624">
            <v>0</v>
          </cell>
        </row>
        <row r="10625">
          <cell r="A10625" t="str">
            <v>gone</v>
          </cell>
          <cell r="K10625" t="str">
            <v>LCAT</v>
          </cell>
          <cell r="M10625" t="str">
            <v>M</v>
          </cell>
          <cell r="AB10625" t="str">
            <v>serum</v>
          </cell>
          <cell r="AF10625">
            <v>0</v>
          </cell>
        </row>
        <row r="10626">
          <cell r="A10626" t="str">
            <v>unk</v>
          </cell>
          <cell r="K10626" t="str">
            <v>LCAT</v>
          </cell>
          <cell r="M10626" t="str">
            <v>F</v>
          </cell>
          <cell r="AB10626" t="str">
            <v>serum</v>
          </cell>
          <cell r="AF10626">
            <v>0.15</v>
          </cell>
        </row>
        <row r="10627">
          <cell r="A10627" t="str">
            <v>unk</v>
          </cell>
          <cell r="K10627" t="str">
            <v>LCAT</v>
          </cell>
          <cell r="M10627" t="str">
            <v>F</v>
          </cell>
          <cell r="AB10627" t="str">
            <v>serum</v>
          </cell>
          <cell r="AF10627">
            <v>0.2</v>
          </cell>
        </row>
        <row r="10628">
          <cell r="A10628" t="str">
            <v>unk</v>
          </cell>
          <cell r="K10628" t="str">
            <v>LCAT</v>
          </cell>
          <cell r="M10628" t="str">
            <v>F</v>
          </cell>
          <cell r="AB10628" t="str">
            <v>serum</v>
          </cell>
          <cell r="AF10628">
            <v>0.2</v>
          </cell>
        </row>
        <row r="10629">
          <cell r="A10629" t="str">
            <v>unk</v>
          </cell>
          <cell r="K10629" t="str">
            <v>LCAT</v>
          </cell>
          <cell r="M10629" t="str">
            <v>F</v>
          </cell>
          <cell r="AB10629" t="str">
            <v>serum</v>
          </cell>
          <cell r="AF10629">
            <v>0.2</v>
          </cell>
        </row>
        <row r="10630">
          <cell r="A10630" t="str">
            <v>unk</v>
          </cell>
          <cell r="K10630" t="str">
            <v>LCAT</v>
          </cell>
          <cell r="M10630" t="str">
            <v>F</v>
          </cell>
          <cell r="AB10630" t="str">
            <v>serum</v>
          </cell>
          <cell r="AF10630">
            <v>0.2</v>
          </cell>
        </row>
        <row r="10631">
          <cell r="A10631" t="str">
            <v>IS_alqt_minus</v>
          </cell>
          <cell r="K10631" t="str">
            <v>PCOQ</v>
          </cell>
          <cell r="M10631" t="str">
            <v>F</v>
          </cell>
          <cell r="AB10631" t="str">
            <v>serum</v>
          </cell>
          <cell r="AF10631">
            <v>0.05</v>
          </cell>
        </row>
        <row r="10632">
          <cell r="A10632" t="str">
            <v>gone</v>
          </cell>
          <cell r="K10632" t="str">
            <v>PCOQ</v>
          </cell>
          <cell r="M10632" t="str">
            <v>F</v>
          </cell>
          <cell r="AB10632" t="str">
            <v>serum</v>
          </cell>
          <cell r="AF10632">
            <v>0</v>
          </cell>
        </row>
        <row r="10633">
          <cell r="A10633" t="str">
            <v>gone</v>
          </cell>
          <cell r="K10633" t="str">
            <v>PCOQ</v>
          </cell>
          <cell r="M10633" t="str">
            <v>F</v>
          </cell>
          <cell r="AB10633" t="str">
            <v>serum</v>
          </cell>
          <cell r="AF10633">
            <v>0</v>
          </cell>
        </row>
        <row r="10634">
          <cell r="A10634" t="str">
            <v>gone</v>
          </cell>
          <cell r="K10634" t="str">
            <v>PCOQ</v>
          </cell>
          <cell r="M10634" t="str">
            <v>F</v>
          </cell>
          <cell r="AB10634" t="str">
            <v>serum</v>
          </cell>
          <cell r="AF10634">
            <v>0</v>
          </cell>
        </row>
        <row r="10635">
          <cell r="A10635" t="str">
            <v>gone</v>
          </cell>
          <cell r="K10635" t="str">
            <v>PCOQ</v>
          </cell>
          <cell r="M10635" t="str">
            <v>F</v>
          </cell>
          <cell r="AB10635" t="str">
            <v>serum</v>
          </cell>
          <cell r="AF10635">
            <v>0</v>
          </cell>
        </row>
        <row r="10636">
          <cell r="A10636" t="str">
            <v>gone</v>
          </cell>
          <cell r="K10636" t="str">
            <v>PCOQ</v>
          </cell>
          <cell r="M10636" t="str">
            <v>F</v>
          </cell>
          <cell r="AB10636" t="str">
            <v>serum</v>
          </cell>
          <cell r="AF10636">
            <v>0</v>
          </cell>
        </row>
        <row r="10637">
          <cell r="A10637" t="str">
            <v>IS_alqt_minus</v>
          </cell>
          <cell r="K10637" t="str">
            <v>PCOQ</v>
          </cell>
          <cell r="M10637" t="str">
            <v>M</v>
          </cell>
          <cell r="AB10637" t="str">
            <v>serum</v>
          </cell>
          <cell r="AF10637">
            <v>0.1</v>
          </cell>
        </row>
        <row r="10638">
          <cell r="A10638" t="str">
            <v>unk</v>
          </cell>
          <cell r="K10638" t="str">
            <v>PCOQ</v>
          </cell>
          <cell r="M10638" t="str">
            <v>M</v>
          </cell>
          <cell r="AB10638" t="str">
            <v>serum</v>
          </cell>
          <cell r="AF10638">
            <v>0.2</v>
          </cell>
        </row>
        <row r="10639">
          <cell r="A10639" t="str">
            <v>unk</v>
          </cell>
          <cell r="K10639" t="str">
            <v>PCOQ</v>
          </cell>
          <cell r="M10639" t="str">
            <v>M</v>
          </cell>
          <cell r="AB10639" t="str">
            <v>serum</v>
          </cell>
          <cell r="AF10639">
            <v>0.2</v>
          </cell>
        </row>
        <row r="10640">
          <cell r="A10640" t="str">
            <v>unk</v>
          </cell>
          <cell r="K10640" t="str">
            <v>PCOQ</v>
          </cell>
          <cell r="M10640" t="str">
            <v>M</v>
          </cell>
          <cell r="AB10640" t="str">
            <v>serum</v>
          </cell>
          <cell r="AF10640">
            <v>0.2</v>
          </cell>
        </row>
        <row r="10641">
          <cell r="A10641" t="str">
            <v>unk</v>
          </cell>
          <cell r="K10641" t="str">
            <v>PCOQ</v>
          </cell>
          <cell r="M10641" t="str">
            <v>M</v>
          </cell>
          <cell r="AB10641" t="str">
            <v>serum</v>
          </cell>
          <cell r="AF10641">
            <v>0.2</v>
          </cell>
        </row>
        <row r="10642">
          <cell r="A10642" t="str">
            <v>unk</v>
          </cell>
          <cell r="K10642" t="str">
            <v>PCOQ</v>
          </cell>
          <cell r="M10642" t="str">
            <v>M</v>
          </cell>
          <cell r="AB10642" t="str">
            <v>serum</v>
          </cell>
          <cell r="AF10642">
            <v>0.2</v>
          </cell>
        </row>
        <row r="10643">
          <cell r="A10643" t="str">
            <v>IS_alqt_plus</v>
          </cell>
          <cell r="K10643" t="str">
            <v>PCOQ</v>
          </cell>
          <cell r="M10643" t="str">
            <v>M</v>
          </cell>
          <cell r="AB10643" t="str">
            <v>WB</v>
          </cell>
          <cell r="AF10643">
            <v>0.75</v>
          </cell>
        </row>
        <row r="10644">
          <cell r="A10644" t="str">
            <v>IS_alqt_plus</v>
          </cell>
          <cell r="K10644" t="str">
            <v>PCOQ</v>
          </cell>
          <cell r="M10644" t="str">
            <v>F</v>
          </cell>
          <cell r="AB10644" t="str">
            <v>WB</v>
          </cell>
          <cell r="AF10644">
            <v>0.25</v>
          </cell>
        </row>
        <row r="10645">
          <cell r="A10645" t="str">
            <v>unk</v>
          </cell>
          <cell r="K10645" t="str">
            <v>PCOQ</v>
          </cell>
          <cell r="M10645" t="str">
            <v>F</v>
          </cell>
          <cell r="AB10645" t="str">
            <v>WB</v>
          </cell>
          <cell r="AF10645">
            <v>0.75</v>
          </cell>
        </row>
        <row r="10646">
          <cell r="A10646" t="str">
            <v>IS_alqt_plus</v>
          </cell>
          <cell r="K10646" t="str">
            <v>PCOQ</v>
          </cell>
          <cell r="M10646" t="str">
            <v>M</v>
          </cell>
          <cell r="AB10646" t="str">
            <v>WB</v>
          </cell>
          <cell r="AF10646">
            <v>0.6</v>
          </cell>
        </row>
        <row r="10647">
          <cell r="A10647" t="str">
            <v>IS_alqt_plus</v>
          </cell>
          <cell r="K10647" t="str">
            <v>PCOQ</v>
          </cell>
          <cell r="M10647" t="str">
            <v>M</v>
          </cell>
          <cell r="AB10647" t="str">
            <v>WB</v>
          </cell>
          <cell r="AF10647">
            <v>0.7</v>
          </cell>
        </row>
        <row r="10648">
          <cell r="A10648" t="str">
            <v>IS_alqt_plus</v>
          </cell>
          <cell r="K10648" t="str">
            <v>PCOQ</v>
          </cell>
          <cell r="M10648" t="str">
            <v>M</v>
          </cell>
          <cell r="AB10648" t="str">
            <v>WB</v>
          </cell>
          <cell r="AF10648">
            <v>0.2</v>
          </cell>
        </row>
        <row r="10649">
          <cell r="A10649" t="str">
            <v>IS_alqt_plus</v>
          </cell>
          <cell r="K10649" t="str">
            <v>PCOQ</v>
          </cell>
          <cell r="M10649" t="str">
            <v>M</v>
          </cell>
          <cell r="AB10649" t="str">
            <v>WB</v>
          </cell>
          <cell r="AF10649">
            <v>0.2</v>
          </cell>
        </row>
        <row r="10650">
          <cell r="A10650" t="str">
            <v>IS_alqt_plus</v>
          </cell>
          <cell r="K10650" t="str">
            <v>PCOQ</v>
          </cell>
          <cell r="M10650" t="str">
            <v>M</v>
          </cell>
          <cell r="AB10650" t="str">
            <v>WB</v>
          </cell>
          <cell r="AF10650">
            <v>0.2</v>
          </cell>
        </row>
        <row r="10651">
          <cell r="A10651" t="str">
            <v>gone</v>
          </cell>
          <cell r="K10651" t="str">
            <v>PCOQ</v>
          </cell>
          <cell r="M10651" t="str">
            <v>F</v>
          </cell>
          <cell r="AB10651" t="str">
            <v>serum</v>
          </cell>
          <cell r="AF10651">
            <v>0</v>
          </cell>
        </row>
        <row r="10652">
          <cell r="A10652" t="str">
            <v>gone</v>
          </cell>
          <cell r="K10652" t="str">
            <v>PCOQ</v>
          </cell>
          <cell r="M10652" t="str">
            <v>F</v>
          </cell>
          <cell r="AB10652" t="str">
            <v>serum</v>
          </cell>
          <cell r="AF10652">
            <v>0</v>
          </cell>
        </row>
        <row r="10653">
          <cell r="A10653" t="str">
            <v>gone</v>
          </cell>
          <cell r="K10653" t="str">
            <v>PCOQ</v>
          </cell>
          <cell r="M10653" t="str">
            <v>F</v>
          </cell>
          <cell r="AB10653" t="str">
            <v>serum</v>
          </cell>
          <cell r="AF10653">
            <v>0</v>
          </cell>
        </row>
        <row r="10654">
          <cell r="A10654" t="str">
            <v>gone</v>
          </cell>
          <cell r="K10654" t="str">
            <v>PCOQ</v>
          </cell>
          <cell r="M10654" t="str">
            <v>F</v>
          </cell>
          <cell r="AB10654" t="str">
            <v>serum</v>
          </cell>
          <cell r="AF10654">
            <v>0</v>
          </cell>
        </row>
        <row r="10655">
          <cell r="A10655" t="str">
            <v>gone</v>
          </cell>
          <cell r="K10655" t="str">
            <v>PCOQ</v>
          </cell>
          <cell r="M10655" t="str">
            <v>F</v>
          </cell>
          <cell r="AB10655" t="str">
            <v>serum</v>
          </cell>
          <cell r="AF10655">
            <v>0</v>
          </cell>
        </row>
        <row r="10656">
          <cell r="A10656" t="str">
            <v>IS_alqt_plus</v>
          </cell>
          <cell r="K10656" t="str">
            <v>PCOQ</v>
          </cell>
          <cell r="M10656" t="str">
            <v>F</v>
          </cell>
          <cell r="AB10656" t="str">
            <v>serum</v>
          </cell>
          <cell r="AF10656">
            <v>0.2</v>
          </cell>
        </row>
        <row r="10657">
          <cell r="A10657" t="str">
            <v>IS_alqt_plus</v>
          </cell>
          <cell r="K10657" t="str">
            <v>PCOQ</v>
          </cell>
          <cell r="M10657" t="str">
            <v>F</v>
          </cell>
          <cell r="AB10657" t="str">
            <v>serum</v>
          </cell>
          <cell r="AF10657">
            <v>0.2</v>
          </cell>
        </row>
        <row r="10658">
          <cell r="A10658" t="str">
            <v>IS_alqt_plus</v>
          </cell>
          <cell r="K10658" t="str">
            <v>PCOQ</v>
          </cell>
          <cell r="M10658" t="str">
            <v>F</v>
          </cell>
          <cell r="AB10658" t="str">
            <v>serum</v>
          </cell>
          <cell r="AF10658">
            <v>0.2</v>
          </cell>
        </row>
        <row r="10659">
          <cell r="A10659" t="str">
            <v>IS_alqt_plus</v>
          </cell>
          <cell r="K10659" t="str">
            <v>PCOQ</v>
          </cell>
          <cell r="M10659" t="str">
            <v>F</v>
          </cell>
          <cell r="AB10659" t="str">
            <v>serum</v>
          </cell>
          <cell r="AF10659">
            <v>0.2</v>
          </cell>
        </row>
        <row r="10660">
          <cell r="A10660" t="str">
            <v>IS_alqt_plus</v>
          </cell>
          <cell r="K10660" t="str">
            <v>PCOQ</v>
          </cell>
          <cell r="M10660" t="str">
            <v>F</v>
          </cell>
          <cell r="AB10660" t="str">
            <v>serum</v>
          </cell>
          <cell r="AF10660">
            <v>0.2</v>
          </cell>
        </row>
        <row r="10661">
          <cell r="A10661" t="str">
            <v>IS_alqt_plus</v>
          </cell>
          <cell r="K10661" t="str">
            <v>PCOQ</v>
          </cell>
          <cell r="M10661" t="str">
            <v>F</v>
          </cell>
          <cell r="AB10661" t="str">
            <v>serum</v>
          </cell>
          <cell r="AF10661">
            <v>0.2</v>
          </cell>
        </row>
        <row r="10662">
          <cell r="A10662" t="str">
            <v>IS_alqt_plus</v>
          </cell>
          <cell r="K10662" t="str">
            <v>PCOQ</v>
          </cell>
          <cell r="M10662" t="str">
            <v>F</v>
          </cell>
          <cell r="AB10662" t="str">
            <v>serum</v>
          </cell>
          <cell r="AF10662">
            <v>0.2</v>
          </cell>
        </row>
        <row r="10663">
          <cell r="A10663" t="str">
            <v>IS_alqt_plus</v>
          </cell>
          <cell r="K10663" t="str">
            <v>PCOQ</v>
          </cell>
          <cell r="M10663" t="str">
            <v>F</v>
          </cell>
          <cell r="AB10663" t="str">
            <v>serum</v>
          </cell>
          <cell r="AF10663">
            <v>0.2</v>
          </cell>
        </row>
        <row r="10664">
          <cell r="A10664" t="str">
            <v>IS_alqt_plus</v>
          </cell>
          <cell r="K10664" t="str">
            <v>PCOQ</v>
          </cell>
          <cell r="M10664" t="str">
            <v>M</v>
          </cell>
          <cell r="AB10664" t="str">
            <v>serum</v>
          </cell>
          <cell r="AF10664">
            <v>1.4</v>
          </cell>
        </row>
        <row r="10665">
          <cell r="A10665" t="str">
            <v>gone</v>
          </cell>
          <cell r="K10665" t="str">
            <v>LCAT</v>
          </cell>
          <cell r="M10665" t="str">
            <v>M</v>
          </cell>
          <cell r="AB10665" t="str">
            <v>serum</v>
          </cell>
          <cell r="AF10665">
            <v>0</v>
          </cell>
        </row>
        <row r="10666">
          <cell r="A10666" t="str">
            <v>gone</v>
          </cell>
          <cell r="K10666" t="str">
            <v>LCAT</v>
          </cell>
          <cell r="M10666" t="str">
            <v>M</v>
          </cell>
          <cell r="AB10666" t="str">
            <v>serum</v>
          </cell>
          <cell r="AF10666">
            <v>0</v>
          </cell>
        </row>
        <row r="10667">
          <cell r="A10667" t="str">
            <v>gone</v>
          </cell>
          <cell r="K10667" t="str">
            <v>LCAT</v>
          </cell>
          <cell r="M10667" t="str">
            <v>M</v>
          </cell>
          <cell r="AB10667" t="str">
            <v>serum</v>
          </cell>
          <cell r="AF10667">
            <v>0</v>
          </cell>
        </row>
        <row r="10668">
          <cell r="A10668" t="str">
            <v>gone</v>
          </cell>
          <cell r="K10668" t="str">
            <v>LCAT</v>
          </cell>
          <cell r="M10668" t="str">
            <v>M</v>
          </cell>
          <cell r="AB10668" t="str">
            <v>serum</v>
          </cell>
          <cell r="AF10668">
            <v>0</v>
          </cell>
        </row>
        <row r="10669">
          <cell r="A10669" t="str">
            <v>gone</v>
          </cell>
          <cell r="K10669" t="str">
            <v>LCAT</v>
          </cell>
          <cell r="M10669" t="str">
            <v>M</v>
          </cell>
          <cell r="AB10669" t="str">
            <v>serum</v>
          </cell>
          <cell r="AF10669">
            <v>0</v>
          </cell>
        </row>
        <row r="10670">
          <cell r="A10670" t="str">
            <v>gone</v>
          </cell>
          <cell r="K10670" t="str">
            <v>LCAT</v>
          </cell>
          <cell r="M10670" t="str">
            <v>F</v>
          </cell>
          <cell r="AB10670" t="str">
            <v>serum</v>
          </cell>
          <cell r="AF10670">
            <v>0</v>
          </cell>
        </row>
        <row r="10671">
          <cell r="A10671" t="str">
            <v>IS_alqt_plus</v>
          </cell>
          <cell r="K10671" t="str">
            <v>PCOQ</v>
          </cell>
          <cell r="M10671" t="str">
            <v>F</v>
          </cell>
          <cell r="AB10671" t="str">
            <v>serum</v>
          </cell>
          <cell r="AF10671">
            <v>0.2</v>
          </cell>
        </row>
        <row r="10672">
          <cell r="A10672" t="str">
            <v>IS_alqt_plus</v>
          </cell>
          <cell r="K10672" t="str">
            <v>PCOQ</v>
          </cell>
          <cell r="M10672" t="str">
            <v>F</v>
          </cell>
          <cell r="AB10672" t="str">
            <v>serum</v>
          </cell>
          <cell r="AF10672">
            <v>0.2</v>
          </cell>
        </row>
        <row r="10673">
          <cell r="A10673" t="str">
            <v>IS_alqt_plus</v>
          </cell>
          <cell r="K10673" t="str">
            <v>PCOQ</v>
          </cell>
          <cell r="M10673" t="str">
            <v>F</v>
          </cell>
          <cell r="AB10673" t="str">
            <v>serum</v>
          </cell>
          <cell r="AF10673">
            <v>0.2</v>
          </cell>
        </row>
        <row r="10674">
          <cell r="A10674" t="str">
            <v>IS_alqt_plus</v>
          </cell>
          <cell r="K10674" t="str">
            <v>PCOQ</v>
          </cell>
          <cell r="M10674" t="str">
            <v>F</v>
          </cell>
          <cell r="AB10674" t="str">
            <v>serum</v>
          </cell>
          <cell r="AF10674">
            <v>0.2</v>
          </cell>
        </row>
        <row r="10675">
          <cell r="A10675" t="str">
            <v>IS_alqt_plus</v>
          </cell>
          <cell r="K10675" t="str">
            <v>PCOQ</v>
          </cell>
          <cell r="M10675" t="str">
            <v>F</v>
          </cell>
          <cell r="AB10675" t="str">
            <v>serum</v>
          </cell>
          <cell r="AF10675">
            <v>0.2</v>
          </cell>
        </row>
        <row r="10676">
          <cell r="A10676" t="str">
            <v>IS_alqt_plus</v>
          </cell>
          <cell r="K10676" t="str">
            <v>PCOQ</v>
          </cell>
          <cell r="M10676" t="str">
            <v>F</v>
          </cell>
          <cell r="AB10676" t="str">
            <v>serum</v>
          </cell>
          <cell r="AF10676">
            <v>0.2</v>
          </cell>
        </row>
        <row r="10677">
          <cell r="A10677" t="str">
            <v>IS_alqt_plus</v>
          </cell>
          <cell r="K10677" t="str">
            <v>PCOQ</v>
          </cell>
          <cell r="M10677" t="str">
            <v>M</v>
          </cell>
          <cell r="AB10677" t="str">
            <v>WB</v>
          </cell>
          <cell r="AF10677">
            <v>0.2</v>
          </cell>
        </row>
        <row r="10678">
          <cell r="A10678" t="str">
            <v>IS_alqt_plus</v>
          </cell>
          <cell r="K10678" t="str">
            <v>PCOQ</v>
          </cell>
          <cell r="M10678" t="str">
            <v>M</v>
          </cell>
          <cell r="AB10678" t="str">
            <v>WB</v>
          </cell>
          <cell r="AF10678">
            <v>0.2</v>
          </cell>
        </row>
        <row r="10679">
          <cell r="A10679" t="str">
            <v>IS_alqt_plus</v>
          </cell>
          <cell r="K10679" t="str">
            <v>PCOQ</v>
          </cell>
          <cell r="M10679" t="str">
            <v>M</v>
          </cell>
          <cell r="AB10679" t="str">
            <v>WB</v>
          </cell>
          <cell r="AF10679">
            <v>0.2</v>
          </cell>
        </row>
        <row r="10680">
          <cell r="A10680" t="str">
            <v>IS_alqt_plus</v>
          </cell>
          <cell r="K10680" t="str">
            <v>PCOQ</v>
          </cell>
          <cell r="M10680" t="str">
            <v>M</v>
          </cell>
          <cell r="AB10680" t="str">
            <v>WB</v>
          </cell>
          <cell r="AF10680">
            <v>0.2</v>
          </cell>
        </row>
        <row r="10681">
          <cell r="A10681" t="str">
            <v>IS_alqt_plus</v>
          </cell>
          <cell r="K10681" t="str">
            <v>PCOQ</v>
          </cell>
          <cell r="M10681" t="str">
            <v>M</v>
          </cell>
          <cell r="AB10681" t="str">
            <v>WB</v>
          </cell>
          <cell r="AF10681">
            <v>0.2</v>
          </cell>
        </row>
        <row r="10682">
          <cell r="A10682" t="str">
            <v>IS_alqt_plus</v>
          </cell>
          <cell r="K10682" t="str">
            <v>PCOQ</v>
          </cell>
          <cell r="M10682" t="str">
            <v>M</v>
          </cell>
          <cell r="AB10682" t="str">
            <v>WB</v>
          </cell>
          <cell r="AF10682">
            <v>0.2</v>
          </cell>
        </row>
        <row r="10683">
          <cell r="A10683" t="str">
            <v>IS_alqt_plus</v>
          </cell>
          <cell r="K10683" t="str">
            <v>PCOQ</v>
          </cell>
          <cell r="M10683" t="str">
            <v>M</v>
          </cell>
          <cell r="AB10683" t="str">
            <v>WB</v>
          </cell>
          <cell r="AF10683">
            <v>0.2</v>
          </cell>
        </row>
        <row r="10684">
          <cell r="A10684" t="str">
            <v>IS_alqt_plus</v>
          </cell>
          <cell r="K10684" t="str">
            <v>PCOQ</v>
          </cell>
          <cell r="M10684" t="str">
            <v>M</v>
          </cell>
          <cell r="AB10684" t="str">
            <v>WB</v>
          </cell>
          <cell r="AF10684">
            <v>0.2</v>
          </cell>
        </row>
        <row r="10685">
          <cell r="A10685" t="str">
            <v>IS_alqt_plus</v>
          </cell>
          <cell r="K10685" t="str">
            <v>PCOQ</v>
          </cell>
          <cell r="M10685" t="str">
            <v>M</v>
          </cell>
          <cell r="AB10685" t="str">
            <v>WB</v>
          </cell>
          <cell r="AF10685">
            <v>0.2</v>
          </cell>
        </row>
        <row r="10686">
          <cell r="A10686" t="str">
            <v>IS_alqt_plus</v>
          </cell>
          <cell r="K10686" t="str">
            <v>PCOQ</v>
          </cell>
          <cell r="M10686" t="str">
            <v>M</v>
          </cell>
          <cell r="AB10686" t="str">
            <v>WB</v>
          </cell>
          <cell r="AF10686">
            <v>0.2</v>
          </cell>
        </row>
        <row r="10687">
          <cell r="A10687" t="str">
            <v>IS_alqt_plus</v>
          </cell>
          <cell r="K10687" t="str">
            <v>PCOQ</v>
          </cell>
          <cell r="M10687" t="str">
            <v>M</v>
          </cell>
          <cell r="AB10687" t="str">
            <v>WB</v>
          </cell>
          <cell r="AF10687">
            <v>0.2</v>
          </cell>
        </row>
        <row r="10688">
          <cell r="A10688" t="str">
            <v>IS_alqt_plus</v>
          </cell>
          <cell r="K10688" t="str">
            <v>PCOQ</v>
          </cell>
          <cell r="M10688" t="str">
            <v>M</v>
          </cell>
          <cell r="AB10688" t="str">
            <v>WB</v>
          </cell>
          <cell r="AF10688">
            <v>1</v>
          </cell>
        </row>
        <row r="10689">
          <cell r="A10689" t="str">
            <v>IS_alqt_plus</v>
          </cell>
          <cell r="K10689" t="str">
            <v>PCOQ</v>
          </cell>
          <cell r="M10689" t="str">
            <v>F</v>
          </cell>
          <cell r="AB10689" t="str">
            <v>WB</v>
          </cell>
          <cell r="AF10689">
            <v>0.7</v>
          </cell>
        </row>
        <row r="10690">
          <cell r="A10690" t="str">
            <v>IS_alqt_plus</v>
          </cell>
          <cell r="K10690" t="str">
            <v>PCOQ</v>
          </cell>
          <cell r="M10690" t="str">
            <v>M</v>
          </cell>
          <cell r="AB10690" t="str">
            <v>serum</v>
          </cell>
          <cell r="AF10690">
            <v>0.2</v>
          </cell>
        </row>
        <row r="10691">
          <cell r="A10691" t="str">
            <v>IS_alqt_plus</v>
          </cell>
          <cell r="K10691" t="str">
            <v>PCOQ</v>
          </cell>
          <cell r="M10691" t="str">
            <v>M</v>
          </cell>
          <cell r="AB10691" t="str">
            <v>serum</v>
          </cell>
          <cell r="AF10691">
            <v>0.2</v>
          </cell>
        </row>
        <row r="10692">
          <cell r="A10692" t="str">
            <v>IS_alqt_plus</v>
          </cell>
          <cell r="K10692" t="str">
            <v>PCOQ</v>
          </cell>
          <cell r="M10692" t="str">
            <v>F</v>
          </cell>
          <cell r="AB10692" t="str">
            <v>serum</v>
          </cell>
          <cell r="AF10692">
            <v>0.2</v>
          </cell>
        </row>
        <row r="10693">
          <cell r="A10693" t="str">
            <v>IS_alqt_plus</v>
          </cell>
          <cell r="K10693" t="str">
            <v>PCOQ</v>
          </cell>
          <cell r="M10693" t="str">
            <v>F</v>
          </cell>
          <cell r="AB10693" t="str">
            <v>serum</v>
          </cell>
          <cell r="AF10693">
            <v>0.2</v>
          </cell>
        </row>
        <row r="10694">
          <cell r="A10694" t="str">
            <v>IS_alqt_plus</v>
          </cell>
          <cell r="K10694" t="str">
            <v>PCOQ</v>
          </cell>
          <cell r="M10694" t="str">
            <v>M</v>
          </cell>
          <cell r="AB10694" t="str">
            <v>serum</v>
          </cell>
          <cell r="AF10694">
            <v>0.2</v>
          </cell>
        </row>
        <row r="10695">
          <cell r="A10695" t="str">
            <v>IS_alqt_plus</v>
          </cell>
          <cell r="K10695" t="str">
            <v>PCOQ</v>
          </cell>
          <cell r="M10695" t="str">
            <v>M</v>
          </cell>
          <cell r="AB10695" t="str">
            <v>serum</v>
          </cell>
          <cell r="AF10695">
            <v>0.2</v>
          </cell>
        </row>
        <row r="10696">
          <cell r="A10696" t="str">
            <v>IS_alqt_plus</v>
          </cell>
          <cell r="K10696" t="str">
            <v>PCOQ</v>
          </cell>
          <cell r="M10696" t="str">
            <v>M</v>
          </cell>
          <cell r="AB10696" t="str">
            <v>serum</v>
          </cell>
          <cell r="AF10696">
            <v>0.2</v>
          </cell>
        </row>
        <row r="10697">
          <cell r="A10697" t="str">
            <v>IS_alqt_minus</v>
          </cell>
          <cell r="K10697" t="str">
            <v>PCOQ</v>
          </cell>
          <cell r="M10697" t="str">
            <v>F</v>
          </cell>
          <cell r="AB10697" t="str">
            <v>WB</v>
          </cell>
          <cell r="AF10697">
            <v>0.05</v>
          </cell>
        </row>
        <row r="10698">
          <cell r="A10698" t="str">
            <v>IS_alqt_plus</v>
          </cell>
          <cell r="K10698" t="str">
            <v>PCOQ</v>
          </cell>
          <cell r="M10698" t="str">
            <v>M</v>
          </cell>
          <cell r="AB10698" t="str">
            <v>WB</v>
          </cell>
          <cell r="AF10698">
            <v>0.5</v>
          </cell>
        </row>
        <row r="10699">
          <cell r="A10699" t="str">
            <v>IS_alqt_plus</v>
          </cell>
          <cell r="K10699" t="str">
            <v>PCOQ</v>
          </cell>
          <cell r="M10699" t="str">
            <v>F</v>
          </cell>
          <cell r="AB10699" t="str">
            <v>WB</v>
          </cell>
          <cell r="AF10699">
            <v>0.85</v>
          </cell>
        </row>
        <row r="10700">
          <cell r="A10700" t="str">
            <v>IS_alqt_plus</v>
          </cell>
          <cell r="K10700" t="str">
            <v>PCOQ</v>
          </cell>
          <cell r="M10700" t="str">
            <v>M</v>
          </cell>
          <cell r="AB10700" t="str">
            <v>WB</v>
          </cell>
          <cell r="AF10700">
            <v>1.25</v>
          </cell>
        </row>
        <row r="10701">
          <cell r="A10701" t="str">
            <v>IS_alqt_plus</v>
          </cell>
          <cell r="K10701" t="str">
            <v>PCOQ</v>
          </cell>
          <cell r="M10701" t="str">
            <v>M</v>
          </cell>
          <cell r="AB10701" t="str">
            <v>WB</v>
          </cell>
          <cell r="AF10701">
            <v>0.7</v>
          </cell>
        </row>
        <row r="10702">
          <cell r="A10702" t="str">
            <v>gone</v>
          </cell>
          <cell r="K10702" t="str">
            <v>PCOQ</v>
          </cell>
          <cell r="M10702" t="str">
            <v>M</v>
          </cell>
          <cell r="AB10702" t="str">
            <v>WB</v>
          </cell>
          <cell r="AF10702">
            <v>0</v>
          </cell>
        </row>
        <row r="10703">
          <cell r="A10703" t="str">
            <v>IS_alqt_plus</v>
          </cell>
          <cell r="K10703" t="str">
            <v>PCOQ</v>
          </cell>
          <cell r="M10703" t="str">
            <v>M</v>
          </cell>
          <cell r="AB10703" t="str">
            <v>WB</v>
          </cell>
          <cell r="AF10703">
            <v>1</v>
          </cell>
        </row>
        <row r="10704">
          <cell r="A10704" t="str">
            <v>IS_alqt_plus</v>
          </cell>
          <cell r="K10704" t="str">
            <v>PCOQ</v>
          </cell>
          <cell r="M10704" t="str">
            <v>M</v>
          </cell>
          <cell r="AB10704" t="str">
            <v>WB</v>
          </cell>
          <cell r="AF10704">
            <v>1</v>
          </cell>
        </row>
        <row r="10705">
          <cell r="A10705" t="str">
            <v>IS_alqt_plus</v>
          </cell>
          <cell r="K10705" t="str">
            <v>PCOQ</v>
          </cell>
          <cell r="M10705" t="str">
            <v>M</v>
          </cell>
          <cell r="AB10705" t="str">
            <v>WB</v>
          </cell>
          <cell r="AF10705">
            <v>1</v>
          </cell>
        </row>
        <row r="10706">
          <cell r="A10706" t="str">
            <v>IS_alqt_plus</v>
          </cell>
          <cell r="K10706" t="str">
            <v>PCOQ</v>
          </cell>
          <cell r="M10706" t="str">
            <v>M</v>
          </cell>
          <cell r="AB10706" t="str">
            <v>WB</v>
          </cell>
          <cell r="AF10706">
            <v>1</v>
          </cell>
        </row>
        <row r="10707">
          <cell r="A10707" t="str">
            <v>IS_alqt_plus</v>
          </cell>
          <cell r="K10707" t="str">
            <v>PCOQ</v>
          </cell>
          <cell r="M10707" t="str">
            <v>M</v>
          </cell>
          <cell r="AB10707" t="str">
            <v>WB</v>
          </cell>
          <cell r="AF10707">
            <v>1</v>
          </cell>
        </row>
        <row r="10708">
          <cell r="A10708" t="str">
            <v>IS_alqt_plus</v>
          </cell>
          <cell r="K10708" t="str">
            <v>PCOQ</v>
          </cell>
          <cell r="M10708" t="str">
            <v>M</v>
          </cell>
          <cell r="AB10708" t="str">
            <v>WB</v>
          </cell>
          <cell r="AF10708">
            <v>1</v>
          </cell>
        </row>
        <row r="10709">
          <cell r="A10709" t="str">
            <v>IS_alqt_plus</v>
          </cell>
          <cell r="K10709" t="str">
            <v>PCOQ</v>
          </cell>
          <cell r="M10709" t="str">
            <v>M</v>
          </cell>
          <cell r="AB10709" t="str">
            <v>WB</v>
          </cell>
          <cell r="AF10709">
            <v>1</v>
          </cell>
        </row>
        <row r="10710">
          <cell r="A10710" t="str">
            <v>IS_alqt_plus</v>
          </cell>
          <cell r="K10710" t="str">
            <v>PCOQ</v>
          </cell>
          <cell r="M10710" t="str">
            <v>M</v>
          </cell>
          <cell r="AB10710" t="str">
            <v>WB</v>
          </cell>
          <cell r="AF10710">
            <v>1</v>
          </cell>
        </row>
        <row r="10711">
          <cell r="A10711" t="str">
            <v>IS_alqt_plus</v>
          </cell>
          <cell r="K10711" t="str">
            <v>PCOQ</v>
          </cell>
          <cell r="M10711" t="str">
            <v>M</v>
          </cell>
          <cell r="AB10711" t="str">
            <v>WB</v>
          </cell>
          <cell r="AF10711">
            <v>1</v>
          </cell>
        </row>
        <row r="10712">
          <cell r="A10712" t="str">
            <v>IS_alqt_plus</v>
          </cell>
          <cell r="K10712" t="str">
            <v>PCOQ</v>
          </cell>
          <cell r="M10712" t="str">
            <v>M</v>
          </cell>
          <cell r="AB10712" t="str">
            <v>WB</v>
          </cell>
          <cell r="AF10712">
            <v>1</v>
          </cell>
        </row>
        <row r="10713">
          <cell r="A10713" t="str">
            <v>IS_alqt_plus</v>
          </cell>
          <cell r="K10713" t="str">
            <v>PCOQ</v>
          </cell>
          <cell r="M10713" t="str">
            <v>M</v>
          </cell>
          <cell r="AB10713" t="str">
            <v>WB</v>
          </cell>
          <cell r="AF10713">
            <v>1</v>
          </cell>
        </row>
        <row r="10714">
          <cell r="A10714" t="str">
            <v>IS_alqt_plus</v>
          </cell>
          <cell r="K10714" t="str">
            <v>PCOQ</v>
          </cell>
          <cell r="M10714" t="str">
            <v>M</v>
          </cell>
          <cell r="AB10714" t="str">
            <v>WB</v>
          </cell>
          <cell r="AF10714">
            <v>1</v>
          </cell>
        </row>
        <row r="10715">
          <cell r="A10715" t="str">
            <v>IS_alqt_plus</v>
          </cell>
          <cell r="K10715" t="str">
            <v>PCOQ</v>
          </cell>
          <cell r="M10715" t="str">
            <v>M</v>
          </cell>
          <cell r="AB10715" t="str">
            <v>WB</v>
          </cell>
          <cell r="AF10715">
            <v>1</v>
          </cell>
        </row>
        <row r="10716">
          <cell r="A10716" t="str">
            <v>IS_alqt_plus</v>
          </cell>
          <cell r="K10716" t="str">
            <v>PCOQ</v>
          </cell>
          <cell r="M10716" t="str">
            <v>M</v>
          </cell>
          <cell r="AB10716" t="str">
            <v>WB</v>
          </cell>
          <cell r="AF10716">
            <v>1</v>
          </cell>
        </row>
        <row r="10717">
          <cell r="A10717" t="str">
            <v>IS_alqt_plus</v>
          </cell>
          <cell r="K10717" t="str">
            <v>PCOQ</v>
          </cell>
          <cell r="M10717" t="str">
            <v>M</v>
          </cell>
          <cell r="AB10717" t="str">
            <v>WB</v>
          </cell>
          <cell r="AF10717">
            <v>1</v>
          </cell>
        </row>
        <row r="10718">
          <cell r="A10718" t="str">
            <v>IS_alqt_plus</v>
          </cell>
          <cell r="K10718" t="str">
            <v>PCOQ</v>
          </cell>
          <cell r="M10718" t="str">
            <v>M</v>
          </cell>
          <cell r="AB10718" t="str">
            <v>WB</v>
          </cell>
          <cell r="AF10718">
            <v>1</v>
          </cell>
        </row>
        <row r="10719">
          <cell r="A10719" t="str">
            <v>IS_alqt_plus</v>
          </cell>
          <cell r="K10719" t="str">
            <v>PCOQ</v>
          </cell>
          <cell r="M10719" t="str">
            <v>M</v>
          </cell>
          <cell r="AB10719" t="str">
            <v>WB</v>
          </cell>
          <cell r="AF10719">
            <v>1</v>
          </cell>
        </row>
        <row r="10720">
          <cell r="A10720" t="str">
            <v>IS_alqt_plus</v>
          </cell>
          <cell r="K10720" t="str">
            <v>PCOQ</v>
          </cell>
          <cell r="M10720" t="str">
            <v>M</v>
          </cell>
          <cell r="AB10720" t="str">
            <v>WB</v>
          </cell>
          <cell r="AF10720">
            <v>1</v>
          </cell>
        </row>
        <row r="10721">
          <cell r="A10721" t="str">
            <v>IS_alqt_plus</v>
          </cell>
          <cell r="K10721" t="str">
            <v>PCOQ</v>
          </cell>
          <cell r="M10721" t="str">
            <v>M</v>
          </cell>
          <cell r="AB10721" t="str">
            <v>WB</v>
          </cell>
          <cell r="AF10721">
            <v>1</v>
          </cell>
        </row>
        <row r="10722">
          <cell r="A10722" t="str">
            <v>IS_alqt_plus</v>
          </cell>
          <cell r="K10722" t="str">
            <v>LCAT</v>
          </cell>
          <cell r="M10722" t="str">
            <v>F</v>
          </cell>
          <cell r="AB10722" t="str">
            <v>serum</v>
          </cell>
          <cell r="AF10722">
            <v>0.25</v>
          </cell>
        </row>
        <row r="10723">
          <cell r="A10723" t="str">
            <v>IS_alqt_plus</v>
          </cell>
          <cell r="K10723" t="str">
            <v>PCOQ</v>
          </cell>
          <cell r="M10723" t="str">
            <v>M</v>
          </cell>
          <cell r="AB10723" t="str">
            <v>WB</v>
          </cell>
          <cell r="AF10723">
            <v>1</v>
          </cell>
        </row>
        <row r="10724">
          <cell r="A10724" t="str">
            <v>IS_alqt_plus</v>
          </cell>
          <cell r="K10724" t="str">
            <v>PCOQ</v>
          </cell>
          <cell r="M10724" t="str">
            <v>M</v>
          </cell>
          <cell r="AB10724" t="str">
            <v>WB</v>
          </cell>
          <cell r="AF10724">
            <v>1</v>
          </cell>
        </row>
        <row r="10725">
          <cell r="A10725" t="str">
            <v>IS_alqt_plus</v>
          </cell>
          <cell r="K10725" t="str">
            <v>PCOQ</v>
          </cell>
          <cell r="M10725" t="str">
            <v>M</v>
          </cell>
          <cell r="AB10725" t="str">
            <v>WB</v>
          </cell>
          <cell r="AF10725">
            <v>1</v>
          </cell>
        </row>
        <row r="10726">
          <cell r="A10726" t="str">
            <v>IS_alqt_plus</v>
          </cell>
          <cell r="K10726" t="str">
            <v>PCOQ</v>
          </cell>
          <cell r="M10726" t="str">
            <v>M</v>
          </cell>
          <cell r="AB10726" t="str">
            <v>WB</v>
          </cell>
          <cell r="AF10726">
            <v>1</v>
          </cell>
        </row>
        <row r="10727">
          <cell r="A10727" t="str">
            <v>IS_alqt_plus</v>
          </cell>
          <cell r="K10727" t="str">
            <v>PCOQ</v>
          </cell>
          <cell r="M10727" t="str">
            <v>M</v>
          </cell>
          <cell r="AB10727" t="str">
            <v>WB</v>
          </cell>
          <cell r="AF10727">
            <v>1</v>
          </cell>
        </row>
        <row r="10728">
          <cell r="A10728" t="str">
            <v>IS_alqt_plus</v>
          </cell>
          <cell r="K10728" t="str">
            <v>PCOQ</v>
          </cell>
          <cell r="M10728" t="str">
            <v>M</v>
          </cell>
          <cell r="AB10728" t="str">
            <v>WB</v>
          </cell>
          <cell r="AF10728">
            <v>1</v>
          </cell>
        </row>
        <row r="10729">
          <cell r="A10729" t="str">
            <v>IS_alqt_plus</v>
          </cell>
          <cell r="K10729" t="str">
            <v>PCOQ</v>
          </cell>
          <cell r="M10729" t="str">
            <v>M</v>
          </cell>
          <cell r="AB10729" t="str">
            <v>WB</v>
          </cell>
          <cell r="AF10729">
            <v>1</v>
          </cell>
        </row>
        <row r="10730">
          <cell r="A10730" t="str">
            <v>IS_alqt_plus</v>
          </cell>
          <cell r="K10730" t="str">
            <v>PCOQ</v>
          </cell>
          <cell r="M10730" t="str">
            <v>M</v>
          </cell>
          <cell r="AB10730" t="str">
            <v>WB</v>
          </cell>
          <cell r="AF10730">
            <v>1</v>
          </cell>
        </row>
        <row r="10731">
          <cell r="A10731" t="str">
            <v>IS_alqt_plus</v>
          </cell>
          <cell r="K10731" t="str">
            <v>PCOQ</v>
          </cell>
          <cell r="M10731" t="str">
            <v>M</v>
          </cell>
          <cell r="AB10731" t="str">
            <v>WB</v>
          </cell>
          <cell r="AF10731">
            <v>1</v>
          </cell>
        </row>
        <row r="10732">
          <cell r="A10732" t="str">
            <v>IS_alqt_plus</v>
          </cell>
          <cell r="K10732" t="str">
            <v>PCOQ</v>
          </cell>
          <cell r="M10732" t="str">
            <v>M</v>
          </cell>
          <cell r="AB10732" t="str">
            <v>WB</v>
          </cell>
          <cell r="AF10732">
            <v>1</v>
          </cell>
        </row>
        <row r="10733">
          <cell r="A10733" t="str">
            <v>IS_alqt_plus</v>
          </cell>
          <cell r="K10733" t="str">
            <v>PCOQ</v>
          </cell>
          <cell r="M10733" t="str">
            <v>F</v>
          </cell>
          <cell r="AB10733" t="str">
            <v>WB</v>
          </cell>
          <cell r="AF10733">
            <v>0.25</v>
          </cell>
        </row>
        <row r="10734">
          <cell r="A10734" t="str">
            <v>IS_alqt_plus</v>
          </cell>
          <cell r="K10734" t="str">
            <v>PCOQ</v>
          </cell>
          <cell r="M10734" t="str">
            <v>F</v>
          </cell>
          <cell r="AB10734" t="str">
            <v>WB</v>
          </cell>
          <cell r="AF10734">
            <v>1.25</v>
          </cell>
        </row>
        <row r="10735">
          <cell r="A10735" t="str">
            <v>IS_alqt_plus</v>
          </cell>
          <cell r="K10735" t="str">
            <v>PCOQ</v>
          </cell>
          <cell r="M10735" t="str">
            <v>F</v>
          </cell>
          <cell r="AB10735" t="str">
            <v>WB</v>
          </cell>
          <cell r="AF10735">
            <v>0.25</v>
          </cell>
        </row>
        <row r="10736">
          <cell r="A10736" t="str">
            <v>gone</v>
          </cell>
          <cell r="K10736" t="str">
            <v>PCOQ</v>
          </cell>
          <cell r="M10736" t="str">
            <v>F</v>
          </cell>
          <cell r="AB10736" t="str">
            <v>WB</v>
          </cell>
          <cell r="AF10736">
            <v>0</v>
          </cell>
        </row>
        <row r="10737">
          <cell r="A10737" t="str">
            <v>IS_alqt_plus</v>
          </cell>
          <cell r="K10737" t="str">
            <v>PCOQ</v>
          </cell>
          <cell r="M10737" t="str">
            <v>F</v>
          </cell>
          <cell r="AB10737" t="str">
            <v>WB</v>
          </cell>
          <cell r="AF10737">
            <v>0.5</v>
          </cell>
        </row>
        <row r="10738">
          <cell r="A10738" t="str">
            <v>unk</v>
          </cell>
          <cell r="K10738" t="str">
            <v>PCOQ</v>
          </cell>
          <cell r="M10738" t="str">
            <v>F</v>
          </cell>
          <cell r="AB10738" t="str">
            <v>WB</v>
          </cell>
          <cell r="AF10738">
            <v>0.5</v>
          </cell>
        </row>
        <row r="10739">
          <cell r="A10739" t="str">
            <v>IS_alqt_plus</v>
          </cell>
          <cell r="K10739" t="str">
            <v>PCOQ</v>
          </cell>
          <cell r="M10739" t="str">
            <v>F</v>
          </cell>
          <cell r="AB10739" t="str">
            <v>WB</v>
          </cell>
          <cell r="AF10739">
            <v>0.75</v>
          </cell>
        </row>
        <row r="10740">
          <cell r="A10740" t="str">
            <v>IS_alqt_plus</v>
          </cell>
          <cell r="K10740" t="str">
            <v>PCOQ</v>
          </cell>
          <cell r="M10740" t="str">
            <v>F</v>
          </cell>
          <cell r="AB10740" t="str">
            <v>WB</v>
          </cell>
          <cell r="AF10740">
            <v>0.45</v>
          </cell>
        </row>
        <row r="10741">
          <cell r="A10741" t="str">
            <v>IS_alqt_plus</v>
          </cell>
          <cell r="K10741" t="str">
            <v>PCOQ</v>
          </cell>
          <cell r="M10741" t="str">
            <v>F</v>
          </cell>
          <cell r="AB10741" t="str">
            <v>WB</v>
          </cell>
          <cell r="AF10741">
            <v>0.4</v>
          </cell>
        </row>
        <row r="10742">
          <cell r="A10742" t="str">
            <v>IS_alqt_plus</v>
          </cell>
          <cell r="K10742" t="str">
            <v>PCOQ</v>
          </cell>
          <cell r="M10742" t="str">
            <v>F</v>
          </cell>
          <cell r="AB10742" t="str">
            <v>WB</v>
          </cell>
          <cell r="AF10742">
            <v>0.85</v>
          </cell>
        </row>
        <row r="10743">
          <cell r="A10743" t="str">
            <v>IS_alqt_plus</v>
          </cell>
          <cell r="K10743" t="str">
            <v>ECOR</v>
          </cell>
          <cell r="M10743" t="str">
            <v>F</v>
          </cell>
          <cell r="AB10743" t="str">
            <v>serum</v>
          </cell>
          <cell r="AF10743">
            <v>1</v>
          </cell>
        </row>
        <row r="10744">
          <cell r="A10744" t="str">
            <v>IS_alqt_plus</v>
          </cell>
          <cell r="K10744" t="str">
            <v>PCOQ</v>
          </cell>
          <cell r="M10744" t="str">
            <v>M</v>
          </cell>
          <cell r="AB10744" t="str">
            <v>serum</v>
          </cell>
          <cell r="AF10744">
            <v>0.2</v>
          </cell>
        </row>
        <row r="10745">
          <cell r="A10745" t="str">
            <v>IS_alqt_plus</v>
          </cell>
          <cell r="K10745" t="str">
            <v>PCOQ</v>
          </cell>
          <cell r="M10745" t="str">
            <v>M</v>
          </cell>
          <cell r="AB10745" t="str">
            <v>serum</v>
          </cell>
          <cell r="AF10745">
            <v>0.2</v>
          </cell>
        </row>
        <row r="10746">
          <cell r="A10746" t="str">
            <v>IS_alqt_plus</v>
          </cell>
          <cell r="K10746" t="str">
            <v>PCOQ</v>
          </cell>
          <cell r="M10746" t="str">
            <v>M</v>
          </cell>
          <cell r="AB10746" t="str">
            <v>serum</v>
          </cell>
          <cell r="AF10746">
            <v>0.2</v>
          </cell>
        </row>
        <row r="10747">
          <cell r="A10747" t="str">
            <v>IS_alqt_plus</v>
          </cell>
          <cell r="K10747" t="str">
            <v>PCOQ</v>
          </cell>
          <cell r="M10747" t="str">
            <v>M</v>
          </cell>
          <cell r="AB10747" t="str">
            <v>serum</v>
          </cell>
          <cell r="AF10747">
            <v>0.2</v>
          </cell>
        </row>
        <row r="10748">
          <cell r="A10748" t="str">
            <v>IS_alqt_plus</v>
          </cell>
          <cell r="K10748" t="str">
            <v>PCOQ</v>
          </cell>
          <cell r="M10748" t="str">
            <v>M</v>
          </cell>
          <cell r="AB10748" t="str">
            <v>serum</v>
          </cell>
          <cell r="AF10748">
            <v>0.2</v>
          </cell>
        </row>
        <row r="10749">
          <cell r="A10749" t="str">
            <v>IS_alqt_plus</v>
          </cell>
          <cell r="K10749" t="str">
            <v>PCOQ</v>
          </cell>
          <cell r="M10749" t="str">
            <v>M</v>
          </cell>
          <cell r="AB10749" t="str">
            <v>serum</v>
          </cell>
          <cell r="AF10749">
            <v>0.2</v>
          </cell>
        </row>
        <row r="10750">
          <cell r="A10750" t="str">
            <v>IS_alqt_plus</v>
          </cell>
          <cell r="K10750" t="str">
            <v>PCOQ</v>
          </cell>
          <cell r="M10750" t="str">
            <v>M</v>
          </cell>
          <cell r="AB10750" t="str">
            <v>serum</v>
          </cell>
          <cell r="AF10750">
            <v>0.2</v>
          </cell>
        </row>
        <row r="10751">
          <cell r="A10751" t="str">
            <v>IS_alqt_plus</v>
          </cell>
          <cell r="K10751" t="str">
            <v>PCOQ</v>
          </cell>
          <cell r="M10751" t="str">
            <v>M</v>
          </cell>
          <cell r="AB10751" t="str">
            <v>serum</v>
          </cell>
          <cell r="AF10751">
            <v>0.2</v>
          </cell>
        </row>
        <row r="10752">
          <cell r="A10752" t="str">
            <v>IS_alqt_plus</v>
          </cell>
          <cell r="K10752" t="str">
            <v>ECOR</v>
          </cell>
          <cell r="M10752" t="str">
            <v>F</v>
          </cell>
          <cell r="AB10752" t="str">
            <v>WB</v>
          </cell>
          <cell r="AF10752">
            <v>1</v>
          </cell>
        </row>
        <row r="10753">
          <cell r="A10753" t="str">
            <v>IS_alqt_plus</v>
          </cell>
          <cell r="K10753" t="str">
            <v>PCOQ</v>
          </cell>
          <cell r="M10753" t="str">
            <v>F</v>
          </cell>
          <cell r="AB10753" t="str">
            <v>WB</v>
          </cell>
          <cell r="AF10753">
            <v>0.75</v>
          </cell>
        </row>
        <row r="10754">
          <cell r="A10754" t="str">
            <v>IS_alqt_plus</v>
          </cell>
          <cell r="K10754" t="str">
            <v>PCOQ</v>
          </cell>
          <cell r="M10754" t="str">
            <v>F</v>
          </cell>
          <cell r="AB10754" t="str">
            <v>WB</v>
          </cell>
          <cell r="AF10754">
            <v>1.5</v>
          </cell>
        </row>
        <row r="10755">
          <cell r="A10755" t="str">
            <v>gone</v>
          </cell>
          <cell r="K10755" t="str">
            <v>PCOQ</v>
          </cell>
          <cell r="M10755" t="str">
            <v>F</v>
          </cell>
          <cell r="AB10755" t="str">
            <v>WB</v>
          </cell>
          <cell r="AF10755">
            <v>0</v>
          </cell>
        </row>
        <row r="10756">
          <cell r="A10756" t="str">
            <v>IS_alqt_plus</v>
          </cell>
          <cell r="K10756" t="str">
            <v>PCOQ</v>
          </cell>
          <cell r="M10756" t="str">
            <v>F</v>
          </cell>
          <cell r="AB10756" t="str">
            <v>WB</v>
          </cell>
          <cell r="AF10756">
            <v>0.4</v>
          </cell>
        </row>
        <row r="10757">
          <cell r="A10757" t="str">
            <v>IS_alqt_plus</v>
          </cell>
          <cell r="K10757" t="str">
            <v>PCOQ</v>
          </cell>
          <cell r="M10757" t="str">
            <v>F</v>
          </cell>
          <cell r="AB10757" t="str">
            <v>WB</v>
          </cell>
          <cell r="AF10757">
            <v>1.25</v>
          </cell>
        </row>
        <row r="10758">
          <cell r="A10758" t="str">
            <v>IS_alqt_plus</v>
          </cell>
          <cell r="K10758" t="str">
            <v>PCOQ</v>
          </cell>
          <cell r="M10758" t="str">
            <v>F</v>
          </cell>
          <cell r="AB10758" t="str">
            <v>WB</v>
          </cell>
          <cell r="AF10758">
            <v>0.6</v>
          </cell>
        </row>
        <row r="10759">
          <cell r="A10759" t="str">
            <v>IS_alqt_plus</v>
          </cell>
          <cell r="K10759" t="str">
            <v>PCOQ</v>
          </cell>
          <cell r="M10759" t="str">
            <v>M</v>
          </cell>
          <cell r="AB10759" t="str">
            <v>WB</v>
          </cell>
          <cell r="AF10759">
            <v>0.9</v>
          </cell>
        </row>
        <row r="10760">
          <cell r="A10760" t="str">
            <v>IS_alqt_plus</v>
          </cell>
          <cell r="K10760" t="str">
            <v>PCOQ</v>
          </cell>
          <cell r="M10760" t="str">
            <v>M</v>
          </cell>
          <cell r="AB10760" t="str">
            <v>WB</v>
          </cell>
          <cell r="AF10760">
            <v>0.75</v>
          </cell>
        </row>
        <row r="10761">
          <cell r="A10761" t="str">
            <v>IS_alqt_plus</v>
          </cell>
          <cell r="K10761" t="str">
            <v>PCOQ</v>
          </cell>
          <cell r="M10761" t="str">
            <v>F</v>
          </cell>
          <cell r="AB10761" t="str">
            <v>WB</v>
          </cell>
          <cell r="AF10761">
            <v>0.4</v>
          </cell>
        </row>
        <row r="10762">
          <cell r="A10762" t="str">
            <v>IS_alqt_plus</v>
          </cell>
          <cell r="K10762" t="str">
            <v>PCOQ</v>
          </cell>
          <cell r="M10762" t="str">
            <v>F</v>
          </cell>
          <cell r="AB10762" t="str">
            <v>WB</v>
          </cell>
          <cell r="AF10762">
            <v>0.5</v>
          </cell>
        </row>
        <row r="10763">
          <cell r="A10763" t="str">
            <v>IS_alqt_plus</v>
          </cell>
          <cell r="K10763" t="str">
            <v>PCOQ</v>
          </cell>
          <cell r="M10763" t="str">
            <v>F</v>
          </cell>
          <cell r="AB10763" t="str">
            <v>WB</v>
          </cell>
          <cell r="AF10763">
            <v>0.5</v>
          </cell>
        </row>
        <row r="10764">
          <cell r="A10764" t="str">
            <v>IS_alqt_plus</v>
          </cell>
          <cell r="K10764" t="str">
            <v>PCOQ</v>
          </cell>
          <cell r="M10764" t="str">
            <v>F</v>
          </cell>
          <cell r="AB10764" t="str">
            <v>WB</v>
          </cell>
          <cell r="AF10764">
            <v>0.4</v>
          </cell>
        </row>
        <row r="10765">
          <cell r="A10765" t="str">
            <v>IS_alqt_plus</v>
          </cell>
          <cell r="K10765" t="str">
            <v>PCOQ</v>
          </cell>
          <cell r="M10765" t="str">
            <v>F</v>
          </cell>
          <cell r="AB10765" t="str">
            <v>WB</v>
          </cell>
          <cell r="AF10765">
            <v>0.5</v>
          </cell>
        </row>
        <row r="10766">
          <cell r="A10766" t="str">
            <v>IS_alqt_plus</v>
          </cell>
          <cell r="K10766" t="str">
            <v>PCOQ</v>
          </cell>
          <cell r="M10766" t="str">
            <v>F</v>
          </cell>
          <cell r="AB10766" t="str">
            <v>WB</v>
          </cell>
          <cell r="AF10766">
            <v>0.5</v>
          </cell>
        </row>
        <row r="10767">
          <cell r="A10767" t="str">
            <v>IS_alqt_plus</v>
          </cell>
          <cell r="K10767" t="str">
            <v>PCOQ</v>
          </cell>
          <cell r="M10767" t="str">
            <v>F</v>
          </cell>
          <cell r="AB10767" t="str">
            <v>WB</v>
          </cell>
          <cell r="AF10767">
            <v>0.5</v>
          </cell>
        </row>
        <row r="10768">
          <cell r="A10768" t="str">
            <v>IS_alqt_plus</v>
          </cell>
          <cell r="K10768" t="str">
            <v>PCOQ</v>
          </cell>
          <cell r="M10768" t="str">
            <v>F</v>
          </cell>
          <cell r="AB10768" t="str">
            <v>WB</v>
          </cell>
          <cell r="AF10768">
            <v>0.4</v>
          </cell>
        </row>
        <row r="10769">
          <cell r="A10769" t="str">
            <v>IS_alqt_plus</v>
          </cell>
          <cell r="K10769" t="str">
            <v>PCOQ</v>
          </cell>
          <cell r="M10769" t="str">
            <v>F</v>
          </cell>
          <cell r="AB10769" t="str">
            <v>WB</v>
          </cell>
          <cell r="AF10769">
            <v>0.5</v>
          </cell>
        </row>
        <row r="10770">
          <cell r="A10770" t="str">
            <v>gone</v>
          </cell>
          <cell r="K10770" t="str">
            <v>PCOQ</v>
          </cell>
          <cell r="M10770" t="str">
            <v>F</v>
          </cell>
          <cell r="AB10770" t="str">
            <v>WB</v>
          </cell>
          <cell r="AF10770">
            <v>0</v>
          </cell>
        </row>
        <row r="10771">
          <cell r="A10771" t="str">
            <v>IS_alqt_plus</v>
          </cell>
          <cell r="K10771" t="str">
            <v>PCOQ</v>
          </cell>
          <cell r="M10771" t="str">
            <v>F</v>
          </cell>
          <cell r="AB10771" t="str">
            <v>WB</v>
          </cell>
          <cell r="AF10771">
            <v>0.5</v>
          </cell>
        </row>
        <row r="10772">
          <cell r="A10772" t="str">
            <v>IS_alqt_plus</v>
          </cell>
          <cell r="K10772" t="str">
            <v>PCOQ</v>
          </cell>
          <cell r="M10772" t="str">
            <v>F</v>
          </cell>
          <cell r="AB10772" t="str">
            <v>WB</v>
          </cell>
          <cell r="AF10772">
            <v>0.4</v>
          </cell>
        </row>
        <row r="10773">
          <cell r="A10773" t="str">
            <v>IS_alqt_plus</v>
          </cell>
          <cell r="K10773" t="str">
            <v>PCOQ</v>
          </cell>
          <cell r="M10773" t="str">
            <v>F</v>
          </cell>
          <cell r="AB10773" t="str">
            <v>serum</v>
          </cell>
          <cell r="AF10773">
            <v>1.5</v>
          </cell>
        </row>
        <row r="10774">
          <cell r="A10774" t="str">
            <v>gone</v>
          </cell>
          <cell r="K10774" t="str">
            <v>PCOQ</v>
          </cell>
          <cell r="M10774" t="str">
            <v>M</v>
          </cell>
          <cell r="AB10774" t="str">
            <v>serum</v>
          </cell>
          <cell r="AF10774">
            <v>0</v>
          </cell>
        </row>
        <row r="10775">
          <cell r="A10775" t="str">
            <v>gone</v>
          </cell>
          <cell r="K10775" t="str">
            <v>LCAT</v>
          </cell>
          <cell r="M10775" t="str">
            <v>F</v>
          </cell>
          <cell r="AB10775" t="str">
            <v>serum</v>
          </cell>
          <cell r="AF10775">
            <v>0</v>
          </cell>
        </row>
        <row r="10776">
          <cell r="A10776" t="str">
            <v>IS_alqt_plus</v>
          </cell>
          <cell r="K10776" t="str">
            <v>PCOQ</v>
          </cell>
          <cell r="M10776" t="str">
            <v>M</v>
          </cell>
          <cell r="AB10776" t="str">
            <v>serum</v>
          </cell>
          <cell r="AF10776">
            <v>0.2</v>
          </cell>
        </row>
        <row r="10777">
          <cell r="A10777" t="str">
            <v>unk</v>
          </cell>
          <cell r="K10777" t="str">
            <v>PCOQ</v>
          </cell>
          <cell r="M10777" t="str">
            <v>M</v>
          </cell>
          <cell r="AB10777" t="str">
            <v>serum</v>
          </cell>
          <cell r="AF10777">
            <v>0.5</v>
          </cell>
        </row>
        <row r="10778">
          <cell r="A10778" t="str">
            <v>unk</v>
          </cell>
          <cell r="K10778" t="str">
            <v>PCOQ</v>
          </cell>
          <cell r="M10778" t="str">
            <v>M</v>
          </cell>
          <cell r="AB10778" t="str">
            <v>serum</v>
          </cell>
          <cell r="AF10778">
            <v>1</v>
          </cell>
        </row>
        <row r="10779">
          <cell r="A10779" t="str">
            <v>IS_alqt_plus</v>
          </cell>
          <cell r="K10779" t="str">
            <v>PCOQ</v>
          </cell>
          <cell r="M10779" t="str">
            <v>F</v>
          </cell>
          <cell r="AB10779" t="str">
            <v>WB</v>
          </cell>
          <cell r="AF10779">
            <v>1.6</v>
          </cell>
        </row>
        <row r="10780">
          <cell r="A10780" t="str">
            <v>IS_alqt_plus</v>
          </cell>
          <cell r="K10780" t="str">
            <v>PCOQ</v>
          </cell>
          <cell r="M10780" t="str">
            <v>F</v>
          </cell>
          <cell r="AB10780" t="str">
            <v>WB</v>
          </cell>
          <cell r="AF10780">
            <v>0.25</v>
          </cell>
        </row>
        <row r="10781">
          <cell r="A10781" t="str">
            <v>IS_alqt_plus</v>
          </cell>
          <cell r="K10781" t="str">
            <v>PCOQ</v>
          </cell>
          <cell r="M10781" t="str">
            <v>F</v>
          </cell>
          <cell r="AB10781" t="str">
            <v>WB</v>
          </cell>
          <cell r="AF10781">
            <v>0.8</v>
          </cell>
        </row>
        <row r="10782">
          <cell r="A10782" t="str">
            <v>IS_alqt_plus</v>
          </cell>
          <cell r="K10782" t="str">
            <v>PCOQ</v>
          </cell>
          <cell r="M10782" t="str">
            <v>F</v>
          </cell>
          <cell r="AB10782" t="str">
            <v>WB</v>
          </cell>
          <cell r="AF10782">
            <v>1</v>
          </cell>
        </row>
        <row r="10783">
          <cell r="A10783" t="str">
            <v>gone</v>
          </cell>
          <cell r="K10783" t="str">
            <v>PCOQ</v>
          </cell>
          <cell r="M10783" t="str">
            <v>F</v>
          </cell>
          <cell r="AB10783" t="str">
            <v>WB</v>
          </cell>
          <cell r="AF10783">
            <v>0</v>
          </cell>
        </row>
        <row r="10784">
          <cell r="A10784" t="str">
            <v>IS_alqt_plus</v>
          </cell>
          <cell r="K10784" t="str">
            <v>PCOQ</v>
          </cell>
          <cell r="M10784" t="str">
            <v>F</v>
          </cell>
          <cell r="AB10784" t="str">
            <v>WB</v>
          </cell>
          <cell r="AF10784">
            <v>1</v>
          </cell>
        </row>
        <row r="10785">
          <cell r="A10785" t="str">
            <v>IS_alqt_plus</v>
          </cell>
          <cell r="K10785" t="str">
            <v>PCOQ</v>
          </cell>
          <cell r="M10785" t="str">
            <v>F</v>
          </cell>
          <cell r="AB10785" t="str">
            <v>WB</v>
          </cell>
          <cell r="AF10785">
            <v>1.2</v>
          </cell>
        </row>
        <row r="10786">
          <cell r="A10786" t="str">
            <v>IS_alqt_plus</v>
          </cell>
          <cell r="K10786" t="str">
            <v>PCOQ</v>
          </cell>
          <cell r="M10786" t="str">
            <v>F</v>
          </cell>
          <cell r="AB10786" t="str">
            <v>WB</v>
          </cell>
          <cell r="AF10786">
            <v>1.2</v>
          </cell>
        </row>
        <row r="10787">
          <cell r="A10787" t="str">
            <v>IS_alqt_plus</v>
          </cell>
          <cell r="K10787" t="str">
            <v>PCOQ</v>
          </cell>
          <cell r="M10787" t="str">
            <v>F</v>
          </cell>
          <cell r="AB10787" t="str">
            <v>WB</v>
          </cell>
          <cell r="AF10787">
            <v>1.2</v>
          </cell>
        </row>
        <row r="10788">
          <cell r="A10788" t="str">
            <v>IS_alqt_plus</v>
          </cell>
          <cell r="K10788" t="str">
            <v>PCOQ</v>
          </cell>
          <cell r="M10788" t="str">
            <v>F</v>
          </cell>
          <cell r="AB10788" t="str">
            <v>WB</v>
          </cell>
          <cell r="AF10788">
            <v>1.2</v>
          </cell>
        </row>
        <row r="10789">
          <cell r="A10789" t="str">
            <v>IS_alqt_plus</v>
          </cell>
          <cell r="K10789" t="str">
            <v>PCOQ</v>
          </cell>
          <cell r="M10789" t="str">
            <v>F</v>
          </cell>
          <cell r="AB10789" t="str">
            <v>WB</v>
          </cell>
          <cell r="AF10789">
            <v>1.1000000000000001</v>
          </cell>
        </row>
        <row r="10790">
          <cell r="A10790" t="str">
            <v>IS_alqt_plus</v>
          </cell>
          <cell r="K10790" t="str">
            <v>PCOQ</v>
          </cell>
          <cell r="M10790" t="str">
            <v>F</v>
          </cell>
          <cell r="AB10790" t="str">
            <v>WB</v>
          </cell>
          <cell r="AF10790">
            <v>1</v>
          </cell>
        </row>
        <row r="10791">
          <cell r="A10791" t="str">
            <v>IS_alqt_plus</v>
          </cell>
          <cell r="K10791" t="str">
            <v>PCOQ</v>
          </cell>
          <cell r="M10791" t="str">
            <v>F</v>
          </cell>
          <cell r="AB10791" t="str">
            <v>WB</v>
          </cell>
          <cell r="AF10791">
            <v>1</v>
          </cell>
        </row>
        <row r="10792">
          <cell r="A10792" t="str">
            <v>IS_alqt_minus</v>
          </cell>
          <cell r="K10792" t="str">
            <v>PCOQ</v>
          </cell>
          <cell r="M10792" t="str">
            <v>M</v>
          </cell>
          <cell r="AB10792" t="str">
            <v>serum</v>
          </cell>
          <cell r="AF10792">
            <v>0.15</v>
          </cell>
        </row>
        <row r="10793">
          <cell r="A10793" t="str">
            <v>unk</v>
          </cell>
          <cell r="K10793" t="str">
            <v>PCOQ</v>
          </cell>
          <cell r="M10793" t="str">
            <v>M</v>
          </cell>
          <cell r="AB10793" t="str">
            <v>serum</v>
          </cell>
          <cell r="AF10793">
            <v>1</v>
          </cell>
        </row>
        <row r="10794">
          <cell r="A10794" t="str">
            <v>IS_alqt_minus</v>
          </cell>
          <cell r="K10794" t="str">
            <v>MMUR</v>
          </cell>
          <cell r="M10794" t="str">
            <v>M</v>
          </cell>
          <cell r="AB10794" t="str">
            <v>WB</v>
          </cell>
          <cell r="AF10794">
            <v>0.05</v>
          </cell>
        </row>
        <row r="10795">
          <cell r="A10795" t="str">
            <v>IS_alqt_plus</v>
          </cell>
          <cell r="K10795" t="str">
            <v>PCOQ</v>
          </cell>
          <cell r="M10795" t="str">
            <v>F</v>
          </cell>
          <cell r="AB10795" t="str">
            <v>WB</v>
          </cell>
          <cell r="AF10795">
            <v>1</v>
          </cell>
        </row>
        <row r="10796">
          <cell r="A10796" t="str">
            <v>IS_alqt_plus</v>
          </cell>
          <cell r="K10796" t="str">
            <v>PCOQ</v>
          </cell>
          <cell r="M10796" t="str">
            <v>F</v>
          </cell>
          <cell r="AB10796" t="str">
            <v>WB</v>
          </cell>
          <cell r="AF10796">
            <v>1.2</v>
          </cell>
        </row>
        <row r="10797">
          <cell r="A10797" t="str">
            <v>IS_alqt_plus</v>
          </cell>
          <cell r="K10797" t="str">
            <v>PCOQ</v>
          </cell>
          <cell r="M10797" t="str">
            <v>F</v>
          </cell>
          <cell r="AB10797" t="str">
            <v>WB</v>
          </cell>
          <cell r="AF10797">
            <v>1.1000000000000001</v>
          </cell>
        </row>
        <row r="10798">
          <cell r="A10798" t="str">
            <v>IS_alqt_plus</v>
          </cell>
          <cell r="K10798" t="str">
            <v>PCOQ</v>
          </cell>
          <cell r="M10798" t="str">
            <v>F</v>
          </cell>
          <cell r="AB10798" t="str">
            <v>serum</v>
          </cell>
          <cell r="AF10798">
            <v>0.6</v>
          </cell>
        </row>
        <row r="10799">
          <cell r="A10799" t="str">
            <v>IS_alqt_plus</v>
          </cell>
          <cell r="K10799" t="str">
            <v>PCOQ</v>
          </cell>
          <cell r="M10799" t="str">
            <v>F</v>
          </cell>
          <cell r="AB10799" t="str">
            <v>serum</v>
          </cell>
          <cell r="AF10799">
            <v>1.1000000000000001</v>
          </cell>
        </row>
        <row r="10800">
          <cell r="A10800" t="str">
            <v>IS_alqt_plus</v>
          </cell>
          <cell r="K10800" t="str">
            <v>PCOQ</v>
          </cell>
          <cell r="M10800" t="str">
            <v>F</v>
          </cell>
          <cell r="AB10800" t="str">
            <v>serum</v>
          </cell>
          <cell r="AF10800">
            <v>1</v>
          </cell>
        </row>
        <row r="10801">
          <cell r="A10801" t="str">
            <v>IS_alqt_plus</v>
          </cell>
          <cell r="K10801" t="str">
            <v>PCOQ</v>
          </cell>
          <cell r="M10801" t="str">
            <v>F</v>
          </cell>
          <cell r="AB10801" t="str">
            <v>serum</v>
          </cell>
          <cell r="AF10801">
            <v>1</v>
          </cell>
        </row>
        <row r="10802">
          <cell r="A10802" t="str">
            <v>IS_alqt_plus</v>
          </cell>
          <cell r="K10802" t="str">
            <v>PCOQ</v>
          </cell>
          <cell r="M10802" t="str">
            <v>F</v>
          </cell>
          <cell r="AB10802" t="str">
            <v>serum</v>
          </cell>
          <cell r="AF10802">
            <v>0.5</v>
          </cell>
        </row>
        <row r="10803">
          <cell r="A10803" t="str">
            <v>IS_alqt_plus</v>
          </cell>
          <cell r="K10803" t="str">
            <v>PCOQ</v>
          </cell>
          <cell r="M10803" t="str">
            <v>F</v>
          </cell>
          <cell r="AB10803" t="str">
            <v>WB</v>
          </cell>
          <cell r="AF10803">
            <v>1.2</v>
          </cell>
        </row>
        <row r="10804">
          <cell r="A10804" t="str">
            <v>IS_alqt_plus</v>
          </cell>
          <cell r="K10804" t="str">
            <v>PCOQ</v>
          </cell>
          <cell r="M10804" t="str">
            <v>F</v>
          </cell>
          <cell r="AB10804" t="str">
            <v>WB</v>
          </cell>
          <cell r="AF10804">
            <v>1</v>
          </cell>
        </row>
        <row r="10805">
          <cell r="A10805" t="str">
            <v>IS_alqt_plus</v>
          </cell>
          <cell r="K10805" t="str">
            <v>PCOQ</v>
          </cell>
          <cell r="M10805" t="str">
            <v>F</v>
          </cell>
          <cell r="AB10805" t="str">
            <v>serum</v>
          </cell>
          <cell r="AF10805">
            <v>1.5</v>
          </cell>
        </row>
        <row r="10806">
          <cell r="A10806" t="str">
            <v>IS_alqt_plus</v>
          </cell>
          <cell r="K10806" t="str">
            <v>PCOQ</v>
          </cell>
          <cell r="M10806" t="str">
            <v>F</v>
          </cell>
          <cell r="AB10806" t="str">
            <v>serum</v>
          </cell>
          <cell r="AF10806">
            <v>0.4</v>
          </cell>
        </row>
        <row r="10807">
          <cell r="A10807" t="str">
            <v>IS_alqt_plus</v>
          </cell>
          <cell r="K10807" t="str">
            <v>PCOQ</v>
          </cell>
          <cell r="M10807" t="str">
            <v>F</v>
          </cell>
          <cell r="AB10807" t="str">
            <v>WB</v>
          </cell>
          <cell r="AF10807">
            <v>1</v>
          </cell>
        </row>
        <row r="10808">
          <cell r="A10808" t="str">
            <v>IS_alqt_plus</v>
          </cell>
          <cell r="K10808" t="str">
            <v>PCOQ</v>
          </cell>
          <cell r="M10808" t="str">
            <v>F</v>
          </cell>
          <cell r="AB10808" t="str">
            <v>WB</v>
          </cell>
          <cell r="AF10808">
            <v>1</v>
          </cell>
        </row>
        <row r="10809">
          <cell r="A10809" t="str">
            <v>IS_alqt_plus</v>
          </cell>
          <cell r="K10809" t="str">
            <v>EMON</v>
          </cell>
          <cell r="M10809" t="str">
            <v>M</v>
          </cell>
          <cell r="AB10809" t="str">
            <v>serum</v>
          </cell>
          <cell r="AF10809">
            <v>0.8</v>
          </cell>
        </row>
        <row r="10810">
          <cell r="A10810" t="str">
            <v>IS_alqt_plus</v>
          </cell>
          <cell r="K10810" t="str">
            <v>PCOQ</v>
          </cell>
          <cell r="M10810" t="str">
            <v>F</v>
          </cell>
          <cell r="AB10810" t="str">
            <v>serum</v>
          </cell>
          <cell r="AF10810">
            <v>0.2</v>
          </cell>
        </row>
        <row r="10811">
          <cell r="A10811" t="str">
            <v>IS_alqt_plus</v>
          </cell>
          <cell r="K10811" t="str">
            <v>PCOQ</v>
          </cell>
          <cell r="M10811" t="str">
            <v>F</v>
          </cell>
          <cell r="AB10811" t="str">
            <v>serum</v>
          </cell>
          <cell r="AF10811">
            <v>0.2</v>
          </cell>
        </row>
        <row r="10812">
          <cell r="A10812" t="str">
            <v>IS_alqt_plus</v>
          </cell>
          <cell r="K10812" t="str">
            <v>PCOQ</v>
          </cell>
          <cell r="M10812" t="str">
            <v>F</v>
          </cell>
          <cell r="AB10812" t="str">
            <v>serum</v>
          </cell>
          <cell r="AF10812">
            <v>0.9</v>
          </cell>
        </row>
        <row r="10813">
          <cell r="A10813" t="str">
            <v>IS_alqt_plus</v>
          </cell>
          <cell r="K10813" t="str">
            <v>EMON</v>
          </cell>
          <cell r="M10813" t="str">
            <v>M</v>
          </cell>
          <cell r="AB10813" t="str">
            <v>WB</v>
          </cell>
          <cell r="AF10813">
            <v>0.4</v>
          </cell>
        </row>
        <row r="10814">
          <cell r="A10814" t="str">
            <v>IS_alqt_plus</v>
          </cell>
          <cell r="K10814" t="str">
            <v>PCOQ</v>
          </cell>
          <cell r="M10814" t="str">
            <v>F</v>
          </cell>
          <cell r="AB10814" t="str">
            <v>WB</v>
          </cell>
          <cell r="AF10814">
            <v>1.2</v>
          </cell>
        </row>
        <row r="10815">
          <cell r="A10815" t="str">
            <v>IS_alqt_plus</v>
          </cell>
          <cell r="K10815" t="str">
            <v>PCOQ</v>
          </cell>
          <cell r="M10815" t="str">
            <v>F</v>
          </cell>
          <cell r="AB10815" t="str">
            <v>WB</v>
          </cell>
          <cell r="AF10815">
            <v>1.1000000000000001</v>
          </cell>
        </row>
        <row r="10816">
          <cell r="A10816" t="str">
            <v>IS_alqt_plus</v>
          </cell>
          <cell r="K10816" t="str">
            <v>PCOQ</v>
          </cell>
          <cell r="M10816" t="str">
            <v>F</v>
          </cell>
          <cell r="AB10816" t="str">
            <v>WB</v>
          </cell>
          <cell r="AF10816">
            <v>1</v>
          </cell>
        </row>
        <row r="10817">
          <cell r="A10817" t="str">
            <v>gone</v>
          </cell>
          <cell r="K10817" t="str">
            <v>DMAD</v>
          </cell>
          <cell r="M10817" t="str">
            <v>M</v>
          </cell>
          <cell r="AB10817" t="str">
            <v>WB</v>
          </cell>
          <cell r="AF10817">
            <v>0</v>
          </cell>
        </row>
        <row r="10818">
          <cell r="A10818" t="str">
            <v>gone</v>
          </cell>
          <cell r="K10818" t="str">
            <v>DMAD</v>
          </cell>
          <cell r="M10818" t="str">
            <v>M</v>
          </cell>
          <cell r="AB10818" t="str">
            <v>WB</v>
          </cell>
          <cell r="AF10818">
            <v>0</v>
          </cell>
        </row>
        <row r="10819">
          <cell r="A10819" t="str">
            <v>gone</v>
          </cell>
          <cell r="K10819" t="str">
            <v>DMAD</v>
          </cell>
          <cell r="M10819" t="str">
            <v>M</v>
          </cell>
          <cell r="AB10819" t="str">
            <v>WB</v>
          </cell>
          <cell r="AF10819">
            <v>0</v>
          </cell>
        </row>
        <row r="10820">
          <cell r="A10820" t="str">
            <v>IS_alqt_plus</v>
          </cell>
          <cell r="K10820" t="str">
            <v>PCOQ</v>
          </cell>
          <cell r="M10820" t="str">
            <v>F</v>
          </cell>
          <cell r="AB10820" t="str">
            <v>WB</v>
          </cell>
          <cell r="AF10820">
            <v>1</v>
          </cell>
        </row>
        <row r="10821">
          <cell r="A10821" t="str">
            <v>IS_alqt_plus</v>
          </cell>
          <cell r="K10821" t="str">
            <v>PCOQ</v>
          </cell>
          <cell r="M10821" t="str">
            <v>F</v>
          </cell>
          <cell r="AB10821" t="str">
            <v>WB</v>
          </cell>
          <cell r="AF10821">
            <v>1</v>
          </cell>
        </row>
        <row r="10822">
          <cell r="A10822" t="str">
            <v>IS_alqt_plus</v>
          </cell>
          <cell r="K10822" t="str">
            <v>PCOQ</v>
          </cell>
          <cell r="M10822" t="str">
            <v>F</v>
          </cell>
          <cell r="AB10822" t="str">
            <v>WB</v>
          </cell>
          <cell r="AF10822">
            <v>1.1499999999999999</v>
          </cell>
        </row>
        <row r="10823">
          <cell r="A10823" t="str">
            <v>IS_alqt_plus</v>
          </cell>
          <cell r="K10823" t="str">
            <v>PCOQ</v>
          </cell>
          <cell r="M10823" t="str">
            <v>F</v>
          </cell>
          <cell r="AB10823" t="str">
            <v>WB</v>
          </cell>
          <cell r="AF10823">
            <v>1.1000000000000001</v>
          </cell>
        </row>
        <row r="10824">
          <cell r="A10824" t="str">
            <v>IS_alqt_plus</v>
          </cell>
          <cell r="K10824" t="str">
            <v>PCOQ</v>
          </cell>
          <cell r="M10824" t="str">
            <v>F</v>
          </cell>
          <cell r="AB10824" t="str">
            <v>WB</v>
          </cell>
          <cell r="AF10824">
            <v>1.2</v>
          </cell>
        </row>
        <row r="10825">
          <cell r="A10825" t="str">
            <v>gone</v>
          </cell>
          <cell r="K10825" t="str">
            <v>PCOQ</v>
          </cell>
          <cell r="M10825" t="str">
            <v>F</v>
          </cell>
          <cell r="AB10825" t="str">
            <v>WB</v>
          </cell>
          <cell r="AF10825">
            <v>0</v>
          </cell>
        </row>
        <row r="10826">
          <cell r="A10826" t="str">
            <v>IS_alqt_plus</v>
          </cell>
          <cell r="K10826" t="str">
            <v>PCOQ</v>
          </cell>
          <cell r="M10826" t="str">
            <v>F</v>
          </cell>
          <cell r="AB10826" t="str">
            <v>WB</v>
          </cell>
          <cell r="AF10826">
            <v>1</v>
          </cell>
        </row>
        <row r="10827">
          <cell r="A10827" t="str">
            <v>IS_alqt_plus</v>
          </cell>
          <cell r="K10827" t="str">
            <v>PCOQ</v>
          </cell>
          <cell r="M10827" t="str">
            <v>F</v>
          </cell>
          <cell r="AB10827" t="str">
            <v>WB</v>
          </cell>
          <cell r="AF10827">
            <v>1.2</v>
          </cell>
        </row>
        <row r="10828">
          <cell r="A10828" t="str">
            <v>IS_alqt_plus</v>
          </cell>
          <cell r="K10828" t="str">
            <v>PCOQ</v>
          </cell>
          <cell r="M10828" t="str">
            <v>F</v>
          </cell>
          <cell r="AB10828" t="str">
            <v>WB</v>
          </cell>
          <cell r="AF10828">
            <v>1.1000000000000001</v>
          </cell>
        </row>
        <row r="10829">
          <cell r="A10829" t="str">
            <v>IS_alqt_plus</v>
          </cell>
          <cell r="K10829" t="str">
            <v>PCOQ</v>
          </cell>
          <cell r="M10829" t="str">
            <v>F</v>
          </cell>
          <cell r="AB10829" t="str">
            <v>WB</v>
          </cell>
          <cell r="AF10829">
            <v>1</v>
          </cell>
        </row>
        <row r="10830">
          <cell r="A10830" t="str">
            <v>IS_alqt_plus</v>
          </cell>
          <cell r="K10830" t="str">
            <v>PCOQ</v>
          </cell>
          <cell r="M10830" t="str">
            <v>F</v>
          </cell>
          <cell r="AB10830" t="str">
            <v>WB</v>
          </cell>
          <cell r="AF10830">
            <v>1</v>
          </cell>
        </row>
        <row r="10831">
          <cell r="A10831" t="str">
            <v>IS_alqt_plus</v>
          </cell>
          <cell r="K10831" t="str">
            <v>PCOQ</v>
          </cell>
          <cell r="M10831" t="str">
            <v>F</v>
          </cell>
          <cell r="AB10831" t="str">
            <v>WB</v>
          </cell>
          <cell r="AF10831">
            <v>1</v>
          </cell>
        </row>
        <row r="10832">
          <cell r="A10832" t="str">
            <v>IS_alqt_plus</v>
          </cell>
          <cell r="K10832" t="str">
            <v>PCOQ</v>
          </cell>
          <cell r="M10832" t="str">
            <v>F</v>
          </cell>
          <cell r="AB10832" t="str">
            <v>WB</v>
          </cell>
          <cell r="AF10832">
            <v>1</v>
          </cell>
        </row>
        <row r="10833">
          <cell r="A10833" t="str">
            <v>IS_alqt_plus</v>
          </cell>
          <cell r="K10833" t="str">
            <v>PCOQ</v>
          </cell>
          <cell r="M10833" t="str">
            <v>F</v>
          </cell>
          <cell r="AB10833" t="str">
            <v>WB</v>
          </cell>
          <cell r="AF10833">
            <v>1</v>
          </cell>
        </row>
        <row r="10834">
          <cell r="A10834" t="str">
            <v>IS_alqt_plus</v>
          </cell>
          <cell r="K10834" t="str">
            <v>PCOQ</v>
          </cell>
          <cell r="M10834" t="str">
            <v>F</v>
          </cell>
          <cell r="AB10834" t="str">
            <v>WB</v>
          </cell>
          <cell r="AF10834">
            <v>1</v>
          </cell>
        </row>
        <row r="10835">
          <cell r="A10835" t="str">
            <v>IS_alqt_plus</v>
          </cell>
          <cell r="K10835" t="str">
            <v>PCOQ</v>
          </cell>
          <cell r="M10835" t="str">
            <v>F</v>
          </cell>
          <cell r="AB10835" t="str">
            <v>WB</v>
          </cell>
          <cell r="AF10835">
            <v>1</v>
          </cell>
        </row>
        <row r="10836">
          <cell r="A10836" t="str">
            <v>IS_alqt_plus</v>
          </cell>
          <cell r="K10836" t="str">
            <v>VVV</v>
          </cell>
          <cell r="M10836" t="str">
            <v>M</v>
          </cell>
          <cell r="AB10836" t="str">
            <v>WB</v>
          </cell>
          <cell r="AF10836">
            <v>1</v>
          </cell>
        </row>
        <row r="10837">
          <cell r="A10837" t="str">
            <v>gone</v>
          </cell>
          <cell r="K10837" t="str">
            <v>VVV</v>
          </cell>
          <cell r="M10837" t="str">
            <v>M</v>
          </cell>
          <cell r="AB10837" t="str">
            <v>WB</v>
          </cell>
          <cell r="AF10837">
            <v>0</v>
          </cell>
        </row>
        <row r="10838">
          <cell r="A10838" t="str">
            <v>IS_alqt_plus</v>
          </cell>
          <cell r="K10838" t="str">
            <v>VVV</v>
          </cell>
          <cell r="M10838" t="str">
            <v>F</v>
          </cell>
          <cell r="AB10838" t="str">
            <v>WB</v>
          </cell>
          <cell r="AF10838">
            <v>0.75</v>
          </cell>
        </row>
        <row r="10839">
          <cell r="A10839" t="str">
            <v>IS_alqt_plus</v>
          </cell>
          <cell r="K10839" t="str">
            <v>VVV</v>
          </cell>
          <cell r="M10839" t="str">
            <v>F</v>
          </cell>
          <cell r="AB10839" t="str">
            <v>WB</v>
          </cell>
          <cell r="AF10839">
            <v>1</v>
          </cell>
        </row>
        <row r="10840">
          <cell r="A10840" t="str">
            <v>IS_alqt_plus</v>
          </cell>
          <cell r="K10840" t="str">
            <v>VVV</v>
          </cell>
          <cell r="M10840" t="str">
            <v>F</v>
          </cell>
          <cell r="AB10840" t="str">
            <v>WB</v>
          </cell>
          <cell r="AF10840">
            <v>0.75</v>
          </cell>
        </row>
        <row r="10841">
          <cell r="A10841" t="str">
            <v>IS_alqt_plus</v>
          </cell>
          <cell r="K10841" t="str">
            <v>VVV</v>
          </cell>
          <cell r="M10841" t="str">
            <v>F</v>
          </cell>
          <cell r="AB10841" t="str">
            <v>WB</v>
          </cell>
          <cell r="AF10841">
            <v>1</v>
          </cell>
        </row>
        <row r="10842">
          <cell r="A10842" t="str">
            <v>IS_alqt_plus</v>
          </cell>
          <cell r="K10842" t="str">
            <v>VVV</v>
          </cell>
          <cell r="M10842" t="str">
            <v>M</v>
          </cell>
          <cell r="AB10842" t="str">
            <v>WB</v>
          </cell>
          <cell r="AF10842">
            <v>1.2</v>
          </cell>
        </row>
        <row r="10843">
          <cell r="A10843" t="str">
            <v>IS_alqt_plus</v>
          </cell>
          <cell r="K10843" t="str">
            <v>VVV</v>
          </cell>
          <cell r="M10843" t="str">
            <v>M</v>
          </cell>
          <cell r="AB10843" t="str">
            <v>WB</v>
          </cell>
          <cell r="AF10843">
            <v>0.4</v>
          </cell>
        </row>
        <row r="10844">
          <cell r="A10844" t="str">
            <v>IS_alqt_plus</v>
          </cell>
          <cell r="K10844" t="str">
            <v>VVV</v>
          </cell>
          <cell r="M10844" t="str">
            <v>M</v>
          </cell>
          <cell r="AB10844" t="str">
            <v>WB</v>
          </cell>
          <cell r="AF10844">
            <v>1</v>
          </cell>
        </row>
        <row r="10845">
          <cell r="A10845" t="str">
            <v>IS_alqt_plus</v>
          </cell>
          <cell r="K10845" t="str">
            <v>VVV</v>
          </cell>
          <cell r="M10845" t="str">
            <v>M</v>
          </cell>
          <cell r="AB10845" t="str">
            <v>serum</v>
          </cell>
          <cell r="AF10845">
            <v>0.25</v>
          </cell>
        </row>
        <row r="10846">
          <cell r="A10846" t="str">
            <v>gone</v>
          </cell>
          <cell r="K10846" t="str">
            <v>VVV</v>
          </cell>
          <cell r="M10846" t="str">
            <v>M</v>
          </cell>
          <cell r="AB10846" t="str">
            <v>serum</v>
          </cell>
          <cell r="AF10846">
            <v>0</v>
          </cell>
        </row>
        <row r="10847">
          <cell r="A10847" t="str">
            <v>gone</v>
          </cell>
          <cell r="K10847" t="str">
            <v>VVV</v>
          </cell>
          <cell r="M10847" t="str">
            <v>F</v>
          </cell>
          <cell r="AB10847" t="str">
            <v>serum</v>
          </cell>
          <cell r="AF10847">
            <v>1</v>
          </cell>
        </row>
        <row r="10848">
          <cell r="A10848" t="str">
            <v>IS_alqt_plus</v>
          </cell>
          <cell r="K10848" t="str">
            <v>VVV</v>
          </cell>
          <cell r="M10848" t="str">
            <v>F</v>
          </cell>
          <cell r="AB10848" t="str">
            <v>serum</v>
          </cell>
          <cell r="AF10848">
            <v>1</v>
          </cell>
        </row>
        <row r="10849">
          <cell r="A10849" t="str">
            <v>IS_alqt_plus</v>
          </cell>
          <cell r="K10849" t="str">
            <v>VVV</v>
          </cell>
          <cell r="M10849" t="str">
            <v>M</v>
          </cell>
          <cell r="AB10849" t="str">
            <v>serum</v>
          </cell>
          <cell r="AF10849">
            <v>0.75</v>
          </cell>
        </row>
        <row r="10850">
          <cell r="A10850" t="str">
            <v>IS_alqt_plus</v>
          </cell>
          <cell r="K10850" t="str">
            <v>VVV</v>
          </cell>
          <cell r="M10850" t="str">
            <v>M</v>
          </cell>
          <cell r="AB10850" t="str">
            <v>serum</v>
          </cell>
          <cell r="AF10850">
            <v>0.8</v>
          </cell>
        </row>
        <row r="10851">
          <cell r="A10851" t="str">
            <v>IS_alqt_plus</v>
          </cell>
          <cell r="K10851" t="str">
            <v>PCOQ</v>
          </cell>
          <cell r="M10851" t="str">
            <v>F</v>
          </cell>
          <cell r="AB10851" t="str">
            <v>serum</v>
          </cell>
          <cell r="AF10851">
            <v>0.2</v>
          </cell>
        </row>
        <row r="10852">
          <cell r="A10852" t="str">
            <v>IS_alqt_plus</v>
          </cell>
          <cell r="K10852" t="str">
            <v>PCOQ</v>
          </cell>
          <cell r="M10852" t="str">
            <v>F</v>
          </cell>
          <cell r="AB10852" t="str">
            <v>serum</v>
          </cell>
          <cell r="AF10852">
            <v>0.2</v>
          </cell>
        </row>
        <row r="10853">
          <cell r="A10853" t="str">
            <v>on hold</v>
          </cell>
          <cell r="K10853" t="str">
            <v>PCOQ</v>
          </cell>
          <cell r="M10853" t="str">
            <v>F</v>
          </cell>
          <cell r="AB10853" t="str">
            <v>serum</v>
          </cell>
          <cell r="AF10853">
            <v>1</v>
          </cell>
        </row>
        <row r="10854">
          <cell r="A10854" t="str">
            <v>IS_alqt_plus</v>
          </cell>
          <cell r="K10854" t="str">
            <v>PCOQ</v>
          </cell>
          <cell r="M10854" t="str">
            <v>F</v>
          </cell>
          <cell r="AB10854" t="str">
            <v>serum</v>
          </cell>
          <cell r="AF10854">
            <v>0.2</v>
          </cell>
        </row>
        <row r="10855">
          <cell r="A10855" t="str">
            <v>IS_alqt_plus</v>
          </cell>
          <cell r="K10855" t="str">
            <v>PCOQ</v>
          </cell>
          <cell r="M10855" t="str">
            <v>F</v>
          </cell>
          <cell r="AB10855" t="str">
            <v>serum</v>
          </cell>
          <cell r="AF10855">
            <v>0.2</v>
          </cell>
        </row>
        <row r="10856">
          <cell r="A10856" t="str">
            <v>IS_alqt_plus</v>
          </cell>
          <cell r="K10856" t="str">
            <v>PCOQ</v>
          </cell>
          <cell r="M10856" t="str">
            <v>F</v>
          </cell>
          <cell r="AB10856" t="str">
            <v>serum</v>
          </cell>
          <cell r="AF10856">
            <v>0.2</v>
          </cell>
        </row>
        <row r="10857">
          <cell r="A10857" t="str">
            <v>IS_alqt_plus</v>
          </cell>
          <cell r="K10857" t="str">
            <v>PCOQ</v>
          </cell>
          <cell r="M10857" t="str">
            <v>F</v>
          </cell>
          <cell r="AB10857" t="str">
            <v>serum</v>
          </cell>
          <cell r="AF10857">
            <v>0.2</v>
          </cell>
        </row>
        <row r="10858">
          <cell r="A10858" t="str">
            <v>IS_alqt_plus</v>
          </cell>
          <cell r="K10858" t="str">
            <v>PCOQ</v>
          </cell>
          <cell r="M10858" t="str">
            <v>F</v>
          </cell>
          <cell r="AB10858" t="str">
            <v>serum</v>
          </cell>
          <cell r="AF10858">
            <v>0.2</v>
          </cell>
        </row>
        <row r="10859">
          <cell r="A10859" t="str">
            <v>unk</v>
          </cell>
          <cell r="K10859" t="str">
            <v>PCOQ</v>
          </cell>
          <cell r="M10859" t="str">
            <v>F</v>
          </cell>
          <cell r="AB10859" t="str">
            <v>serum</v>
          </cell>
          <cell r="AF10859">
            <v>0.1</v>
          </cell>
        </row>
        <row r="10860">
          <cell r="A10860" t="str">
            <v>unk</v>
          </cell>
          <cell r="K10860" t="str">
            <v>PCOQ</v>
          </cell>
          <cell r="M10860" t="str">
            <v>F</v>
          </cell>
          <cell r="AB10860" t="str">
            <v>serum</v>
          </cell>
          <cell r="AF10860">
            <v>0.2</v>
          </cell>
        </row>
        <row r="10861">
          <cell r="A10861" t="str">
            <v>on hold</v>
          </cell>
          <cell r="K10861" t="str">
            <v>PCOQ</v>
          </cell>
          <cell r="M10861" t="str">
            <v>F</v>
          </cell>
          <cell r="AB10861" t="str">
            <v>serum</v>
          </cell>
          <cell r="AF10861">
            <v>0.9</v>
          </cell>
        </row>
        <row r="10862">
          <cell r="A10862" t="str">
            <v>IS_alqt_plus</v>
          </cell>
          <cell r="K10862" t="str">
            <v>PCOQ</v>
          </cell>
          <cell r="M10862" t="str">
            <v>F</v>
          </cell>
          <cell r="AB10862" t="str">
            <v>WB</v>
          </cell>
          <cell r="AF10862">
            <v>0.8</v>
          </cell>
        </row>
        <row r="10863">
          <cell r="A10863" t="str">
            <v>IS_alqt_plus</v>
          </cell>
          <cell r="K10863" t="str">
            <v>PCOQ</v>
          </cell>
          <cell r="M10863" t="str">
            <v>F</v>
          </cell>
          <cell r="AB10863" t="str">
            <v>WB</v>
          </cell>
          <cell r="AF10863">
            <v>1</v>
          </cell>
        </row>
        <row r="10864">
          <cell r="A10864" t="str">
            <v>IS_alqt_plus</v>
          </cell>
          <cell r="K10864" t="str">
            <v>PCOQ</v>
          </cell>
          <cell r="M10864" t="str">
            <v>F</v>
          </cell>
          <cell r="AB10864" t="str">
            <v>WB</v>
          </cell>
          <cell r="AF10864">
            <v>1</v>
          </cell>
        </row>
        <row r="10865">
          <cell r="A10865" t="str">
            <v>IS_alqt_plus</v>
          </cell>
          <cell r="K10865" t="str">
            <v>PCOQ</v>
          </cell>
          <cell r="M10865" t="str">
            <v>F</v>
          </cell>
          <cell r="AB10865" t="str">
            <v>WB</v>
          </cell>
          <cell r="AF10865">
            <v>1.2</v>
          </cell>
        </row>
        <row r="10866">
          <cell r="A10866" t="str">
            <v>IS_alqt_plus</v>
          </cell>
          <cell r="K10866" t="str">
            <v>PCOQ</v>
          </cell>
          <cell r="M10866" t="str">
            <v>F</v>
          </cell>
          <cell r="AB10866" t="str">
            <v>WB</v>
          </cell>
          <cell r="AF10866">
            <v>1.1000000000000001</v>
          </cell>
        </row>
        <row r="10867">
          <cell r="A10867" t="str">
            <v>IS_alqt_plus</v>
          </cell>
          <cell r="K10867" t="str">
            <v>PCOQ</v>
          </cell>
          <cell r="M10867" t="str">
            <v>F</v>
          </cell>
          <cell r="AB10867" t="str">
            <v>WB</v>
          </cell>
          <cell r="AF10867">
            <v>1</v>
          </cell>
        </row>
        <row r="10868">
          <cell r="A10868" t="str">
            <v>IS_alqt_plus</v>
          </cell>
          <cell r="K10868" t="str">
            <v>PCOQ</v>
          </cell>
          <cell r="M10868" t="str">
            <v>F</v>
          </cell>
          <cell r="AB10868" t="str">
            <v>WB</v>
          </cell>
          <cell r="AF10868">
            <v>0.45</v>
          </cell>
        </row>
        <row r="10869">
          <cell r="A10869" t="str">
            <v>IS_alqt_plus</v>
          </cell>
          <cell r="K10869" t="str">
            <v>PCOQ</v>
          </cell>
          <cell r="M10869" t="str">
            <v>F</v>
          </cell>
          <cell r="AB10869" t="str">
            <v>WB</v>
          </cell>
          <cell r="AF10869">
            <v>1</v>
          </cell>
        </row>
        <row r="10870">
          <cell r="A10870" t="str">
            <v>IS_alqt_plus</v>
          </cell>
          <cell r="K10870" t="str">
            <v>PCOQ</v>
          </cell>
          <cell r="M10870" t="str">
            <v>F</v>
          </cell>
          <cell r="AB10870" t="str">
            <v>WB</v>
          </cell>
          <cell r="AF10870">
            <v>1</v>
          </cell>
        </row>
        <row r="10871">
          <cell r="A10871" t="str">
            <v>IS_alqt_plus</v>
          </cell>
          <cell r="K10871" t="str">
            <v>PCOQ</v>
          </cell>
          <cell r="M10871" t="str">
            <v>F</v>
          </cell>
          <cell r="AB10871" t="str">
            <v>WB</v>
          </cell>
          <cell r="AF10871">
            <v>1.2</v>
          </cell>
        </row>
        <row r="10872">
          <cell r="A10872" t="str">
            <v>IS_alqt_plus</v>
          </cell>
          <cell r="K10872" t="str">
            <v>PCOQ</v>
          </cell>
          <cell r="M10872" t="str">
            <v>F</v>
          </cell>
          <cell r="AB10872" t="str">
            <v>WB</v>
          </cell>
          <cell r="AF10872">
            <v>1.3</v>
          </cell>
        </row>
        <row r="10873">
          <cell r="A10873" t="str">
            <v>IS_alqt_plus</v>
          </cell>
          <cell r="K10873" t="str">
            <v>PCOQ</v>
          </cell>
          <cell r="M10873" t="str">
            <v>F</v>
          </cell>
          <cell r="AB10873" t="str">
            <v>WB</v>
          </cell>
          <cell r="AF10873">
            <v>1.1000000000000001</v>
          </cell>
        </row>
        <row r="10874">
          <cell r="A10874" t="str">
            <v>IS_alqt_plus</v>
          </cell>
          <cell r="K10874" t="str">
            <v>EMON</v>
          </cell>
          <cell r="M10874" t="str">
            <v>M</v>
          </cell>
          <cell r="AB10874" t="str">
            <v>serum</v>
          </cell>
          <cell r="AF10874">
            <v>0.75</v>
          </cell>
        </row>
        <row r="10875">
          <cell r="A10875" t="str">
            <v>IS_alqt_plus</v>
          </cell>
          <cell r="K10875" t="str">
            <v>VRUB</v>
          </cell>
          <cell r="M10875" t="str">
            <v>M</v>
          </cell>
          <cell r="AB10875" t="str">
            <v>serum</v>
          </cell>
          <cell r="AF10875">
            <v>1</v>
          </cell>
        </row>
        <row r="10876">
          <cell r="A10876" t="str">
            <v>IS_alqt_plus</v>
          </cell>
          <cell r="K10876" t="str">
            <v>EMON</v>
          </cell>
          <cell r="M10876" t="str">
            <v>M</v>
          </cell>
          <cell r="AB10876" t="str">
            <v>WB</v>
          </cell>
          <cell r="AF10876">
            <v>0.8</v>
          </cell>
        </row>
        <row r="10877">
          <cell r="A10877" t="str">
            <v>IS_alqt_plus</v>
          </cell>
          <cell r="K10877" t="str">
            <v>VRUB</v>
          </cell>
          <cell r="M10877" t="str">
            <v>M</v>
          </cell>
          <cell r="AB10877" t="str">
            <v>WB</v>
          </cell>
          <cell r="AF10877">
            <v>1</v>
          </cell>
        </row>
        <row r="10878">
          <cell r="A10878" t="str">
            <v>IS_alqt_plus</v>
          </cell>
          <cell r="K10878" t="str">
            <v>PCOQ</v>
          </cell>
          <cell r="M10878" t="str">
            <v>F</v>
          </cell>
          <cell r="AB10878" t="str">
            <v>WB</v>
          </cell>
          <cell r="AF10878">
            <v>0.6</v>
          </cell>
        </row>
        <row r="10879">
          <cell r="A10879" t="str">
            <v>IS_alqt_plus</v>
          </cell>
          <cell r="K10879" t="str">
            <v>PCOQ</v>
          </cell>
          <cell r="M10879" t="str">
            <v>F</v>
          </cell>
          <cell r="AB10879" t="str">
            <v>WB</v>
          </cell>
          <cell r="AF10879">
            <v>1.2</v>
          </cell>
        </row>
        <row r="10880">
          <cell r="A10880" t="str">
            <v>IS_alqt_plus</v>
          </cell>
          <cell r="K10880" t="str">
            <v>PCOQ</v>
          </cell>
          <cell r="M10880" t="str">
            <v>F</v>
          </cell>
          <cell r="AB10880" t="str">
            <v>WB</v>
          </cell>
          <cell r="AF10880">
            <v>1.2</v>
          </cell>
        </row>
        <row r="10881">
          <cell r="A10881" t="str">
            <v>IS_alqt_plus</v>
          </cell>
          <cell r="K10881" t="str">
            <v>PCOQ</v>
          </cell>
          <cell r="M10881" t="str">
            <v>F</v>
          </cell>
          <cell r="AB10881" t="str">
            <v>WB</v>
          </cell>
          <cell r="AF10881">
            <v>1</v>
          </cell>
        </row>
        <row r="10882">
          <cell r="A10882" t="str">
            <v>IS_alqt_plus</v>
          </cell>
          <cell r="K10882" t="str">
            <v>LCAT</v>
          </cell>
          <cell r="M10882" t="str">
            <v>F</v>
          </cell>
          <cell r="AB10882" t="str">
            <v>serum</v>
          </cell>
          <cell r="AF10882">
            <v>0.2</v>
          </cell>
        </row>
        <row r="10883">
          <cell r="A10883" t="str">
            <v>IS_alqt_plus</v>
          </cell>
          <cell r="K10883" t="str">
            <v>LCAT</v>
          </cell>
          <cell r="M10883" t="str">
            <v>F</v>
          </cell>
          <cell r="AB10883" t="str">
            <v>serum</v>
          </cell>
          <cell r="AF10883">
            <v>0.2</v>
          </cell>
        </row>
        <row r="10884">
          <cell r="A10884" t="str">
            <v>IS_alqt_plus</v>
          </cell>
          <cell r="K10884" t="str">
            <v>LCAT</v>
          </cell>
          <cell r="M10884" t="str">
            <v>F</v>
          </cell>
          <cell r="AB10884" t="str">
            <v>serum</v>
          </cell>
          <cell r="AF10884">
            <v>0.2</v>
          </cell>
        </row>
        <row r="10885">
          <cell r="A10885" t="str">
            <v>IS_alqt_plus</v>
          </cell>
          <cell r="K10885" t="str">
            <v>LCAT</v>
          </cell>
          <cell r="M10885" t="str">
            <v>F</v>
          </cell>
          <cell r="AB10885" t="str">
            <v>serum</v>
          </cell>
          <cell r="AF10885">
            <v>0.2</v>
          </cell>
        </row>
        <row r="10886">
          <cell r="A10886" t="str">
            <v>IS_alqt_plus</v>
          </cell>
          <cell r="K10886" t="str">
            <v>LCAT</v>
          </cell>
          <cell r="M10886" t="str">
            <v>F</v>
          </cell>
          <cell r="AB10886" t="str">
            <v>serum</v>
          </cell>
          <cell r="AF10886">
            <v>0.2</v>
          </cell>
        </row>
        <row r="10887">
          <cell r="A10887" t="str">
            <v>IS_alqt_plus</v>
          </cell>
          <cell r="K10887" t="str">
            <v>LCAT</v>
          </cell>
          <cell r="M10887" t="str">
            <v>F</v>
          </cell>
          <cell r="AB10887" t="str">
            <v>serum</v>
          </cell>
          <cell r="AF10887">
            <v>0.2</v>
          </cell>
        </row>
        <row r="10888">
          <cell r="A10888" t="str">
            <v>IS_alqt_plus</v>
          </cell>
          <cell r="K10888" t="str">
            <v>LCAT</v>
          </cell>
          <cell r="M10888" t="str">
            <v>F</v>
          </cell>
          <cell r="AB10888" t="str">
            <v>serum</v>
          </cell>
          <cell r="AF10888">
            <v>0.2</v>
          </cell>
        </row>
        <row r="10889">
          <cell r="A10889" t="str">
            <v>IS_alqt_plus</v>
          </cell>
          <cell r="K10889" t="str">
            <v>LCAT</v>
          </cell>
          <cell r="M10889" t="str">
            <v>F</v>
          </cell>
          <cell r="AB10889" t="str">
            <v>serum</v>
          </cell>
          <cell r="AF10889">
            <v>0.2</v>
          </cell>
        </row>
        <row r="10890">
          <cell r="A10890" t="str">
            <v>IS_alqt_plus</v>
          </cell>
          <cell r="K10890" t="str">
            <v>LCAT</v>
          </cell>
          <cell r="M10890" t="str">
            <v>F</v>
          </cell>
          <cell r="AB10890" t="str">
            <v>serum</v>
          </cell>
          <cell r="AF10890">
            <v>0.2</v>
          </cell>
        </row>
        <row r="10891">
          <cell r="A10891" t="str">
            <v>IS_alqt_plus</v>
          </cell>
          <cell r="K10891" t="str">
            <v>LCAT</v>
          </cell>
          <cell r="M10891" t="str">
            <v>F</v>
          </cell>
          <cell r="AB10891" t="str">
            <v>serum</v>
          </cell>
          <cell r="AF10891">
            <v>0.2</v>
          </cell>
        </row>
        <row r="10892">
          <cell r="A10892" t="str">
            <v>IS_alqt_plus</v>
          </cell>
          <cell r="K10892" t="str">
            <v>LCAT</v>
          </cell>
          <cell r="M10892" t="str">
            <v>F</v>
          </cell>
          <cell r="AB10892" t="str">
            <v>serum</v>
          </cell>
          <cell r="AF10892">
            <v>0.2</v>
          </cell>
        </row>
        <row r="10893">
          <cell r="A10893" t="str">
            <v>IS_alqt_plus</v>
          </cell>
          <cell r="K10893" t="str">
            <v>LCAT</v>
          </cell>
          <cell r="M10893" t="str">
            <v>F</v>
          </cell>
          <cell r="AB10893" t="str">
            <v>serum</v>
          </cell>
          <cell r="AF10893">
            <v>0.2</v>
          </cell>
        </row>
        <row r="10894">
          <cell r="A10894" t="str">
            <v>on hold</v>
          </cell>
          <cell r="K10894" t="str">
            <v>LCAT</v>
          </cell>
          <cell r="M10894" t="str">
            <v>F</v>
          </cell>
          <cell r="AB10894" t="str">
            <v>serum</v>
          </cell>
          <cell r="AF10894">
            <v>1</v>
          </cell>
        </row>
        <row r="10895">
          <cell r="A10895" t="str">
            <v>IS_alqt_plus</v>
          </cell>
          <cell r="K10895" t="str">
            <v>PCOQ</v>
          </cell>
          <cell r="M10895" t="str">
            <v>F</v>
          </cell>
          <cell r="AB10895" t="str">
            <v>WB</v>
          </cell>
          <cell r="AF10895">
            <v>0.5</v>
          </cell>
        </row>
        <row r="10896">
          <cell r="A10896" t="str">
            <v>IS_alqt_plus</v>
          </cell>
          <cell r="K10896" t="str">
            <v>PCOQ</v>
          </cell>
          <cell r="M10896" t="str">
            <v>F</v>
          </cell>
          <cell r="AB10896" t="str">
            <v>WB</v>
          </cell>
          <cell r="AF10896">
            <v>0.5</v>
          </cell>
        </row>
        <row r="10897">
          <cell r="A10897" t="str">
            <v>IS_alqt_plus</v>
          </cell>
          <cell r="K10897" t="str">
            <v>PCOQ</v>
          </cell>
          <cell r="M10897" t="str">
            <v>F</v>
          </cell>
          <cell r="AB10897" t="str">
            <v>WB</v>
          </cell>
          <cell r="AF10897">
            <v>1</v>
          </cell>
        </row>
        <row r="10898">
          <cell r="A10898" t="str">
            <v>unk</v>
          </cell>
          <cell r="K10898" t="str">
            <v>PCOQ</v>
          </cell>
          <cell r="M10898" t="str">
            <v>F</v>
          </cell>
          <cell r="AB10898" t="str">
            <v>WB</v>
          </cell>
          <cell r="AF10898">
            <v>1</v>
          </cell>
        </row>
        <row r="10899">
          <cell r="A10899" t="str">
            <v>IS_alqt_plus</v>
          </cell>
          <cell r="K10899" t="str">
            <v>PCOQ</v>
          </cell>
          <cell r="M10899" t="str">
            <v>M</v>
          </cell>
          <cell r="AB10899" t="str">
            <v>serum</v>
          </cell>
          <cell r="AF10899">
            <v>0.5</v>
          </cell>
        </row>
        <row r="10900">
          <cell r="A10900" t="str">
            <v>on hold</v>
          </cell>
          <cell r="K10900" t="str">
            <v>PCOQ</v>
          </cell>
          <cell r="M10900" t="str">
            <v>M</v>
          </cell>
          <cell r="AB10900" t="str">
            <v>serum</v>
          </cell>
          <cell r="AF10900">
            <v>1</v>
          </cell>
        </row>
        <row r="10901">
          <cell r="A10901" t="str">
            <v>IS_alqt_plus</v>
          </cell>
          <cell r="K10901" t="str">
            <v>PCOQ</v>
          </cell>
          <cell r="M10901" t="str">
            <v>F</v>
          </cell>
          <cell r="AB10901" t="str">
            <v>serum</v>
          </cell>
          <cell r="AF10901">
            <v>1.5</v>
          </cell>
        </row>
        <row r="10902">
          <cell r="A10902" t="str">
            <v>IS_alqt_plus</v>
          </cell>
          <cell r="K10902" t="str">
            <v>PCOQ</v>
          </cell>
          <cell r="M10902" t="str">
            <v>F</v>
          </cell>
          <cell r="AB10902" t="str">
            <v>serum</v>
          </cell>
          <cell r="AF10902">
            <v>0.2</v>
          </cell>
        </row>
        <row r="10903">
          <cell r="A10903" t="str">
            <v>on hold</v>
          </cell>
          <cell r="K10903" t="str">
            <v>PCOQ</v>
          </cell>
          <cell r="M10903" t="str">
            <v>F</v>
          </cell>
          <cell r="AB10903" t="str">
            <v>serum</v>
          </cell>
          <cell r="AF10903">
            <v>1</v>
          </cell>
        </row>
        <row r="10904">
          <cell r="A10904" t="str">
            <v>IS_alqt_plus</v>
          </cell>
          <cell r="K10904" t="str">
            <v>PCOQ</v>
          </cell>
          <cell r="M10904" t="str">
            <v>F</v>
          </cell>
          <cell r="AB10904" t="str">
            <v>WB</v>
          </cell>
          <cell r="AF10904">
            <v>1.1000000000000001</v>
          </cell>
        </row>
        <row r="10905">
          <cell r="A10905" t="str">
            <v>IS_alqt_plus</v>
          </cell>
          <cell r="K10905" t="str">
            <v>PCOQ</v>
          </cell>
          <cell r="M10905" t="str">
            <v>F</v>
          </cell>
          <cell r="AB10905" t="str">
            <v>WB</v>
          </cell>
          <cell r="AF10905">
            <v>1.2</v>
          </cell>
        </row>
        <row r="10906">
          <cell r="A10906" t="str">
            <v>IS_alqt_plus</v>
          </cell>
          <cell r="K10906" t="str">
            <v>PCOQ</v>
          </cell>
          <cell r="M10906" t="str">
            <v>F</v>
          </cell>
          <cell r="AB10906" t="str">
            <v>WB</v>
          </cell>
          <cell r="AF10906">
            <v>0.75</v>
          </cell>
        </row>
        <row r="10907">
          <cell r="A10907" t="str">
            <v>IS_alqt_plus</v>
          </cell>
          <cell r="K10907" t="str">
            <v>PCOQ</v>
          </cell>
          <cell r="M10907" t="str">
            <v>F</v>
          </cell>
          <cell r="AB10907" t="str">
            <v>WB</v>
          </cell>
          <cell r="AF10907">
            <v>1.3</v>
          </cell>
        </row>
        <row r="10908">
          <cell r="A10908" t="str">
            <v>IS_alqt_plus</v>
          </cell>
          <cell r="K10908" t="str">
            <v>PCOQ</v>
          </cell>
          <cell r="M10908" t="str">
            <v>F</v>
          </cell>
          <cell r="AB10908" t="str">
            <v>WB</v>
          </cell>
          <cell r="AF10908">
            <v>1.3</v>
          </cell>
        </row>
        <row r="10909">
          <cell r="A10909" t="str">
            <v>gone</v>
          </cell>
          <cell r="K10909" t="str">
            <v>PCOQ</v>
          </cell>
          <cell r="M10909" t="str">
            <v>F</v>
          </cell>
          <cell r="AB10909" t="str">
            <v>WB</v>
          </cell>
          <cell r="AF10909">
            <v>0</v>
          </cell>
        </row>
        <row r="10910">
          <cell r="A10910" t="str">
            <v>IS_alqt_plus</v>
          </cell>
          <cell r="K10910" t="str">
            <v>PCOQ</v>
          </cell>
          <cell r="M10910" t="str">
            <v>F</v>
          </cell>
          <cell r="AB10910" t="str">
            <v>WB</v>
          </cell>
          <cell r="AF10910">
            <v>1.3</v>
          </cell>
        </row>
        <row r="10911">
          <cell r="A10911" t="str">
            <v>IS_alqt_plus</v>
          </cell>
          <cell r="K10911" t="str">
            <v>PCOQ</v>
          </cell>
          <cell r="M10911" t="str">
            <v>F</v>
          </cell>
          <cell r="AB10911" t="str">
            <v>WB</v>
          </cell>
          <cell r="AF10911">
            <v>1.3</v>
          </cell>
        </row>
        <row r="10912">
          <cell r="A10912" t="str">
            <v>IS_alqt_plus</v>
          </cell>
          <cell r="K10912" t="str">
            <v>PCOQ</v>
          </cell>
          <cell r="M10912" t="str">
            <v>F</v>
          </cell>
          <cell r="AB10912" t="str">
            <v>WB</v>
          </cell>
          <cell r="AF10912">
            <v>1.3</v>
          </cell>
        </row>
        <row r="10913">
          <cell r="A10913" t="str">
            <v>IS_alqt_plus</v>
          </cell>
          <cell r="K10913" t="str">
            <v>VRUB</v>
          </cell>
          <cell r="M10913" t="str">
            <v>M</v>
          </cell>
          <cell r="AB10913" t="str">
            <v>serum</v>
          </cell>
          <cell r="AF10913">
            <v>1.25</v>
          </cell>
        </row>
        <row r="10914">
          <cell r="A10914" t="str">
            <v>IS_alqt_plus</v>
          </cell>
          <cell r="K10914" t="str">
            <v>VRUB</v>
          </cell>
          <cell r="M10914" t="str">
            <v>M</v>
          </cell>
          <cell r="AB10914" t="str">
            <v>WB</v>
          </cell>
          <cell r="AF10914">
            <v>1.1000000000000001</v>
          </cell>
        </row>
        <row r="10915">
          <cell r="A10915" t="str">
            <v>IS_alqt_plus</v>
          </cell>
          <cell r="K10915" t="str">
            <v>VRUB</v>
          </cell>
          <cell r="M10915" t="str">
            <v>M</v>
          </cell>
          <cell r="AB10915" t="str">
            <v>WB</v>
          </cell>
          <cell r="AF10915">
            <v>0.2</v>
          </cell>
        </row>
        <row r="10916">
          <cell r="A10916" t="str">
            <v>IS_alqt_plus</v>
          </cell>
          <cell r="K10916" t="str">
            <v>LCAT</v>
          </cell>
          <cell r="M10916" t="str">
            <v>F</v>
          </cell>
          <cell r="AB10916" t="str">
            <v>serum</v>
          </cell>
          <cell r="AF10916">
            <v>1</v>
          </cell>
        </row>
        <row r="10917">
          <cell r="A10917" t="str">
            <v>IS_alqt_plus</v>
          </cell>
          <cell r="K10917" t="str">
            <v>LCAT</v>
          </cell>
          <cell r="M10917" t="str">
            <v>F</v>
          </cell>
          <cell r="AB10917" t="str">
            <v>serum</v>
          </cell>
          <cell r="AF10917">
            <v>1</v>
          </cell>
        </row>
        <row r="10918">
          <cell r="A10918" t="str">
            <v>IS_alqt_plus</v>
          </cell>
          <cell r="K10918" t="str">
            <v>LCAT</v>
          </cell>
          <cell r="M10918" t="str">
            <v>F</v>
          </cell>
          <cell r="AB10918" t="str">
            <v>serum</v>
          </cell>
          <cell r="AF10918">
            <v>1</v>
          </cell>
        </row>
        <row r="10919">
          <cell r="A10919" t="str">
            <v>IS_alqt_plus</v>
          </cell>
          <cell r="K10919" t="str">
            <v>PCOQ</v>
          </cell>
          <cell r="M10919" t="str">
            <v>F</v>
          </cell>
          <cell r="AB10919" t="str">
            <v>serum</v>
          </cell>
          <cell r="AF10919">
            <v>1.25</v>
          </cell>
        </row>
        <row r="10920">
          <cell r="A10920" t="str">
            <v>IS_alqt_plus</v>
          </cell>
          <cell r="K10920" t="str">
            <v>CMED</v>
          </cell>
          <cell r="M10920" t="str">
            <v>M</v>
          </cell>
          <cell r="AB10920" t="str">
            <v>PRBC</v>
          </cell>
          <cell r="AF10920">
            <v>0.2</v>
          </cell>
        </row>
        <row r="10921">
          <cell r="A10921" t="str">
            <v>IS_alqt_minus</v>
          </cell>
          <cell r="K10921" t="str">
            <v>CMED</v>
          </cell>
          <cell r="M10921" t="str">
            <v>M</v>
          </cell>
          <cell r="AB10921" t="str">
            <v>PRBC</v>
          </cell>
          <cell r="AF10921">
            <v>0.1</v>
          </cell>
        </row>
        <row r="10922">
          <cell r="A10922" t="str">
            <v>IS_alqt_plus</v>
          </cell>
          <cell r="K10922" t="str">
            <v>CMED</v>
          </cell>
          <cell r="M10922" t="str">
            <v>F</v>
          </cell>
          <cell r="AB10922" t="str">
            <v>PRBC</v>
          </cell>
          <cell r="AF10922">
            <v>0.2</v>
          </cell>
        </row>
        <row r="10923">
          <cell r="A10923" t="str">
            <v>IS_alqt_minus</v>
          </cell>
          <cell r="K10923" t="str">
            <v>CMED</v>
          </cell>
          <cell r="M10923" t="str">
            <v>F</v>
          </cell>
          <cell r="AB10923" t="str">
            <v>PRBC</v>
          </cell>
          <cell r="AF10923">
            <v>0.05</v>
          </cell>
        </row>
        <row r="10924">
          <cell r="A10924" t="str">
            <v>IS_alqt_minus</v>
          </cell>
          <cell r="K10924" t="str">
            <v>CMED</v>
          </cell>
          <cell r="M10924" t="str">
            <v>M</v>
          </cell>
          <cell r="AB10924" t="str">
            <v>PRBC</v>
          </cell>
          <cell r="AF10924">
            <v>0.1</v>
          </cell>
        </row>
        <row r="10925">
          <cell r="A10925" t="str">
            <v>IS_alqt_minus</v>
          </cell>
          <cell r="K10925" t="str">
            <v>CMED</v>
          </cell>
          <cell r="M10925" t="str">
            <v>F</v>
          </cell>
          <cell r="AB10925" t="str">
            <v>PRBC</v>
          </cell>
          <cell r="AF10925">
            <v>0.15</v>
          </cell>
        </row>
        <row r="10926">
          <cell r="A10926" t="str">
            <v>IS_alqt_minus</v>
          </cell>
          <cell r="K10926" t="str">
            <v>CMED</v>
          </cell>
          <cell r="M10926" t="str">
            <v>M</v>
          </cell>
          <cell r="AB10926" t="str">
            <v>PRBC</v>
          </cell>
          <cell r="AF10926">
            <v>0.1</v>
          </cell>
        </row>
        <row r="10927">
          <cell r="A10927" t="str">
            <v>IS_alqt_plus</v>
          </cell>
          <cell r="K10927" t="str">
            <v>CMED</v>
          </cell>
          <cell r="M10927" t="str">
            <v>F</v>
          </cell>
          <cell r="AB10927" t="str">
            <v>PRBC</v>
          </cell>
          <cell r="AF10927">
            <v>0.35</v>
          </cell>
        </row>
        <row r="10928">
          <cell r="A10928" t="str">
            <v>IS_alqt_minus</v>
          </cell>
          <cell r="K10928" t="str">
            <v>CMED</v>
          </cell>
          <cell r="M10928" t="str">
            <v>M</v>
          </cell>
          <cell r="AB10928" t="str">
            <v>PRBC</v>
          </cell>
          <cell r="AF10928">
            <v>0.05</v>
          </cell>
        </row>
        <row r="10929">
          <cell r="A10929" t="str">
            <v>IS_alqt_plus</v>
          </cell>
          <cell r="K10929" t="str">
            <v>CMED</v>
          </cell>
          <cell r="M10929" t="str">
            <v>M</v>
          </cell>
          <cell r="AB10929" t="str">
            <v>PRBC</v>
          </cell>
          <cell r="AF10929">
            <v>0.2</v>
          </cell>
        </row>
        <row r="10930">
          <cell r="A10930" t="str">
            <v>IS_alqt_minus</v>
          </cell>
          <cell r="K10930" t="str">
            <v>CMED</v>
          </cell>
          <cell r="M10930" t="str">
            <v>M</v>
          </cell>
          <cell r="AB10930" t="str">
            <v>WB</v>
          </cell>
          <cell r="AF10930">
            <v>0.15</v>
          </cell>
        </row>
        <row r="10931">
          <cell r="A10931" t="str">
            <v>gone</v>
          </cell>
          <cell r="K10931" t="str">
            <v>CMED</v>
          </cell>
          <cell r="M10931" t="str">
            <v>M</v>
          </cell>
          <cell r="AB10931" t="str">
            <v>WB</v>
          </cell>
          <cell r="AF10931">
            <v>0</v>
          </cell>
        </row>
        <row r="10932">
          <cell r="A10932" t="str">
            <v>IS_alqt_minus</v>
          </cell>
          <cell r="K10932" t="str">
            <v>CMED</v>
          </cell>
          <cell r="M10932" t="str">
            <v>M</v>
          </cell>
          <cell r="AB10932" t="str">
            <v>PRBC</v>
          </cell>
          <cell r="AF10932">
            <v>0.1</v>
          </cell>
        </row>
        <row r="10933">
          <cell r="A10933" t="str">
            <v>IS_alqt_plus</v>
          </cell>
          <cell r="K10933" t="str">
            <v>CMED</v>
          </cell>
          <cell r="M10933" t="str">
            <v>M</v>
          </cell>
          <cell r="AB10933" t="str">
            <v>PRBC</v>
          </cell>
          <cell r="AF10933">
            <v>0.3</v>
          </cell>
        </row>
        <row r="10934">
          <cell r="A10934" t="str">
            <v>IS_alqt_minus</v>
          </cell>
          <cell r="K10934" t="str">
            <v>CMED</v>
          </cell>
          <cell r="M10934" t="str">
            <v>F</v>
          </cell>
          <cell r="AB10934" t="str">
            <v>PRBC</v>
          </cell>
          <cell r="AF10934">
            <v>0.1</v>
          </cell>
        </row>
        <row r="10935">
          <cell r="A10935" t="str">
            <v>IS_alqt_minus</v>
          </cell>
          <cell r="K10935" t="str">
            <v>CMED</v>
          </cell>
          <cell r="M10935" t="str">
            <v>M</v>
          </cell>
          <cell r="AB10935" t="str">
            <v>PRBC</v>
          </cell>
          <cell r="AF10935">
            <v>0.1</v>
          </cell>
        </row>
        <row r="10936">
          <cell r="A10936" t="str">
            <v>IS_alqt_minus</v>
          </cell>
          <cell r="K10936" t="str">
            <v>CMED</v>
          </cell>
          <cell r="M10936" t="str">
            <v>M</v>
          </cell>
          <cell r="AB10936" t="str">
            <v>WB</v>
          </cell>
          <cell r="AF10936">
            <v>0.15</v>
          </cell>
        </row>
        <row r="10937">
          <cell r="A10937" t="str">
            <v>IS_alqt_minus</v>
          </cell>
          <cell r="K10937" t="str">
            <v>CMED</v>
          </cell>
          <cell r="M10937" t="str">
            <v>M</v>
          </cell>
          <cell r="AB10937" t="str">
            <v>WB</v>
          </cell>
          <cell r="AF10937">
            <v>0.05</v>
          </cell>
        </row>
        <row r="10938">
          <cell r="A10938" t="str">
            <v>IS_alqt_plus</v>
          </cell>
          <cell r="K10938" t="str">
            <v>CMED</v>
          </cell>
          <cell r="M10938" t="str">
            <v>M</v>
          </cell>
          <cell r="AB10938" t="str">
            <v>PRBC</v>
          </cell>
          <cell r="AF10938">
            <v>0.25</v>
          </cell>
        </row>
        <row r="10939">
          <cell r="A10939" t="str">
            <v>IS_alqt_plus</v>
          </cell>
          <cell r="K10939" t="str">
            <v>CMED</v>
          </cell>
          <cell r="M10939" t="str">
            <v>M</v>
          </cell>
          <cell r="AB10939" t="str">
            <v>PRBC</v>
          </cell>
          <cell r="AF10939">
            <v>0.25</v>
          </cell>
        </row>
        <row r="10940">
          <cell r="A10940" t="str">
            <v>IS_alqt_plus</v>
          </cell>
          <cell r="K10940" t="str">
            <v>CMED</v>
          </cell>
          <cell r="M10940" t="str">
            <v>F</v>
          </cell>
          <cell r="AB10940" t="str">
            <v>PRBC</v>
          </cell>
          <cell r="AF10940">
            <v>0.25</v>
          </cell>
        </row>
        <row r="10941">
          <cell r="A10941" t="str">
            <v>IS_alqt_plus</v>
          </cell>
          <cell r="K10941" t="str">
            <v>CMED</v>
          </cell>
          <cell r="M10941" t="str">
            <v>M</v>
          </cell>
          <cell r="AB10941" t="str">
            <v>PRBC</v>
          </cell>
          <cell r="AF10941">
            <v>0.25</v>
          </cell>
        </row>
        <row r="10942">
          <cell r="A10942" t="str">
            <v>IS_alqt_plus</v>
          </cell>
          <cell r="K10942" t="str">
            <v>PCOQ</v>
          </cell>
          <cell r="M10942" t="str">
            <v>F</v>
          </cell>
          <cell r="AB10942" t="str">
            <v>WB</v>
          </cell>
          <cell r="AF10942">
            <v>1.3</v>
          </cell>
        </row>
        <row r="10943">
          <cell r="A10943" t="str">
            <v>IS_alqt_plus</v>
          </cell>
          <cell r="K10943" t="str">
            <v>LCAT</v>
          </cell>
          <cell r="M10943" t="str">
            <v>F</v>
          </cell>
          <cell r="AB10943" t="str">
            <v>serum</v>
          </cell>
          <cell r="AF10943">
            <v>1.25</v>
          </cell>
        </row>
        <row r="10944">
          <cell r="A10944" t="str">
            <v>IS_alqt_minus</v>
          </cell>
          <cell r="K10944" t="str">
            <v>MMUR</v>
          </cell>
          <cell r="M10944" t="str">
            <v>F</v>
          </cell>
          <cell r="AB10944" t="str">
            <v>WB</v>
          </cell>
          <cell r="AF10944">
            <v>0.1</v>
          </cell>
        </row>
        <row r="10945">
          <cell r="A10945" t="str">
            <v>gone</v>
          </cell>
          <cell r="K10945" t="str">
            <v>CMED</v>
          </cell>
          <cell r="M10945" t="str">
            <v>F</v>
          </cell>
          <cell r="AB10945" t="str">
            <v>WB</v>
          </cell>
          <cell r="AF10945">
            <v>0</v>
          </cell>
        </row>
        <row r="10946">
          <cell r="A10946" t="str">
            <v>IS_alqt_plus</v>
          </cell>
          <cell r="K10946" t="str">
            <v>PCOQ</v>
          </cell>
          <cell r="M10946" t="str">
            <v>F</v>
          </cell>
          <cell r="AB10946" t="str">
            <v>serum</v>
          </cell>
          <cell r="AF10946">
            <v>1.25</v>
          </cell>
        </row>
        <row r="10947">
          <cell r="A10947" t="str">
            <v>IS_alqt_plus</v>
          </cell>
          <cell r="K10947" t="str">
            <v>PCOQ</v>
          </cell>
          <cell r="M10947" t="str">
            <v>F</v>
          </cell>
          <cell r="AB10947" t="str">
            <v>WB</v>
          </cell>
          <cell r="AF10947">
            <v>1.3</v>
          </cell>
        </row>
        <row r="10948">
          <cell r="A10948" t="str">
            <v>IS_alqt_plus</v>
          </cell>
          <cell r="K10948" t="str">
            <v>DMAD</v>
          </cell>
          <cell r="M10948" t="str">
            <v>F</v>
          </cell>
          <cell r="AB10948" t="str">
            <v>serum</v>
          </cell>
          <cell r="AF10948">
            <v>1</v>
          </cell>
        </row>
        <row r="10949">
          <cell r="A10949" t="str">
            <v>IS_alqt_plus</v>
          </cell>
          <cell r="K10949" t="str">
            <v>DMAD</v>
          </cell>
          <cell r="M10949" t="str">
            <v>F</v>
          </cell>
          <cell r="AB10949" t="str">
            <v>WB</v>
          </cell>
          <cell r="AF10949">
            <v>0.2</v>
          </cell>
        </row>
        <row r="10950">
          <cell r="A10950" t="str">
            <v>IS_alqt_plus</v>
          </cell>
          <cell r="K10950" t="str">
            <v>DMAD</v>
          </cell>
          <cell r="M10950" t="str">
            <v>F</v>
          </cell>
          <cell r="AB10950" t="str">
            <v>WB</v>
          </cell>
          <cell r="AF10950">
            <v>0.2</v>
          </cell>
        </row>
        <row r="10951">
          <cell r="A10951" t="str">
            <v>IS_alqt_plus</v>
          </cell>
          <cell r="K10951" t="str">
            <v>DMAD</v>
          </cell>
          <cell r="M10951" t="str">
            <v>F</v>
          </cell>
          <cell r="AB10951" t="str">
            <v>WB</v>
          </cell>
          <cell r="AF10951">
            <v>0.2</v>
          </cell>
        </row>
        <row r="10952">
          <cell r="A10952" t="str">
            <v>IS_alqt_plus</v>
          </cell>
          <cell r="K10952" t="str">
            <v>DMAD</v>
          </cell>
          <cell r="M10952" t="str">
            <v>F</v>
          </cell>
          <cell r="AB10952" t="str">
            <v>WB</v>
          </cell>
          <cell r="AF10952">
            <v>0.2</v>
          </cell>
        </row>
        <row r="10953">
          <cell r="A10953" t="str">
            <v>IS_alqt_plus</v>
          </cell>
          <cell r="K10953" t="str">
            <v>PCOQ</v>
          </cell>
          <cell r="M10953" t="str">
            <v>M</v>
          </cell>
          <cell r="AB10953" t="str">
            <v>serum</v>
          </cell>
          <cell r="AF10953">
            <v>1.25</v>
          </cell>
        </row>
        <row r="10954">
          <cell r="A10954" t="str">
            <v>IS_alqt_plus</v>
          </cell>
          <cell r="K10954" t="str">
            <v>PCOQ</v>
          </cell>
          <cell r="M10954" t="str">
            <v>M</v>
          </cell>
          <cell r="AB10954" t="str">
            <v>serum</v>
          </cell>
          <cell r="AF10954">
            <v>1</v>
          </cell>
        </row>
        <row r="10955">
          <cell r="A10955" t="str">
            <v>IS_alqt_plus</v>
          </cell>
          <cell r="K10955" t="str">
            <v>PCOQ</v>
          </cell>
          <cell r="M10955" t="str">
            <v>F</v>
          </cell>
          <cell r="AB10955" t="str">
            <v>WB</v>
          </cell>
          <cell r="AF10955">
            <v>1.3</v>
          </cell>
        </row>
        <row r="10956">
          <cell r="A10956" t="str">
            <v>IS_alqt_plus</v>
          </cell>
          <cell r="K10956" t="str">
            <v>PCOQ</v>
          </cell>
          <cell r="M10956" t="str">
            <v>F</v>
          </cell>
          <cell r="AB10956" t="str">
            <v>WB</v>
          </cell>
          <cell r="AF10956">
            <v>1.2</v>
          </cell>
        </row>
        <row r="10957">
          <cell r="A10957" t="str">
            <v>gone</v>
          </cell>
          <cell r="K10957" t="str">
            <v>PCOQ</v>
          </cell>
          <cell r="M10957" t="str">
            <v>F</v>
          </cell>
          <cell r="AB10957" t="str">
            <v>WB</v>
          </cell>
          <cell r="AF10957">
            <v>0</v>
          </cell>
        </row>
        <row r="10958">
          <cell r="A10958" t="str">
            <v>IS_alqt_plus</v>
          </cell>
          <cell r="K10958" t="str">
            <v>VVV</v>
          </cell>
          <cell r="M10958" t="str">
            <v>F</v>
          </cell>
          <cell r="AB10958" t="str">
            <v>WB</v>
          </cell>
          <cell r="AF10958">
            <v>1</v>
          </cell>
        </row>
        <row r="10959">
          <cell r="A10959" t="str">
            <v>gone</v>
          </cell>
          <cell r="K10959" t="str">
            <v>VVV</v>
          </cell>
          <cell r="M10959" t="str">
            <v>F</v>
          </cell>
          <cell r="AB10959" t="str">
            <v>serum</v>
          </cell>
          <cell r="AF10959">
            <v>0</v>
          </cell>
        </row>
        <row r="10960">
          <cell r="A10960" t="str">
            <v>IS_alqt_plus</v>
          </cell>
          <cell r="K10960" t="str">
            <v>PCOQ</v>
          </cell>
          <cell r="M10960" t="str">
            <v>M</v>
          </cell>
          <cell r="AB10960" t="str">
            <v>serum</v>
          </cell>
          <cell r="AF10960">
            <v>0.9</v>
          </cell>
        </row>
        <row r="10961">
          <cell r="A10961" t="str">
            <v>IS_alqt_plus</v>
          </cell>
          <cell r="K10961" t="str">
            <v>PCOQ</v>
          </cell>
          <cell r="M10961" t="str">
            <v>F</v>
          </cell>
          <cell r="AB10961" t="str">
            <v>WB</v>
          </cell>
          <cell r="AF10961">
            <v>1.3</v>
          </cell>
        </row>
        <row r="10962">
          <cell r="A10962" t="str">
            <v>IS_alqt_plus</v>
          </cell>
          <cell r="K10962" t="str">
            <v>HGG</v>
          </cell>
          <cell r="M10962" t="str">
            <v>M</v>
          </cell>
          <cell r="AB10962" t="str">
            <v>serum</v>
          </cell>
          <cell r="AF10962">
            <v>1.2</v>
          </cell>
        </row>
        <row r="10963">
          <cell r="A10963" t="str">
            <v>gone</v>
          </cell>
          <cell r="K10963" t="str">
            <v>HGG</v>
          </cell>
          <cell r="M10963" t="str">
            <v>M</v>
          </cell>
          <cell r="AB10963" t="str">
            <v>WB</v>
          </cell>
          <cell r="AF10963">
            <v>0</v>
          </cell>
        </row>
        <row r="10964">
          <cell r="A10964" t="str">
            <v>IS_alqt_plus</v>
          </cell>
          <cell r="K10964" t="str">
            <v>DMAD</v>
          </cell>
          <cell r="M10964" t="str">
            <v>M</v>
          </cell>
          <cell r="AB10964" t="str">
            <v>serum</v>
          </cell>
          <cell r="AF10964">
            <v>1</v>
          </cell>
        </row>
        <row r="10965">
          <cell r="A10965" t="str">
            <v>IS_alqt_plus</v>
          </cell>
          <cell r="K10965" t="str">
            <v>DMAD</v>
          </cell>
          <cell r="M10965" t="str">
            <v>M</v>
          </cell>
          <cell r="AB10965" t="str">
            <v>WB</v>
          </cell>
          <cell r="AF10965">
            <v>0.8</v>
          </cell>
        </row>
        <row r="10966">
          <cell r="A10966" t="str">
            <v>IS_alqt_plus</v>
          </cell>
          <cell r="K10966" t="str">
            <v>PCOQ</v>
          </cell>
          <cell r="M10966" t="str">
            <v>F</v>
          </cell>
          <cell r="AB10966" t="str">
            <v>WB</v>
          </cell>
          <cell r="AF10966">
            <v>1</v>
          </cell>
        </row>
        <row r="10967">
          <cell r="A10967" t="str">
            <v>IS_alqt_plus</v>
          </cell>
          <cell r="K10967" t="str">
            <v>PCOQ</v>
          </cell>
          <cell r="M10967" t="str">
            <v>F</v>
          </cell>
          <cell r="AB10967" t="str">
            <v>WB</v>
          </cell>
          <cell r="AF10967">
            <v>1.3</v>
          </cell>
        </row>
        <row r="10968">
          <cell r="A10968" t="str">
            <v>IS_alqt_plus</v>
          </cell>
          <cell r="K10968" t="str">
            <v>PCOQ</v>
          </cell>
          <cell r="M10968" t="str">
            <v>F</v>
          </cell>
          <cell r="AB10968" t="str">
            <v>WB</v>
          </cell>
          <cell r="AF10968">
            <v>1.2</v>
          </cell>
        </row>
        <row r="10969">
          <cell r="A10969" t="str">
            <v>IS_alqt_plus</v>
          </cell>
          <cell r="K10969" t="str">
            <v>LCAT</v>
          </cell>
          <cell r="M10969" t="str">
            <v>M</v>
          </cell>
          <cell r="AB10969" t="str">
            <v>serum</v>
          </cell>
          <cell r="AF10969">
            <v>1.5</v>
          </cell>
        </row>
        <row r="10970">
          <cell r="A10970" t="str">
            <v>IS_alqt_plus</v>
          </cell>
          <cell r="K10970" t="str">
            <v>PCOQ</v>
          </cell>
          <cell r="M10970" t="str">
            <v>F</v>
          </cell>
          <cell r="AB10970" t="str">
            <v>WB</v>
          </cell>
          <cell r="AF10970">
            <v>1.4</v>
          </cell>
        </row>
        <row r="10971">
          <cell r="A10971" t="str">
            <v>IS_alqt_plus</v>
          </cell>
          <cell r="K10971" t="str">
            <v>PCOQ</v>
          </cell>
          <cell r="M10971" t="str">
            <v>F</v>
          </cell>
          <cell r="AB10971" t="str">
            <v>WB</v>
          </cell>
          <cell r="AF10971">
            <v>1.3</v>
          </cell>
        </row>
        <row r="10972">
          <cell r="A10972" t="str">
            <v>IS_alqt_plus</v>
          </cell>
          <cell r="K10972" t="str">
            <v>PCOQ</v>
          </cell>
          <cell r="M10972" t="str">
            <v>F</v>
          </cell>
          <cell r="AB10972" t="str">
            <v>WB</v>
          </cell>
          <cell r="AF10972">
            <v>1.3</v>
          </cell>
        </row>
        <row r="10973">
          <cell r="A10973" t="str">
            <v>IS_alqt_plus</v>
          </cell>
          <cell r="K10973" t="str">
            <v>PCOQ</v>
          </cell>
          <cell r="M10973" t="str">
            <v>F</v>
          </cell>
          <cell r="AB10973" t="str">
            <v>WB</v>
          </cell>
          <cell r="AF10973">
            <v>1</v>
          </cell>
        </row>
        <row r="10974">
          <cell r="A10974" t="str">
            <v>IS_alqt_plus</v>
          </cell>
          <cell r="K10974" t="str">
            <v>PCOQ</v>
          </cell>
          <cell r="M10974" t="str">
            <v>F</v>
          </cell>
          <cell r="AB10974" t="str">
            <v>WB</v>
          </cell>
          <cell r="AF10974">
            <v>1.3</v>
          </cell>
        </row>
        <row r="10975">
          <cell r="A10975" t="str">
            <v>IS_alqt_plus</v>
          </cell>
          <cell r="K10975" t="str">
            <v>PCOQ</v>
          </cell>
          <cell r="M10975" t="str">
            <v>F</v>
          </cell>
          <cell r="AB10975" t="str">
            <v>WB</v>
          </cell>
          <cell r="AF10975">
            <v>1.3</v>
          </cell>
        </row>
        <row r="10976">
          <cell r="A10976" t="str">
            <v>IS_alqt_plus</v>
          </cell>
          <cell r="K10976" t="str">
            <v>LCAT</v>
          </cell>
          <cell r="M10976" t="str">
            <v>M</v>
          </cell>
          <cell r="AB10976" t="str">
            <v>PRBC</v>
          </cell>
          <cell r="AF10976">
            <v>1</v>
          </cell>
        </row>
        <row r="10977">
          <cell r="A10977" t="str">
            <v>IS_alqt_plus</v>
          </cell>
          <cell r="K10977" t="str">
            <v>LCAT</v>
          </cell>
          <cell r="M10977" t="str">
            <v>M</v>
          </cell>
          <cell r="AB10977" t="str">
            <v>PRBC</v>
          </cell>
          <cell r="AF10977">
            <v>1</v>
          </cell>
        </row>
        <row r="10978">
          <cell r="A10978" t="str">
            <v>IS_alqt_plus</v>
          </cell>
          <cell r="K10978" t="str">
            <v>LCAT</v>
          </cell>
          <cell r="M10978" t="str">
            <v>M</v>
          </cell>
          <cell r="AB10978" t="str">
            <v>PRBC</v>
          </cell>
          <cell r="AF10978">
            <v>1</v>
          </cell>
        </row>
        <row r="10979">
          <cell r="A10979" t="str">
            <v>IS_alqt_plus</v>
          </cell>
          <cell r="K10979" t="str">
            <v>LCAT</v>
          </cell>
          <cell r="M10979" t="str">
            <v>M</v>
          </cell>
          <cell r="AB10979" t="str">
            <v>PRBC</v>
          </cell>
          <cell r="AF10979">
            <v>1</v>
          </cell>
        </row>
        <row r="10980">
          <cell r="A10980" t="str">
            <v>IS_alqt_plus</v>
          </cell>
          <cell r="K10980" t="str">
            <v>LCAT</v>
          </cell>
          <cell r="M10980" t="str">
            <v>M</v>
          </cell>
          <cell r="AB10980" t="str">
            <v>PRBC</v>
          </cell>
          <cell r="AF10980">
            <v>1</v>
          </cell>
        </row>
        <row r="10981">
          <cell r="A10981" t="str">
            <v>IS_alqt_plus</v>
          </cell>
          <cell r="K10981" t="str">
            <v>LCAT</v>
          </cell>
          <cell r="M10981" t="str">
            <v>M</v>
          </cell>
          <cell r="AB10981" t="str">
            <v>PRBC</v>
          </cell>
          <cell r="AF10981">
            <v>1</v>
          </cell>
        </row>
        <row r="10982">
          <cell r="A10982" t="str">
            <v>IS_alqt_plus</v>
          </cell>
          <cell r="K10982" t="str">
            <v>LCAT</v>
          </cell>
          <cell r="M10982" t="str">
            <v>M</v>
          </cell>
          <cell r="AB10982" t="str">
            <v>PRBC</v>
          </cell>
          <cell r="AF10982">
            <v>1</v>
          </cell>
        </row>
        <row r="10983">
          <cell r="A10983" t="str">
            <v>IS_alqt_plus</v>
          </cell>
          <cell r="K10983" t="str">
            <v>LCAT</v>
          </cell>
          <cell r="M10983" t="str">
            <v>M</v>
          </cell>
          <cell r="AB10983" t="str">
            <v>PRBC</v>
          </cell>
          <cell r="AF10983">
            <v>1</v>
          </cell>
        </row>
        <row r="10984">
          <cell r="A10984" t="str">
            <v>gone</v>
          </cell>
          <cell r="K10984" t="str">
            <v>LCAT</v>
          </cell>
          <cell r="M10984" t="str">
            <v>F</v>
          </cell>
          <cell r="AB10984" t="str">
            <v>serum</v>
          </cell>
          <cell r="AF10984">
            <v>0</v>
          </cell>
        </row>
        <row r="10985">
          <cell r="A10985" t="str">
            <v>gone</v>
          </cell>
          <cell r="K10985" t="str">
            <v>LCAT</v>
          </cell>
          <cell r="M10985" t="str">
            <v>F</v>
          </cell>
          <cell r="AB10985" t="str">
            <v>serum</v>
          </cell>
          <cell r="AF10985">
            <v>0</v>
          </cell>
        </row>
        <row r="10986">
          <cell r="A10986" t="str">
            <v>gone</v>
          </cell>
          <cell r="K10986" t="str">
            <v>LCAT</v>
          </cell>
          <cell r="M10986" t="str">
            <v>F</v>
          </cell>
          <cell r="AB10986" t="str">
            <v>serum</v>
          </cell>
          <cell r="AF10986">
            <v>0</v>
          </cell>
        </row>
        <row r="10987">
          <cell r="A10987" t="str">
            <v>gone</v>
          </cell>
          <cell r="K10987" t="str">
            <v>LCAT</v>
          </cell>
          <cell r="M10987" t="str">
            <v>M</v>
          </cell>
          <cell r="AB10987" t="str">
            <v>serum</v>
          </cell>
          <cell r="AF10987">
            <v>0</v>
          </cell>
        </row>
        <row r="10988">
          <cell r="A10988" t="str">
            <v>gone</v>
          </cell>
          <cell r="K10988" t="str">
            <v>PCOQ</v>
          </cell>
          <cell r="M10988" t="str">
            <v>F</v>
          </cell>
          <cell r="AB10988" t="str">
            <v>serum</v>
          </cell>
          <cell r="AF10988">
            <v>0</v>
          </cell>
        </row>
        <row r="10989">
          <cell r="A10989" t="str">
            <v>gone</v>
          </cell>
          <cell r="K10989" t="str">
            <v>PCOQ</v>
          </cell>
          <cell r="M10989" t="str">
            <v>F</v>
          </cell>
          <cell r="AB10989" t="str">
            <v>serum</v>
          </cell>
          <cell r="AF10989">
            <v>0</v>
          </cell>
        </row>
        <row r="10990">
          <cell r="A10990" t="str">
            <v>gone</v>
          </cell>
          <cell r="K10990" t="str">
            <v>PCOQ</v>
          </cell>
          <cell r="M10990" t="str">
            <v>F</v>
          </cell>
          <cell r="AB10990" t="str">
            <v>serum</v>
          </cell>
          <cell r="AF10990">
            <v>0</v>
          </cell>
        </row>
        <row r="10991">
          <cell r="A10991" t="str">
            <v>gone</v>
          </cell>
          <cell r="K10991" t="str">
            <v>PCOQ</v>
          </cell>
          <cell r="M10991" t="str">
            <v>F</v>
          </cell>
          <cell r="AB10991" t="str">
            <v>serum</v>
          </cell>
          <cell r="AF10991">
            <v>0</v>
          </cell>
        </row>
        <row r="10992">
          <cell r="A10992" t="str">
            <v>gone</v>
          </cell>
          <cell r="K10992" t="str">
            <v>PCOQ</v>
          </cell>
          <cell r="M10992" t="str">
            <v>F</v>
          </cell>
          <cell r="AB10992" t="str">
            <v>serum</v>
          </cell>
          <cell r="AF10992">
            <v>0</v>
          </cell>
        </row>
        <row r="10993">
          <cell r="A10993" t="str">
            <v>gone</v>
          </cell>
          <cell r="K10993" t="str">
            <v>LCAT</v>
          </cell>
          <cell r="M10993" t="str">
            <v>F</v>
          </cell>
          <cell r="AB10993" t="str">
            <v>serum</v>
          </cell>
          <cell r="AF10993">
            <v>0</v>
          </cell>
        </row>
        <row r="10994">
          <cell r="A10994" t="str">
            <v>gone</v>
          </cell>
          <cell r="K10994" t="str">
            <v>LCAT</v>
          </cell>
          <cell r="M10994" t="str">
            <v>F</v>
          </cell>
          <cell r="AB10994" t="str">
            <v>serum</v>
          </cell>
          <cell r="AF10994">
            <v>0</v>
          </cell>
        </row>
        <row r="10995">
          <cell r="A10995" t="str">
            <v>gone</v>
          </cell>
          <cell r="K10995" t="str">
            <v>LCAT</v>
          </cell>
          <cell r="M10995" t="str">
            <v>F</v>
          </cell>
          <cell r="AB10995" t="str">
            <v>serum</v>
          </cell>
          <cell r="AF10995">
            <v>0.15</v>
          </cell>
        </row>
        <row r="10996">
          <cell r="A10996" t="str">
            <v>gone</v>
          </cell>
          <cell r="K10996" t="str">
            <v>LCAT</v>
          </cell>
          <cell r="M10996" t="str">
            <v>F</v>
          </cell>
          <cell r="AB10996" t="str">
            <v>serum</v>
          </cell>
          <cell r="AF10996">
            <v>0.2</v>
          </cell>
        </row>
        <row r="10997">
          <cell r="A10997" t="str">
            <v>gone</v>
          </cell>
          <cell r="K10997" t="str">
            <v>LCAT</v>
          </cell>
          <cell r="M10997" t="str">
            <v>F</v>
          </cell>
          <cell r="AB10997" t="str">
            <v>serum</v>
          </cell>
          <cell r="AF10997">
            <v>0.2</v>
          </cell>
        </row>
        <row r="10998">
          <cell r="A10998" t="str">
            <v>unk</v>
          </cell>
          <cell r="K10998" t="str">
            <v>HGG</v>
          </cell>
          <cell r="M10998" t="str">
            <v>F</v>
          </cell>
          <cell r="AB10998" t="str">
            <v>Fluid- pleural</v>
          </cell>
          <cell r="AF10998">
            <v>1</v>
          </cell>
        </row>
        <row r="10999">
          <cell r="A10999" t="str">
            <v>unk</v>
          </cell>
          <cell r="K10999" t="str">
            <v>HGG</v>
          </cell>
          <cell r="M10999" t="str">
            <v>F</v>
          </cell>
          <cell r="AB10999" t="str">
            <v>Fluid- pleural</v>
          </cell>
          <cell r="AF10999">
            <v>1</v>
          </cell>
        </row>
        <row r="11000">
          <cell r="A11000" t="str">
            <v>unk</v>
          </cell>
          <cell r="K11000" t="str">
            <v>HGG</v>
          </cell>
          <cell r="M11000" t="str">
            <v>F</v>
          </cell>
          <cell r="AB11000" t="str">
            <v>Fluid- pleural</v>
          </cell>
          <cell r="AF11000">
            <v>1</v>
          </cell>
        </row>
        <row r="11001">
          <cell r="A11001" t="str">
            <v>unk</v>
          </cell>
          <cell r="K11001" t="str">
            <v>HGG</v>
          </cell>
          <cell r="M11001" t="str">
            <v>F</v>
          </cell>
          <cell r="AB11001" t="str">
            <v>Fluid- pleural</v>
          </cell>
          <cell r="AF11001">
            <v>0.5</v>
          </cell>
        </row>
        <row r="11002">
          <cell r="A11002" t="str">
            <v>gone</v>
          </cell>
          <cell r="K11002" t="str">
            <v>LCAT</v>
          </cell>
          <cell r="M11002" t="str">
            <v>F</v>
          </cell>
          <cell r="AB11002" t="str">
            <v>serum</v>
          </cell>
          <cell r="AF11002">
            <v>0.2</v>
          </cell>
        </row>
        <row r="11003">
          <cell r="A11003" t="str">
            <v>gone</v>
          </cell>
          <cell r="K11003" t="str">
            <v>LCAT</v>
          </cell>
          <cell r="M11003" t="str">
            <v>F</v>
          </cell>
          <cell r="AB11003" t="str">
            <v>serum</v>
          </cell>
          <cell r="AF11003">
            <v>0.2</v>
          </cell>
        </row>
        <row r="11004">
          <cell r="A11004" t="str">
            <v>IS_alqt_plus</v>
          </cell>
          <cell r="K11004" t="str">
            <v>LCAT</v>
          </cell>
          <cell r="M11004" t="str">
            <v>M</v>
          </cell>
          <cell r="AB11004" t="str">
            <v>Fluid- serosanguinous</v>
          </cell>
          <cell r="AF11004">
            <v>1.5</v>
          </cell>
        </row>
        <row r="11005">
          <cell r="A11005" t="str">
            <v>IS_alqt_plus</v>
          </cell>
          <cell r="K11005" t="str">
            <v>LCAT</v>
          </cell>
          <cell r="M11005" t="str">
            <v>M</v>
          </cell>
          <cell r="AB11005" t="str">
            <v>serum</v>
          </cell>
          <cell r="AF11005">
            <v>1</v>
          </cell>
        </row>
        <row r="11006">
          <cell r="A11006" t="str">
            <v>IS_alqt_plus</v>
          </cell>
          <cell r="K11006" t="str">
            <v>LCAT</v>
          </cell>
          <cell r="M11006" t="str">
            <v>M</v>
          </cell>
          <cell r="AB11006" t="str">
            <v>serum</v>
          </cell>
          <cell r="AF11006">
            <v>0.5</v>
          </cell>
        </row>
        <row r="11007">
          <cell r="A11007" t="str">
            <v>IS_alqt_plus</v>
          </cell>
          <cell r="K11007" t="str">
            <v>LCAT</v>
          </cell>
          <cell r="M11007" t="str">
            <v>M</v>
          </cell>
          <cell r="AB11007" t="str">
            <v>serum</v>
          </cell>
          <cell r="AF11007">
            <v>1</v>
          </cell>
        </row>
        <row r="11008">
          <cell r="A11008" t="str">
            <v>IS_alqt_plus</v>
          </cell>
          <cell r="K11008" t="str">
            <v>LCAT</v>
          </cell>
          <cell r="M11008" t="str">
            <v>M</v>
          </cell>
          <cell r="AB11008" t="str">
            <v>serum</v>
          </cell>
          <cell r="AF11008">
            <v>1</v>
          </cell>
        </row>
        <row r="11009">
          <cell r="A11009" t="str">
            <v>IS_alqt_plus</v>
          </cell>
          <cell r="K11009" t="str">
            <v>LCAT</v>
          </cell>
          <cell r="M11009" t="str">
            <v>M</v>
          </cell>
          <cell r="AB11009" t="str">
            <v>serum</v>
          </cell>
          <cell r="AF11009">
            <v>1</v>
          </cell>
        </row>
        <row r="11010">
          <cell r="A11010" t="str">
            <v>IS_alqt_plus</v>
          </cell>
          <cell r="K11010" t="str">
            <v>LCAT</v>
          </cell>
          <cell r="M11010" t="str">
            <v>M</v>
          </cell>
          <cell r="AB11010" t="str">
            <v>serum</v>
          </cell>
          <cell r="AF11010">
            <v>1</v>
          </cell>
        </row>
        <row r="11011">
          <cell r="A11011" t="str">
            <v>IS_alqt_plus</v>
          </cell>
          <cell r="K11011" t="str">
            <v>LCAT</v>
          </cell>
          <cell r="M11011" t="str">
            <v>M</v>
          </cell>
          <cell r="AB11011" t="str">
            <v>serum</v>
          </cell>
          <cell r="AF11011">
            <v>1</v>
          </cell>
        </row>
        <row r="11012">
          <cell r="A11012" t="str">
            <v>IS_alqt_plus</v>
          </cell>
          <cell r="K11012" t="str">
            <v>LCAT</v>
          </cell>
          <cell r="M11012" t="str">
            <v>M</v>
          </cell>
          <cell r="AB11012" t="str">
            <v>serum</v>
          </cell>
          <cell r="AF11012">
            <v>1</v>
          </cell>
        </row>
        <row r="11013">
          <cell r="A11013" t="str">
            <v>IS_alqt_plus</v>
          </cell>
          <cell r="K11013" t="str">
            <v>LCAT</v>
          </cell>
          <cell r="M11013" t="str">
            <v>M</v>
          </cell>
          <cell r="AB11013" t="str">
            <v>serum</v>
          </cell>
          <cell r="AF11013">
            <v>1</v>
          </cell>
        </row>
        <row r="11014">
          <cell r="A11014" t="str">
            <v>IS_alqt_plus</v>
          </cell>
          <cell r="K11014" t="str">
            <v>LCAT</v>
          </cell>
          <cell r="M11014" t="str">
            <v>M</v>
          </cell>
          <cell r="AB11014" t="str">
            <v>serum</v>
          </cell>
          <cell r="AF11014">
            <v>1</v>
          </cell>
        </row>
        <row r="11015">
          <cell r="A11015" t="str">
            <v>IS_alqt_plus</v>
          </cell>
          <cell r="K11015" t="str">
            <v>LCAT</v>
          </cell>
          <cell r="M11015" t="str">
            <v>M</v>
          </cell>
          <cell r="AB11015" t="str">
            <v>serum</v>
          </cell>
          <cell r="AF11015">
            <v>1</v>
          </cell>
        </row>
        <row r="11016">
          <cell r="A11016" t="str">
            <v>IS_alqt_plus</v>
          </cell>
          <cell r="K11016" t="str">
            <v>LCAT</v>
          </cell>
          <cell r="M11016" t="str">
            <v>M</v>
          </cell>
          <cell r="AB11016" t="str">
            <v>serum</v>
          </cell>
          <cell r="AF11016">
            <v>1</v>
          </cell>
        </row>
        <row r="11017">
          <cell r="A11017" t="str">
            <v>IS_alqt_plus</v>
          </cell>
          <cell r="K11017" t="str">
            <v>LCAT</v>
          </cell>
          <cell r="M11017" t="str">
            <v>M</v>
          </cell>
          <cell r="AB11017" t="str">
            <v>serum</v>
          </cell>
          <cell r="AF11017">
            <v>1</v>
          </cell>
        </row>
        <row r="11018">
          <cell r="A11018" t="str">
            <v>IS_alqt_plus</v>
          </cell>
          <cell r="K11018" t="str">
            <v>LCAT</v>
          </cell>
          <cell r="M11018" t="str">
            <v>M</v>
          </cell>
          <cell r="AB11018" t="str">
            <v>serum</v>
          </cell>
          <cell r="AF11018">
            <v>1</v>
          </cell>
        </row>
        <row r="11019">
          <cell r="A11019" t="str">
            <v>IS_alqt_plus</v>
          </cell>
          <cell r="K11019" t="str">
            <v>LCAT</v>
          </cell>
          <cell r="M11019" t="str">
            <v>M</v>
          </cell>
          <cell r="AB11019" t="str">
            <v>serum</v>
          </cell>
          <cell r="AF11019">
            <v>1</v>
          </cell>
        </row>
        <row r="11020">
          <cell r="A11020" t="str">
            <v>IS_alqt_plus</v>
          </cell>
          <cell r="K11020" t="str">
            <v>LCAT</v>
          </cell>
          <cell r="M11020" t="str">
            <v>M</v>
          </cell>
          <cell r="AB11020" t="str">
            <v>serum</v>
          </cell>
          <cell r="AF11020">
            <v>1</v>
          </cell>
        </row>
        <row r="11021">
          <cell r="A11021" t="str">
            <v>IS_alqt_plus</v>
          </cell>
          <cell r="K11021" t="str">
            <v>LCAT</v>
          </cell>
          <cell r="M11021" t="str">
            <v>M</v>
          </cell>
          <cell r="AB11021" t="str">
            <v>serum</v>
          </cell>
          <cell r="AF11021">
            <v>1</v>
          </cell>
        </row>
        <row r="11022">
          <cell r="A11022" t="str">
            <v>IS_alqt_plus</v>
          </cell>
          <cell r="K11022" t="str">
            <v>LCAT</v>
          </cell>
          <cell r="M11022" t="str">
            <v>M</v>
          </cell>
          <cell r="AB11022" t="str">
            <v>serum</v>
          </cell>
          <cell r="AF11022">
            <v>1</v>
          </cell>
        </row>
        <row r="11023">
          <cell r="A11023" t="str">
            <v>IS_alqt_plus</v>
          </cell>
          <cell r="K11023" t="str">
            <v>LCAT</v>
          </cell>
          <cell r="M11023" t="str">
            <v>M</v>
          </cell>
          <cell r="AB11023" t="str">
            <v>serum</v>
          </cell>
          <cell r="AF11023">
            <v>1</v>
          </cell>
        </row>
        <row r="11024">
          <cell r="A11024" t="str">
            <v>IS_alqt_plus</v>
          </cell>
          <cell r="K11024" t="str">
            <v>LCAT</v>
          </cell>
          <cell r="M11024" t="str">
            <v>M</v>
          </cell>
          <cell r="AB11024" t="str">
            <v>serum</v>
          </cell>
          <cell r="AF11024">
            <v>1</v>
          </cell>
        </row>
        <row r="11025">
          <cell r="A11025" t="str">
            <v>IS_alqt_plus</v>
          </cell>
          <cell r="K11025" t="str">
            <v>LCAT</v>
          </cell>
          <cell r="M11025" t="str">
            <v>M</v>
          </cell>
          <cell r="AB11025" t="str">
            <v>serum</v>
          </cell>
          <cell r="AF11025">
            <v>1</v>
          </cell>
        </row>
        <row r="11026">
          <cell r="A11026" t="str">
            <v>IS_alqt_plus</v>
          </cell>
          <cell r="K11026" t="str">
            <v>LCAT</v>
          </cell>
          <cell r="M11026" t="str">
            <v>M</v>
          </cell>
          <cell r="AB11026" t="str">
            <v>serum</v>
          </cell>
          <cell r="AF11026">
            <v>1</v>
          </cell>
        </row>
        <row r="11027">
          <cell r="A11027" t="str">
            <v>IS_alqt_plus</v>
          </cell>
          <cell r="K11027" t="str">
            <v>LCAT</v>
          </cell>
          <cell r="M11027" t="str">
            <v>M</v>
          </cell>
          <cell r="AB11027" t="str">
            <v>serum</v>
          </cell>
          <cell r="AF11027">
            <v>1</v>
          </cell>
        </row>
        <row r="11028">
          <cell r="A11028" t="str">
            <v>IS_alqt_plus</v>
          </cell>
          <cell r="K11028" t="str">
            <v>LCAT</v>
          </cell>
          <cell r="M11028" t="str">
            <v>M</v>
          </cell>
          <cell r="AB11028" t="str">
            <v>serum</v>
          </cell>
          <cell r="AF11028">
            <v>1</v>
          </cell>
        </row>
        <row r="11029">
          <cell r="A11029" t="str">
            <v>IS_alqt_plus</v>
          </cell>
          <cell r="K11029" t="str">
            <v>LCAT</v>
          </cell>
          <cell r="M11029" t="str">
            <v>M</v>
          </cell>
          <cell r="AB11029" t="str">
            <v>serum</v>
          </cell>
          <cell r="AF11029">
            <v>1</v>
          </cell>
        </row>
        <row r="11030">
          <cell r="A11030" t="str">
            <v>IS_alqt_plus</v>
          </cell>
          <cell r="K11030" t="str">
            <v>LCAT</v>
          </cell>
          <cell r="M11030" t="str">
            <v>M</v>
          </cell>
          <cell r="AB11030" t="str">
            <v>serum</v>
          </cell>
          <cell r="AF11030">
            <v>1</v>
          </cell>
        </row>
        <row r="11031">
          <cell r="A11031" t="str">
            <v>IS_alqt_plus</v>
          </cell>
          <cell r="K11031" t="str">
            <v>LCAT</v>
          </cell>
          <cell r="M11031" t="str">
            <v>M</v>
          </cell>
          <cell r="AB11031" t="str">
            <v>serum</v>
          </cell>
          <cell r="AF11031">
            <v>1</v>
          </cell>
        </row>
        <row r="11032">
          <cell r="A11032" t="str">
            <v>IS_alqt_plus</v>
          </cell>
          <cell r="K11032" t="str">
            <v>LCAT</v>
          </cell>
          <cell r="M11032" t="str">
            <v>M</v>
          </cell>
          <cell r="AB11032" t="str">
            <v>serum</v>
          </cell>
          <cell r="AF11032">
            <v>1</v>
          </cell>
        </row>
        <row r="11033">
          <cell r="A11033" t="str">
            <v>IS_alqt_plus</v>
          </cell>
          <cell r="K11033" t="str">
            <v>LCAT</v>
          </cell>
          <cell r="M11033" t="str">
            <v>M</v>
          </cell>
          <cell r="AB11033" t="str">
            <v>serum</v>
          </cell>
          <cell r="AF11033">
            <v>1</v>
          </cell>
        </row>
        <row r="11034">
          <cell r="A11034" t="str">
            <v>IS_alqt_plus</v>
          </cell>
          <cell r="K11034" t="str">
            <v>LCAT</v>
          </cell>
          <cell r="M11034" t="str">
            <v>M</v>
          </cell>
          <cell r="AB11034" t="str">
            <v>serum</v>
          </cell>
          <cell r="AF11034">
            <v>1</v>
          </cell>
        </row>
        <row r="11035">
          <cell r="A11035" t="str">
            <v>IS_alqt_plus</v>
          </cell>
          <cell r="K11035" t="str">
            <v>LCAT</v>
          </cell>
          <cell r="M11035" t="str">
            <v>M</v>
          </cell>
          <cell r="AB11035" t="str">
            <v>serum</v>
          </cell>
          <cell r="AF11035">
            <v>1</v>
          </cell>
        </row>
        <row r="11036">
          <cell r="A11036" t="str">
            <v>IS_alqt_plus</v>
          </cell>
          <cell r="K11036" t="str">
            <v>LCAT</v>
          </cell>
          <cell r="M11036" t="str">
            <v>M</v>
          </cell>
          <cell r="AB11036" t="str">
            <v>serum</v>
          </cell>
          <cell r="AF11036">
            <v>1</v>
          </cell>
        </row>
        <row r="11037">
          <cell r="A11037" t="str">
            <v>IS_alqt_plus</v>
          </cell>
          <cell r="K11037" t="str">
            <v>LCAT</v>
          </cell>
          <cell r="M11037" t="str">
            <v>M</v>
          </cell>
          <cell r="AB11037" t="str">
            <v>serum</v>
          </cell>
          <cell r="AF11037">
            <v>1</v>
          </cell>
        </row>
        <row r="11038">
          <cell r="A11038" t="str">
            <v>IS_alqt_plus</v>
          </cell>
          <cell r="K11038" t="str">
            <v>LCAT</v>
          </cell>
          <cell r="M11038" t="str">
            <v>M</v>
          </cell>
          <cell r="AB11038" t="str">
            <v>serum</v>
          </cell>
          <cell r="AF11038">
            <v>1</v>
          </cell>
        </row>
        <row r="11039">
          <cell r="A11039" t="str">
            <v>IS_alqt_plus</v>
          </cell>
          <cell r="K11039" t="str">
            <v>LCAT</v>
          </cell>
          <cell r="M11039" t="str">
            <v>M</v>
          </cell>
          <cell r="AB11039" t="str">
            <v>serum</v>
          </cell>
          <cell r="AF11039">
            <v>1</v>
          </cell>
        </row>
        <row r="11040">
          <cell r="A11040" t="str">
            <v>IS_alqt_plus</v>
          </cell>
          <cell r="K11040" t="str">
            <v>LCAT</v>
          </cell>
          <cell r="M11040" t="str">
            <v>M</v>
          </cell>
          <cell r="AB11040" t="str">
            <v>serum</v>
          </cell>
          <cell r="AF11040">
            <v>1</v>
          </cell>
        </row>
        <row r="11041">
          <cell r="A11041" t="str">
            <v>IS_alqt_plus</v>
          </cell>
          <cell r="K11041" t="str">
            <v>LCAT</v>
          </cell>
          <cell r="M11041" t="str">
            <v>M</v>
          </cell>
          <cell r="AB11041" t="str">
            <v>serum</v>
          </cell>
          <cell r="AF11041">
            <v>1</v>
          </cell>
        </row>
        <row r="11042">
          <cell r="A11042" t="str">
            <v>IS_alqt_plus</v>
          </cell>
          <cell r="K11042" t="str">
            <v>LCAT</v>
          </cell>
          <cell r="M11042" t="str">
            <v>M</v>
          </cell>
          <cell r="AB11042" t="str">
            <v>serum</v>
          </cell>
          <cell r="AF11042">
            <v>1</v>
          </cell>
        </row>
        <row r="11043">
          <cell r="A11043" t="str">
            <v>IS_alqt_plus</v>
          </cell>
          <cell r="K11043" t="str">
            <v>LCAT</v>
          </cell>
          <cell r="M11043" t="str">
            <v>M</v>
          </cell>
          <cell r="AB11043" t="str">
            <v>serum</v>
          </cell>
          <cell r="AF11043">
            <v>1</v>
          </cell>
        </row>
        <row r="11044">
          <cell r="A11044" t="str">
            <v>IS_alqt_plus</v>
          </cell>
          <cell r="K11044" t="str">
            <v>PCOQ</v>
          </cell>
          <cell r="M11044" t="str">
            <v>F</v>
          </cell>
          <cell r="AB11044" t="str">
            <v>WB</v>
          </cell>
          <cell r="AF11044">
            <v>0.8</v>
          </cell>
        </row>
        <row r="11045">
          <cell r="A11045" t="str">
            <v>IS_alqt_plus</v>
          </cell>
          <cell r="K11045" t="str">
            <v>PCOQ</v>
          </cell>
          <cell r="M11045" t="str">
            <v>F</v>
          </cell>
          <cell r="AB11045" t="str">
            <v>WB</v>
          </cell>
          <cell r="AF11045">
            <v>1.5</v>
          </cell>
        </row>
        <row r="11046">
          <cell r="A11046" t="str">
            <v>IS_alqt_plus</v>
          </cell>
          <cell r="K11046" t="str">
            <v>PCOQ</v>
          </cell>
          <cell r="M11046" t="str">
            <v>F</v>
          </cell>
          <cell r="AB11046" t="str">
            <v>WB</v>
          </cell>
          <cell r="AF11046">
            <v>0.2</v>
          </cell>
        </row>
        <row r="11047">
          <cell r="A11047" t="str">
            <v>IS_alqt_plus</v>
          </cell>
          <cell r="K11047" t="str">
            <v>PCOQ</v>
          </cell>
          <cell r="M11047" t="str">
            <v>F</v>
          </cell>
          <cell r="AB11047" t="str">
            <v>WB</v>
          </cell>
          <cell r="AF11047">
            <v>1.5</v>
          </cell>
        </row>
        <row r="11048">
          <cell r="A11048" t="str">
            <v>IS_alqt_plus</v>
          </cell>
          <cell r="K11048" t="str">
            <v>PCOQ</v>
          </cell>
          <cell r="M11048" t="str">
            <v>F</v>
          </cell>
          <cell r="AB11048" t="str">
            <v>WB</v>
          </cell>
          <cell r="AF11048">
            <v>1.5</v>
          </cell>
        </row>
        <row r="11049">
          <cell r="A11049" t="str">
            <v>IS_alqt_plus</v>
          </cell>
          <cell r="K11049" t="str">
            <v>PCOQ</v>
          </cell>
          <cell r="M11049" t="str">
            <v>F</v>
          </cell>
          <cell r="AB11049" t="str">
            <v>WB</v>
          </cell>
          <cell r="AF11049">
            <v>1.5</v>
          </cell>
        </row>
        <row r="11050">
          <cell r="A11050" t="str">
            <v>IS_alqt_plus</v>
          </cell>
          <cell r="K11050" t="str">
            <v>PCOQ</v>
          </cell>
          <cell r="M11050" t="str">
            <v>F</v>
          </cell>
          <cell r="AB11050" t="str">
            <v>WB</v>
          </cell>
          <cell r="AF11050">
            <v>1.5</v>
          </cell>
        </row>
        <row r="11051">
          <cell r="A11051" t="str">
            <v>IS_alqt_plus</v>
          </cell>
          <cell r="K11051" t="str">
            <v>PCOQ</v>
          </cell>
          <cell r="M11051" t="str">
            <v>F</v>
          </cell>
          <cell r="AB11051" t="str">
            <v>WB</v>
          </cell>
          <cell r="AF11051">
            <v>1.5</v>
          </cell>
        </row>
        <row r="11052">
          <cell r="A11052" t="str">
            <v>IS_alqt_plus</v>
          </cell>
          <cell r="K11052" t="str">
            <v>PCOQ</v>
          </cell>
          <cell r="M11052" t="str">
            <v>F</v>
          </cell>
          <cell r="AB11052" t="str">
            <v>WB</v>
          </cell>
          <cell r="AF11052">
            <v>1.5</v>
          </cell>
        </row>
        <row r="11053">
          <cell r="A11053" t="str">
            <v>IS_alqt_plus</v>
          </cell>
          <cell r="K11053" t="str">
            <v>PCOQ</v>
          </cell>
          <cell r="M11053" t="str">
            <v>F</v>
          </cell>
          <cell r="AB11053" t="str">
            <v>WB</v>
          </cell>
          <cell r="AF11053">
            <v>1.5</v>
          </cell>
        </row>
        <row r="11054">
          <cell r="A11054" t="str">
            <v>IS_alqt_plus</v>
          </cell>
          <cell r="K11054" t="str">
            <v>PCOQ</v>
          </cell>
          <cell r="M11054" t="str">
            <v>F</v>
          </cell>
          <cell r="AB11054" t="str">
            <v>WB</v>
          </cell>
          <cell r="AF11054">
            <v>1.5</v>
          </cell>
        </row>
        <row r="11055">
          <cell r="A11055" t="str">
            <v>IS_alqt_plus</v>
          </cell>
          <cell r="K11055" t="str">
            <v>PCOQ</v>
          </cell>
          <cell r="M11055" t="str">
            <v>F</v>
          </cell>
          <cell r="AB11055" t="str">
            <v>WB</v>
          </cell>
          <cell r="AF11055">
            <v>1</v>
          </cell>
        </row>
        <row r="11056">
          <cell r="A11056" t="str">
            <v>IS_alqt_plus</v>
          </cell>
          <cell r="K11056" t="str">
            <v>PCOQ</v>
          </cell>
          <cell r="M11056" t="str">
            <v>F</v>
          </cell>
          <cell r="AB11056" t="str">
            <v>WB</v>
          </cell>
          <cell r="AF11056">
            <v>1</v>
          </cell>
        </row>
        <row r="11057">
          <cell r="A11057" t="str">
            <v>IS_alqt_plus</v>
          </cell>
          <cell r="K11057" t="str">
            <v>PCOQ</v>
          </cell>
          <cell r="M11057" t="str">
            <v>F</v>
          </cell>
          <cell r="AB11057" t="str">
            <v>WB</v>
          </cell>
          <cell r="AF11057">
            <v>1</v>
          </cell>
        </row>
        <row r="11058">
          <cell r="A11058" t="str">
            <v>IS_alqt_plus</v>
          </cell>
          <cell r="K11058" t="str">
            <v>PCOQ</v>
          </cell>
          <cell r="M11058" t="str">
            <v>F</v>
          </cell>
          <cell r="AB11058" t="str">
            <v>WB</v>
          </cell>
          <cell r="AF11058">
            <v>1</v>
          </cell>
        </row>
        <row r="11059">
          <cell r="A11059" t="str">
            <v>IS_alqt_plus</v>
          </cell>
          <cell r="K11059" t="str">
            <v>PCOQ</v>
          </cell>
          <cell r="M11059" t="str">
            <v>F</v>
          </cell>
          <cell r="AB11059" t="str">
            <v>WB</v>
          </cell>
          <cell r="AF11059">
            <v>1.5</v>
          </cell>
        </row>
        <row r="11060">
          <cell r="A11060" t="str">
            <v>IS_alqt_plus</v>
          </cell>
          <cell r="K11060" t="str">
            <v>PCOQ</v>
          </cell>
          <cell r="M11060" t="str">
            <v>F</v>
          </cell>
          <cell r="AB11060" t="str">
            <v>WB</v>
          </cell>
          <cell r="AF11060">
            <v>1</v>
          </cell>
        </row>
        <row r="11061">
          <cell r="A11061" t="str">
            <v>IS_alqt_plus</v>
          </cell>
          <cell r="K11061" t="str">
            <v>PCOQ</v>
          </cell>
          <cell r="M11061" t="str">
            <v>F</v>
          </cell>
          <cell r="AB11061" t="str">
            <v>WB</v>
          </cell>
          <cell r="AF11061">
            <v>1</v>
          </cell>
        </row>
        <row r="11062">
          <cell r="A11062" t="str">
            <v>IS_alqt_plus</v>
          </cell>
          <cell r="K11062" t="str">
            <v>PCOQ</v>
          </cell>
          <cell r="M11062" t="str">
            <v>F</v>
          </cell>
          <cell r="AB11062" t="str">
            <v>WB</v>
          </cell>
          <cell r="AF11062">
            <v>1.5</v>
          </cell>
        </row>
        <row r="11063">
          <cell r="A11063" t="str">
            <v>IS_alqt_plus</v>
          </cell>
          <cell r="K11063" t="str">
            <v>PCOQ</v>
          </cell>
          <cell r="M11063" t="str">
            <v>F</v>
          </cell>
          <cell r="AB11063" t="str">
            <v>WB</v>
          </cell>
          <cell r="AF11063">
            <v>1.25</v>
          </cell>
        </row>
        <row r="11064">
          <cell r="A11064" t="str">
            <v>IS_alqt_plus</v>
          </cell>
          <cell r="K11064" t="str">
            <v>PCOQ</v>
          </cell>
          <cell r="M11064" t="str">
            <v>F</v>
          </cell>
          <cell r="AB11064" t="str">
            <v>WB</v>
          </cell>
          <cell r="AF11064">
            <v>1.25</v>
          </cell>
        </row>
        <row r="11065">
          <cell r="A11065" t="str">
            <v>IS_alqt_plus</v>
          </cell>
          <cell r="K11065" t="str">
            <v>EFLA</v>
          </cell>
          <cell r="M11065" t="str">
            <v>F</v>
          </cell>
          <cell r="AB11065" t="str">
            <v>serum</v>
          </cell>
          <cell r="AF11065">
            <v>0.5</v>
          </cell>
        </row>
        <row r="11066">
          <cell r="A11066" t="str">
            <v>IS_alqt_plus</v>
          </cell>
          <cell r="K11066" t="str">
            <v>EFLA</v>
          </cell>
          <cell r="M11066" t="str">
            <v>F</v>
          </cell>
          <cell r="AB11066" t="str">
            <v>serum</v>
          </cell>
          <cell r="AF11066">
            <v>0.8</v>
          </cell>
        </row>
        <row r="11067">
          <cell r="A11067" t="str">
            <v>IS_alqt_plus</v>
          </cell>
          <cell r="K11067" t="str">
            <v>PCOQ</v>
          </cell>
          <cell r="M11067" t="str">
            <v>M</v>
          </cell>
          <cell r="AB11067" t="str">
            <v>serum</v>
          </cell>
          <cell r="AF11067">
            <v>0.9</v>
          </cell>
        </row>
        <row r="11068">
          <cell r="A11068" t="str">
            <v>IS_alqt_plus</v>
          </cell>
          <cell r="K11068" t="str">
            <v>PCOQ</v>
          </cell>
          <cell r="M11068" t="str">
            <v>M</v>
          </cell>
          <cell r="AB11068" t="str">
            <v>serum</v>
          </cell>
          <cell r="AF11068">
            <v>0.9</v>
          </cell>
        </row>
        <row r="11069">
          <cell r="A11069" t="str">
            <v>gone</v>
          </cell>
          <cell r="K11069" t="str">
            <v>PCOQ</v>
          </cell>
          <cell r="M11069" t="str">
            <v>F</v>
          </cell>
          <cell r="AB11069" t="str">
            <v>serum</v>
          </cell>
          <cell r="AF11069">
            <v>0</v>
          </cell>
        </row>
        <row r="11070">
          <cell r="A11070" t="str">
            <v>IS_alqt_plus</v>
          </cell>
          <cell r="K11070" t="str">
            <v>PCOQ</v>
          </cell>
          <cell r="M11070" t="str">
            <v>F</v>
          </cell>
          <cell r="AB11070" t="str">
            <v>serum</v>
          </cell>
          <cell r="AF11070">
            <v>0.5</v>
          </cell>
        </row>
        <row r="11071">
          <cell r="A11071" t="str">
            <v>gone</v>
          </cell>
          <cell r="K11071" t="str">
            <v>EFLA</v>
          </cell>
          <cell r="M11071" t="str">
            <v>F</v>
          </cell>
          <cell r="AB11071" t="str">
            <v>WB</v>
          </cell>
          <cell r="AF11071">
            <v>0</v>
          </cell>
        </row>
        <row r="11072">
          <cell r="A11072" t="str">
            <v>IS_alqt_plus</v>
          </cell>
          <cell r="K11072" t="str">
            <v>EFLA</v>
          </cell>
          <cell r="M11072" t="str">
            <v>F</v>
          </cell>
          <cell r="AB11072" t="str">
            <v>WB</v>
          </cell>
          <cell r="AF11072">
            <v>0.6</v>
          </cell>
        </row>
        <row r="11073">
          <cell r="A11073" t="str">
            <v>IS_alqt_plus</v>
          </cell>
          <cell r="K11073" t="str">
            <v>PCOQ</v>
          </cell>
          <cell r="M11073" t="str">
            <v>F</v>
          </cell>
          <cell r="AB11073" t="str">
            <v>WB</v>
          </cell>
          <cell r="AF11073">
            <v>1.25</v>
          </cell>
        </row>
        <row r="11074">
          <cell r="A11074" t="str">
            <v>IS_alqt_plus</v>
          </cell>
          <cell r="K11074" t="str">
            <v>PCOQ</v>
          </cell>
          <cell r="M11074" t="str">
            <v>F</v>
          </cell>
          <cell r="AB11074" t="str">
            <v>WB</v>
          </cell>
          <cell r="AF11074">
            <v>1.25</v>
          </cell>
        </row>
        <row r="11075">
          <cell r="A11075" t="str">
            <v>IS_alqt_plus</v>
          </cell>
          <cell r="K11075" t="str">
            <v>PCOQ</v>
          </cell>
          <cell r="M11075" t="str">
            <v>F</v>
          </cell>
          <cell r="AB11075" t="str">
            <v>WB</v>
          </cell>
          <cell r="AF11075">
            <v>1.25</v>
          </cell>
        </row>
        <row r="11076">
          <cell r="A11076" t="str">
            <v>IS_alqt_plus</v>
          </cell>
          <cell r="K11076" t="str">
            <v>PCOQ</v>
          </cell>
          <cell r="M11076" t="str">
            <v>M</v>
          </cell>
          <cell r="AB11076" t="str">
            <v>WB</v>
          </cell>
          <cell r="AF11076">
            <v>0.6</v>
          </cell>
        </row>
        <row r="11077">
          <cell r="A11077" t="str">
            <v>IS_alqt_plus</v>
          </cell>
          <cell r="K11077" t="str">
            <v>PCOQ</v>
          </cell>
          <cell r="M11077" t="str">
            <v>F</v>
          </cell>
          <cell r="AB11077" t="str">
            <v>serum</v>
          </cell>
          <cell r="AF11077">
            <v>1.25</v>
          </cell>
        </row>
        <row r="11078">
          <cell r="A11078" t="str">
            <v>IS_alqt_plus</v>
          </cell>
          <cell r="K11078" t="str">
            <v>PCOQ</v>
          </cell>
          <cell r="M11078" t="str">
            <v>M</v>
          </cell>
          <cell r="AB11078" t="str">
            <v>serum</v>
          </cell>
          <cell r="AF11078">
            <v>1.3</v>
          </cell>
        </row>
        <row r="11079">
          <cell r="A11079" t="str">
            <v>IS_alqt_plus</v>
          </cell>
          <cell r="K11079" t="str">
            <v>PCOQ</v>
          </cell>
          <cell r="M11079" t="str">
            <v>M</v>
          </cell>
          <cell r="AB11079" t="str">
            <v>WB</v>
          </cell>
          <cell r="AF11079">
            <v>0.5</v>
          </cell>
        </row>
        <row r="11080">
          <cell r="A11080" t="str">
            <v>IS_alqt_plus</v>
          </cell>
          <cell r="K11080" t="str">
            <v>PCOQ</v>
          </cell>
          <cell r="M11080" t="str">
            <v>F</v>
          </cell>
          <cell r="AB11080" t="str">
            <v>WB</v>
          </cell>
          <cell r="AF11080">
            <v>0.75</v>
          </cell>
        </row>
        <row r="11081">
          <cell r="A11081" t="str">
            <v>IS_alqt_plus</v>
          </cell>
          <cell r="K11081" t="str">
            <v>EMON</v>
          </cell>
          <cell r="M11081" t="str">
            <v>M</v>
          </cell>
          <cell r="AB11081" t="str">
            <v>serum</v>
          </cell>
          <cell r="AF11081">
            <v>1</v>
          </cell>
        </row>
        <row r="11082">
          <cell r="A11082" t="str">
            <v>IS_alqt_plus</v>
          </cell>
          <cell r="K11082" t="str">
            <v>EMON</v>
          </cell>
          <cell r="M11082" t="str">
            <v>M</v>
          </cell>
          <cell r="AB11082" t="str">
            <v>serum</v>
          </cell>
          <cell r="AF11082">
            <v>1</v>
          </cell>
        </row>
        <row r="11083">
          <cell r="A11083" t="str">
            <v>IS_alqt_plus</v>
          </cell>
          <cell r="K11083" t="str">
            <v>EMON</v>
          </cell>
          <cell r="M11083" t="str">
            <v>M</v>
          </cell>
          <cell r="AB11083" t="str">
            <v>serum</v>
          </cell>
          <cell r="AF11083">
            <v>1</v>
          </cell>
        </row>
        <row r="11084">
          <cell r="A11084" t="str">
            <v>IS_alqt_plus</v>
          </cell>
          <cell r="K11084" t="str">
            <v>EMON</v>
          </cell>
          <cell r="M11084" t="str">
            <v>M</v>
          </cell>
          <cell r="AB11084" t="str">
            <v>serum</v>
          </cell>
          <cell r="AF11084">
            <v>1</v>
          </cell>
        </row>
        <row r="11085">
          <cell r="A11085" t="str">
            <v>IS_alqt_plus</v>
          </cell>
          <cell r="K11085" t="str">
            <v>EMON</v>
          </cell>
          <cell r="M11085" t="str">
            <v>M</v>
          </cell>
          <cell r="AB11085" t="str">
            <v>serum</v>
          </cell>
          <cell r="AF11085">
            <v>1</v>
          </cell>
        </row>
        <row r="11086">
          <cell r="A11086" t="str">
            <v>IS_alqt_plus</v>
          </cell>
          <cell r="K11086" t="str">
            <v>EMON</v>
          </cell>
          <cell r="M11086" t="str">
            <v>M</v>
          </cell>
          <cell r="AB11086" t="str">
            <v>serum</v>
          </cell>
          <cell r="AF11086">
            <v>1</v>
          </cell>
        </row>
        <row r="11087">
          <cell r="A11087" t="str">
            <v>IS_alqt_plus</v>
          </cell>
          <cell r="K11087" t="str">
            <v>EMON</v>
          </cell>
          <cell r="M11087" t="str">
            <v>M</v>
          </cell>
          <cell r="AB11087" t="str">
            <v>serum</v>
          </cell>
          <cell r="AF11087">
            <v>1</v>
          </cell>
        </row>
        <row r="11088">
          <cell r="A11088" t="str">
            <v>IS_alqt_plus</v>
          </cell>
          <cell r="K11088" t="str">
            <v>EMON</v>
          </cell>
          <cell r="M11088" t="str">
            <v>M</v>
          </cell>
          <cell r="AB11088" t="str">
            <v>serum</v>
          </cell>
          <cell r="AF11088">
            <v>1</v>
          </cell>
        </row>
        <row r="11089">
          <cell r="A11089" t="str">
            <v>IS_alqt_plus</v>
          </cell>
          <cell r="K11089" t="str">
            <v>EMON</v>
          </cell>
          <cell r="M11089" t="str">
            <v>M</v>
          </cell>
          <cell r="AB11089" t="str">
            <v>serum</v>
          </cell>
          <cell r="AF11089">
            <v>1</v>
          </cell>
        </row>
        <row r="11090">
          <cell r="A11090" t="str">
            <v>IS_alqt_plus</v>
          </cell>
          <cell r="K11090" t="str">
            <v>EMON</v>
          </cell>
          <cell r="M11090" t="str">
            <v>M</v>
          </cell>
          <cell r="AB11090" t="str">
            <v>serum</v>
          </cell>
          <cell r="AF11090">
            <v>1</v>
          </cell>
        </row>
        <row r="11091">
          <cell r="A11091" t="str">
            <v>IS_alqt_plus</v>
          </cell>
          <cell r="K11091" t="str">
            <v>EMON</v>
          </cell>
          <cell r="M11091" t="str">
            <v>M</v>
          </cell>
          <cell r="AB11091" t="str">
            <v>serum</v>
          </cell>
          <cell r="AF11091">
            <v>1</v>
          </cell>
        </row>
        <row r="11092">
          <cell r="A11092" t="str">
            <v>IS_alqt_plus</v>
          </cell>
          <cell r="K11092" t="str">
            <v>EMON</v>
          </cell>
          <cell r="M11092" t="str">
            <v>M</v>
          </cell>
          <cell r="AB11092" t="str">
            <v>serum</v>
          </cell>
          <cell r="AF11092">
            <v>1</v>
          </cell>
        </row>
        <row r="11093">
          <cell r="A11093" t="str">
            <v>IS_alqt_plus</v>
          </cell>
          <cell r="K11093" t="str">
            <v>EMON</v>
          </cell>
          <cell r="M11093" t="str">
            <v>M</v>
          </cell>
          <cell r="AB11093" t="str">
            <v>serum</v>
          </cell>
          <cell r="AF11093">
            <v>1</v>
          </cell>
        </row>
        <row r="11094">
          <cell r="A11094" t="str">
            <v>IS_alqt_plus</v>
          </cell>
          <cell r="K11094" t="str">
            <v>EMON</v>
          </cell>
          <cell r="M11094" t="str">
            <v>M</v>
          </cell>
          <cell r="AB11094" t="str">
            <v>serum</v>
          </cell>
          <cell r="AF11094">
            <v>1</v>
          </cell>
        </row>
        <row r="11095">
          <cell r="A11095" t="str">
            <v>IS_alqt_plus</v>
          </cell>
          <cell r="K11095" t="str">
            <v>EMON</v>
          </cell>
          <cell r="M11095" t="str">
            <v>M</v>
          </cell>
          <cell r="AB11095" t="str">
            <v>serum</v>
          </cell>
          <cell r="AF11095">
            <v>1</v>
          </cell>
        </row>
        <row r="11096">
          <cell r="A11096" t="str">
            <v>IS_alqt_plus</v>
          </cell>
          <cell r="K11096" t="str">
            <v>EMON</v>
          </cell>
          <cell r="M11096" t="str">
            <v>M</v>
          </cell>
          <cell r="AB11096" t="str">
            <v>serum</v>
          </cell>
          <cell r="AF11096">
            <v>1</v>
          </cell>
        </row>
        <row r="11097">
          <cell r="A11097" t="str">
            <v>IS_alqt_plus</v>
          </cell>
          <cell r="K11097" t="str">
            <v>EMON</v>
          </cell>
          <cell r="M11097" t="str">
            <v>M</v>
          </cell>
          <cell r="AB11097" t="str">
            <v>serum</v>
          </cell>
          <cell r="AF11097">
            <v>1</v>
          </cell>
        </row>
        <row r="11098">
          <cell r="A11098" t="str">
            <v>IS_alqt_plus</v>
          </cell>
          <cell r="K11098" t="str">
            <v>EMON</v>
          </cell>
          <cell r="M11098" t="str">
            <v>M</v>
          </cell>
          <cell r="AB11098" t="str">
            <v>serum</v>
          </cell>
          <cell r="AF11098">
            <v>1</v>
          </cell>
        </row>
        <row r="11099">
          <cell r="A11099" t="str">
            <v>IS_alqt_plus</v>
          </cell>
          <cell r="K11099" t="str">
            <v>EMON</v>
          </cell>
          <cell r="M11099" t="str">
            <v>M</v>
          </cell>
          <cell r="AB11099" t="str">
            <v>serum</v>
          </cell>
          <cell r="AF11099">
            <v>1</v>
          </cell>
        </row>
        <row r="11100">
          <cell r="A11100" t="str">
            <v>IS_alqt_plus</v>
          </cell>
          <cell r="K11100" t="str">
            <v>EMON</v>
          </cell>
          <cell r="M11100" t="str">
            <v>M</v>
          </cell>
          <cell r="AB11100" t="str">
            <v>serum</v>
          </cell>
          <cell r="AF11100">
            <v>1</v>
          </cell>
        </row>
        <row r="11101">
          <cell r="A11101" t="str">
            <v>IS_alqt_plus</v>
          </cell>
          <cell r="K11101" t="str">
            <v>EMON</v>
          </cell>
          <cell r="M11101" t="str">
            <v>M</v>
          </cell>
          <cell r="AB11101" t="str">
            <v>serum</v>
          </cell>
          <cell r="AF11101">
            <v>1</v>
          </cell>
        </row>
        <row r="11102">
          <cell r="A11102" t="str">
            <v>IS_alqt_plus</v>
          </cell>
          <cell r="K11102" t="str">
            <v>EMON</v>
          </cell>
          <cell r="M11102" t="str">
            <v>M</v>
          </cell>
          <cell r="AB11102" t="str">
            <v>serum</v>
          </cell>
          <cell r="AF11102">
            <v>1</v>
          </cell>
        </row>
        <row r="11103">
          <cell r="A11103" t="str">
            <v>IS_alqt_plus</v>
          </cell>
          <cell r="K11103" t="str">
            <v>EMON</v>
          </cell>
          <cell r="M11103" t="str">
            <v>M</v>
          </cell>
          <cell r="AB11103" t="str">
            <v>serum</v>
          </cell>
          <cell r="AF11103">
            <v>1</v>
          </cell>
        </row>
        <row r="11104">
          <cell r="A11104" t="str">
            <v>gone</v>
          </cell>
          <cell r="K11104" t="str">
            <v>EMON</v>
          </cell>
          <cell r="M11104" t="str">
            <v>M</v>
          </cell>
          <cell r="AB11104" t="str">
            <v>WB</v>
          </cell>
          <cell r="AF11104">
            <v>0</v>
          </cell>
        </row>
        <row r="11105">
          <cell r="A11105" t="str">
            <v>IS_alqt_plus</v>
          </cell>
          <cell r="K11105" t="str">
            <v>EMON</v>
          </cell>
          <cell r="M11105" t="str">
            <v>M</v>
          </cell>
          <cell r="AB11105" t="str">
            <v>WB</v>
          </cell>
          <cell r="AF11105">
            <v>1.3</v>
          </cell>
        </row>
        <row r="11106">
          <cell r="A11106" t="str">
            <v>IS_alqt_plus</v>
          </cell>
          <cell r="K11106" t="str">
            <v>EMON</v>
          </cell>
          <cell r="M11106" t="str">
            <v>M</v>
          </cell>
          <cell r="AB11106" t="str">
            <v>WB</v>
          </cell>
          <cell r="AF11106">
            <v>1.3</v>
          </cell>
        </row>
        <row r="11107">
          <cell r="A11107" t="str">
            <v>IS_alqt_plus</v>
          </cell>
          <cell r="K11107" t="str">
            <v>EMON</v>
          </cell>
          <cell r="M11107" t="str">
            <v>M</v>
          </cell>
          <cell r="AB11107" t="str">
            <v>WB</v>
          </cell>
          <cell r="AF11107">
            <v>1.3</v>
          </cell>
        </row>
        <row r="11108">
          <cell r="A11108" t="str">
            <v>IS_alqt_plus</v>
          </cell>
          <cell r="K11108" t="str">
            <v>EMON</v>
          </cell>
          <cell r="M11108" t="str">
            <v>M</v>
          </cell>
          <cell r="AB11108" t="str">
            <v>WB</v>
          </cell>
          <cell r="AF11108">
            <v>1.3</v>
          </cell>
        </row>
        <row r="11109">
          <cell r="A11109" t="str">
            <v>IS_alqt_plus</v>
          </cell>
          <cell r="K11109" t="str">
            <v>EMON</v>
          </cell>
          <cell r="M11109" t="str">
            <v>M</v>
          </cell>
          <cell r="AB11109" t="str">
            <v>WB</v>
          </cell>
          <cell r="AF11109">
            <v>1.3</v>
          </cell>
        </row>
        <row r="11110">
          <cell r="A11110" t="str">
            <v>IS_alqt_plus</v>
          </cell>
          <cell r="K11110" t="str">
            <v>EMON</v>
          </cell>
          <cell r="M11110" t="str">
            <v>M</v>
          </cell>
          <cell r="AB11110" t="str">
            <v>WB</v>
          </cell>
          <cell r="AF11110">
            <v>1.3</v>
          </cell>
        </row>
        <row r="11111">
          <cell r="A11111" t="str">
            <v>IS_alqt_plus</v>
          </cell>
          <cell r="K11111" t="str">
            <v>EMON</v>
          </cell>
          <cell r="M11111" t="str">
            <v>M</v>
          </cell>
          <cell r="AB11111" t="str">
            <v>WB</v>
          </cell>
          <cell r="AF11111">
            <v>1.3</v>
          </cell>
        </row>
        <row r="11112">
          <cell r="A11112" t="str">
            <v>IS_alqt_plus</v>
          </cell>
          <cell r="K11112" t="str">
            <v>EMON</v>
          </cell>
          <cell r="M11112" t="str">
            <v>M</v>
          </cell>
          <cell r="AB11112" t="str">
            <v>WB</v>
          </cell>
          <cell r="AF11112">
            <v>1.3</v>
          </cell>
        </row>
        <row r="11113">
          <cell r="A11113" t="str">
            <v>IS_alqt_plus</v>
          </cell>
          <cell r="K11113" t="str">
            <v>EMON</v>
          </cell>
          <cell r="M11113" t="str">
            <v>M</v>
          </cell>
          <cell r="AB11113" t="str">
            <v>WB</v>
          </cell>
          <cell r="AF11113">
            <v>1.3</v>
          </cell>
        </row>
        <row r="11114">
          <cell r="A11114" t="str">
            <v>IS_alqt_plus</v>
          </cell>
          <cell r="K11114" t="str">
            <v>EMON</v>
          </cell>
          <cell r="M11114" t="str">
            <v>M</v>
          </cell>
          <cell r="AB11114" t="str">
            <v>WB</v>
          </cell>
          <cell r="AF11114">
            <v>1.3</v>
          </cell>
        </row>
        <row r="11115">
          <cell r="A11115" t="str">
            <v>IS_alqt_plus</v>
          </cell>
          <cell r="K11115" t="str">
            <v>EMON</v>
          </cell>
          <cell r="M11115" t="str">
            <v>M</v>
          </cell>
          <cell r="AB11115" t="str">
            <v>WB</v>
          </cell>
          <cell r="AF11115">
            <v>1.3</v>
          </cell>
        </row>
        <row r="11116">
          <cell r="A11116" t="str">
            <v>IS_alqt_plus</v>
          </cell>
          <cell r="K11116" t="str">
            <v>EMON</v>
          </cell>
          <cell r="M11116" t="str">
            <v>M</v>
          </cell>
          <cell r="AB11116" t="str">
            <v>WB</v>
          </cell>
          <cell r="AF11116">
            <v>1.3</v>
          </cell>
        </row>
        <row r="11117">
          <cell r="A11117" t="str">
            <v>gone</v>
          </cell>
          <cell r="K11117" t="str">
            <v>PCOQ</v>
          </cell>
          <cell r="M11117" t="str">
            <v>F</v>
          </cell>
          <cell r="AB11117" t="str">
            <v>plasma</v>
          </cell>
          <cell r="AF11117">
            <v>0</v>
          </cell>
        </row>
        <row r="11118">
          <cell r="A11118" t="str">
            <v>IS_alqt_plus</v>
          </cell>
          <cell r="K11118" t="str">
            <v>PCOQ</v>
          </cell>
          <cell r="M11118" t="str">
            <v>F</v>
          </cell>
          <cell r="AB11118" t="str">
            <v>serum</v>
          </cell>
          <cell r="AF11118">
            <v>0</v>
          </cell>
        </row>
        <row r="11119">
          <cell r="A11119" t="str">
            <v>gone</v>
          </cell>
          <cell r="K11119" t="str">
            <v>PCOQ</v>
          </cell>
          <cell r="M11119" t="str">
            <v>F</v>
          </cell>
          <cell r="AB11119" t="str">
            <v>serum</v>
          </cell>
          <cell r="AF11119">
            <v>0</v>
          </cell>
        </row>
        <row r="11120">
          <cell r="A11120" t="str">
            <v>gone</v>
          </cell>
          <cell r="K11120" t="str">
            <v>VRUB</v>
          </cell>
          <cell r="M11120" t="str">
            <v>M</v>
          </cell>
          <cell r="AB11120" t="str">
            <v>WB</v>
          </cell>
          <cell r="AF11120">
            <v>0</v>
          </cell>
        </row>
        <row r="11121">
          <cell r="A11121" t="str">
            <v>IS_alqt_plus</v>
          </cell>
          <cell r="K11121" t="str">
            <v>EFLA</v>
          </cell>
          <cell r="M11121" t="str">
            <v>M</v>
          </cell>
          <cell r="AB11121" t="str">
            <v>serum</v>
          </cell>
          <cell r="AF11121">
            <v>1.3</v>
          </cell>
        </row>
        <row r="11122">
          <cell r="A11122" t="str">
            <v>IS_alqt_plus</v>
          </cell>
          <cell r="K11122" t="str">
            <v>EFLA</v>
          </cell>
          <cell r="M11122" t="str">
            <v>M</v>
          </cell>
          <cell r="AB11122" t="str">
            <v>WB</v>
          </cell>
          <cell r="AF11122">
            <v>1</v>
          </cell>
        </row>
        <row r="11123">
          <cell r="A11123" t="str">
            <v>IS_alqt_plus</v>
          </cell>
          <cell r="K11123" t="str">
            <v>EFLA</v>
          </cell>
          <cell r="M11123" t="str">
            <v>F</v>
          </cell>
          <cell r="AB11123" t="str">
            <v>serum</v>
          </cell>
          <cell r="AF11123">
            <v>1.25</v>
          </cell>
        </row>
        <row r="11124">
          <cell r="A11124" t="str">
            <v>IS_alqt_plus</v>
          </cell>
          <cell r="K11124" t="str">
            <v>EFLA</v>
          </cell>
          <cell r="M11124" t="str">
            <v>F</v>
          </cell>
          <cell r="AB11124" t="str">
            <v>WB</v>
          </cell>
          <cell r="AF11124">
            <v>1</v>
          </cell>
        </row>
        <row r="11125">
          <cell r="A11125" t="str">
            <v>IS_alqt_plus</v>
          </cell>
          <cell r="K11125" t="str">
            <v>EFLA</v>
          </cell>
          <cell r="M11125" t="str">
            <v>M</v>
          </cell>
          <cell r="AB11125" t="str">
            <v>WB</v>
          </cell>
          <cell r="AF11125">
            <v>1.2</v>
          </cell>
        </row>
        <row r="11126">
          <cell r="A11126" t="str">
            <v>IS_alqt_plus</v>
          </cell>
          <cell r="K11126" t="str">
            <v>EFLA</v>
          </cell>
          <cell r="M11126" t="str">
            <v>F</v>
          </cell>
          <cell r="AB11126" t="str">
            <v>serum</v>
          </cell>
          <cell r="AF11126">
            <v>0.6</v>
          </cell>
        </row>
        <row r="11127">
          <cell r="A11127" t="str">
            <v>IS_alqt_plus</v>
          </cell>
          <cell r="K11127" t="str">
            <v>PCOQ</v>
          </cell>
          <cell r="M11127" t="str">
            <v>M</v>
          </cell>
          <cell r="AB11127" t="str">
            <v>serum</v>
          </cell>
          <cell r="AF11127">
            <v>1.25</v>
          </cell>
        </row>
        <row r="11128">
          <cell r="A11128" t="str">
            <v>IS_alqt_plus</v>
          </cell>
          <cell r="K11128" t="str">
            <v>PCOQ</v>
          </cell>
          <cell r="M11128" t="str">
            <v>F</v>
          </cell>
          <cell r="AB11128" t="str">
            <v>WB</v>
          </cell>
          <cell r="AF11128">
            <v>1</v>
          </cell>
        </row>
        <row r="11129">
          <cell r="A11129" t="str">
            <v>IS_alqt_plus</v>
          </cell>
          <cell r="K11129" t="str">
            <v>ECOL</v>
          </cell>
          <cell r="M11129" t="str">
            <v>F</v>
          </cell>
          <cell r="AB11129" t="str">
            <v>serum</v>
          </cell>
          <cell r="AF11129">
            <v>0.75</v>
          </cell>
        </row>
        <row r="11130">
          <cell r="A11130" t="str">
            <v>IS_alqt_plus</v>
          </cell>
          <cell r="K11130" t="str">
            <v>ECOL</v>
          </cell>
          <cell r="M11130" t="str">
            <v>F</v>
          </cell>
          <cell r="AB11130" t="str">
            <v>serum</v>
          </cell>
          <cell r="AF11130">
            <v>1</v>
          </cell>
        </row>
        <row r="11131">
          <cell r="A11131" t="str">
            <v>IS_alqt_plus</v>
          </cell>
          <cell r="K11131" t="str">
            <v>ECOL</v>
          </cell>
          <cell r="M11131" t="str">
            <v>F</v>
          </cell>
          <cell r="AB11131" t="str">
            <v>serum</v>
          </cell>
          <cell r="AF11131">
            <v>1</v>
          </cell>
        </row>
        <row r="11132">
          <cell r="A11132" t="str">
            <v>IS_alqt_plus</v>
          </cell>
          <cell r="K11132" t="str">
            <v>ECOL</v>
          </cell>
          <cell r="M11132" t="str">
            <v>F</v>
          </cell>
          <cell r="AB11132" t="str">
            <v>serum</v>
          </cell>
          <cell r="AF11132">
            <v>1</v>
          </cell>
        </row>
        <row r="11133">
          <cell r="A11133" t="str">
            <v>IS_alqt_plus</v>
          </cell>
          <cell r="K11133" t="str">
            <v>ECOL</v>
          </cell>
          <cell r="M11133" t="str">
            <v>F</v>
          </cell>
          <cell r="AB11133" t="str">
            <v>serum</v>
          </cell>
          <cell r="AF11133">
            <v>0.8</v>
          </cell>
        </row>
        <row r="11134">
          <cell r="A11134" t="str">
            <v>IS_alqt_plus</v>
          </cell>
          <cell r="K11134" t="str">
            <v>ECOL</v>
          </cell>
          <cell r="M11134" t="str">
            <v>F</v>
          </cell>
          <cell r="AB11134" t="str">
            <v>serum</v>
          </cell>
          <cell r="AF11134">
            <v>1</v>
          </cell>
        </row>
        <row r="11135">
          <cell r="A11135" t="str">
            <v>IS_alqt_plus</v>
          </cell>
          <cell r="K11135" t="str">
            <v>ECOL</v>
          </cell>
          <cell r="M11135" t="str">
            <v>F</v>
          </cell>
          <cell r="AB11135" t="str">
            <v>serum</v>
          </cell>
          <cell r="AF11135">
            <v>1</v>
          </cell>
        </row>
        <row r="11136">
          <cell r="A11136" t="str">
            <v>IS_alqt_plus</v>
          </cell>
          <cell r="K11136" t="str">
            <v>ECOL</v>
          </cell>
          <cell r="M11136" t="str">
            <v>F</v>
          </cell>
          <cell r="AB11136" t="str">
            <v>serum</v>
          </cell>
          <cell r="AF11136">
            <v>1</v>
          </cell>
        </row>
        <row r="11137">
          <cell r="A11137" t="str">
            <v>IS_alqt_plus</v>
          </cell>
          <cell r="K11137" t="str">
            <v>ECOL</v>
          </cell>
          <cell r="M11137" t="str">
            <v>F</v>
          </cell>
          <cell r="AB11137" t="str">
            <v>serum</v>
          </cell>
          <cell r="AF11137">
            <v>1</v>
          </cell>
        </row>
        <row r="11138">
          <cell r="A11138" t="str">
            <v>IS_alqt_plus</v>
          </cell>
          <cell r="K11138" t="str">
            <v>ECOL</v>
          </cell>
          <cell r="M11138" t="str">
            <v>F</v>
          </cell>
          <cell r="AB11138" t="str">
            <v>serum</v>
          </cell>
          <cell r="AF11138">
            <v>0.8</v>
          </cell>
        </row>
        <row r="11139">
          <cell r="A11139" t="str">
            <v>IS_alqt_plus</v>
          </cell>
          <cell r="K11139" t="str">
            <v>ECOL</v>
          </cell>
          <cell r="M11139" t="str">
            <v>F</v>
          </cell>
          <cell r="AB11139" t="str">
            <v>serum</v>
          </cell>
          <cell r="AF11139">
            <v>1</v>
          </cell>
        </row>
        <row r="11140">
          <cell r="A11140" t="str">
            <v>IS_alqt_plus</v>
          </cell>
          <cell r="K11140" t="str">
            <v>ECOL</v>
          </cell>
          <cell r="M11140" t="str">
            <v>F</v>
          </cell>
          <cell r="AB11140" t="str">
            <v>serum</v>
          </cell>
          <cell r="AF11140">
            <v>1.2</v>
          </cell>
        </row>
        <row r="11141">
          <cell r="A11141" t="str">
            <v>IS_alqt_plus</v>
          </cell>
          <cell r="K11141" t="str">
            <v>ECOL</v>
          </cell>
          <cell r="M11141" t="str">
            <v>F</v>
          </cell>
          <cell r="AB11141" t="str">
            <v>serum</v>
          </cell>
          <cell r="AF11141">
            <v>1.2</v>
          </cell>
        </row>
        <row r="11142">
          <cell r="A11142" t="str">
            <v>IS_alqt_plus</v>
          </cell>
          <cell r="K11142" t="str">
            <v>ECOL</v>
          </cell>
          <cell r="M11142" t="str">
            <v>F</v>
          </cell>
          <cell r="AB11142" t="str">
            <v>serum</v>
          </cell>
          <cell r="AF11142">
            <v>1</v>
          </cell>
        </row>
        <row r="11143">
          <cell r="A11143" t="str">
            <v>IS_alqt_plus</v>
          </cell>
          <cell r="K11143" t="str">
            <v>ECOL</v>
          </cell>
          <cell r="M11143" t="str">
            <v>F</v>
          </cell>
          <cell r="AB11143" t="str">
            <v>serum</v>
          </cell>
          <cell r="AF11143">
            <v>1</v>
          </cell>
        </row>
        <row r="11144">
          <cell r="A11144" t="str">
            <v>IS_alqt_plus</v>
          </cell>
          <cell r="K11144" t="str">
            <v>ECOL</v>
          </cell>
          <cell r="M11144" t="str">
            <v>F</v>
          </cell>
          <cell r="AB11144" t="str">
            <v>serum</v>
          </cell>
          <cell r="AF11144">
            <v>1</v>
          </cell>
        </row>
        <row r="11145">
          <cell r="A11145" t="str">
            <v>gone</v>
          </cell>
          <cell r="K11145" t="str">
            <v>ECOL</v>
          </cell>
          <cell r="M11145" t="str">
            <v>F</v>
          </cell>
          <cell r="AB11145" t="str">
            <v>WB</v>
          </cell>
          <cell r="AF11145">
            <v>0</v>
          </cell>
        </row>
        <row r="11146">
          <cell r="A11146" t="str">
            <v>IS_alqt_plus</v>
          </cell>
          <cell r="K11146" t="str">
            <v>ECOL</v>
          </cell>
          <cell r="M11146" t="str">
            <v>F</v>
          </cell>
          <cell r="AB11146" t="str">
            <v>WB</v>
          </cell>
          <cell r="AF11146">
            <v>1</v>
          </cell>
        </row>
        <row r="11147">
          <cell r="A11147" t="str">
            <v>IS_alqt_plus</v>
          </cell>
          <cell r="K11147" t="str">
            <v>ECOL</v>
          </cell>
          <cell r="M11147" t="str">
            <v>F</v>
          </cell>
          <cell r="AB11147" t="str">
            <v>WB</v>
          </cell>
          <cell r="AF11147">
            <v>1</v>
          </cell>
        </row>
        <row r="11148">
          <cell r="A11148" t="str">
            <v>IS_alqt_plus</v>
          </cell>
          <cell r="K11148" t="str">
            <v>ECOL</v>
          </cell>
          <cell r="M11148" t="str">
            <v>F</v>
          </cell>
          <cell r="AB11148" t="str">
            <v>WB</v>
          </cell>
          <cell r="AF11148">
            <v>1</v>
          </cell>
        </row>
        <row r="11149">
          <cell r="A11149" t="str">
            <v>IS_alqt_plus</v>
          </cell>
          <cell r="K11149" t="str">
            <v>ECOL</v>
          </cell>
          <cell r="M11149" t="str">
            <v>F</v>
          </cell>
          <cell r="AB11149" t="str">
            <v>WB</v>
          </cell>
          <cell r="AF11149">
            <v>1</v>
          </cell>
        </row>
        <row r="11150">
          <cell r="A11150" t="str">
            <v>IS_alqt_plus</v>
          </cell>
          <cell r="K11150" t="str">
            <v>ECOL</v>
          </cell>
          <cell r="M11150" t="str">
            <v>F</v>
          </cell>
          <cell r="AB11150" t="str">
            <v>WB</v>
          </cell>
          <cell r="AF11150">
            <v>1</v>
          </cell>
        </row>
        <row r="11151">
          <cell r="A11151" t="str">
            <v>IS_alqt_plus</v>
          </cell>
          <cell r="K11151" t="str">
            <v>ECOL</v>
          </cell>
          <cell r="M11151" t="str">
            <v>F</v>
          </cell>
          <cell r="AB11151" t="str">
            <v>WB</v>
          </cell>
          <cell r="AF11151">
            <v>1</v>
          </cell>
        </row>
        <row r="11152">
          <cell r="A11152" t="str">
            <v>IS_alqt_plus</v>
          </cell>
          <cell r="K11152" t="str">
            <v>ECOL</v>
          </cell>
          <cell r="M11152" t="str">
            <v>F</v>
          </cell>
          <cell r="AB11152" t="str">
            <v>WB</v>
          </cell>
          <cell r="AF11152">
            <v>1</v>
          </cell>
        </row>
        <row r="11153">
          <cell r="A11153" t="str">
            <v>IS_alqt_plus</v>
          </cell>
          <cell r="K11153" t="str">
            <v>ECOL</v>
          </cell>
          <cell r="M11153" t="str">
            <v>F</v>
          </cell>
          <cell r="AB11153" t="str">
            <v>WB</v>
          </cell>
          <cell r="AF11153">
            <v>1</v>
          </cell>
        </row>
        <row r="11154">
          <cell r="A11154" t="str">
            <v>IS_alqt_plus</v>
          </cell>
          <cell r="K11154" t="str">
            <v>ECOL</v>
          </cell>
          <cell r="M11154" t="str">
            <v>F</v>
          </cell>
          <cell r="AB11154" t="str">
            <v>WB</v>
          </cell>
          <cell r="AF11154">
            <v>1.2</v>
          </cell>
        </row>
        <row r="11155">
          <cell r="A11155" t="str">
            <v>IS_alqt_plus</v>
          </cell>
          <cell r="K11155" t="str">
            <v>ECOL</v>
          </cell>
          <cell r="M11155" t="str">
            <v>F</v>
          </cell>
          <cell r="AB11155" t="str">
            <v>WB</v>
          </cell>
          <cell r="AF11155">
            <v>1.2</v>
          </cell>
        </row>
        <row r="11156">
          <cell r="A11156" t="str">
            <v>IS_alqt_plus</v>
          </cell>
          <cell r="K11156" t="str">
            <v>ECOL</v>
          </cell>
          <cell r="M11156" t="str">
            <v>F</v>
          </cell>
          <cell r="AB11156" t="str">
            <v>WB</v>
          </cell>
          <cell r="AF11156">
            <v>1.2</v>
          </cell>
        </row>
        <row r="11157">
          <cell r="A11157" t="str">
            <v>IS_alqt_plus</v>
          </cell>
          <cell r="K11157" t="str">
            <v>ECOL</v>
          </cell>
          <cell r="M11157" t="str">
            <v>F</v>
          </cell>
          <cell r="AB11157" t="str">
            <v>WB</v>
          </cell>
          <cell r="AF11157">
            <v>1.2</v>
          </cell>
        </row>
        <row r="11158">
          <cell r="A11158" t="str">
            <v>IS_alqt_plus</v>
          </cell>
          <cell r="K11158" t="str">
            <v>ECOL</v>
          </cell>
          <cell r="M11158" t="str">
            <v>F</v>
          </cell>
          <cell r="AB11158" t="str">
            <v>WB</v>
          </cell>
          <cell r="AF11158">
            <v>1.2</v>
          </cell>
        </row>
        <row r="11159">
          <cell r="A11159" t="str">
            <v>IS_alqt_plus</v>
          </cell>
          <cell r="K11159" t="str">
            <v>ECOL</v>
          </cell>
          <cell r="M11159" t="str">
            <v>F</v>
          </cell>
          <cell r="AB11159" t="str">
            <v>WB</v>
          </cell>
          <cell r="AF11159">
            <v>1.2</v>
          </cell>
        </row>
        <row r="11160">
          <cell r="A11160" t="str">
            <v>IS_alqt_plus</v>
          </cell>
          <cell r="K11160" t="str">
            <v>ECOR</v>
          </cell>
          <cell r="M11160" t="str">
            <v>M</v>
          </cell>
          <cell r="AB11160" t="str">
            <v>serum</v>
          </cell>
          <cell r="AF11160">
            <v>0.9</v>
          </cell>
        </row>
        <row r="11161">
          <cell r="A11161" t="str">
            <v>IS_alqt_plus</v>
          </cell>
          <cell r="K11161" t="str">
            <v>ECOR</v>
          </cell>
          <cell r="M11161" t="str">
            <v>M</v>
          </cell>
          <cell r="AB11161" t="str">
            <v>WB</v>
          </cell>
          <cell r="AF11161">
            <v>0.75</v>
          </cell>
        </row>
        <row r="11162">
          <cell r="A11162" t="str">
            <v>IS_alqt_plus</v>
          </cell>
          <cell r="K11162" t="str">
            <v>PCOQ</v>
          </cell>
          <cell r="M11162" t="str">
            <v>F</v>
          </cell>
          <cell r="AB11162" t="str">
            <v>serum</v>
          </cell>
          <cell r="AF11162">
            <v>1</v>
          </cell>
        </row>
        <row r="11163">
          <cell r="A11163" t="str">
            <v>IS_alqt_plus</v>
          </cell>
          <cell r="K11163" t="str">
            <v>PCOQ</v>
          </cell>
          <cell r="M11163" t="str">
            <v>F</v>
          </cell>
          <cell r="AB11163" t="str">
            <v>serum</v>
          </cell>
          <cell r="AF11163">
            <v>0.5</v>
          </cell>
        </row>
        <row r="11164">
          <cell r="A11164" t="str">
            <v>IS_alqt_plus</v>
          </cell>
          <cell r="K11164" t="str">
            <v>PCOQ</v>
          </cell>
          <cell r="M11164" t="str">
            <v>M</v>
          </cell>
          <cell r="AB11164" t="str">
            <v>WB</v>
          </cell>
          <cell r="AF11164">
            <v>0.5</v>
          </cell>
        </row>
        <row r="11165">
          <cell r="A11165" t="str">
            <v>IS_alqt_plus</v>
          </cell>
          <cell r="K11165" t="str">
            <v>PCOQ</v>
          </cell>
          <cell r="M11165" t="str">
            <v>M</v>
          </cell>
          <cell r="AB11165" t="str">
            <v>WB</v>
          </cell>
          <cell r="AF11165">
            <v>0.55000000000000004</v>
          </cell>
        </row>
        <row r="11166">
          <cell r="A11166" t="str">
            <v>IS_alqt_minus</v>
          </cell>
          <cell r="K11166" t="str">
            <v>CMED</v>
          </cell>
          <cell r="M11166" t="str">
            <v>M</v>
          </cell>
          <cell r="AB11166" t="str">
            <v>PRBC</v>
          </cell>
          <cell r="AF11166">
            <v>0.1</v>
          </cell>
        </row>
        <row r="11167">
          <cell r="A11167" t="str">
            <v>IS_alqt_minus</v>
          </cell>
          <cell r="K11167" t="str">
            <v>CMED</v>
          </cell>
          <cell r="M11167" t="str">
            <v>M</v>
          </cell>
          <cell r="AB11167" t="str">
            <v>PRBC</v>
          </cell>
          <cell r="AF11167">
            <v>0.1</v>
          </cell>
        </row>
        <row r="11168">
          <cell r="A11168" t="str">
            <v>IS_alqt_minus</v>
          </cell>
          <cell r="K11168" t="str">
            <v>CMED</v>
          </cell>
          <cell r="M11168" t="str">
            <v>F</v>
          </cell>
          <cell r="AB11168" t="str">
            <v>PRBC</v>
          </cell>
          <cell r="AF11168">
            <v>0.1</v>
          </cell>
        </row>
        <row r="11169">
          <cell r="A11169" t="str">
            <v>IS_alqt_minus</v>
          </cell>
          <cell r="K11169" t="str">
            <v>CMED</v>
          </cell>
          <cell r="M11169" t="str">
            <v>F</v>
          </cell>
          <cell r="AB11169" t="str">
            <v>PRBC</v>
          </cell>
          <cell r="AF11169">
            <v>0.1</v>
          </cell>
        </row>
        <row r="11170">
          <cell r="A11170" t="str">
            <v>IS_alqt_plus</v>
          </cell>
          <cell r="K11170" t="str">
            <v>CMED</v>
          </cell>
          <cell r="M11170" t="str">
            <v>M</v>
          </cell>
          <cell r="AB11170" t="str">
            <v>PRBC</v>
          </cell>
          <cell r="AF11170">
            <v>0.2</v>
          </cell>
        </row>
        <row r="11171">
          <cell r="A11171" t="str">
            <v>IS_alqt_minus</v>
          </cell>
          <cell r="K11171" t="str">
            <v>CMED</v>
          </cell>
          <cell r="M11171" t="str">
            <v>F</v>
          </cell>
          <cell r="AB11171" t="str">
            <v>PRBC</v>
          </cell>
          <cell r="AF11171">
            <v>0.1</v>
          </cell>
        </row>
        <row r="11172">
          <cell r="A11172" t="str">
            <v>IS_alqt_minus</v>
          </cell>
          <cell r="K11172" t="str">
            <v>CMED</v>
          </cell>
          <cell r="M11172" t="str">
            <v>F</v>
          </cell>
          <cell r="AB11172" t="str">
            <v>PRBC</v>
          </cell>
          <cell r="AF11172">
            <v>0.15</v>
          </cell>
        </row>
        <row r="11173">
          <cell r="A11173" t="str">
            <v>IS_alqt_plus</v>
          </cell>
          <cell r="K11173" t="str">
            <v>CMED</v>
          </cell>
          <cell r="M11173" t="str">
            <v>F</v>
          </cell>
          <cell r="AB11173" t="str">
            <v>PRBC</v>
          </cell>
          <cell r="AF11173">
            <v>0.2</v>
          </cell>
        </row>
        <row r="11174">
          <cell r="A11174" t="str">
            <v>IS_alqt_plus</v>
          </cell>
          <cell r="K11174" t="str">
            <v>CMED</v>
          </cell>
          <cell r="M11174" t="str">
            <v>M</v>
          </cell>
          <cell r="AB11174" t="str">
            <v>PRBC</v>
          </cell>
          <cell r="AF11174">
            <v>0.25</v>
          </cell>
        </row>
        <row r="11175">
          <cell r="A11175" t="str">
            <v>IS_alqt_plus</v>
          </cell>
          <cell r="K11175" t="str">
            <v>CMED</v>
          </cell>
          <cell r="M11175" t="str">
            <v>M</v>
          </cell>
          <cell r="AB11175" t="str">
            <v>PRBC</v>
          </cell>
          <cell r="AF11175">
            <v>0.2</v>
          </cell>
        </row>
        <row r="11176">
          <cell r="A11176" t="str">
            <v>IS_alqt_minus</v>
          </cell>
          <cell r="K11176" t="str">
            <v>CMED</v>
          </cell>
          <cell r="M11176" t="str">
            <v>M</v>
          </cell>
          <cell r="AB11176" t="str">
            <v>PRBC</v>
          </cell>
          <cell r="AF11176">
            <v>0.15</v>
          </cell>
        </row>
        <row r="11177">
          <cell r="A11177" t="str">
            <v>IS_alqt_plus</v>
          </cell>
          <cell r="K11177" t="str">
            <v>CMED</v>
          </cell>
          <cell r="M11177" t="str">
            <v>M</v>
          </cell>
          <cell r="AB11177" t="str">
            <v>PRBC</v>
          </cell>
          <cell r="AF11177">
            <v>0.2</v>
          </cell>
        </row>
        <row r="11178">
          <cell r="A11178" t="str">
            <v>IS_alqt_minus</v>
          </cell>
          <cell r="K11178" t="str">
            <v>CMED</v>
          </cell>
          <cell r="M11178" t="str">
            <v>M</v>
          </cell>
          <cell r="AB11178" t="str">
            <v>PRBC</v>
          </cell>
          <cell r="AF11178">
            <v>0.15</v>
          </cell>
        </row>
        <row r="11179">
          <cell r="A11179" t="str">
            <v>IS_alqt_minus</v>
          </cell>
          <cell r="K11179" t="str">
            <v>CMED</v>
          </cell>
          <cell r="M11179" t="str">
            <v>M</v>
          </cell>
          <cell r="AB11179" t="str">
            <v>PRBC</v>
          </cell>
          <cell r="AF11179">
            <v>0.15</v>
          </cell>
        </row>
        <row r="11180">
          <cell r="A11180" t="str">
            <v>IS_alqt_minus</v>
          </cell>
          <cell r="K11180" t="str">
            <v>CMED</v>
          </cell>
          <cell r="M11180" t="str">
            <v>M</v>
          </cell>
          <cell r="AB11180" t="str">
            <v>PRBC</v>
          </cell>
          <cell r="AF11180">
            <v>0.1</v>
          </cell>
        </row>
        <row r="11181">
          <cell r="A11181" t="str">
            <v>IS_alqt_minus</v>
          </cell>
          <cell r="K11181" t="str">
            <v>CMED</v>
          </cell>
          <cell r="M11181" t="str">
            <v>M</v>
          </cell>
          <cell r="AB11181" t="str">
            <v>PRBC</v>
          </cell>
          <cell r="AF11181">
            <v>0.15</v>
          </cell>
        </row>
        <row r="11182">
          <cell r="A11182" t="str">
            <v>IS_alqt_plus</v>
          </cell>
          <cell r="K11182" t="str">
            <v>CMED</v>
          </cell>
          <cell r="M11182" t="str">
            <v>M</v>
          </cell>
          <cell r="AB11182" t="str">
            <v>PRBC</v>
          </cell>
          <cell r="AF11182">
            <v>0.2</v>
          </cell>
        </row>
        <row r="11183">
          <cell r="A11183" t="str">
            <v>IS_alqt_plus</v>
          </cell>
          <cell r="K11183" t="str">
            <v>CMED</v>
          </cell>
          <cell r="M11183" t="str">
            <v>M</v>
          </cell>
          <cell r="AB11183" t="str">
            <v>PRBC</v>
          </cell>
          <cell r="AF11183">
            <v>0.25</v>
          </cell>
        </row>
        <row r="11184">
          <cell r="A11184" t="str">
            <v>IS_alqt_plus</v>
          </cell>
          <cell r="K11184" t="str">
            <v>CMED</v>
          </cell>
          <cell r="M11184" t="str">
            <v>M</v>
          </cell>
          <cell r="AB11184" t="str">
            <v>PRBC</v>
          </cell>
          <cell r="AF11184">
            <v>0.2</v>
          </cell>
        </row>
        <row r="11185">
          <cell r="A11185" t="str">
            <v>IS_alqt_plus</v>
          </cell>
          <cell r="K11185" t="str">
            <v>CMED</v>
          </cell>
          <cell r="M11185" t="str">
            <v>M</v>
          </cell>
          <cell r="AB11185" t="str">
            <v>PRBC</v>
          </cell>
          <cell r="AF11185">
            <v>0.2</v>
          </cell>
        </row>
        <row r="11186">
          <cell r="A11186" t="str">
            <v>IS_alqt_minus</v>
          </cell>
          <cell r="K11186" t="str">
            <v>CMED</v>
          </cell>
          <cell r="M11186" t="str">
            <v>M</v>
          </cell>
          <cell r="AB11186" t="str">
            <v>PRBC</v>
          </cell>
          <cell r="AF11186">
            <v>0.15</v>
          </cell>
        </row>
        <row r="11187">
          <cell r="A11187" t="str">
            <v>IS_alqt_minus</v>
          </cell>
          <cell r="K11187" t="str">
            <v>CMED</v>
          </cell>
          <cell r="M11187" t="str">
            <v>F</v>
          </cell>
          <cell r="AB11187" t="str">
            <v>PRBC</v>
          </cell>
          <cell r="AF11187">
            <v>0.1</v>
          </cell>
        </row>
        <row r="11188">
          <cell r="A11188" t="str">
            <v>IS_alqt_plus</v>
          </cell>
          <cell r="K11188" t="str">
            <v>CMED</v>
          </cell>
          <cell r="M11188" t="str">
            <v>M</v>
          </cell>
          <cell r="AB11188" t="str">
            <v>PRBC</v>
          </cell>
          <cell r="AF11188">
            <v>0.25</v>
          </cell>
        </row>
        <row r="11189">
          <cell r="A11189" t="str">
            <v>IS_alqt_plus</v>
          </cell>
          <cell r="K11189" t="str">
            <v>CMED</v>
          </cell>
          <cell r="M11189" t="str">
            <v>F</v>
          </cell>
          <cell r="AB11189" t="str">
            <v>PRBC</v>
          </cell>
          <cell r="AF11189">
            <v>0.2</v>
          </cell>
        </row>
        <row r="11190">
          <cell r="A11190" t="str">
            <v>gone</v>
          </cell>
          <cell r="K11190" t="str">
            <v>CMED</v>
          </cell>
          <cell r="M11190" t="str">
            <v>F</v>
          </cell>
          <cell r="AB11190" t="str">
            <v>WB</v>
          </cell>
          <cell r="AF11190">
            <v>0</v>
          </cell>
        </row>
        <row r="11191">
          <cell r="A11191" t="str">
            <v>IS_alqt_plus</v>
          </cell>
          <cell r="K11191" t="str">
            <v>EFLA</v>
          </cell>
          <cell r="M11191" t="str">
            <v>F</v>
          </cell>
          <cell r="AB11191" t="str">
            <v>WB</v>
          </cell>
          <cell r="AF11191">
            <v>0.25</v>
          </cell>
        </row>
        <row r="11192">
          <cell r="A11192" t="str">
            <v>IS_alqt_minus</v>
          </cell>
          <cell r="K11192" t="str">
            <v>PCOQ</v>
          </cell>
          <cell r="M11192" t="str">
            <v>M</v>
          </cell>
          <cell r="AB11192" t="str">
            <v>WB</v>
          </cell>
          <cell r="AF11192">
            <v>0.15</v>
          </cell>
        </row>
        <row r="11193">
          <cell r="A11193" t="str">
            <v>IS_alqt_plus</v>
          </cell>
          <cell r="K11193" t="str">
            <v>LCAT</v>
          </cell>
          <cell r="M11193" t="str">
            <v>F</v>
          </cell>
          <cell r="AB11193" t="str">
            <v>serum</v>
          </cell>
          <cell r="AF11193">
            <v>1</v>
          </cell>
        </row>
        <row r="11194">
          <cell r="A11194" t="str">
            <v>IS_alqt_plus</v>
          </cell>
          <cell r="K11194" t="str">
            <v>PCOQ</v>
          </cell>
          <cell r="M11194" t="str">
            <v>M</v>
          </cell>
          <cell r="AB11194" t="str">
            <v>serum</v>
          </cell>
          <cell r="AF11194">
            <v>0.2</v>
          </cell>
        </row>
        <row r="11195">
          <cell r="A11195" t="str">
            <v>IS_alqt_plus</v>
          </cell>
          <cell r="K11195" t="str">
            <v>PCOQ</v>
          </cell>
          <cell r="M11195" t="str">
            <v>M</v>
          </cell>
          <cell r="AB11195" t="str">
            <v>serum</v>
          </cell>
          <cell r="AF11195">
            <v>0.2</v>
          </cell>
        </row>
        <row r="11196">
          <cell r="A11196" t="str">
            <v>IS_alqt_minus</v>
          </cell>
          <cell r="K11196" t="str">
            <v>PCOQ</v>
          </cell>
          <cell r="M11196" t="str">
            <v>M</v>
          </cell>
          <cell r="AB11196" t="str">
            <v>serum</v>
          </cell>
          <cell r="AF11196">
            <v>0.1</v>
          </cell>
        </row>
        <row r="11197">
          <cell r="A11197" t="str">
            <v>IS_alqt_plus</v>
          </cell>
          <cell r="K11197" t="str">
            <v>PCOQ</v>
          </cell>
          <cell r="M11197" t="str">
            <v>M</v>
          </cell>
          <cell r="AB11197" t="str">
            <v>serum</v>
          </cell>
          <cell r="AF11197">
            <v>0.2</v>
          </cell>
        </row>
        <row r="11198">
          <cell r="A11198" t="str">
            <v>IS_alqt_plus</v>
          </cell>
          <cell r="K11198" t="str">
            <v>PCOQ</v>
          </cell>
          <cell r="M11198" t="str">
            <v>M</v>
          </cell>
          <cell r="AB11198" t="str">
            <v>WB</v>
          </cell>
          <cell r="AF11198">
            <v>0.3</v>
          </cell>
        </row>
        <row r="11199">
          <cell r="A11199" t="str">
            <v>gone</v>
          </cell>
          <cell r="K11199" t="str">
            <v>PCOQ</v>
          </cell>
          <cell r="M11199" t="str">
            <v>F</v>
          </cell>
          <cell r="AB11199" t="str">
            <v>WB</v>
          </cell>
          <cell r="AF11199">
            <v>0</v>
          </cell>
        </row>
        <row r="11200">
          <cell r="A11200" t="str">
            <v>IS_alqt_plus</v>
          </cell>
          <cell r="K11200" t="str">
            <v>LCAT</v>
          </cell>
          <cell r="M11200" t="str">
            <v>M</v>
          </cell>
          <cell r="AB11200" t="str">
            <v>serum</v>
          </cell>
          <cell r="AF11200">
            <v>1</v>
          </cell>
        </row>
        <row r="11201">
          <cell r="A11201" t="str">
            <v>IS_alqt_plus</v>
          </cell>
          <cell r="K11201" t="str">
            <v>LCAT</v>
          </cell>
          <cell r="M11201" t="str">
            <v>M</v>
          </cell>
          <cell r="AB11201" t="str">
            <v>serum</v>
          </cell>
          <cell r="AF11201">
            <v>1</v>
          </cell>
        </row>
        <row r="11202">
          <cell r="A11202" t="str">
            <v>IS_alqt_plus</v>
          </cell>
          <cell r="K11202" t="str">
            <v>PCOQ</v>
          </cell>
          <cell r="M11202" t="str">
            <v>M</v>
          </cell>
          <cell r="AB11202" t="str">
            <v>serum</v>
          </cell>
          <cell r="AF11202">
            <v>1.25</v>
          </cell>
        </row>
        <row r="11203">
          <cell r="A11203" t="str">
            <v>IS_alqt_plus</v>
          </cell>
          <cell r="K11203" t="str">
            <v>PCOQ</v>
          </cell>
          <cell r="M11203" t="str">
            <v>M</v>
          </cell>
          <cell r="AB11203" t="str">
            <v>WB</v>
          </cell>
          <cell r="AF11203">
            <v>0.5</v>
          </cell>
        </row>
        <row r="11204">
          <cell r="A11204" t="str">
            <v>IS_alqt_plus</v>
          </cell>
          <cell r="K11204" t="str">
            <v>PCOQ</v>
          </cell>
          <cell r="M11204" t="str">
            <v>F</v>
          </cell>
          <cell r="AB11204" t="str">
            <v>serum</v>
          </cell>
          <cell r="AF11204">
            <v>0.4</v>
          </cell>
        </row>
        <row r="11205">
          <cell r="A11205" t="str">
            <v>IS_alqt_plus</v>
          </cell>
          <cell r="K11205" t="str">
            <v>PCOQ</v>
          </cell>
          <cell r="M11205" t="str">
            <v>F</v>
          </cell>
          <cell r="AB11205" t="str">
            <v>serum</v>
          </cell>
          <cell r="AF11205">
            <v>0.2</v>
          </cell>
        </row>
        <row r="11206">
          <cell r="A11206" t="str">
            <v>IS_alqt_plus</v>
          </cell>
          <cell r="K11206" t="str">
            <v>PCOQ</v>
          </cell>
          <cell r="M11206" t="str">
            <v>F</v>
          </cell>
          <cell r="AB11206" t="str">
            <v>serum</v>
          </cell>
          <cell r="AF11206">
            <v>0.2</v>
          </cell>
        </row>
        <row r="11207">
          <cell r="A11207" t="str">
            <v>IS_alqt_plus</v>
          </cell>
          <cell r="K11207" t="str">
            <v>PCOQ</v>
          </cell>
          <cell r="M11207" t="str">
            <v>M</v>
          </cell>
          <cell r="AB11207" t="str">
            <v>serum</v>
          </cell>
          <cell r="AF11207">
            <v>1.25</v>
          </cell>
        </row>
        <row r="11208">
          <cell r="A11208" t="str">
            <v>IS_alqt_plus</v>
          </cell>
          <cell r="K11208" t="str">
            <v>PCOQ</v>
          </cell>
          <cell r="M11208" t="str">
            <v>M</v>
          </cell>
          <cell r="AB11208" t="str">
            <v>WB</v>
          </cell>
          <cell r="AF11208">
            <v>1</v>
          </cell>
        </row>
        <row r="11209">
          <cell r="A11209" t="str">
            <v>IS_alqt_plus</v>
          </cell>
          <cell r="K11209" t="str">
            <v>PCOQ</v>
          </cell>
          <cell r="M11209" t="str">
            <v>F</v>
          </cell>
          <cell r="AB11209" t="str">
            <v>serum</v>
          </cell>
          <cell r="AF11209">
            <v>0.3</v>
          </cell>
        </row>
        <row r="11210">
          <cell r="A11210" t="str">
            <v>IS_alqt_plus</v>
          </cell>
          <cell r="K11210" t="str">
            <v>PCOQ</v>
          </cell>
          <cell r="M11210" t="str">
            <v>M</v>
          </cell>
          <cell r="AB11210" t="str">
            <v>WB</v>
          </cell>
          <cell r="AF11210">
            <v>0.8</v>
          </cell>
        </row>
        <row r="11211">
          <cell r="A11211" t="str">
            <v>IS_alqt_plus</v>
          </cell>
          <cell r="K11211" t="str">
            <v>PCOQ</v>
          </cell>
          <cell r="M11211" t="str">
            <v>F</v>
          </cell>
          <cell r="AB11211" t="str">
            <v>serum</v>
          </cell>
          <cell r="AF11211">
            <v>0.2</v>
          </cell>
        </row>
        <row r="11212">
          <cell r="A11212" t="str">
            <v>IS_alqt_minus</v>
          </cell>
          <cell r="K11212" t="str">
            <v>PCOQ</v>
          </cell>
          <cell r="M11212" t="str">
            <v>M</v>
          </cell>
          <cell r="AB11212" t="str">
            <v>serum</v>
          </cell>
          <cell r="AF11212">
            <v>0.1</v>
          </cell>
        </row>
        <row r="11213">
          <cell r="A11213" t="str">
            <v>IS_alqt_plus</v>
          </cell>
          <cell r="K11213" t="str">
            <v>PCOQ</v>
          </cell>
          <cell r="M11213" t="str">
            <v>M</v>
          </cell>
          <cell r="AB11213" t="str">
            <v>serum</v>
          </cell>
          <cell r="AF11213">
            <v>0.2</v>
          </cell>
        </row>
        <row r="11214">
          <cell r="A11214" t="str">
            <v>IS_alqt_plus</v>
          </cell>
          <cell r="K11214" t="str">
            <v>ERUB</v>
          </cell>
          <cell r="M11214" t="str">
            <v>F</v>
          </cell>
          <cell r="AB11214" t="str">
            <v>serum</v>
          </cell>
          <cell r="AF11214">
            <v>0.6</v>
          </cell>
        </row>
        <row r="11215">
          <cell r="A11215" t="str">
            <v>IS_alqt_plus</v>
          </cell>
          <cell r="K11215" t="str">
            <v>ERUB</v>
          </cell>
          <cell r="M11215" t="str">
            <v>F</v>
          </cell>
          <cell r="AB11215" t="str">
            <v>WB</v>
          </cell>
          <cell r="AF11215">
            <v>0.3</v>
          </cell>
        </row>
        <row r="11216">
          <cell r="A11216" t="str">
            <v>IS_alqt_plus</v>
          </cell>
          <cell r="K11216" t="str">
            <v>PCOQ</v>
          </cell>
          <cell r="M11216" t="str">
            <v>M</v>
          </cell>
          <cell r="AB11216" t="str">
            <v>WB</v>
          </cell>
          <cell r="AF11216">
            <v>1</v>
          </cell>
        </row>
        <row r="11217">
          <cell r="A11217" t="str">
            <v>IS_alqt_plus</v>
          </cell>
          <cell r="K11217" t="str">
            <v>PCOQ</v>
          </cell>
          <cell r="M11217" t="str">
            <v>M</v>
          </cell>
          <cell r="AB11217" t="str">
            <v>WB</v>
          </cell>
          <cell r="AF11217">
            <v>0.8</v>
          </cell>
        </row>
        <row r="11218">
          <cell r="A11218" t="str">
            <v>IS_alqt_plus</v>
          </cell>
          <cell r="K11218" t="str">
            <v>PCOQ</v>
          </cell>
          <cell r="M11218" t="str">
            <v>M</v>
          </cell>
          <cell r="AB11218" t="str">
            <v>WB</v>
          </cell>
          <cell r="AF11218">
            <v>1</v>
          </cell>
        </row>
        <row r="11219">
          <cell r="A11219" t="str">
            <v>IS_alqt_plus</v>
          </cell>
          <cell r="K11219" t="str">
            <v>LCAT</v>
          </cell>
          <cell r="M11219" t="str">
            <v>F</v>
          </cell>
          <cell r="AB11219" t="str">
            <v>serum</v>
          </cell>
          <cell r="AF11219">
            <v>1</v>
          </cell>
        </row>
        <row r="11220">
          <cell r="A11220" t="str">
            <v>IS_alqt_plus</v>
          </cell>
          <cell r="K11220" t="str">
            <v>PCOQ</v>
          </cell>
          <cell r="M11220" t="str">
            <v>F</v>
          </cell>
          <cell r="AB11220" t="str">
            <v>serum</v>
          </cell>
          <cell r="AF11220">
            <v>1.2</v>
          </cell>
        </row>
        <row r="11221">
          <cell r="A11221" t="str">
            <v>IS_alqt_plus</v>
          </cell>
          <cell r="K11221" t="str">
            <v>PCOQ</v>
          </cell>
          <cell r="M11221" t="str">
            <v>M</v>
          </cell>
          <cell r="AB11221" t="str">
            <v>WB</v>
          </cell>
          <cell r="AF11221">
            <v>0.8</v>
          </cell>
        </row>
        <row r="11222">
          <cell r="A11222" t="str">
            <v>IS_alqt_plus</v>
          </cell>
          <cell r="K11222" t="str">
            <v>CMED</v>
          </cell>
          <cell r="M11222" t="str">
            <v>F</v>
          </cell>
          <cell r="AB11222" t="str">
            <v>WB</v>
          </cell>
          <cell r="AF11222">
            <v>0.3</v>
          </cell>
        </row>
        <row r="11223">
          <cell r="A11223" t="str">
            <v>gone</v>
          </cell>
          <cell r="K11223" t="str">
            <v>PCOQ</v>
          </cell>
          <cell r="M11223" t="str">
            <v>F</v>
          </cell>
          <cell r="AB11223" t="str">
            <v>serum</v>
          </cell>
          <cell r="AF11223">
            <v>0</v>
          </cell>
        </row>
        <row r="11224">
          <cell r="A11224" t="str">
            <v>IS_alqt_plus</v>
          </cell>
          <cell r="K11224" t="str">
            <v>PCOQ</v>
          </cell>
          <cell r="M11224" t="str">
            <v>M</v>
          </cell>
          <cell r="AB11224" t="str">
            <v>serum</v>
          </cell>
          <cell r="AF11224">
            <v>1.25</v>
          </cell>
        </row>
        <row r="11225">
          <cell r="A11225" t="str">
            <v>IS_alqt_plus</v>
          </cell>
          <cell r="K11225" t="str">
            <v>PCOQ</v>
          </cell>
          <cell r="M11225" t="str">
            <v>M</v>
          </cell>
          <cell r="AB11225" t="str">
            <v>WB</v>
          </cell>
          <cell r="AF11225">
            <v>1</v>
          </cell>
        </row>
        <row r="11226">
          <cell r="A11226" t="str">
            <v>IS_alqt_plus</v>
          </cell>
          <cell r="K11226" t="str">
            <v>PCOQ</v>
          </cell>
          <cell r="M11226" t="str">
            <v>M</v>
          </cell>
          <cell r="AB11226" t="str">
            <v>WB</v>
          </cell>
          <cell r="AF11226">
            <v>0.75</v>
          </cell>
        </row>
        <row r="11227">
          <cell r="A11227" t="str">
            <v>IS_alqt_plus</v>
          </cell>
          <cell r="K11227" t="str">
            <v>PCOQ</v>
          </cell>
          <cell r="M11227" t="str">
            <v>M</v>
          </cell>
          <cell r="AB11227" t="str">
            <v>WB</v>
          </cell>
          <cell r="AF11227">
            <v>1.2</v>
          </cell>
        </row>
        <row r="11228">
          <cell r="A11228" t="str">
            <v>IS_alqt_plus</v>
          </cell>
          <cell r="K11228" t="str">
            <v>LCAT</v>
          </cell>
          <cell r="M11228" t="str">
            <v>M</v>
          </cell>
          <cell r="AB11228" t="str">
            <v>serum</v>
          </cell>
          <cell r="AF11228">
            <v>1.25</v>
          </cell>
        </row>
        <row r="11229">
          <cell r="A11229" t="str">
            <v>IS_alqt_plus</v>
          </cell>
          <cell r="K11229" t="str">
            <v>PCOQ</v>
          </cell>
          <cell r="M11229" t="str">
            <v>M</v>
          </cell>
          <cell r="AB11229" t="str">
            <v>WB</v>
          </cell>
          <cell r="AF11229">
            <v>1</v>
          </cell>
        </row>
        <row r="11230">
          <cell r="A11230" t="str">
            <v>IS_alqt_plus</v>
          </cell>
          <cell r="K11230" t="str">
            <v>LCAT</v>
          </cell>
          <cell r="M11230" t="str">
            <v>F</v>
          </cell>
          <cell r="AB11230" t="str">
            <v>serum</v>
          </cell>
          <cell r="AF11230">
            <v>1</v>
          </cell>
        </row>
        <row r="11231">
          <cell r="A11231" t="str">
            <v>IS_alqt_plus</v>
          </cell>
          <cell r="K11231" t="str">
            <v>VRUB</v>
          </cell>
          <cell r="M11231" t="str">
            <v>M</v>
          </cell>
          <cell r="AB11231" t="str">
            <v>serum</v>
          </cell>
          <cell r="AF11231">
            <v>1.1000000000000001</v>
          </cell>
        </row>
        <row r="11232">
          <cell r="A11232" t="str">
            <v>gone</v>
          </cell>
          <cell r="K11232" t="str">
            <v>VRUB</v>
          </cell>
          <cell r="M11232" t="str">
            <v>M</v>
          </cell>
          <cell r="AB11232" t="str">
            <v>WB</v>
          </cell>
          <cell r="AF11232">
            <v>0</v>
          </cell>
        </row>
        <row r="11233">
          <cell r="A11233" t="str">
            <v>IS_alqt_plus</v>
          </cell>
          <cell r="K11233" t="str">
            <v>PCOQ</v>
          </cell>
          <cell r="M11233" t="str">
            <v>F</v>
          </cell>
          <cell r="AB11233" t="str">
            <v>serum</v>
          </cell>
          <cell r="AF11233">
            <v>0.25</v>
          </cell>
        </row>
        <row r="11234">
          <cell r="A11234" t="str">
            <v>IS_alqt_plus</v>
          </cell>
          <cell r="K11234" t="str">
            <v>PCOQ</v>
          </cell>
          <cell r="M11234" t="str">
            <v>M</v>
          </cell>
          <cell r="AB11234" t="str">
            <v>WB</v>
          </cell>
          <cell r="AF11234">
            <v>1.3</v>
          </cell>
        </row>
        <row r="11235">
          <cell r="A11235" t="str">
            <v>gone</v>
          </cell>
          <cell r="K11235" t="str">
            <v>PCOQ</v>
          </cell>
          <cell r="M11235" t="str">
            <v>M</v>
          </cell>
          <cell r="AB11235" t="str">
            <v>WB</v>
          </cell>
          <cell r="AF11235">
            <v>0</v>
          </cell>
        </row>
        <row r="11236">
          <cell r="A11236" t="str">
            <v>IS_alqt_plus</v>
          </cell>
          <cell r="K11236" t="str">
            <v>PCOQ</v>
          </cell>
          <cell r="M11236" t="str">
            <v>M</v>
          </cell>
          <cell r="AB11236" t="str">
            <v>WB</v>
          </cell>
          <cell r="AF11236">
            <v>1</v>
          </cell>
        </row>
        <row r="11237">
          <cell r="A11237" t="str">
            <v>IS_alqt_plus</v>
          </cell>
          <cell r="K11237" t="str">
            <v>PCOQ</v>
          </cell>
          <cell r="M11237" t="str">
            <v>M</v>
          </cell>
          <cell r="AB11237" t="str">
            <v>WB</v>
          </cell>
          <cell r="AF11237">
            <v>1</v>
          </cell>
        </row>
        <row r="11238">
          <cell r="A11238" t="str">
            <v>IS_alqt_plus</v>
          </cell>
          <cell r="K11238" t="str">
            <v>PCOQ</v>
          </cell>
          <cell r="M11238" t="str">
            <v>M</v>
          </cell>
          <cell r="AB11238" t="str">
            <v>WB</v>
          </cell>
          <cell r="AF11238">
            <v>1</v>
          </cell>
        </row>
        <row r="11239">
          <cell r="A11239" t="str">
            <v>IS_alqt_minus</v>
          </cell>
          <cell r="K11239" t="str">
            <v>CMED</v>
          </cell>
          <cell r="M11239" t="str">
            <v>M</v>
          </cell>
          <cell r="AB11239" t="str">
            <v>PRBC</v>
          </cell>
          <cell r="AF11239">
            <v>0.15</v>
          </cell>
        </row>
        <row r="11240">
          <cell r="A11240" t="str">
            <v>IS_alqt_minus</v>
          </cell>
          <cell r="K11240" t="str">
            <v>CMED</v>
          </cell>
          <cell r="M11240" t="str">
            <v>M</v>
          </cell>
          <cell r="AB11240" t="str">
            <v>PRBC</v>
          </cell>
          <cell r="AF11240">
            <v>0.15</v>
          </cell>
        </row>
        <row r="11241">
          <cell r="A11241" t="str">
            <v>IS_alqt_minus</v>
          </cell>
          <cell r="K11241" t="str">
            <v>CMED</v>
          </cell>
          <cell r="M11241" t="str">
            <v>M</v>
          </cell>
          <cell r="AB11241" t="str">
            <v>PRBC</v>
          </cell>
          <cell r="AF11241">
            <v>0.15</v>
          </cell>
        </row>
        <row r="11242">
          <cell r="A11242" t="str">
            <v>IS_alqt_minus</v>
          </cell>
          <cell r="K11242" t="str">
            <v>CMED</v>
          </cell>
          <cell r="M11242" t="str">
            <v>M</v>
          </cell>
          <cell r="AB11242" t="str">
            <v>PRBC</v>
          </cell>
          <cell r="AF11242">
            <v>0.15</v>
          </cell>
        </row>
        <row r="11243">
          <cell r="A11243" t="str">
            <v>IS_alqt_minus</v>
          </cell>
          <cell r="K11243" t="str">
            <v>CMED</v>
          </cell>
          <cell r="M11243" t="str">
            <v>M</v>
          </cell>
          <cell r="AB11243" t="str">
            <v>PRBC</v>
          </cell>
          <cell r="AF11243">
            <v>0.05</v>
          </cell>
        </row>
        <row r="11244">
          <cell r="A11244" t="str">
            <v>unk</v>
          </cell>
          <cell r="K11244" t="str">
            <v>CMED</v>
          </cell>
          <cell r="M11244" t="str">
            <v>M</v>
          </cell>
          <cell r="AB11244" t="str">
            <v>PRBC</v>
          </cell>
          <cell r="AF11244">
            <v>0.25</v>
          </cell>
        </row>
        <row r="11245">
          <cell r="A11245" t="str">
            <v>unk</v>
          </cell>
          <cell r="K11245" t="str">
            <v>CMED</v>
          </cell>
          <cell r="M11245" t="str">
            <v>F</v>
          </cell>
          <cell r="AB11245" t="str">
            <v>PRBC</v>
          </cell>
          <cell r="AF11245">
            <v>0.2</v>
          </cell>
        </row>
        <row r="11246">
          <cell r="A11246" t="str">
            <v>unk</v>
          </cell>
          <cell r="K11246" t="str">
            <v>CMED</v>
          </cell>
          <cell r="M11246" t="str">
            <v>M</v>
          </cell>
          <cell r="AB11246" t="str">
            <v>PRBC</v>
          </cell>
          <cell r="AF11246">
            <v>0.2</v>
          </cell>
        </row>
        <row r="11247">
          <cell r="A11247" t="str">
            <v>unk</v>
          </cell>
          <cell r="K11247" t="str">
            <v>CMED</v>
          </cell>
          <cell r="M11247" t="str">
            <v>M</v>
          </cell>
          <cell r="AB11247" t="str">
            <v>PRBC</v>
          </cell>
          <cell r="AF11247">
            <v>0.2</v>
          </cell>
        </row>
        <row r="11248">
          <cell r="A11248" t="str">
            <v>unk</v>
          </cell>
          <cell r="K11248" t="str">
            <v>CMED</v>
          </cell>
          <cell r="M11248" t="str">
            <v>M</v>
          </cell>
          <cell r="AB11248" t="str">
            <v>PRBC</v>
          </cell>
          <cell r="AF11248">
            <v>0.2</v>
          </cell>
        </row>
        <row r="11249">
          <cell r="A11249" t="str">
            <v>unk</v>
          </cell>
          <cell r="K11249" t="str">
            <v>CMED</v>
          </cell>
          <cell r="M11249" t="str">
            <v>M</v>
          </cell>
          <cell r="AB11249" t="str">
            <v>PRBC</v>
          </cell>
          <cell r="AF11249">
            <v>0.01</v>
          </cell>
        </row>
        <row r="11250">
          <cell r="A11250" t="str">
            <v>unk</v>
          </cell>
          <cell r="K11250" t="str">
            <v>CMED</v>
          </cell>
          <cell r="M11250" t="str">
            <v>F</v>
          </cell>
          <cell r="AB11250" t="str">
            <v>PRBC</v>
          </cell>
          <cell r="AF11250">
            <v>0.2</v>
          </cell>
        </row>
        <row r="11251">
          <cell r="A11251" t="str">
            <v>unk</v>
          </cell>
          <cell r="K11251" t="str">
            <v>CMED</v>
          </cell>
          <cell r="M11251" t="str">
            <v>M</v>
          </cell>
          <cell r="AB11251" t="str">
            <v>PRBC</v>
          </cell>
          <cell r="AF11251">
            <v>0.2</v>
          </cell>
        </row>
        <row r="11252">
          <cell r="A11252" t="str">
            <v>IS_alqt_minus</v>
          </cell>
          <cell r="K11252" t="str">
            <v>CMED</v>
          </cell>
          <cell r="M11252" t="str">
            <v>M</v>
          </cell>
          <cell r="AB11252" t="str">
            <v>PRBC</v>
          </cell>
          <cell r="AF11252">
            <v>0.1</v>
          </cell>
        </row>
        <row r="11253">
          <cell r="A11253" t="str">
            <v>IS_alqt_plus</v>
          </cell>
          <cell r="K11253" t="str">
            <v>CMED</v>
          </cell>
          <cell r="M11253" t="str">
            <v>M</v>
          </cell>
          <cell r="AB11253" t="str">
            <v>PRBC</v>
          </cell>
          <cell r="AF11253">
            <v>0.25</v>
          </cell>
        </row>
        <row r="11254">
          <cell r="A11254" t="str">
            <v>IS_alqt_plus</v>
          </cell>
          <cell r="K11254" t="str">
            <v>CMED</v>
          </cell>
          <cell r="M11254" t="str">
            <v>F</v>
          </cell>
          <cell r="AB11254" t="str">
            <v>PRBC</v>
          </cell>
          <cell r="AF11254">
            <v>0.2</v>
          </cell>
        </row>
        <row r="11255">
          <cell r="A11255" t="str">
            <v>IS_alqt_plus</v>
          </cell>
          <cell r="K11255" t="str">
            <v>CMED</v>
          </cell>
          <cell r="M11255" t="str">
            <v>F</v>
          </cell>
          <cell r="AB11255" t="str">
            <v>PRBC</v>
          </cell>
          <cell r="AF11255">
            <v>0.2</v>
          </cell>
        </row>
        <row r="11256">
          <cell r="A11256" t="str">
            <v>IS_alqt_minus</v>
          </cell>
          <cell r="K11256" t="str">
            <v>CMED</v>
          </cell>
          <cell r="M11256" t="str">
            <v>M</v>
          </cell>
          <cell r="AB11256" t="str">
            <v>PRBC</v>
          </cell>
          <cell r="AF11256">
            <v>0.15</v>
          </cell>
        </row>
        <row r="11257">
          <cell r="A11257" t="str">
            <v>IS_alqt_minus</v>
          </cell>
          <cell r="K11257" t="str">
            <v>CMED</v>
          </cell>
          <cell r="M11257" t="str">
            <v>F</v>
          </cell>
          <cell r="AB11257" t="str">
            <v>PRBC</v>
          </cell>
          <cell r="AF11257">
            <v>0.15</v>
          </cell>
        </row>
        <row r="11258">
          <cell r="A11258" t="str">
            <v>IS_alqt_plus</v>
          </cell>
          <cell r="K11258" t="str">
            <v>CMED</v>
          </cell>
          <cell r="M11258" t="str">
            <v>F</v>
          </cell>
          <cell r="AB11258" t="str">
            <v>PRBC</v>
          </cell>
          <cell r="AF11258">
            <v>0.25</v>
          </cell>
        </row>
        <row r="11259">
          <cell r="A11259" t="str">
            <v>IS_alqt_plus</v>
          </cell>
          <cell r="K11259" t="str">
            <v>CMED</v>
          </cell>
          <cell r="M11259" t="str">
            <v>M</v>
          </cell>
          <cell r="AB11259" t="str">
            <v>PRBC</v>
          </cell>
          <cell r="AF11259">
            <v>0.25</v>
          </cell>
        </row>
        <row r="11260">
          <cell r="A11260" t="str">
            <v>IS_alqt_plus</v>
          </cell>
          <cell r="K11260" t="str">
            <v>LCAT</v>
          </cell>
          <cell r="M11260" t="str">
            <v>F</v>
          </cell>
          <cell r="AB11260" t="str">
            <v>serum</v>
          </cell>
          <cell r="AF11260">
            <v>1</v>
          </cell>
        </row>
        <row r="11261">
          <cell r="A11261" t="str">
            <v>IS_alqt_plus</v>
          </cell>
          <cell r="K11261" t="str">
            <v>LCAT</v>
          </cell>
          <cell r="M11261" t="str">
            <v>F</v>
          </cell>
          <cell r="AB11261" t="str">
            <v>serum</v>
          </cell>
          <cell r="AF11261">
            <v>1</v>
          </cell>
        </row>
        <row r="11262">
          <cell r="A11262" t="str">
            <v>IS_alqt_plus</v>
          </cell>
          <cell r="K11262" t="str">
            <v>LCAT</v>
          </cell>
          <cell r="M11262" t="str">
            <v>F</v>
          </cell>
          <cell r="AB11262" t="str">
            <v>serum</v>
          </cell>
          <cell r="AF11262">
            <v>1</v>
          </cell>
        </row>
        <row r="11263">
          <cell r="A11263" t="str">
            <v>IS_alqt_plus</v>
          </cell>
          <cell r="K11263" t="str">
            <v>LCAT</v>
          </cell>
          <cell r="M11263" t="str">
            <v>F</v>
          </cell>
          <cell r="AB11263" t="str">
            <v>serum</v>
          </cell>
          <cell r="AF11263">
            <v>1</v>
          </cell>
        </row>
        <row r="11264">
          <cell r="A11264" t="str">
            <v>IS_alqt_plus</v>
          </cell>
          <cell r="K11264" t="str">
            <v>LCAT</v>
          </cell>
          <cell r="M11264" t="str">
            <v>F</v>
          </cell>
          <cell r="AB11264" t="str">
            <v>serum</v>
          </cell>
          <cell r="AF11264">
            <v>1</v>
          </cell>
        </row>
        <row r="11265">
          <cell r="A11265" t="str">
            <v>IS_alqt_plus</v>
          </cell>
          <cell r="K11265" t="str">
            <v>LCAT</v>
          </cell>
          <cell r="M11265" t="str">
            <v>F</v>
          </cell>
          <cell r="AB11265" t="str">
            <v>serum</v>
          </cell>
          <cell r="AF11265">
            <v>1</v>
          </cell>
        </row>
        <row r="11266">
          <cell r="A11266" t="str">
            <v>IS_alqt_plus</v>
          </cell>
          <cell r="K11266" t="str">
            <v>LCAT</v>
          </cell>
          <cell r="M11266" t="str">
            <v>F</v>
          </cell>
          <cell r="AB11266" t="str">
            <v>serum</v>
          </cell>
          <cell r="AF11266">
            <v>1</v>
          </cell>
        </row>
        <row r="11267">
          <cell r="A11267" t="str">
            <v>IS_alqt_plus</v>
          </cell>
          <cell r="K11267" t="str">
            <v>MMUR</v>
          </cell>
          <cell r="M11267" t="str">
            <v>M</v>
          </cell>
          <cell r="AB11267" t="str">
            <v>serum</v>
          </cell>
          <cell r="AF11267">
            <v>0.2</v>
          </cell>
        </row>
        <row r="11268">
          <cell r="A11268" t="str">
            <v>IS_alqt_plus</v>
          </cell>
          <cell r="K11268" t="str">
            <v>MMUR</v>
          </cell>
          <cell r="M11268" t="str">
            <v>M</v>
          </cell>
          <cell r="AB11268" t="str">
            <v>serum</v>
          </cell>
          <cell r="AF11268">
            <v>0.2</v>
          </cell>
        </row>
        <row r="11269">
          <cell r="A11269" t="str">
            <v>IS_alqt_plus</v>
          </cell>
          <cell r="K11269" t="str">
            <v>MMUR</v>
          </cell>
          <cell r="M11269" t="str">
            <v>M</v>
          </cell>
          <cell r="AB11269" t="str">
            <v>serum</v>
          </cell>
          <cell r="AF11269">
            <v>0.2</v>
          </cell>
        </row>
        <row r="11270">
          <cell r="A11270" t="str">
            <v>IS_alqt_plus</v>
          </cell>
          <cell r="K11270" t="str">
            <v>MMUR</v>
          </cell>
          <cell r="M11270" t="str">
            <v>M</v>
          </cell>
          <cell r="AB11270" t="str">
            <v>serum</v>
          </cell>
          <cell r="AF11270">
            <v>0.2</v>
          </cell>
        </row>
        <row r="11271">
          <cell r="A11271" t="str">
            <v>unk</v>
          </cell>
          <cell r="K11271" t="str">
            <v>MMUR</v>
          </cell>
          <cell r="M11271" t="str">
            <v>M</v>
          </cell>
          <cell r="AB11271" t="str">
            <v>serum</v>
          </cell>
          <cell r="AF11271">
            <v>0.2</v>
          </cell>
        </row>
        <row r="11272">
          <cell r="A11272" t="str">
            <v>unk</v>
          </cell>
          <cell r="K11272" t="str">
            <v>MMUR</v>
          </cell>
          <cell r="M11272" t="str">
            <v>M</v>
          </cell>
          <cell r="AB11272" t="str">
            <v>serum</v>
          </cell>
          <cell r="AF11272">
            <v>0.2</v>
          </cell>
        </row>
        <row r="11273">
          <cell r="A11273" t="str">
            <v>unk</v>
          </cell>
          <cell r="K11273" t="str">
            <v>MMUR</v>
          </cell>
          <cell r="M11273" t="str">
            <v>M</v>
          </cell>
          <cell r="AB11273" t="str">
            <v>serum</v>
          </cell>
          <cell r="AF11273">
            <v>0.2</v>
          </cell>
        </row>
        <row r="11274">
          <cell r="A11274" t="str">
            <v>unk</v>
          </cell>
          <cell r="K11274" t="str">
            <v>MMUR</v>
          </cell>
          <cell r="M11274" t="str">
            <v>M</v>
          </cell>
          <cell r="AB11274" t="str">
            <v>serum</v>
          </cell>
          <cell r="AF11274">
            <v>0.2</v>
          </cell>
        </row>
        <row r="11275">
          <cell r="A11275" t="str">
            <v>gone</v>
          </cell>
          <cell r="K11275" t="str">
            <v>MMUR</v>
          </cell>
          <cell r="M11275" t="str">
            <v>M</v>
          </cell>
          <cell r="AB11275" t="str">
            <v>WB</v>
          </cell>
          <cell r="AF11275">
            <v>0</v>
          </cell>
        </row>
        <row r="11276">
          <cell r="A11276" t="str">
            <v>gone</v>
          </cell>
          <cell r="K11276" t="str">
            <v>MMUR</v>
          </cell>
          <cell r="M11276" t="str">
            <v>M</v>
          </cell>
          <cell r="AB11276" t="str">
            <v>WB</v>
          </cell>
          <cell r="AF11276">
            <v>0</v>
          </cell>
        </row>
        <row r="11277">
          <cell r="A11277" t="str">
            <v>gone</v>
          </cell>
          <cell r="K11277" t="str">
            <v>MMUR</v>
          </cell>
          <cell r="M11277" t="str">
            <v>M</v>
          </cell>
          <cell r="AB11277" t="str">
            <v>WB</v>
          </cell>
          <cell r="AF11277">
            <v>0</v>
          </cell>
        </row>
        <row r="11278">
          <cell r="A11278" t="str">
            <v>gone</v>
          </cell>
          <cell r="K11278" t="str">
            <v>MMUR</v>
          </cell>
          <cell r="M11278" t="str">
            <v>M</v>
          </cell>
          <cell r="AB11278" t="str">
            <v>WB</v>
          </cell>
          <cell r="AF11278">
            <v>0</v>
          </cell>
        </row>
        <row r="11279">
          <cell r="A11279" t="str">
            <v>IS_alqt_plus</v>
          </cell>
          <cell r="K11279" t="str">
            <v>MMUR</v>
          </cell>
          <cell r="M11279" t="str">
            <v>M</v>
          </cell>
          <cell r="AB11279" t="str">
            <v>WB</v>
          </cell>
          <cell r="AF11279">
            <v>0.2</v>
          </cell>
        </row>
        <row r="11280">
          <cell r="A11280" t="str">
            <v>IS_alqt_plus</v>
          </cell>
          <cell r="K11280" t="str">
            <v>LCAT</v>
          </cell>
          <cell r="M11280" t="str">
            <v>F</v>
          </cell>
          <cell r="AB11280" t="str">
            <v>serum</v>
          </cell>
          <cell r="AF11280">
            <v>1</v>
          </cell>
        </row>
        <row r="11281">
          <cell r="A11281" t="str">
            <v>IS_alqt_plus</v>
          </cell>
          <cell r="K11281" t="str">
            <v>LCAT</v>
          </cell>
          <cell r="M11281" t="str">
            <v>F</v>
          </cell>
          <cell r="AB11281" t="str">
            <v>serum</v>
          </cell>
          <cell r="AF11281">
            <v>1</v>
          </cell>
        </row>
        <row r="11282">
          <cell r="A11282" t="str">
            <v>IS_alqt_plus</v>
          </cell>
          <cell r="K11282" t="str">
            <v>LCAT</v>
          </cell>
          <cell r="M11282" t="str">
            <v>F</v>
          </cell>
          <cell r="AB11282" t="str">
            <v>serum</v>
          </cell>
          <cell r="AF11282">
            <v>1</v>
          </cell>
        </row>
        <row r="11283">
          <cell r="A11283" t="str">
            <v>IS_alqt_plus</v>
          </cell>
          <cell r="K11283" t="str">
            <v>LCAT</v>
          </cell>
          <cell r="M11283" t="str">
            <v>F</v>
          </cell>
          <cell r="AB11283" t="str">
            <v>serum</v>
          </cell>
          <cell r="AF11283">
            <v>1</v>
          </cell>
        </row>
        <row r="11284">
          <cell r="A11284" t="str">
            <v>IS_alqt_plus</v>
          </cell>
          <cell r="K11284" t="str">
            <v>LCAT</v>
          </cell>
          <cell r="M11284" t="str">
            <v>F</v>
          </cell>
          <cell r="AB11284" t="str">
            <v>serum</v>
          </cell>
          <cell r="AF11284">
            <v>1</v>
          </cell>
        </row>
        <row r="11285">
          <cell r="A11285" t="str">
            <v>gone</v>
          </cell>
          <cell r="K11285" t="str">
            <v>LCAT</v>
          </cell>
          <cell r="M11285" t="str">
            <v>F</v>
          </cell>
          <cell r="AB11285" t="str">
            <v>serum</v>
          </cell>
          <cell r="AF11285">
            <v>0</v>
          </cell>
        </row>
        <row r="11286">
          <cell r="A11286" t="str">
            <v>IS_alqt_plus</v>
          </cell>
          <cell r="K11286" t="str">
            <v>LCAT</v>
          </cell>
          <cell r="M11286" t="str">
            <v>F</v>
          </cell>
          <cell r="AB11286" t="str">
            <v>serum</v>
          </cell>
          <cell r="AF11286">
            <v>1</v>
          </cell>
        </row>
        <row r="11287">
          <cell r="A11287" t="str">
            <v>IS_alqt_plus</v>
          </cell>
          <cell r="K11287" t="str">
            <v>LCAT</v>
          </cell>
          <cell r="M11287" t="str">
            <v>F</v>
          </cell>
          <cell r="AB11287" t="str">
            <v>serum</v>
          </cell>
          <cell r="AF11287">
            <v>1</v>
          </cell>
        </row>
        <row r="11288">
          <cell r="A11288" t="str">
            <v>IS_alqt_plus</v>
          </cell>
          <cell r="K11288" t="str">
            <v>LCAT</v>
          </cell>
          <cell r="M11288" t="str">
            <v>F</v>
          </cell>
          <cell r="AB11288" t="str">
            <v>serum</v>
          </cell>
          <cell r="AF11288">
            <v>1</v>
          </cell>
        </row>
        <row r="11289">
          <cell r="A11289" t="str">
            <v>IS_alqt_plus</v>
          </cell>
          <cell r="K11289" t="str">
            <v>LCAT</v>
          </cell>
          <cell r="M11289" t="str">
            <v>F</v>
          </cell>
          <cell r="AB11289" t="str">
            <v>serum</v>
          </cell>
          <cell r="AF11289">
            <v>1</v>
          </cell>
        </row>
        <row r="11290">
          <cell r="A11290" t="str">
            <v>IS_alqt_plus</v>
          </cell>
          <cell r="K11290" t="str">
            <v>LCAT</v>
          </cell>
          <cell r="M11290" t="str">
            <v>F</v>
          </cell>
          <cell r="AB11290" t="str">
            <v>serum</v>
          </cell>
          <cell r="AF11290">
            <v>1</v>
          </cell>
        </row>
        <row r="11291">
          <cell r="A11291" t="str">
            <v>IS_alqt_plus</v>
          </cell>
          <cell r="K11291" t="str">
            <v>LCAT</v>
          </cell>
          <cell r="M11291" t="str">
            <v>F</v>
          </cell>
          <cell r="AB11291" t="str">
            <v>serum</v>
          </cell>
          <cell r="AF11291">
            <v>1</v>
          </cell>
        </row>
        <row r="11292">
          <cell r="A11292" t="str">
            <v>IS_alqt_plus</v>
          </cell>
          <cell r="K11292" t="str">
            <v>LCAT</v>
          </cell>
          <cell r="M11292" t="str">
            <v>F</v>
          </cell>
          <cell r="AB11292" t="str">
            <v>serum</v>
          </cell>
          <cell r="AF11292">
            <v>1</v>
          </cell>
        </row>
        <row r="11293">
          <cell r="A11293" t="str">
            <v>IS_alqt_plus</v>
          </cell>
          <cell r="K11293" t="str">
            <v>LCAT</v>
          </cell>
          <cell r="M11293" t="str">
            <v>F</v>
          </cell>
          <cell r="AB11293" t="str">
            <v>serum</v>
          </cell>
          <cell r="AF11293">
            <v>1</v>
          </cell>
        </row>
        <row r="11294">
          <cell r="A11294" t="str">
            <v>IS_alqt_plus</v>
          </cell>
          <cell r="K11294" t="str">
            <v>LCAT</v>
          </cell>
          <cell r="M11294" t="str">
            <v>F</v>
          </cell>
          <cell r="AB11294" t="str">
            <v>serum</v>
          </cell>
          <cell r="AF11294">
            <v>1</v>
          </cell>
        </row>
        <row r="11295">
          <cell r="A11295" t="str">
            <v>IS_alqt_plus</v>
          </cell>
          <cell r="K11295" t="str">
            <v>LCAT</v>
          </cell>
          <cell r="M11295" t="str">
            <v>F</v>
          </cell>
          <cell r="AB11295" t="str">
            <v>serum</v>
          </cell>
          <cell r="AF11295">
            <v>1</v>
          </cell>
        </row>
        <row r="11296">
          <cell r="A11296" t="str">
            <v>IS_alqt_plus</v>
          </cell>
          <cell r="K11296" t="str">
            <v>LCAT</v>
          </cell>
          <cell r="M11296" t="str">
            <v>F</v>
          </cell>
          <cell r="AB11296" t="str">
            <v>serum</v>
          </cell>
          <cell r="AF11296">
            <v>1</v>
          </cell>
        </row>
        <row r="11297">
          <cell r="A11297" t="str">
            <v>IS_alqt_plus</v>
          </cell>
          <cell r="K11297" t="str">
            <v>LCAT</v>
          </cell>
          <cell r="M11297" t="str">
            <v>F</v>
          </cell>
          <cell r="AB11297" t="str">
            <v>serum</v>
          </cell>
          <cell r="AF11297">
            <v>1</v>
          </cell>
        </row>
        <row r="11298">
          <cell r="A11298" t="str">
            <v>IS_alqt_plus</v>
          </cell>
          <cell r="K11298" t="str">
            <v>LCAT</v>
          </cell>
          <cell r="M11298" t="str">
            <v>F</v>
          </cell>
          <cell r="AB11298" t="str">
            <v>serum</v>
          </cell>
          <cell r="AF11298">
            <v>1</v>
          </cell>
        </row>
        <row r="11299">
          <cell r="A11299" t="str">
            <v>IS_alqt_plus</v>
          </cell>
          <cell r="K11299" t="str">
            <v>LCAT</v>
          </cell>
          <cell r="M11299" t="str">
            <v>F</v>
          </cell>
          <cell r="AB11299" t="str">
            <v>serum</v>
          </cell>
          <cell r="AF11299">
            <v>1</v>
          </cell>
        </row>
        <row r="11300">
          <cell r="A11300" t="str">
            <v>IS_alqt_plus</v>
          </cell>
          <cell r="K11300" t="str">
            <v>LCAT</v>
          </cell>
          <cell r="M11300" t="str">
            <v>F</v>
          </cell>
          <cell r="AB11300" t="str">
            <v>serum</v>
          </cell>
          <cell r="AF11300">
            <v>1</v>
          </cell>
        </row>
        <row r="11301">
          <cell r="A11301" t="str">
            <v>IS_alqt_plus</v>
          </cell>
          <cell r="K11301" t="str">
            <v>LCAT</v>
          </cell>
          <cell r="M11301" t="str">
            <v>F</v>
          </cell>
          <cell r="AB11301" t="str">
            <v>serum</v>
          </cell>
          <cell r="AF11301">
            <v>1</v>
          </cell>
        </row>
        <row r="11302">
          <cell r="A11302" t="str">
            <v>IS_alqt_plus</v>
          </cell>
          <cell r="K11302" t="str">
            <v>LCAT</v>
          </cell>
          <cell r="M11302" t="str">
            <v>F</v>
          </cell>
          <cell r="AB11302" t="str">
            <v>serum</v>
          </cell>
          <cell r="AF11302">
            <v>1</v>
          </cell>
        </row>
        <row r="11303">
          <cell r="A11303" t="str">
            <v>IS_alqt_plus</v>
          </cell>
          <cell r="K11303" t="str">
            <v>LCAT</v>
          </cell>
          <cell r="M11303" t="str">
            <v>F</v>
          </cell>
          <cell r="AB11303" t="str">
            <v>serum</v>
          </cell>
          <cell r="AF11303">
            <v>1</v>
          </cell>
        </row>
        <row r="11304">
          <cell r="A11304" t="str">
            <v>IS_alqt_plus</v>
          </cell>
          <cell r="K11304" t="str">
            <v>LCAT</v>
          </cell>
          <cell r="M11304" t="str">
            <v>F</v>
          </cell>
          <cell r="AB11304" t="str">
            <v>serum</v>
          </cell>
          <cell r="AF11304">
            <v>1</v>
          </cell>
        </row>
        <row r="11305">
          <cell r="A11305" t="str">
            <v>IS_alqt_plus</v>
          </cell>
          <cell r="K11305" t="str">
            <v>PCOQ</v>
          </cell>
          <cell r="M11305" t="str">
            <v>M</v>
          </cell>
          <cell r="AB11305" t="str">
            <v>WB</v>
          </cell>
          <cell r="AF11305">
            <v>1</v>
          </cell>
        </row>
        <row r="11306">
          <cell r="A11306" t="str">
            <v>IS_alqt_plus</v>
          </cell>
          <cell r="K11306" t="str">
            <v>PCOQ</v>
          </cell>
          <cell r="M11306" t="str">
            <v>M</v>
          </cell>
          <cell r="AB11306" t="str">
            <v>WB</v>
          </cell>
          <cell r="AF11306">
            <v>1</v>
          </cell>
        </row>
        <row r="11307">
          <cell r="A11307" t="str">
            <v>IS_alqt_plus</v>
          </cell>
          <cell r="K11307" t="str">
            <v>PCOQ</v>
          </cell>
          <cell r="M11307" t="str">
            <v>M</v>
          </cell>
          <cell r="AB11307" t="str">
            <v>WB</v>
          </cell>
          <cell r="AF11307">
            <v>1</v>
          </cell>
        </row>
        <row r="11308">
          <cell r="A11308" t="str">
            <v>IS_alqt_plus</v>
          </cell>
          <cell r="K11308" t="str">
            <v>PCOQ</v>
          </cell>
          <cell r="M11308" t="str">
            <v>M</v>
          </cell>
          <cell r="AB11308" t="str">
            <v>WB</v>
          </cell>
          <cell r="AF11308">
            <v>0.75</v>
          </cell>
        </row>
        <row r="11309">
          <cell r="A11309" t="str">
            <v>IS_alqt_plus</v>
          </cell>
          <cell r="K11309" t="str">
            <v>PCOQ</v>
          </cell>
          <cell r="M11309" t="str">
            <v>M</v>
          </cell>
          <cell r="AB11309" t="str">
            <v>WB</v>
          </cell>
          <cell r="AF11309">
            <v>1</v>
          </cell>
        </row>
        <row r="11310">
          <cell r="A11310" t="str">
            <v>IS_alqt_plus</v>
          </cell>
          <cell r="K11310" t="str">
            <v>PCOQ</v>
          </cell>
          <cell r="M11310" t="str">
            <v>M</v>
          </cell>
          <cell r="AB11310" t="str">
            <v>WB</v>
          </cell>
          <cell r="AF11310">
            <v>1</v>
          </cell>
        </row>
        <row r="11311">
          <cell r="A11311" t="str">
            <v>IS_alqt_plus</v>
          </cell>
          <cell r="K11311" t="str">
            <v>PCOQ</v>
          </cell>
          <cell r="M11311" t="str">
            <v>M</v>
          </cell>
          <cell r="AB11311" t="str">
            <v>WB</v>
          </cell>
          <cell r="AF11311">
            <v>1</v>
          </cell>
        </row>
        <row r="11312">
          <cell r="A11312" t="str">
            <v>IS_alqt_plus</v>
          </cell>
          <cell r="K11312" t="str">
            <v>PCOQ</v>
          </cell>
          <cell r="M11312" t="str">
            <v>M</v>
          </cell>
          <cell r="AB11312" t="str">
            <v>WB</v>
          </cell>
          <cell r="AF11312">
            <v>1</v>
          </cell>
        </row>
        <row r="11313">
          <cell r="A11313" t="str">
            <v>IS_alqt_plus</v>
          </cell>
          <cell r="K11313" t="str">
            <v>PCOQ</v>
          </cell>
          <cell r="M11313" t="str">
            <v>M</v>
          </cell>
          <cell r="AB11313" t="str">
            <v>WB</v>
          </cell>
          <cell r="AF11313">
            <v>0.5</v>
          </cell>
        </row>
        <row r="11314">
          <cell r="A11314" t="str">
            <v>IS_alqt_plus</v>
          </cell>
          <cell r="K11314" t="str">
            <v>PCOQ</v>
          </cell>
          <cell r="M11314" t="str">
            <v>M</v>
          </cell>
          <cell r="AB11314" t="str">
            <v>WB</v>
          </cell>
          <cell r="AF11314">
            <v>0.3</v>
          </cell>
        </row>
        <row r="11315">
          <cell r="A11315" t="str">
            <v>IS_alqt_plus</v>
          </cell>
          <cell r="K11315" t="str">
            <v>PCOQ</v>
          </cell>
          <cell r="M11315" t="str">
            <v>M</v>
          </cell>
          <cell r="AB11315" t="str">
            <v>WB</v>
          </cell>
          <cell r="AF11315">
            <v>0.8</v>
          </cell>
        </row>
        <row r="11316">
          <cell r="A11316" t="str">
            <v>gone</v>
          </cell>
          <cell r="K11316" t="str">
            <v>PCOQ</v>
          </cell>
          <cell r="M11316" t="str">
            <v>M</v>
          </cell>
          <cell r="AB11316" t="str">
            <v>WB</v>
          </cell>
          <cell r="AF11316">
            <v>0</v>
          </cell>
        </row>
        <row r="11317">
          <cell r="A11317" t="str">
            <v>IS_alqt_plus</v>
          </cell>
          <cell r="K11317" t="str">
            <v>PCOQ</v>
          </cell>
          <cell r="M11317" t="str">
            <v>M</v>
          </cell>
          <cell r="AB11317" t="str">
            <v>WB</v>
          </cell>
          <cell r="AF11317">
            <v>0.7</v>
          </cell>
        </row>
        <row r="11318">
          <cell r="A11318" t="str">
            <v>IS_alqt_plus</v>
          </cell>
          <cell r="K11318" t="str">
            <v>PCOQ</v>
          </cell>
          <cell r="M11318" t="str">
            <v>F</v>
          </cell>
          <cell r="AB11318" t="str">
            <v>WB</v>
          </cell>
          <cell r="AF11318">
            <v>0.7</v>
          </cell>
        </row>
        <row r="11319">
          <cell r="A11319" t="str">
            <v>gone</v>
          </cell>
          <cell r="K11319" t="str">
            <v>PCOQ</v>
          </cell>
          <cell r="M11319" t="str">
            <v>F</v>
          </cell>
          <cell r="AB11319" t="str">
            <v>WB</v>
          </cell>
          <cell r="AF11319">
            <v>0</v>
          </cell>
        </row>
        <row r="11320">
          <cell r="A11320" t="str">
            <v>IS_alqt_plus</v>
          </cell>
          <cell r="K11320" t="str">
            <v>PCOQ</v>
          </cell>
          <cell r="M11320" t="str">
            <v>F</v>
          </cell>
          <cell r="AB11320" t="str">
            <v>WB</v>
          </cell>
          <cell r="AF11320">
            <v>0.5</v>
          </cell>
        </row>
        <row r="11321">
          <cell r="A11321" t="str">
            <v>IS_alqt_plus</v>
          </cell>
          <cell r="K11321" t="str">
            <v>PCOQ</v>
          </cell>
          <cell r="M11321" t="str">
            <v>F</v>
          </cell>
          <cell r="AB11321" t="str">
            <v>WB</v>
          </cell>
          <cell r="AF11321">
            <v>0.5</v>
          </cell>
        </row>
        <row r="11322">
          <cell r="A11322" t="str">
            <v>IS_alqt_plus</v>
          </cell>
          <cell r="K11322" t="str">
            <v>PCOQ</v>
          </cell>
          <cell r="M11322" t="str">
            <v>F</v>
          </cell>
          <cell r="AB11322" t="str">
            <v>WB</v>
          </cell>
          <cell r="AF11322">
            <v>0.3</v>
          </cell>
        </row>
        <row r="11323">
          <cell r="A11323" t="str">
            <v>IS_alqt_plus</v>
          </cell>
          <cell r="K11323" t="str">
            <v>LCAT</v>
          </cell>
          <cell r="M11323" t="str">
            <v>F</v>
          </cell>
          <cell r="AB11323" t="str">
            <v>serum</v>
          </cell>
          <cell r="AF11323">
            <v>0.6</v>
          </cell>
        </row>
        <row r="11324">
          <cell r="A11324" t="str">
            <v>IS_alqt_plus</v>
          </cell>
          <cell r="K11324" t="str">
            <v>PCOQ</v>
          </cell>
          <cell r="M11324" t="str">
            <v>F</v>
          </cell>
          <cell r="AB11324" t="str">
            <v>WB</v>
          </cell>
          <cell r="AF11324">
            <v>1.3</v>
          </cell>
        </row>
        <row r="11325">
          <cell r="A11325" t="str">
            <v>IS_alqt_plus</v>
          </cell>
          <cell r="K11325" t="str">
            <v>PCOQ</v>
          </cell>
          <cell r="M11325" t="str">
            <v>F</v>
          </cell>
          <cell r="AB11325" t="str">
            <v>WB</v>
          </cell>
          <cell r="AF11325">
            <v>1</v>
          </cell>
        </row>
        <row r="11326">
          <cell r="A11326" t="str">
            <v>IS_alqt_plus</v>
          </cell>
          <cell r="K11326" t="str">
            <v>LCAT</v>
          </cell>
          <cell r="M11326" t="str">
            <v>F</v>
          </cell>
          <cell r="AB11326" t="str">
            <v>serum</v>
          </cell>
          <cell r="AF11326">
            <v>0.6</v>
          </cell>
        </row>
        <row r="11327">
          <cell r="A11327" t="str">
            <v>IS_alqt_plus</v>
          </cell>
          <cell r="K11327" t="str">
            <v>LCAT</v>
          </cell>
          <cell r="M11327" t="str">
            <v>F</v>
          </cell>
          <cell r="AB11327" t="str">
            <v>serum</v>
          </cell>
          <cell r="AF11327">
            <v>0.3</v>
          </cell>
        </row>
        <row r="11328">
          <cell r="A11328" t="str">
            <v>IS_alqt_plus</v>
          </cell>
          <cell r="K11328" t="str">
            <v>PCOQ</v>
          </cell>
          <cell r="M11328" t="str">
            <v>F</v>
          </cell>
          <cell r="AB11328" t="str">
            <v>WB</v>
          </cell>
          <cell r="AF11328">
            <v>1</v>
          </cell>
        </row>
        <row r="11329">
          <cell r="A11329" t="str">
            <v>IS_alqt_plus</v>
          </cell>
          <cell r="K11329" t="str">
            <v>LCAT</v>
          </cell>
          <cell r="M11329" t="str">
            <v>F</v>
          </cell>
          <cell r="AB11329" t="str">
            <v>serum</v>
          </cell>
          <cell r="AF11329">
            <v>0.4</v>
          </cell>
        </row>
        <row r="11330">
          <cell r="A11330" t="str">
            <v>IS_alqt_plus</v>
          </cell>
          <cell r="K11330" t="str">
            <v>LCAT</v>
          </cell>
          <cell r="M11330" t="str">
            <v>F</v>
          </cell>
          <cell r="AB11330" t="str">
            <v>serum</v>
          </cell>
          <cell r="AF11330">
            <v>0.5</v>
          </cell>
        </row>
        <row r="11331">
          <cell r="A11331" t="str">
            <v>IS_alqt_plus</v>
          </cell>
          <cell r="K11331" t="str">
            <v>PCOQ</v>
          </cell>
          <cell r="M11331" t="str">
            <v>F</v>
          </cell>
          <cell r="AB11331" t="str">
            <v>WB</v>
          </cell>
          <cell r="AF11331">
            <v>0.3</v>
          </cell>
        </row>
        <row r="11332">
          <cell r="A11332" t="str">
            <v>gone</v>
          </cell>
          <cell r="K11332" t="str">
            <v>LCAT</v>
          </cell>
          <cell r="M11332" t="str">
            <v>F</v>
          </cell>
          <cell r="AB11332" t="str">
            <v>serum</v>
          </cell>
          <cell r="AF11332">
            <v>0</v>
          </cell>
        </row>
        <row r="11333">
          <cell r="A11333" t="str">
            <v>IS_alqt_plus</v>
          </cell>
          <cell r="K11333" t="str">
            <v>PCOQ</v>
          </cell>
          <cell r="M11333" t="str">
            <v>M</v>
          </cell>
          <cell r="AB11333" t="str">
            <v>WB</v>
          </cell>
          <cell r="AF11333">
            <v>1</v>
          </cell>
        </row>
        <row r="11334">
          <cell r="A11334" t="str">
            <v>IS_alqt_plus</v>
          </cell>
          <cell r="K11334" t="str">
            <v>LCAT</v>
          </cell>
          <cell r="M11334" t="str">
            <v>F</v>
          </cell>
          <cell r="AB11334" t="str">
            <v>serum</v>
          </cell>
          <cell r="AF11334">
            <v>1.5</v>
          </cell>
        </row>
        <row r="11335">
          <cell r="A11335" t="str">
            <v>IS_alqt_plus</v>
          </cell>
          <cell r="K11335" t="str">
            <v>PCOQ</v>
          </cell>
          <cell r="M11335" t="str">
            <v>F</v>
          </cell>
          <cell r="AB11335" t="str">
            <v>WB</v>
          </cell>
          <cell r="AF11335">
            <v>1</v>
          </cell>
        </row>
        <row r="11336">
          <cell r="A11336" t="str">
            <v>IS_alqt_plus</v>
          </cell>
          <cell r="K11336" t="str">
            <v>LCAT</v>
          </cell>
          <cell r="M11336" t="str">
            <v>F</v>
          </cell>
          <cell r="AB11336" t="str">
            <v>serum</v>
          </cell>
          <cell r="AF11336">
            <v>0.75</v>
          </cell>
        </row>
        <row r="11337">
          <cell r="A11337" t="str">
            <v>IS_alqt_plus</v>
          </cell>
          <cell r="K11337" t="str">
            <v>PCOQ</v>
          </cell>
          <cell r="M11337" t="str">
            <v>F</v>
          </cell>
          <cell r="AB11337" t="str">
            <v>WB</v>
          </cell>
          <cell r="AF11337">
            <v>0.8</v>
          </cell>
        </row>
        <row r="11338">
          <cell r="A11338" t="str">
            <v>IS_alqt_plus</v>
          </cell>
          <cell r="K11338" t="str">
            <v>LCAT</v>
          </cell>
          <cell r="M11338" t="str">
            <v>F</v>
          </cell>
          <cell r="AB11338" t="str">
            <v>serum</v>
          </cell>
          <cell r="AF11338">
            <v>1.3</v>
          </cell>
        </row>
        <row r="11339">
          <cell r="A11339" t="str">
            <v>unk</v>
          </cell>
          <cell r="K11339" t="str">
            <v>LCAT</v>
          </cell>
          <cell r="M11339" t="str">
            <v>F</v>
          </cell>
          <cell r="AB11339" t="str">
            <v>PRBC</v>
          </cell>
          <cell r="AF11339">
            <v>1</v>
          </cell>
        </row>
        <row r="11340">
          <cell r="A11340" t="str">
            <v>unk</v>
          </cell>
          <cell r="K11340" t="str">
            <v>LCAT</v>
          </cell>
          <cell r="M11340" t="str">
            <v>F</v>
          </cell>
          <cell r="AB11340" t="str">
            <v>PRBC</v>
          </cell>
          <cell r="AF11340">
            <v>1</v>
          </cell>
        </row>
        <row r="11341">
          <cell r="A11341" t="str">
            <v>IS_alqt_plus</v>
          </cell>
          <cell r="K11341" t="str">
            <v>LCAT</v>
          </cell>
          <cell r="M11341" t="str">
            <v>F</v>
          </cell>
          <cell r="AB11341" t="str">
            <v>serum</v>
          </cell>
          <cell r="AF11341">
            <v>0.2</v>
          </cell>
        </row>
        <row r="11342">
          <cell r="A11342" t="str">
            <v>IS_alqt_plus</v>
          </cell>
          <cell r="K11342" t="str">
            <v>LCAT</v>
          </cell>
          <cell r="M11342" t="str">
            <v>F</v>
          </cell>
          <cell r="AB11342" t="str">
            <v>serum</v>
          </cell>
          <cell r="AF11342">
            <v>0.2</v>
          </cell>
        </row>
        <row r="11343">
          <cell r="A11343" t="str">
            <v>IS_alqt_plus</v>
          </cell>
          <cell r="K11343" t="str">
            <v>LCAT</v>
          </cell>
          <cell r="M11343" t="str">
            <v>F</v>
          </cell>
          <cell r="AB11343" t="str">
            <v>serum</v>
          </cell>
          <cell r="AF11343">
            <v>0.2</v>
          </cell>
        </row>
        <row r="11344">
          <cell r="A11344" t="str">
            <v>IS_alqt_plus</v>
          </cell>
          <cell r="K11344" t="str">
            <v>LCAT</v>
          </cell>
          <cell r="M11344" t="str">
            <v>F</v>
          </cell>
          <cell r="AB11344" t="str">
            <v>serum</v>
          </cell>
          <cell r="AF11344">
            <v>0.2</v>
          </cell>
        </row>
        <row r="11345">
          <cell r="A11345" t="str">
            <v>gone</v>
          </cell>
          <cell r="K11345" t="str">
            <v>LCAT</v>
          </cell>
          <cell r="M11345" t="str">
            <v>F</v>
          </cell>
          <cell r="AB11345" t="str">
            <v>serum</v>
          </cell>
          <cell r="AF11345">
            <v>0.15</v>
          </cell>
        </row>
        <row r="11346">
          <cell r="A11346" t="str">
            <v>gone</v>
          </cell>
          <cell r="K11346" t="str">
            <v>LCAT</v>
          </cell>
          <cell r="M11346" t="str">
            <v>F</v>
          </cell>
          <cell r="AB11346" t="str">
            <v>serum</v>
          </cell>
          <cell r="AF11346">
            <v>0.2</v>
          </cell>
        </row>
        <row r="11347">
          <cell r="A11347" t="str">
            <v>gone</v>
          </cell>
          <cell r="K11347" t="str">
            <v>LCAT</v>
          </cell>
          <cell r="M11347" t="str">
            <v>F</v>
          </cell>
          <cell r="AB11347" t="str">
            <v>serum</v>
          </cell>
          <cell r="AF11347">
            <v>0.2</v>
          </cell>
        </row>
        <row r="11348">
          <cell r="A11348" t="str">
            <v>IS_alqt_plus</v>
          </cell>
          <cell r="K11348" t="str">
            <v>PCOQ</v>
          </cell>
          <cell r="M11348" t="str">
            <v>F</v>
          </cell>
          <cell r="AB11348" t="str">
            <v>WB</v>
          </cell>
          <cell r="AF11348">
            <v>0.4</v>
          </cell>
        </row>
        <row r="11349">
          <cell r="A11349" t="str">
            <v>IS_alqt_plus</v>
          </cell>
          <cell r="K11349" t="str">
            <v>LCAT</v>
          </cell>
          <cell r="M11349" t="str">
            <v>M</v>
          </cell>
          <cell r="AB11349" t="str">
            <v>serum</v>
          </cell>
          <cell r="AF11349">
            <v>1.25</v>
          </cell>
        </row>
        <row r="11350">
          <cell r="A11350" t="str">
            <v>gone</v>
          </cell>
          <cell r="K11350" t="str">
            <v>PCOQ</v>
          </cell>
          <cell r="M11350" t="str">
            <v>F</v>
          </cell>
          <cell r="AB11350" t="str">
            <v>WB</v>
          </cell>
          <cell r="AF11350">
            <v>0</v>
          </cell>
        </row>
        <row r="11351">
          <cell r="A11351" t="str">
            <v>IS_alqt_plus</v>
          </cell>
          <cell r="K11351" t="str">
            <v>LCAT</v>
          </cell>
          <cell r="M11351" t="str">
            <v>F</v>
          </cell>
          <cell r="AB11351" t="str">
            <v>serum</v>
          </cell>
          <cell r="AF11351">
            <v>1</v>
          </cell>
        </row>
        <row r="11352">
          <cell r="A11352" t="str">
            <v>IS_alqt_plus</v>
          </cell>
          <cell r="K11352" t="str">
            <v>EFLA</v>
          </cell>
          <cell r="M11352" t="str">
            <v>M</v>
          </cell>
          <cell r="AB11352" t="str">
            <v>serum</v>
          </cell>
          <cell r="AF11352">
            <v>1.1000000000000001</v>
          </cell>
        </row>
        <row r="11353">
          <cell r="A11353" t="str">
            <v>gone</v>
          </cell>
          <cell r="K11353" t="str">
            <v>EFLA</v>
          </cell>
          <cell r="M11353" t="str">
            <v>M</v>
          </cell>
          <cell r="AB11353" t="str">
            <v>WB</v>
          </cell>
          <cell r="AF11353">
            <v>0</v>
          </cell>
        </row>
        <row r="11354">
          <cell r="A11354" t="str">
            <v>IS_alqt_plus</v>
          </cell>
          <cell r="K11354" t="str">
            <v>PCOQ</v>
          </cell>
          <cell r="M11354" t="str">
            <v>F</v>
          </cell>
          <cell r="AB11354" t="str">
            <v>WB</v>
          </cell>
          <cell r="AF11354">
            <v>1.3</v>
          </cell>
        </row>
        <row r="11355">
          <cell r="A11355" t="str">
            <v>IS_alqt_plus</v>
          </cell>
          <cell r="K11355" t="str">
            <v>LCAT</v>
          </cell>
          <cell r="M11355" t="str">
            <v>M</v>
          </cell>
          <cell r="AB11355" t="str">
            <v>serum</v>
          </cell>
          <cell r="AF11355">
            <v>1.25</v>
          </cell>
        </row>
        <row r="11356">
          <cell r="A11356" t="str">
            <v>IS_alqt_plus</v>
          </cell>
          <cell r="K11356" t="str">
            <v>PCOQ</v>
          </cell>
          <cell r="M11356" t="str">
            <v>F</v>
          </cell>
          <cell r="AB11356" t="str">
            <v>WB</v>
          </cell>
          <cell r="AF11356">
            <v>1.25</v>
          </cell>
        </row>
        <row r="11357">
          <cell r="A11357" t="str">
            <v>IS_alqt_plus</v>
          </cell>
          <cell r="K11357" t="str">
            <v>PCOQ</v>
          </cell>
          <cell r="M11357" t="str">
            <v>F</v>
          </cell>
          <cell r="AB11357" t="str">
            <v>WB</v>
          </cell>
          <cell r="AF11357">
            <v>1</v>
          </cell>
        </row>
        <row r="11358">
          <cell r="A11358" t="str">
            <v>IS_alqt_plus</v>
          </cell>
          <cell r="K11358" t="str">
            <v>PCOQ</v>
          </cell>
          <cell r="M11358" t="str">
            <v>F</v>
          </cell>
          <cell r="AB11358" t="str">
            <v>WB</v>
          </cell>
          <cell r="AF11358">
            <v>1.3</v>
          </cell>
        </row>
        <row r="11359">
          <cell r="A11359" t="str">
            <v>IS_alqt_plus</v>
          </cell>
          <cell r="K11359" t="str">
            <v>PCOQ</v>
          </cell>
          <cell r="M11359" t="str">
            <v>F</v>
          </cell>
          <cell r="AB11359" t="str">
            <v>WB</v>
          </cell>
          <cell r="AF11359">
            <v>1.3</v>
          </cell>
        </row>
        <row r="11360">
          <cell r="A11360" t="str">
            <v>IS_alqt_plus</v>
          </cell>
          <cell r="K11360" t="str">
            <v>PCOQ</v>
          </cell>
          <cell r="M11360" t="str">
            <v>F</v>
          </cell>
          <cell r="AB11360" t="str">
            <v>WB</v>
          </cell>
          <cell r="AF11360">
            <v>1.2</v>
          </cell>
        </row>
        <row r="11361">
          <cell r="A11361" t="str">
            <v>IS_alqt_plus</v>
          </cell>
          <cell r="K11361" t="str">
            <v>PCOQ</v>
          </cell>
          <cell r="M11361" t="str">
            <v>F</v>
          </cell>
          <cell r="AB11361" t="str">
            <v>WB</v>
          </cell>
          <cell r="AF11361">
            <v>1.2</v>
          </cell>
        </row>
        <row r="11362">
          <cell r="A11362" t="str">
            <v>IS_alqt_plus</v>
          </cell>
          <cell r="K11362" t="str">
            <v>PCOQ</v>
          </cell>
          <cell r="M11362" t="str">
            <v>F</v>
          </cell>
          <cell r="AB11362" t="str">
            <v>WB</v>
          </cell>
          <cell r="AF11362">
            <v>1.25</v>
          </cell>
        </row>
        <row r="11363">
          <cell r="A11363" t="str">
            <v>IS_alqt_plus</v>
          </cell>
          <cell r="K11363" t="str">
            <v>PCOQ</v>
          </cell>
          <cell r="M11363" t="str">
            <v>F</v>
          </cell>
          <cell r="AB11363" t="str">
            <v>WB</v>
          </cell>
          <cell r="AF11363">
            <v>1.3</v>
          </cell>
        </row>
        <row r="11364">
          <cell r="A11364" t="str">
            <v>IS_alqt_plus</v>
          </cell>
          <cell r="K11364" t="str">
            <v>PCOQ</v>
          </cell>
          <cell r="M11364" t="str">
            <v>F</v>
          </cell>
          <cell r="AB11364" t="str">
            <v>WB</v>
          </cell>
          <cell r="AF11364">
            <v>1.2</v>
          </cell>
        </row>
        <row r="11365">
          <cell r="A11365" t="str">
            <v>IS_alqt_plus</v>
          </cell>
          <cell r="K11365" t="str">
            <v>PCOQ</v>
          </cell>
          <cell r="M11365" t="str">
            <v>F</v>
          </cell>
          <cell r="AB11365" t="str">
            <v>WB</v>
          </cell>
          <cell r="AF11365">
            <v>1.3</v>
          </cell>
        </row>
        <row r="11366">
          <cell r="A11366" t="str">
            <v>IS_alqt_plus</v>
          </cell>
          <cell r="K11366" t="str">
            <v>PCOQ</v>
          </cell>
          <cell r="M11366" t="str">
            <v>F</v>
          </cell>
          <cell r="AB11366" t="str">
            <v>WB</v>
          </cell>
          <cell r="AF11366">
            <v>1.25</v>
          </cell>
        </row>
        <row r="11367">
          <cell r="A11367" t="str">
            <v>IS_alqt_plus</v>
          </cell>
          <cell r="K11367" t="str">
            <v>PCOQ</v>
          </cell>
          <cell r="M11367" t="str">
            <v>F</v>
          </cell>
          <cell r="AB11367" t="str">
            <v>WB</v>
          </cell>
          <cell r="AF11367">
            <v>1.25</v>
          </cell>
        </row>
        <row r="11368">
          <cell r="A11368" t="str">
            <v>IS_alqt_plus</v>
          </cell>
          <cell r="K11368" t="str">
            <v>PCOQ</v>
          </cell>
          <cell r="M11368" t="str">
            <v>F</v>
          </cell>
          <cell r="AB11368" t="str">
            <v>WB</v>
          </cell>
          <cell r="AF11368">
            <v>0.9</v>
          </cell>
        </row>
        <row r="11369">
          <cell r="A11369" t="str">
            <v>IS_alqt_plus</v>
          </cell>
          <cell r="K11369" t="str">
            <v>PCOQ</v>
          </cell>
          <cell r="M11369" t="str">
            <v>F</v>
          </cell>
          <cell r="AB11369" t="str">
            <v>WB</v>
          </cell>
          <cell r="AF11369">
            <v>1.3</v>
          </cell>
        </row>
        <row r="11370">
          <cell r="A11370" t="str">
            <v>IS_alqt_plus</v>
          </cell>
          <cell r="K11370" t="str">
            <v>PCOQ</v>
          </cell>
          <cell r="M11370" t="str">
            <v>F</v>
          </cell>
          <cell r="AB11370" t="str">
            <v>WB</v>
          </cell>
          <cell r="AF11370">
            <v>1.1499999999999999</v>
          </cell>
        </row>
        <row r="11371">
          <cell r="A11371" t="str">
            <v>IS_alqt_plus</v>
          </cell>
          <cell r="K11371" t="str">
            <v>PCOQ</v>
          </cell>
          <cell r="M11371" t="str">
            <v>F</v>
          </cell>
          <cell r="AB11371" t="str">
            <v>WB</v>
          </cell>
          <cell r="AF11371">
            <v>1.3</v>
          </cell>
        </row>
        <row r="11372">
          <cell r="A11372" t="str">
            <v>IS_alqt_plus</v>
          </cell>
          <cell r="K11372" t="str">
            <v>PCOQ</v>
          </cell>
          <cell r="M11372" t="str">
            <v>F</v>
          </cell>
          <cell r="AB11372" t="str">
            <v>WB</v>
          </cell>
          <cell r="AF11372">
            <v>1.2</v>
          </cell>
        </row>
        <row r="11373">
          <cell r="A11373" t="str">
            <v>IS_alqt_plus</v>
          </cell>
          <cell r="K11373" t="str">
            <v>PCOQ</v>
          </cell>
          <cell r="M11373" t="str">
            <v>F</v>
          </cell>
          <cell r="AB11373" t="str">
            <v>WB</v>
          </cell>
          <cell r="AF11373">
            <v>1.1499999999999999</v>
          </cell>
        </row>
        <row r="11374">
          <cell r="A11374" t="str">
            <v>gone</v>
          </cell>
          <cell r="K11374" t="str">
            <v>PCOQ</v>
          </cell>
          <cell r="M11374" t="str">
            <v>F</v>
          </cell>
          <cell r="AB11374" t="str">
            <v>WB</v>
          </cell>
          <cell r="AF11374">
            <v>0</v>
          </cell>
        </row>
        <row r="11375">
          <cell r="A11375" t="str">
            <v>IS_alqt_plus</v>
          </cell>
          <cell r="K11375" t="str">
            <v>LCAT</v>
          </cell>
          <cell r="M11375" t="str">
            <v>F</v>
          </cell>
          <cell r="AB11375" t="str">
            <v>serum</v>
          </cell>
          <cell r="AF11375">
            <v>1</v>
          </cell>
        </row>
        <row r="11376">
          <cell r="A11376" t="str">
            <v>IS_alqt_plus</v>
          </cell>
          <cell r="K11376" t="str">
            <v>LCAT</v>
          </cell>
          <cell r="M11376" t="str">
            <v>F</v>
          </cell>
          <cell r="AB11376" t="str">
            <v>serum</v>
          </cell>
          <cell r="AF11376">
            <v>1</v>
          </cell>
        </row>
        <row r="11377">
          <cell r="A11377" t="str">
            <v>IS_alqt_plus</v>
          </cell>
          <cell r="K11377" t="str">
            <v>LCAT</v>
          </cell>
          <cell r="M11377" t="str">
            <v>F</v>
          </cell>
          <cell r="AB11377" t="str">
            <v>serum</v>
          </cell>
          <cell r="AF11377">
            <v>1</v>
          </cell>
        </row>
        <row r="11378">
          <cell r="A11378" t="str">
            <v>IS_alqt_plus</v>
          </cell>
          <cell r="K11378" t="str">
            <v>LCAT</v>
          </cell>
          <cell r="M11378" t="str">
            <v>F</v>
          </cell>
          <cell r="AB11378" t="str">
            <v>serum</v>
          </cell>
          <cell r="AF11378">
            <v>1</v>
          </cell>
        </row>
        <row r="11379">
          <cell r="A11379" t="str">
            <v>IS_alqt_plus</v>
          </cell>
          <cell r="K11379" t="str">
            <v>LCAT</v>
          </cell>
          <cell r="M11379" t="str">
            <v>F</v>
          </cell>
          <cell r="AB11379" t="str">
            <v>serum</v>
          </cell>
          <cell r="AF11379">
            <v>1</v>
          </cell>
        </row>
        <row r="11380">
          <cell r="A11380" t="str">
            <v>IS_alqt_plus</v>
          </cell>
          <cell r="K11380" t="str">
            <v>LCAT</v>
          </cell>
          <cell r="M11380" t="str">
            <v>F</v>
          </cell>
          <cell r="AB11380" t="str">
            <v>serum</v>
          </cell>
          <cell r="AF11380">
            <v>1</v>
          </cell>
        </row>
        <row r="11381">
          <cell r="A11381" t="str">
            <v>IS_alqt_plus</v>
          </cell>
          <cell r="K11381" t="str">
            <v>LCAT</v>
          </cell>
          <cell r="M11381" t="str">
            <v>F</v>
          </cell>
          <cell r="AB11381" t="str">
            <v>serum</v>
          </cell>
          <cell r="AF11381">
            <v>1</v>
          </cell>
        </row>
        <row r="11382">
          <cell r="A11382" t="str">
            <v>IS_alqt_plus</v>
          </cell>
          <cell r="K11382" t="str">
            <v>LCAT</v>
          </cell>
          <cell r="M11382" t="str">
            <v>F</v>
          </cell>
          <cell r="AB11382" t="str">
            <v>serum</v>
          </cell>
          <cell r="AF11382">
            <v>1</v>
          </cell>
        </row>
        <row r="11383">
          <cell r="A11383" t="str">
            <v>IS_alqt_plus</v>
          </cell>
          <cell r="K11383" t="str">
            <v>LCAT</v>
          </cell>
          <cell r="M11383" t="str">
            <v>F</v>
          </cell>
          <cell r="AB11383" t="str">
            <v>serum</v>
          </cell>
          <cell r="AF11383">
            <v>1</v>
          </cell>
        </row>
        <row r="11384">
          <cell r="A11384" t="str">
            <v>IS_alqt_plus</v>
          </cell>
          <cell r="K11384" t="str">
            <v>LCAT</v>
          </cell>
          <cell r="M11384" t="str">
            <v>F</v>
          </cell>
          <cell r="AB11384" t="str">
            <v>serum</v>
          </cell>
          <cell r="AF11384">
            <v>1</v>
          </cell>
        </row>
        <row r="11385">
          <cell r="A11385" t="str">
            <v>IS_alqt_plus</v>
          </cell>
          <cell r="K11385" t="str">
            <v>LCAT</v>
          </cell>
          <cell r="M11385" t="str">
            <v>F</v>
          </cell>
          <cell r="AB11385" t="str">
            <v>serum</v>
          </cell>
          <cell r="AF11385">
            <v>1</v>
          </cell>
        </row>
        <row r="11386">
          <cell r="A11386" t="str">
            <v>IS_alqt_plus</v>
          </cell>
          <cell r="K11386" t="str">
            <v>LCAT</v>
          </cell>
          <cell r="M11386" t="str">
            <v>F</v>
          </cell>
          <cell r="AB11386" t="str">
            <v>serum</v>
          </cell>
          <cell r="AF11386">
            <v>1</v>
          </cell>
        </row>
        <row r="11387">
          <cell r="A11387" t="str">
            <v>IS_alqt_plus</v>
          </cell>
          <cell r="K11387" t="str">
            <v>LCAT</v>
          </cell>
          <cell r="M11387" t="str">
            <v>F</v>
          </cell>
          <cell r="AB11387" t="str">
            <v>serum</v>
          </cell>
          <cell r="AF11387">
            <v>1</v>
          </cell>
        </row>
        <row r="11388">
          <cell r="A11388" t="str">
            <v>IS_alqt_plus</v>
          </cell>
          <cell r="K11388" t="str">
            <v>LCAT</v>
          </cell>
          <cell r="M11388" t="str">
            <v>F</v>
          </cell>
          <cell r="AB11388" t="str">
            <v>serum</v>
          </cell>
          <cell r="AF11388">
            <v>1</v>
          </cell>
        </row>
        <row r="11389">
          <cell r="A11389" t="str">
            <v>IS_alqt_plus</v>
          </cell>
          <cell r="K11389" t="str">
            <v>LCAT</v>
          </cell>
          <cell r="M11389" t="str">
            <v>F</v>
          </cell>
          <cell r="AB11389" t="str">
            <v>serum</v>
          </cell>
          <cell r="AF11389">
            <v>1</v>
          </cell>
        </row>
        <row r="11390">
          <cell r="A11390" t="str">
            <v>IS_alqt_plus</v>
          </cell>
          <cell r="K11390" t="str">
            <v>LCAT</v>
          </cell>
          <cell r="M11390" t="str">
            <v>F</v>
          </cell>
          <cell r="AB11390" t="str">
            <v>serum</v>
          </cell>
          <cell r="AF11390">
            <v>1</v>
          </cell>
        </row>
        <row r="11391">
          <cell r="A11391" t="str">
            <v>IS_alqt_plus</v>
          </cell>
          <cell r="K11391" t="str">
            <v>LCAT</v>
          </cell>
          <cell r="M11391" t="str">
            <v>F</v>
          </cell>
          <cell r="AB11391" t="str">
            <v>serum</v>
          </cell>
          <cell r="AF11391">
            <v>1</v>
          </cell>
        </row>
        <row r="11392">
          <cell r="A11392" t="str">
            <v>IS_alqt_plus</v>
          </cell>
          <cell r="K11392" t="str">
            <v>LCAT</v>
          </cell>
          <cell r="M11392" t="str">
            <v>F</v>
          </cell>
          <cell r="AB11392" t="str">
            <v>serum</v>
          </cell>
          <cell r="AF11392">
            <v>1</v>
          </cell>
        </row>
        <row r="11393">
          <cell r="A11393" t="str">
            <v>IS_alqt_plus</v>
          </cell>
          <cell r="K11393" t="str">
            <v>LCAT</v>
          </cell>
          <cell r="M11393" t="str">
            <v>F</v>
          </cell>
          <cell r="AB11393" t="str">
            <v>serum</v>
          </cell>
          <cell r="AF11393">
            <v>1</v>
          </cell>
        </row>
        <row r="11394">
          <cell r="A11394" t="str">
            <v>IS_alqt_plus</v>
          </cell>
          <cell r="K11394" t="str">
            <v>LCAT</v>
          </cell>
          <cell r="M11394" t="str">
            <v>F</v>
          </cell>
          <cell r="AB11394" t="str">
            <v>serum</v>
          </cell>
          <cell r="AF11394">
            <v>1</v>
          </cell>
        </row>
        <row r="11395">
          <cell r="A11395" t="str">
            <v>IS_alqt_plus</v>
          </cell>
          <cell r="K11395" t="str">
            <v>LCAT</v>
          </cell>
          <cell r="M11395" t="str">
            <v>F</v>
          </cell>
          <cell r="AB11395" t="str">
            <v>serum</v>
          </cell>
          <cell r="AF11395">
            <v>1</v>
          </cell>
        </row>
        <row r="11396">
          <cell r="A11396" t="str">
            <v>IS_alqt_plus</v>
          </cell>
          <cell r="K11396" t="str">
            <v>LCAT</v>
          </cell>
          <cell r="M11396" t="str">
            <v>F</v>
          </cell>
          <cell r="AB11396" t="str">
            <v>serum</v>
          </cell>
          <cell r="AF11396">
            <v>1</v>
          </cell>
        </row>
        <row r="11397">
          <cell r="A11397" t="str">
            <v>IS_alqt_plus</v>
          </cell>
          <cell r="K11397" t="str">
            <v>LCAT</v>
          </cell>
          <cell r="M11397" t="str">
            <v>F</v>
          </cell>
          <cell r="AB11397" t="str">
            <v>serum</v>
          </cell>
          <cell r="AF11397">
            <v>1</v>
          </cell>
        </row>
        <row r="11398">
          <cell r="A11398" t="str">
            <v>IS_alqt_plus</v>
          </cell>
          <cell r="K11398" t="str">
            <v>LCAT</v>
          </cell>
          <cell r="M11398" t="str">
            <v>F</v>
          </cell>
          <cell r="AB11398" t="str">
            <v>serum</v>
          </cell>
          <cell r="AF11398">
            <v>1</v>
          </cell>
        </row>
        <row r="11399">
          <cell r="A11399" t="str">
            <v>IS_alqt_plus</v>
          </cell>
          <cell r="K11399" t="str">
            <v>LCAT</v>
          </cell>
          <cell r="M11399" t="str">
            <v>F</v>
          </cell>
          <cell r="AB11399" t="str">
            <v>serum</v>
          </cell>
          <cell r="AF11399">
            <v>1</v>
          </cell>
        </row>
        <row r="11400">
          <cell r="A11400" t="str">
            <v>IS_alqt_plus</v>
          </cell>
          <cell r="K11400" t="str">
            <v>LCAT</v>
          </cell>
          <cell r="M11400" t="str">
            <v>F</v>
          </cell>
          <cell r="AB11400" t="str">
            <v>serum</v>
          </cell>
          <cell r="AF11400">
            <v>1</v>
          </cell>
        </row>
        <row r="11401">
          <cell r="A11401" t="str">
            <v>IS_alqt_plus</v>
          </cell>
          <cell r="K11401" t="str">
            <v>LCAT</v>
          </cell>
          <cell r="M11401" t="str">
            <v>F</v>
          </cell>
          <cell r="AB11401" t="str">
            <v>serum</v>
          </cell>
          <cell r="AF11401">
            <v>1</v>
          </cell>
        </row>
        <row r="11402">
          <cell r="A11402" t="str">
            <v>IS_alqt_plus</v>
          </cell>
          <cell r="K11402" t="str">
            <v>LCAT</v>
          </cell>
          <cell r="M11402" t="str">
            <v>F</v>
          </cell>
          <cell r="AB11402" t="str">
            <v>serum</v>
          </cell>
          <cell r="AF11402">
            <v>1</v>
          </cell>
        </row>
        <row r="11403">
          <cell r="A11403" t="str">
            <v>IS_alqt_plus</v>
          </cell>
          <cell r="K11403" t="str">
            <v>PCOQ</v>
          </cell>
          <cell r="M11403" t="str">
            <v>F</v>
          </cell>
          <cell r="AB11403" t="str">
            <v>WB</v>
          </cell>
          <cell r="AF11403">
            <v>1.25</v>
          </cell>
        </row>
        <row r="11404">
          <cell r="A11404" t="str">
            <v>IS_alqt_plus</v>
          </cell>
          <cell r="K11404" t="str">
            <v>PCOQ</v>
          </cell>
          <cell r="M11404" t="str">
            <v>F</v>
          </cell>
          <cell r="AB11404" t="str">
            <v>WB</v>
          </cell>
          <cell r="AF11404">
            <v>1.2</v>
          </cell>
        </row>
        <row r="11405">
          <cell r="A11405" t="str">
            <v>IS_alqt_plus</v>
          </cell>
          <cell r="K11405" t="str">
            <v>PCOQ</v>
          </cell>
          <cell r="M11405" t="str">
            <v>F</v>
          </cell>
          <cell r="AB11405" t="str">
            <v>WB</v>
          </cell>
          <cell r="AF11405">
            <v>1</v>
          </cell>
        </row>
        <row r="11406">
          <cell r="A11406" t="str">
            <v>IS_alqt_plus</v>
          </cell>
          <cell r="K11406" t="str">
            <v>HGG</v>
          </cell>
          <cell r="M11406" t="str">
            <v>M</v>
          </cell>
          <cell r="AB11406" t="str">
            <v>serum</v>
          </cell>
          <cell r="AF11406">
            <v>1</v>
          </cell>
        </row>
        <row r="11407">
          <cell r="A11407" t="str">
            <v>IS_alqt_plus</v>
          </cell>
          <cell r="K11407" t="str">
            <v>HGG</v>
          </cell>
          <cell r="M11407" t="str">
            <v>M</v>
          </cell>
          <cell r="AB11407" t="str">
            <v>serum</v>
          </cell>
          <cell r="AF11407">
            <v>1</v>
          </cell>
        </row>
        <row r="11408">
          <cell r="A11408" t="str">
            <v>IS_alqt_plus</v>
          </cell>
          <cell r="K11408" t="str">
            <v>HGG</v>
          </cell>
          <cell r="M11408" t="str">
            <v>M</v>
          </cell>
          <cell r="AB11408" t="str">
            <v>serum</v>
          </cell>
          <cell r="AF11408">
            <v>1</v>
          </cell>
        </row>
        <row r="11409">
          <cell r="A11409" t="str">
            <v>IS_alqt_plus</v>
          </cell>
          <cell r="K11409" t="str">
            <v>HGG</v>
          </cell>
          <cell r="M11409" t="str">
            <v>M</v>
          </cell>
          <cell r="AB11409" t="str">
            <v>serum</v>
          </cell>
          <cell r="AF11409">
            <v>1</v>
          </cell>
        </row>
        <row r="11410">
          <cell r="A11410" t="str">
            <v>IS_alqt_plus</v>
          </cell>
          <cell r="K11410" t="str">
            <v>HGG</v>
          </cell>
          <cell r="M11410" t="str">
            <v>M</v>
          </cell>
          <cell r="AB11410" t="str">
            <v>serum</v>
          </cell>
          <cell r="AF11410">
            <v>1</v>
          </cell>
        </row>
        <row r="11411">
          <cell r="A11411" t="str">
            <v>IS_alqt_plus</v>
          </cell>
          <cell r="K11411" t="str">
            <v>HGG</v>
          </cell>
          <cell r="M11411" t="str">
            <v>M</v>
          </cell>
          <cell r="AB11411" t="str">
            <v>serum</v>
          </cell>
          <cell r="AF11411">
            <v>1</v>
          </cell>
        </row>
        <row r="11412">
          <cell r="A11412" t="str">
            <v>IS_alqt_plus</v>
          </cell>
          <cell r="K11412" t="str">
            <v>HGG</v>
          </cell>
          <cell r="M11412" t="str">
            <v>M</v>
          </cell>
          <cell r="AB11412" t="str">
            <v>serum</v>
          </cell>
          <cell r="AF11412">
            <v>1</v>
          </cell>
        </row>
        <row r="11413">
          <cell r="A11413" t="str">
            <v>IS_alqt_plus</v>
          </cell>
          <cell r="K11413" t="str">
            <v>HGG</v>
          </cell>
          <cell r="M11413" t="str">
            <v>M</v>
          </cell>
          <cell r="AB11413" t="str">
            <v>serum</v>
          </cell>
          <cell r="AF11413">
            <v>1</v>
          </cell>
        </row>
        <row r="11414">
          <cell r="A11414" t="str">
            <v>IS_alqt_plus</v>
          </cell>
          <cell r="K11414" t="str">
            <v>HGG</v>
          </cell>
          <cell r="M11414" t="str">
            <v>M</v>
          </cell>
          <cell r="AB11414" t="str">
            <v>serum</v>
          </cell>
          <cell r="AF11414">
            <v>1</v>
          </cell>
        </row>
        <row r="11415">
          <cell r="A11415" t="str">
            <v>IS_alqt_plus</v>
          </cell>
          <cell r="K11415" t="str">
            <v>HGG</v>
          </cell>
          <cell r="M11415" t="str">
            <v>M</v>
          </cell>
          <cell r="AB11415" t="str">
            <v>serum</v>
          </cell>
          <cell r="AF11415">
            <v>1</v>
          </cell>
        </row>
        <row r="11416">
          <cell r="A11416" t="str">
            <v>IS_alqt_plus</v>
          </cell>
          <cell r="K11416" t="str">
            <v>HGG</v>
          </cell>
          <cell r="M11416" t="str">
            <v>M</v>
          </cell>
          <cell r="AB11416" t="str">
            <v>serum</v>
          </cell>
          <cell r="AF11416">
            <v>1</v>
          </cell>
        </row>
        <row r="11417">
          <cell r="A11417" t="str">
            <v>IS_alqt_plus</v>
          </cell>
          <cell r="K11417" t="str">
            <v>HGG</v>
          </cell>
          <cell r="M11417" t="str">
            <v>M</v>
          </cell>
          <cell r="AB11417" t="str">
            <v>serum</v>
          </cell>
          <cell r="AF11417">
            <v>1</v>
          </cell>
        </row>
        <row r="11418">
          <cell r="A11418" t="str">
            <v>IS_alqt_plus</v>
          </cell>
          <cell r="K11418" t="str">
            <v>HGG</v>
          </cell>
          <cell r="M11418" t="str">
            <v>M</v>
          </cell>
          <cell r="AB11418" t="str">
            <v>serum</v>
          </cell>
          <cell r="AF11418">
            <v>1</v>
          </cell>
        </row>
        <row r="11419">
          <cell r="A11419" t="str">
            <v>IS_alqt_plus</v>
          </cell>
          <cell r="K11419" t="str">
            <v>HGG</v>
          </cell>
          <cell r="M11419" t="str">
            <v>M</v>
          </cell>
          <cell r="AB11419" t="str">
            <v>serum</v>
          </cell>
          <cell r="AF11419">
            <v>1</v>
          </cell>
        </row>
        <row r="11420">
          <cell r="A11420" t="str">
            <v>IS_alqt_plus</v>
          </cell>
          <cell r="K11420" t="str">
            <v>HGG</v>
          </cell>
          <cell r="M11420" t="str">
            <v>M</v>
          </cell>
          <cell r="AB11420" t="str">
            <v>serum</v>
          </cell>
          <cell r="AF11420">
            <v>1</v>
          </cell>
        </row>
        <row r="11421">
          <cell r="A11421" t="str">
            <v>IS_alqt_plus</v>
          </cell>
          <cell r="K11421" t="str">
            <v>HGG</v>
          </cell>
          <cell r="M11421" t="str">
            <v>M</v>
          </cell>
          <cell r="AB11421" t="str">
            <v>serum</v>
          </cell>
          <cell r="AF11421">
            <v>1</v>
          </cell>
        </row>
        <row r="11422">
          <cell r="A11422" t="str">
            <v>IS_alqt_plus</v>
          </cell>
          <cell r="K11422" t="str">
            <v>HGG</v>
          </cell>
          <cell r="M11422" t="str">
            <v>M</v>
          </cell>
          <cell r="AB11422" t="str">
            <v>serum</v>
          </cell>
          <cell r="AF11422">
            <v>1</v>
          </cell>
        </row>
        <row r="11423">
          <cell r="A11423" t="str">
            <v>IS_alqt_plus</v>
          </cell>
          <cell r="K11423" t="str">
            <v>HGG</v>
          </cell>
          <cell r="M11423" t="str">
            <v>M</v>
          </cell>
          <cell r="AB11423" t="str">
            <v>serum</v>
          </cell>
          <cell r="AF11423">
            <v>1</v>
          </cell>
        </row>
        <row r="11424">
          <cell r="A11424" t="str">
            <v>gone</v>
          </cell>
          <cell r="K11424" t="str">
            <v>HGG</v>
          </cell>
          <cell r="M11424" t="str">
            <v>M</v>
          </cell>
          <cell r="AB11424" t="str">
            <v>WB</v>
          </cell>
          <cell r="AF11424">
            <v>0</v>
          </cell>
        </row>
        <row r="11425">
          <cell r="A11425" t="str">
            <v>IS_alqt_plus</v>
          </cell>
          <cell r="K11425" t="str">
            <v>HGG</v>
          </cell>
          <cell r="M11425" t="str">
            <v>M</v>
          </cell>
          <cell r="AB11425" t="str">
            <v>WB</v>
          </cell>
          <cell r="AF11425">
            <v>1</v>
          </cell>
        </row>
        <row r="11426">
          <cell r="A11426" t="str">
            <v>IS_alqt_plus</v>
          </cell>
          <cell r="K11426" t="str">
            <v>HGG</v>
          </cell>
          <cell r="M11426" t="str">
            <v>M</v>
          </cell>
          <cell r="AB11426" t="str">
            <v>WB</v>
          </cell>
          <cell r="AF11426">
            <v>1</v>
          </cell>
        </row>
        <row r="11427">
          <cell r="A11427" t="str">
            <v>IS_alqt_plus</v>
          </cell>
          <cell r="K11427" t="str">
            <v>HGG</v>
          </cell>
          <cell r="M11427" t="str">
            <v>M</v>
          </cell>
          <cell r="AB11427" t="str">
            <v>WB</v>
          </cell>
          <cell r="AF11427">
            <v>1</v>
          </cell>
        </row>
        <row r="11428">
          <cell r="A11428" t="str">
            <v>IS_alqt_plus</v>
          </cell>
          <cell r="K11428" t="str">
            <v>HGG</v>
          </cell>
          <cell r="M11428" t="str">
            <v>M</v>
          </cell>
          <cell r="AB11428" t="str">
            <v>WB</v>
          </cell>
          <cell r="AF11428">
            <v>1</v>
          </cell>
        </row>
        <row r="11429">
          <cell r="A11429" t="str">
            <v>IS_alqt_plus</v>
          </cell>
          <cell r="K11429" t="str">
            <v>HGG</v>
          </cell>
          <cell r="M11429" t="str">
            <v>M</v>
          </cell>
          <cell r="AB11429" t="str">
            <v>WB</v>
          </cell>
          <cell r="AF11429">
            <v>1</v>
          </cell>
        </row>
        <row r="11430">
          <cell r="A11430" t="str">
            <v>IS_alqt_plus</v>
          </cell>
          <cell r="K11430" t="str">
            <v>HGG</v>
          </cell>
          <cell r="M11430" t="str">
            <v>M</v>
          </cell>
          <cell r="AB11430" t="str">
            <v>WB</v>
          </cell>
          <cell r="AF11430">
            <v>1</v>
          </cell>
        </row>
        <row r="11431">
          <cell r="A11431" t="str">
            <v>IS_alqt_plus</v>
          </cell>
          <cell r="K11431" t="str">
            <v>HGG</v>
          </cell>
          <cell r="M11431" t="str">
            <v>M</v>
          </cell>
          <cell r="AB11431" t="str">
            <v>WB</v>
          </cell>
          <cell r="AF11431">
            <v>1</v>
          </cell>
        </row>
        <row r="11432">
          <cell r="A11432" t="str">
            <v>IS_alqt_plus</v>
          </cell>
          <cell r="K11432" t="str">
            <v>HGG</v>
          </cell>
          <cell r="M11432" t="str">
            <v>M</v>
          </cell>
          <cell r="AB11432" t="str">
            <v>WB</v>
          </cell>
          <cell r="AF11432">
            <v>1</v>
          </cell>
        </row>
        <row r="11433">
          <cell r="A11433" t="str">
            <v>IS_alqt_plus</v>
          </cell>
          <cell r="K11433" t="str">
            <v>HGG</v>
          </cell>
          <cell r="M11433" t="str">
            <v>M</v>
          </cell>
          <cell r="AB11433" t="str">
            <v>WB</v>
          </cell>
          <cell r="AF11433">
            <v>1</v>
          </cell>
        </row>
        <row r="11434">
          <cell r="A11434" t="str">
            <v>IS_alqt_plus</v>
          </cell>
          <cell r="K11434" t="str">
            <v>HGG</v>
          </cell>
          <cell r="M11434" t="str">
            <v>M</v>
          </cell>
          <cell r="AB11434" t="str">
            <v>WB</v>
          </cell>
          <cell r="AF11434">
            <v>1</v>
          </cell>
        </row>
        <row r="11435">
          <cell r="A11435" t="str">
            <v>IS_alqt_plus</v>
          </cell>
          <cell r="K11435" t="str">
            <v>HGG</v>
          </cell>
          <cell r="M11435" t="str">
            <v>M</v>
          </cell>
          <cell r="AB11435" t="str">
            <v>WB</v>
          </cell>
          <cell r="AF11435">
            <v>1</v>
          </cell>
        </row>
        <row r="11436">
          <cell r="A11436" t="str">
            <v>IS_alqt_plus</v>
          </cell>
          <cell r="K11436" t="str">
            <v>HGG</v>
          </cell>
          <cell r="M11436" t="str">
            <v>M</v>
          </cell>
          <cell r="AB11436" t="str">
            <v>WB</v>
          </cell>
          <cell r="AF11436">
            <v>1</v>
          </cell>
        </row>
        <row r="11437">
          <cell r="A11437" t="str">
            <v>IS_alqt_plus</v>
          </cell>
          <cell r="K11437" t="str">
            <v>HGG</v>
          </cell>
          <cell r="M11437" t="str">
            <v>M</v>
          </cell>
          <cell r="AB11437" t="str">
            <v>WB</v>
          </cell>
          <cell r="AF11437">
            <v>1</v>
          </cell>
        </row>
        <row r="11438">
          <cell r="A11438" t="str">
            <v>IS_alqt_plus</v>
          </cell>
          <cell r="K11438" t="str">
            <v>HGG</v>
          </cell>
          <cell r="M11438" t="str">
            <v>M</v>
          </cell>
          <cell r="AB11438" t="str">
            <v>WB</v>
          </cell>
          <cell r="AF11438">
            <v>1</v>
          </cell>
        </row>
        <row r="11439">
          <cell r="A11439" t="str">
            <v>IS_alqt_plus</v>
          </cell>
          <cell r="K11439" t="str">
            <v>HGG</v>
          </cell>
          <cell r="M11439" t="str">
            <v>M</v>
          </cell>
          <cell r="AB11439" t="str">
            <v>WB</v>
          </cell>
          <cell r="AF11439">
            <v>1</v>
          </cell>
        </row>
        <row r="11440">
          <cell r="A11440" t="str">
            <v>IS_alqt_plus</v>
          </cell>
          <cell r="K11440" t="str">
            <v>ERUB</v>
          </cell>
          <cell r="M11440" t="str">
            <v>F</v>
          </cell>
          <cell r="AB11440" t="str">
            <v>serum</v>
          </cell>
          <cell r="AF11440">
            <v>1</v>
          </cell>
        </row>
        <row r="11441">
          <cell r="A11441" t="str">
            <v>IS_alqt_plus</v>
          </cell>
          <cell r="K11441" t="str">
            <v>ERUB</v>
          </cell>
          <cell r="M11441" t="str">
            <v>F</v>
          </cell>
          <cell r="AB11441" t="str">
            <v>serum</v>
          </cell>
          <cell r="AF11441">
            <v>0.5</v>
          </cell>
        </row>
        <row r="11442">
          <cell r="A11442" t="str">
            <v>IS_alqt_plus</v>
          </cell>
          <cell r="K11442" t="str">
            <v>ERUB</v>
          </cell>
          <cell r="M11442" t="str">
            <v>F</v>
          </cell>
          <cell r="AB11442" t="str">
            <v>serum</v>
          </cell>
          <cell r="AF11442">
            <v>1</v>
          </cell>
        </row>
        <row r="11443">
          <cell r="A11443" t="str">
            <v>IS_alqt_plus</v>
          </cell>
          <cell r="K11443" t="str">
            <v>ERUB</v>
          </cell>
          <cell r="M11443" t="str">
            <v>F</v>
          </cell>
          <cell r="AB11443" t="str">
            <v>serum</v>
          </cell>
          <cell r="AF11443">
            <v>1</v>
          </cell>
        </row>
        <row r="11444">
          <cell r="A11444" t="str">
            <v>IS_alqt_plus</v>
          </cell>
          <cell r="K11444" t="str">
            <v>ERUB</v>
          </cell>
          <cell r="M11444" t="str">
            <v>F</v>
          </cell>
          <cell r="AB11444" t="str">
            <v>serum</v>
          </cell>
          <cell r="AF11444">
            <v>1</v>
          </cell>
        </row>
        <row r="11445">
          <cell r="A11445" t="str">
            <v>IS_alqt_plus</v>
          </cell>
          <cell r="K11445" t="str">
            <v>ERUB</v>
          </cell>
          <cell r="M11445" t="str">
            <v>F</v>
          </cell>
          <cell r="AB11445" t="str">
            <v>serum</v>
          </cell>
          <cell r="AF11445">
            <v>1</v>
          </cell>
        </row>
        <row r="11446">
          <cell r="A11446" t="str">
            <v>IS_alqt_plus</v>
          </cell>
          <cell r="K11446" t="str">
            <v>ERUB</v>
          </cell>
          <cell r="M11446" t="str">
            <v>F</v>
          </cell>
          <cell r="AB11446" t="str">
            <v>serum</v>
          </cell>
          <cell r="AF11446">
            <v>1</v>
          </cell>
        </row>
        <row r="11447">
          <cell r="A11447" t="str">
            <v>IS_alqt_plus</v>
          </cell>
          <cell r="K11447" t="str">
            <v>ERUB</v>
          </cell>
          <cell r="M11447" t="str">
            <v>F</v>
          </cell>
          <cell r="AB11447" t="str">
            <v>serum</v>
          </cell>
          <cell r="AF11447">
            <v>1</v>
          </cell>
        </row>
        <row r="11448">
          <cell r="A11448" t="str">
            <v>IS_alqt_plus</v>
          </cell>
          <cell r="K11448" t="str">
            <v>ERUB</v>
          </cell>
          <cell r="M11448" t="str">
            <v>F</v>
          </cell>
          <cell r="AB11448" t="str">
            <v>serum</v>
          </cell>
          <cell r="AF11448">
            <v>1</v>
          </cell>
        </row>
        <row r="11449">
          <cell r="A11449" t="str">
            <v>IS_alqt_plus</v>
          </cell>
          <cell r="K11449" t="str">
            <v>ERUB</v>
          </cell>
          <cell r="M11449" t="str">
            <v>F</v>
          </cell>
          <cell r="AB11449" t="str">
            <v>serum</v>
          </cell>
          <cell r="AF11449">
            <v>1</v>
          </cell>
        </row>
        <row r="11450">
          <cell r="A11450" t="str">
            <v>IS_alqt_plus</v>
          </cell>
          <cell r="K11450" t="str">
            <v>ERUB</v>
          </cell>
          <cell r="M11450" t="str">
            <v>F</v>
          </cell>
          <cell r="AB11450" t="str">
            <v>serum</v>
          </cell>
          <cell r="AF11450">
            <v>1</v>
          </cell>
        </row>
        <row r="11451">
          <cell r="A11451" t="str">
            <v>IS_alqt_plus</v>
          </cell>
          <cell r="K11451" t="str">
            <v>ERUB</v>
          </cell>
          <cell r="M11451" t="str">
            <v>F</v>
          </cell>
          <cell r="AB11451" t="str">
            <v>serum</v>
          </cell>
          <cell r="AF11451">
            <v>1</v>
          </cell>
        </row>
        <row r="11452">
          <cell r="A11452" t="str">
            <v>IS_alqt_plus</v>
          </cell>
          <cell r="K11452" t="str">
            <v>ERUB</v>
          </cell>
          <cell r="M11452" t="str">
            <v>F</v>
          </cell>
          <cell r="AB11452" t="str">
            <v>serum</v>
          </cell>
          <cell r="AF11452">
            <v>1</v>
          </cell>
        </row>
        <row r="11453">
          <cell r="A11453" t="str">
            <v>IS_alqt_plus</v>
          </cell>
          <cell r="K11453" t="str">
            <v>ERUB</v>
          </cell>
          <cell r="M11453" t="str">
            <v>F</v>
          </cell>
          <cell r="AB11453" t="str">
            <v>serum</v>
          </cell>
          <cell r="AF11453">
            <v>1</v>
          </cell>
        </row>
        <row r="11454">
          <cell r="A11454" t="str">
            <v>IS_alqt_plus</v>
          </cell>
          <cell r="K11454" t="str">
            <v>ERUB</v>
          </cell>
          <cell r="M11454" t="str">
            <v>F</v>
          </cell>
          <cell r="AB11454" t="str">
            <v>serum</v>
          </cell>
          <cell r="AF11454">
            <v>1</v>
          </cell>
        </row>
        <row r="11455">
          <cell r="A11455" t="str">
            <v>IS_alqt_plus</v>
          </cell>
          <cell r="K11455" t="str">
            <v>ERUB</v>
          </cell>
          <cell r="M11455" t="str">
            <v>F</v>
          </cell>
          <cell r="AB11455" t="str">
            <v>serum</v>
          </cell>
          <cell r="AF11455">
            <v>1</v>
          </cell>
        </row>
        <row r="11456">
          <cell r="A11456" t="str">
            <v>IS_alqt_plus</v>
          </cell>
          <cell r="K11456" t="str">
            <v>ERUB</v>
          </cell>
          <cell r="M11456" t="str">
            <v>F</v>
          </cell>
          <cell r="AB11456" t="str">
            <v>serum</v>
          </cell>
          <cell r="AF11456">
            <v>1</v>
          </cell>
        </row>
        <row r="11457">
          <cell r="A11457" t="str">
            <v>IS_alqt_plus</v>
          </cell>
          <cell r="K11457" t="str">
            <v>ERUB</v>
          </cell>
          <cell r="M11457" t="str">
            <v>F</v>
          </cell>
          <cell r="AB11457" t="str">
            <v>serum</v>
          </cell>
          <cell r="AF11457">
            <v>1</v>
          </cell>
        </row>
        <row r="11458">
          <cell r="A11458" t="str">
            <v>IS_alqt_plus</v>
          </cell>
          <cell r="K11458" t="str">
            <v>ERUB</v>
          </cell>
          <cell r="M11458" t="str">
            <v>F</v>
          </cell>
          <cell r="AB11458" t="str">
            <v>serum</v>
          </cell>
          <cell r="AF11458">
            <v>1</v>
          </cell>
        </row>
        <row r="11459">
          <cell r="A11459" t="str">
            <v>gone</v>
          </cell>
          <cell r="K11459" t="str">
            <v>ERUB</v>
          </cell>
          <cell r="M11459" t="str">
            <v>F</v>
          </cell>
          <cell r="AB11459" t="str">
            <v>WB</v>
          </cell>
          <cell r="AF11459">
            <v>0</v>
          </cell>
        </row>
        <row r="11460">
          <cell r="A11460" t="str">
            <v>IS_alqt_plus</v>
          </cell>
          <cell r="K11460" t="str">
            <v>ERUB</v>
          </cell>
          <cell r="M11460" t="str">
            <v>F</v>
          </cell>
          <cell r="AB11460" t="str">
            <v>WB</v>
          </cell>
          <cell r="AF11460">
            <v>1</v>
          </cell>
        </row>
        <row r="11461">
          <cell r="A11461" t="str">
            <v>IS_alqt_plus</v>
          </cell>
          <cell r="K11461" t="str">
            <v>ERUB</v>
          </cell>
          <cell r="M11461" t="str">
            <v>F</v>
          </cell>
          <cell r="AB11461" t="str">
            <v>WB</v>
          </cell>
          <cell r="AF11461">
            <v>1</v>
          </cell>
        </row>
        <row r="11462">
          <cell r="A11462" t="str">
            <v>IS_alqt_plus</v>
          </cell>
          <cell r="K11462" t="str">
            <v>ERUB</v>
          </cell>
          <cell r="M11462" t="str">
            <v>F</v>
          </cell>
          <cell r="AB11462" t="str">
            <v>WB</v>
          </cell>
          <cell r="AF11462">
            <v>1</v>
          </cell>
        </row>
        <row r="11463">
          <cell r="A11463" t="str">
            <v>IS_alqt_plus</v>
          </cell>
          <cell r="K11463" t="str">
            <v>ERUB</v>
          </cell>
          <cell r="M11463" t="str">
            <v>F</v>
          </cell>
          <cell r="AB11463" t="str">
            <v>WB</v>
          </cell>
          <cell r="AF11463">
            <v>1</v>
          </cell>
        </row>
        <row r="11464">
          <cell r="A11464" t="str">
            <v>IS_alqt_plus</v>
          </cell>
          <cell r="K11464" t="str">
            <v>ERUB</v>
          </cell>
          <cell r="M11464" t="str">
            <v>F</v>
          </cell>
          <cell r="AB11464" t="str">
            <v>WB</v>
          </cell>
          <cell r="AF11464">
            <v>1</v>
          </cell>
        </row>
        <row r="11465">
          <cell r="A11465" t="str">
            <v>IS_alqt_plus</v>
          </cell>
          <cell r="K11465" t="str">
            <v>ERUB</v>
          </cell>
          <cell r="M11465" t="str">
            <v>F</v>
          </cell>
          <cell r="AB11465" t="str">
            <v>WB</v>
          </cell>
          <cell r="AF11465">
            <v>1</v>
          </cell>
        </row>
        <row r="11466">
          <cell r="A11466" t="str">
            <v>IS_alqt_plus</v>
          </cell>
          <cell r="K11466" t="str">
            <v>ERUB</v>
          </cell>
          <cell r="M11466" t="str">
            <v>F</v>
          </cell>
          <cell r="AB11466" t="str">
            <v>WB</v>
          </cell>
          <cell r="AF11466">
            <v>1</v>
          </cell>
        </row>
        <row r="11467">
          <cell r="A11467" t="str">
            <v>IS_alqt_plus</v>
          </cell>
          <cell r="K11467" t="str">
            <v>ERUB</v>
          </cell>
          <cell r="M11467" t="str">
            <v>F</v>
          </cell>
          <cell r="AB11467" t="str">
            <v>WB</v>
          </cell>
          <cell r="AF11467">
            <v>1</v>
          </cell>
        </row>
        <row r="11468">
          <cell r="A11468" t="str">
            <v>IS_alqt_plus</v>
          </cell>
          <cell r="K11468" t="str">
            <v>ERUB</v>
          </cell>
          <cell r="M11468" t="str">
            <v>F</v>
          </cell>
          <cell r="AB11468" t="str">
            <v>WB</v>
          </cell>
          <cell r="AF11468">
            <v>1</v>
          </cell>
        </row>
        <row r="11469">
          <cell r="A11469" t="str">
            <v>IS_alqt_plus</v>
          </cell>
          <cell r="K11469" t="str">
            <v>ERUB</v>
          </cell>
          <cell r="M11469" t="str">
            <v>F</v>
          </cell>
          <cell r="AB11469" t="str">
            <v>WB</v>
          </cell>
          <cell r="AF11469">
            <v>1</v>
          </cell>
        </row>
        <row r="11470">
          <cell r="A11470" t="str">
            <v>IS_alqt_plus</v>
          </cell>
          <cell r="K11470" t="str">
            <v>ERUB</v>
          </cell>
          <cell r="M11470" t="str">
            <v>F</v>
          </cell>
          <cell r="AB11470" t="str">
            <v>WB</v>
          </cell>
          <cell r="AF11470">
            <v>1</v>
          </cell>
        </row>
        <row r="11471">
          <cell r="A11471" t="str">
            <v>IS_alqt_plus</v>
          </cell>
          <cell r="K11471" t="str">
            <v>EFLA</v>
          </cell>
          <cell r="M11471" t="str">
            <v>M</v>
          </cell>
          <cell r="AB11471" t="str">
            <v>serum</v>
          </cell>
          <cell r="AF11471">
            <v>1</v>
          </cell>
        </row>
        <row r="11472">
          <cell r="A11472" t="str">
            <v>IS_alqt_plus</v>
          </cell>
          <cell r="K11472" t="str">
            <v>EFLA</v>
          </cell>
          <cell r="M11472" t="str">
            <v>M</v>
          </cell>
          <cell r="AB11472" t="str">
            <v>WB</v>
          </cell>
          <cell r="AF11472">
            <v>0.75</v>
          </cell>
        </row>
        <row r="11473">
          <cell r="A11473" t="str">
            <v>IS_alqt_plus</v>
          </cell>
          <cell r="K11473" t="str">
            <v>VRUB</v>
          </cell>
          <cell r="M11473" t="str">
            <v>F</v>
          </cell>
          <cell r="AB11473" t="str">
            <v>WB</v>
          </cell>
          <cell r="AF11473">
            <v>1</v>
          </cell>
        </row>
        <row r="11474">
          <cell r="A11474" t="str">
            <v>IS_alqt_plus</v>
          </cell>
          <cell r="K11474" t="str">
            <v>VRUB</v>
          </cell>
          <cell r="M11474" t="str">
            <v>F</v>
          </cell>
          <cell r="AB11474" t="str">
            <v>serum</v>
          </cell>
          <cell r="AF11474">
            <v>1</v>
          </cell>
        </row>
        <row r="11475">
          <cell r="A11475" t="str">
            <v>IS_alqt_plus</v>
          </cell>
          <cell r="K11475" t="str">
            <v>PCOQ</v>
          </cell>
          <cell r="M11475" t="str">
            <v>F</v>
          </cell>
          <cell r="AB11475" t="str">
            <v>serum</v>
          </cell>
          <cell r="AF11475">
            <v>1.3</v>
          </cell>
        </row>
        <row r="11476">
          <cell r="A11476" t="str">
            <v>IS_alqt_plus</v>
          </cell>
          <cell r="K11476" t="str">
            <v>CMED</v>
          </cell>
          <cell r="M11476" t="str">
            <v>F</v>
          </cell>
          <cell r="AB11476" t="str">
            <v>WB</v>
          </cell>
          <cell r="AF11476">
            <v>0.25</v>
          </cell>
        </row>
        <row r="11477">
          <cell r="A11477" t="str">
            <v>IS_alqt_plus</v>
          </cell>
          <cell r="K11477" t="str">
            <v>PCOQ</v>
          </cell>
          <cell r="M11477" t="str">
            <v>F</v>
          </cell>
          <cell r="AB11477" t="str">
            <v>WB</v>
          </cell>
          <cell r="AF11477">
            <v>1.4</v>
          </cell>
        </row>
        <row r="11478">
          <cell r="A11478" t="str">
            <v>IS_alqt_plus</v>
          </cell>
          <cell r="K11478" t="str">
            <v>EMON</v>
          </cell>
          <cell r="M11478" t="str">
            <v>M</v>
          </cell>
          <cell r="AB11478" t="str">
            <v>serum</v>
          </cell>
          <cell r="AF11478">
            <v>1.25</v>
          </cell>
        </row>
        <row r="11479">
          <cell r="A11479" t="str">
            <v>IS_alqt_plus</v>
          </cell>
          <cell r="K11479" t="str">
            <v>EMON</v>
          </cell>
          <cell r="M11479" t="str">
            <v>M</v>
          </cell>
          <cell r="AB11479" t="str">
            <v>WB</v>
          </cell>
          <cell r="AF11479">
            <v>1</v>
          </cell>
        </row>
        <row r="11480">
          <cell r="A11480" t="str">
            <v>IS_alqt_plus</v>
          </cell>
          <cell r="K11480" t="str">
            <v>VVV</v>
          </cell>
          <cell r="M11480" t="str">
            <v>F</v>
          </cell>
          <cell r="AB11480" t="str">
            <v>WB</v>
          </cell>
          <cell r="AF11480">
            <v>0.5</v>
          </cell>
        </row>
        <row r="11481">
          <cell r="A11481" t="str">
            <v>gone</v>
          </cell>
          <cell r="K11481" t="str">
            <v>VVV</v>
          </cell>
          <cell r="M11481" t="str">
            <v>F</v>
          </cell>
          <cell r="AB11481" t="str">
            <v>serum</v>
          </cell>
          <cell r="AF11481">
            <v>0</v>
          </cell>
        </row>
        <row r="11482">
          <cell r="A11482" t="str">
            <v>IS_alqt_plus</v>
          </cell>
          <cell r="K11482" t="str">
            <v>VVV</v>
          </cell>
          <cell r="M11482" t="str">
            <v>M</v>
          </cell>
          <cell r="AB11482" t="str">
            <v>WB</v>
          </cell>
          <cell r="AF11482">
            <v>0.9</v>
          </cell>
        </row>
        <row r="11483">
          <cell r="A11483" t="str">
            <v>IS_alqt_plus</v>
          </cell>
          <cell r="K11483" t="str">
            <v>VVV</v>
          </cell>
          <cell r="M11483" t="str">
            <v>M</v>
          </cell>
          <cell r="AB11483" t="str">
            <v>WB</v>
          </cell>
          <cell r="AF11483">
            <v>1</v>
          </cell>
        </row>
        <row r="11484">
          <cell r="A11484" t="str">
            <v>IS_alqt_plus</v>
          </cell>
          <cell r="K11484" t="str">
            <v>VVV</v>
          </cell>
          <cell r="M11484" t="str">
            <v>F</v>
          </cell>
          <cell r="AB11484" t="str">
            <v>WB</v>
          </cell>
          <cell r="AF11484">
            <v>1.3</v>
          </cell>
        </row>
        <row r="11485">
          <cell r="A11485" t="str">
            <v>gone</v>
          </cell>
          <cell r="K11485" t="str">
            <v>VVV</v>
          </cell>
          <cell r="M11485" t="str">
            <v>M</v>
          </cell>
          <cell r="AB11485" t="str">
            <v>serum</v>
          </cell>
          <cell r="AF11485">
            <v>0</v>
          </cell>
        </row>
        <row r="11486">
          <cell r="A11486" t="str">
            <v>gone</v>
          </cell>
          <cell r="K11486" t="str">
            <v>VVV</v>
          </cell>
          <cell r="M11486" t="str">
            <v>M</v>
          </cell>
          <cell r="AB11486" t="str">
            <v>serum</v>
          </cell>
          <cell r="AF11486">
            <v>0</v>
          </cell>
        </row>
        <row r="11487">
          <cell r="A11487" t="str">
            <v>gone</v>
          </cell>
          <cell r="K11487" t="str">
            <v>VVV</v>
          </cell>
          <cell r="M11487" t="str">
            <v>F</v>
          </cell>
          <cell r="AB11487" t="str">
            <v>serum</v>
          </cell>
          <cell r="AF11487">
            <v>0</v>
          </cell>
        </row>
        <row r="11488">
          <cell r="A11488" t="str">
            <v>IS_alqt_plus</v>
          </cell>
          <cell r="K11488" t="str">
            <v>PCOQ</v>
          </cell>
          <cell r="M11488" t="str">
            <v>F</v>
          </cell>
          <cell r="AB11488" t="str">
            <v>serum</v>
          </cell>
          <cell r="AF11488">
            <v>0.3</v>
          </cell>
        </row>
        <row r="11489">
          <cell r="A11489" t="str">
            <v>IS_alqt_plus</v>
          </cell>
          <cell r="K11489" t="str">
            <v>PCOQ</v>
          </cell>
          <cell r="M11489" t="str">
            <v>M</v>
          </cell>
          <cell r="AB11489" t="str">
            <v>serum</v>
          </cell>
          <cell r="AF11489">
            <v>0.5</v>
          </cell>
        </row>
        <row r="11490">
          <cell r="A11490" t="str">
            <v>IS_alqt_plus</v>
          </cell>
          <cell r="K11490" t="str">
            <v>PCOQ</v>
          </cell>
          <cell r="M11490" t="str">
            <v>F</v>
          </cell>
          <cell r="AB11490" t="str">
            <v>serum</v>
          </cell>
          <cell r="AF11490">
            <v>0.5</v>
          </cell>
        </row>
        <row r="11491">
          <cell r="A11491" t="str">
            <v>IS_alqt_minus</v>
          </cell>
          <cell r="K11491" t="str">
            <v>PCOQ</v>
          </cell>
          <cell r="M11491" t="str">
            <v>F</v>
          </cell>
          <cell r="AB11491" t="str">
            <v>serum</v>
          </cell>
          <cell r="AF11491">
            <v>0.1</v>
          </cell>
        </row>
        <row r="11492">
          <cell r="A11492" t="str">
            <v>IS_alqt_minus</v>
          </cell>
          <cell r="K11492" t="str">
            <v>PCOQ</v>
          </cell>
          <cell r="M11492" t="str">
            <v>M</v>
          </cell>
          <cell r="AB11492" t="str">
            <v>serum</v>
          </cell>
          <cell r="AF11492">
            <v>0.1</v>
          </cell>
        </row>
        <row r="11493">
          <cell r="A11493" t="str">
            <v>IS_alqt_plus</v>
          </cell>
          <cell r="K11493" t="str">
            <v>PCOQ</v>
          </cell>
          <cell r="M11493" t="str">
            <v>F</v>
          </cell>
          <cell r="AB11493" t="str">
            <v>WB</v>
          </cell>
          <cell r="AF11493">
            <v>1.3</v>
          </cell>
        </row>
        <row r="11494">
          <cell r="A11494" t="str">
            <v>IS_alqt_plus</v>
          </cell>
          <cell r="K11494" t="str">
            <v>PCOQ</v>
          </cell>
          <cell r="M11494" t="str">
            <v>F</v>
          </cell>
          <cell r="AB11494" t="str">
            <v>WB</v>
          </cell>
          <cell r="AF11494">
            <v>1</v>
          </cell>
        </row>
        <row r="11495">
          <cell r="A11495" t="str">
            <v>IS_alqt_plus</v>
          </cell>
          <cell r="K11495" t="str">
            <v>PCOQ</v>
          </cell>
          <cell r="M11495" t="str">
            <v>F</v>
          </cell>
          <cell r="AB11495" t="str">
            <v>WB</v>
          </cell>
          <cell r="AF11495">
            <v>1.2</v>
          </cell>
        </row>
        <row r="11496">
          <cell r="A11496" t="str">
            <v>IS_alqt_plus</v>
          </cell>
          <cell r="K11496" t="str">
            <v>PCOQ</v>
          </cell>
          <cell r="M11496" t="str">
            <v>F</v>
          </cell>
          <cell r="AB11496" t="str">
            <v>WB</v>
          </cell>
          <cell r="AF11496">
            <v>1.2</v>
          </cell>
        </row>
        <row r="11497">
          <cell r="A11497" t="str">
            <v>IS_alqt_plus</v>
          </cell>
          <cell r="K11497" t="str">
            <v>PCOQ</v>
          </cell>
          <cell r="M11497" t="str">
            <v>F</v>
          </cell>
          <cell r="AB11497" t="str">
            <v>WB</v>
          </cell>
          <cell r="AF11497">
            <v>1.3</v>
          </cell>
        </row>
        <row r="11498">
          <cell r="A11498" t="str">
            <v>IS_alqt_plus</v>
          </cell>
          <cell r="K11498" t="str">
            <v>PCOQ</v>
          </cell>
          <cell r="M11498" t="str">
            <v>F</v>
          </cell>
          <cell r="AB11498" t="str">
            <v>PRBC</v>
          </cell>
          <cell r="AF11498">
            <v>0.25</v>
          </cell>
        </row>
        <row r="11499">
          <cell r="A11499" t="str">
            <v>IS_alqt_plus</v>
          </cell>
          <cell r="K11499" t="str">
            <v>PCOQ</v>
          </cell>
          <cell r="M11499" t="str">
            <v>M</v>
          </cell>
          <cell r="AB11499" t="str">
            <v>PRBC</v>
          </cell>
          <cell r="AF11499">
            <v>0.25</v>
          </cell>
        </row>
        <row r="11500">
          <cell r="A11500" t="str">
            <v>IS_alqt_plus</v>
          </cell>
          <cell r="K11500" t="str">
            <v>ECOR</v>
          </cell>
          <cell r="M11500" t="str">
            <v>M</v>
          </cell>
          <cell r="AB11500" t="str">
            <v>serum</v>
          </cell>
          <cell r="AF11500">
            <v>1</v>
          </cell>
        </row>
        <row r="11501">
          <cell r="A11501" t="str">
            <v>IS_alqt_plus</v>
          </cell>
          <cell r="K11501" t="str">
            <v>ECOR</v>
          </cell>
          <cell r="M11501" t="str">
            <v>M</v>
          </cell>
          <cell r="AB11501" t="str">
            <v>WB</v>
          </cell>
          <cell r="AF11501">
            <v>0.5</v>
          </cell>
        </row>
        <row r="11502">
          <cell r="A11502" t="str">
            <v>IS_alqt_plus</v>
          </cell>
          <cell r="K11502" t="str">
            <v>PCOQ</v>
          </cell>
          <cell r="M11502" t="str">
            <v>F</v>
          </cell>
          <cell r="AB11502" t="str">
            <v>WB</v>
          </cell>
          <cell r="AF11502">
            <v>1.5</v>
          </cell>
        </row>
        <row r="11503">
          <cell r="A11503" t="str">
            <v>IS_alqt_plus</v>
          </cell>
          <cell r="K11503" t="str">
            <v>PCOQ</v>
          </cell>
          <cell r="M11503" t="str">
            <v>F</v>
          </cell>
          <cell r="AB11503" t="str">
            <v>WB</v>
          </cell>
          <cell r="AF11503">
            <v>1.3</v>
          </cell>
        </row>
        <row r="11504">
          <cell r="A11504" t="str">
            <v>IS_alqt_plus</v>
          </cell>
          <cell r="K11504" t="str">
            <v>PCOQ</v>
          </cell>
          <cell r="M11504" t="str">
            <v>F</v>
          </cell>
          <cell r="AB11504" t="str">
            <v>WB</v>
          </cell>
          <cell r="AF11504">
            <v>1.1000000000000001</v>
          </cell>
        </row>
        <row r="11505">
          <cell r="A11505" t="str">
            <v>IS_alqt_plus</v>
          </cell>
          <cell r="K11505" t="str">
            <v>EFLA</v>
          </cell>
          <cell r="M11505" t="str">
            <v>F</v>
          </cell>
          <cell r="AB11505" t="str">
            <v>serum</v>
          </cell>
          <cell r="AF11505">
            <v>1</v>
          </cell>
        </row>
        <row r="11506">
          <cell r="A11506" t="str">
            <v>IS_alqt_plus</v>
          </cell>
          <cell r="K11506" t="str">
            <v>LCAT</v>
          </cell>
          <cell r="M11506" t="str">
            <v>M</v>
          </cell>
          <cell r="AB11506" t="str">
            <v>Fluid- serosanguinous</v>
          </cell>
          <cell r="AF11506">
            <v>1.5</v>
          </cell>
        </row>
        <row r="11507">
          <cell r="A11507" t="str">
            <v>gone</v>
          </cell>
          <cell r="K11507" t="str">
            <v>LCAT</v>
          </cell>
          <cell r="M11507" t="str">
            <v>F</v>
          </cell>
          <cell r="AB11507" t="str">
            <v>serum</v>
          </cell>
          <cell r="AF11507">
            <v>0.2</v>
          </cell>
        </row>
        <row r="11508">
          <cell r="A11508" t="str">
            <v>gone</v>
          </cell>
          <cell r="K11508" t="str">
            <v>LCAT</v>
          </cell>
          <cell r="M11508" t="str">
            <v>F</v>
          </cell>
          <cell r="AB11508" t="str">
            <v>serum</v>
          </cell>
          <cell r="AF11508">
            <v>0.2</v>
          </cell>
        </row>
        <row r="11509">
          <cell r="A11509" t="str">
            <v>gone</v>
          </cell>
          <cell r="K11509" t="str">
            <v>PCOQ</v>
          </cell>
          <cell r="M11509" t="str">
            <v>F</v>
          </cell>
          <cell r="AB11509" t="str">
            <v>serum</v>
          </cell>
          <cell r="AF11509">
            <v>0.2</v>
          </cell>
        </row>
        <row r="11510">
          <cell r="A11510" t="str">
            <v>IS_alqt_plus</v>
          </cell>
          <cell r="K11510" t="str">
            <v>HGG</v>
          </cell>
          <cell r="M11510" t="str">
            <v>F</v>
          </cell>
          <cell r="AB11510" t="str">
            <v>serum</v>
          </cell>
          <cell r="AF11510">
            <v>1</v>
          </cell>
        </row>
        <row r="11511">
          <cell r="A11511" t="str">
            <v>IS_alqt_plus</v>
          </cell>
          <cell r="K11511" t="str">
            <v>HGG</v>
          </cell>
          <cell r="M11511" t="str">
            <v>F</v>
          </cell>
          <cell r="AB11511" t="str">
            <v>serum</v>
          </cell>
          <cell r="AF11511">
            <v>1</v>
          </cell>
        </row>
        <row r="11512">
          <cell r="A11512" t="str">
            <v>IS_alqt_plus</v>
          </cell>
          <cell r="K11512" t="str">
            <v>HGG</v>
          </cell>
          <cell r="M11512" t="str">
            <v>F</v>
          </cell>
          <cell r="AB11512" t="str">
            <v>serum</v>
          </cell>
          <cell r="AF11512">
            <v>1</v>
          </cell>
        </row>
        <row r="11513">
          <cell r="A11513" t="str">
            <v>IS_alqt_plus</v>
          </cell>
          <cell r="K11513" t="str">
            <v>HGG</v>
          </cell>
          <cell r="M11513" t="str">
            <v>F</v>
          </cell>
          <cell r="AB11513" t="str">
            <v>serum</v>
          </cell>
          <cell r="AF11513">
            <v>1</v>
          </cell>
        </row>
        <row r="11514">
          <cell r="A11514" t="str">
            <v>IS_alqt_plus</v>
          </cell>
          <cell r="K11514" t="str">
            <v>HGG</v>
          </cell>
          <cell r="M11514" t="str">
            <v>F</v>
          </cell>
          <cell r="AB11514" t="str">
            <v>serum</v>
          </cell>
          <cell r="AF11514">
            <v>1</v>
          </cell>
        </row>
        <row r="11515">
          <cell r="A11515" t="str">
            <v>IS_alqt_plus</v>
          </cell>
          <cell r="K11515" t="str">
            <v>HGG</v>
          </cell>
          <cell r="M11515" t="str">
            <v>F</v>
          </cell>
          <cell r="AB11515" t="str">
            <v>serum</v>
          </cell>
          <cell r="AF11515">
            <v>1</v>
          </cell>
        </row>
        <row r="11516">
          <cell r="A11516" t="str">
            <v>IS_alqt_plus</v>
          </cell>
          <cell r="K11516" t="str">
            <v>HGG</v>
          </cell>
          <cell r="M11516" t="str">
            <v>F</v>
          </cell>
          <cell r="AB11516" t="str">
            <v>serum</v>
          </cell>
          <cell r="AF11516">
            <v>1</v>
          </cell>
        </row>
        <row r="11517">
          <cell r="A11517" t="str">
            <v>IS_alqt_plus</v>
          </cell>
          <cell r="K11517" t="str">
            <v>HGG</v>
          </cell>
          <cell r="M11517" t="str">
            <v>F</v>
          </cell>
          <cell r="AB11517" t="str">
            <v>serum</v>
          </cell>
          <cell r="AF11517">
            <v>1</v>
          </cell>
        </row>
        <row r="11518">
          <cell r="A11518" t="str">
            <v>IS_alqt_plus</v>
          </cell>
          <cell r="K11518" t="str">
            <v>HGG</v>
          </cell>
          <cell r="M11518" t="str">
            <v>F</v>
          </cell>
          <cell r="AB11518" t="str">
            <v>serum</v>
          </cell>
          <cell r="AF11518">
            <v>1</v>
          </cell>
        </row>
        <row r="11519">
          <cell r="A11519" t="str">
            <v>IS_alqt_plus</v>
          </cell>
          <cell r="K11519" t="str">
            <v>HGG</v>
          </cell>
          <cell r="M11519" t="str">
            <v>F</v>
          </cell>
          <cell r="AB11519" t="str">
            <v>serum</v>
          </cell>
          <cell r="AF11519">
            <v>1</v>
          </cell>
        </row>
        <row r="11520">
          <cell r="A11520" t="str">
            <v>IS_alqt_plus</v>
          </cell>
          <cell r="K11520" t="str">
            <v>HGG</v>
          </cell>
          <cell r="M11520" t="str">
            <v>F</v>
          </cell>
          <cell r="AB11520" t="str">
            <v>serum</v>
          </cell>
          <cell r="AF11520">
            <v>1</v>
          </cell>
        </row>
        <row r="11521">
          <cell r="A11521" t="str">
            <v>IS_alqt_plus</v>
          </cell>
          <cell r="K11521" t="str">
            <v>HGG</v>
          </cell>
          <cell r="M11521" t="str">
            <v>F</v>
          </cell>
          <cell r="AB11521" t="str">
            <v>serum</v>
          </cell>
          <cell r="AF11521">
            <v>1</v>
          </cell>
        </row>
        <row r="11522">
          <cell r="A11522" t="str">
            <v>IS_alqt_plus</v>
          </cell>
          <cell r="K11522" t="str">
            <v>HGG</v>
          </cell>
          <cell r="M11522" t="str">
            <v>F</v>
          </cell>
          <cell r="AB11522" t="str">
            <v>serum</v>
          </cell>
          <cell r="AF11522">
            <v>1</v>
          </cell>
        </row>
        <row r="11523">
          <cell r="A11523" t="str">
            <v>IS_alqt_plus</v>
          </cell>
          <cell r="K11523" t="str">
            <v>HGG</v>
          </cell>
          <cell r="M11523" t="str">
            <v>F</v>
          </cell>
          <cell r="AB11523" t="str">
            <v>serum</v>
          </cell>
          <cell r="AF11523">
            <v>1</v>
          </cell>
        </row>
        <row r="11524">
          <cell r="A11524" t="str">
            <v>gone</v>
          </cell>
          <cell r="K11524" t="str">
            <v>HGG</v>
          </cell>
          <cell r="M11524" t="str">
            <v>F</v>
          </cell>
          <cell r="AB11524" t="str">
            <v>WB</v>
          </cell>
          <cell r="AF11524">
            <v>0</v>
          </cell>
        </row>
        <row r="11525">
          <cell r="A11525" t="str">
            <v>IS_alqt_plus</v>
          </cell>
          <cell r="K11525" t="str">
            <v>HGG</v>
          </cell>
          <cell r="M11525" t="str">
            <v>F</v>
          </cell>
          <cell r="AB11525" t="str">
            <v>WB</v>
          </cell>
          <cell r="AF11525">
            <v>1</v>
          </cell>
        </row>
        <row r="11526">
          <cell r="A11526" t="str">
            <v>IS_alqt_plus</v>
          </cell>
          <cell r="K11526" t="str">
            <v>HGG</v>
          </cell>
          <cell r="M11526" t="str">
            <v>F</v>
          </cell>
          <cell r="AB11526" t="str">
            <v>WB</v>
          </cell>
          <cell r="AF11526">
            <v>1</v>
          </cell>
        </row>
        <row r="11527">
          <cell r="A11527" t="str">
            <v>IS_alqt_plus</v>
          </cell>
          <cell r="K11527" t="str">
            <v>HGG</v>
          </cell>
          <cell r="M11527" t="str">
            <v>F</v>
          </cell>
          <cell r="AB11527" t="str">
            <v>WB</v>
          </cell>
          <cell r="AF11527">
            <v>1</v>
          </cell>
        </row>
        <row r="11528">
          <cell r="A11528" t="str">
            <v>IS_alqt_plus</v>
          </cell>
          <cell r="K11528" t="str">
            <v>HGG</v>
          </cell>
          <cell r="M11528" t="str">
            <v>F</v>
          </cell>
          <cell r="AB11528" t="str">
            <v>WB</v>
          </cell>
          <cell r="AF11528">
            <v>1</v>
          </cell>
        </row>
        <row r="11529">
          <cell r="A11529" t="str">
            <v>IS_alqt_plus</v>
          </cell>
          <cell r="K11529" t="str">
            <v>HGG</v>
          </cell>
          <cell r="M11529" t="str">
            <v>F</v>
          </cell>
          <cell r="AB11529" t="str">
            <v>WB</v>
          </cell>
          <cell r="AF11529">
            <v>1</v>
          </cell>
        </row>
        <row r="11530">
          <cell r="A11530" t="str">
            <v>IS_alqt_plus</v>
          </cell>
          <cell r="K11530" t="str">
            <v>HGG</v>
          </cell>
          <cell r="M11530" t="str">
            <v>F</v>
          </cell>
          <cell r="AB11530" t="str">
            <v>WB</v>
          </cell>
          <cell r="AF11530">
            <v>1</v>
          </cell>
        </row>
        <row r="11531">
          <cell r="A11531" t="str">
            <v>IS_alqt_plus</v>
          </cell>
          <cell r="K11531" t="str">
            <v>HGG</v>
          </cell>
          <cell r="M11531" t="str">
            <v>F</v>
          </cell>
          <cell r="AB11531" t="str">
            <v>WB</v>
          </cell>
          <cell r="AF11531">
            <v>1</v>
          </cell>
        </row>
        <row r="11532">
          <cell r="A11532" t="str">
            <v>IS_alqt_plus</v>
          </cell>
          <cell r="K11532" t="str">
            <v>HGG</v>
          </cell>
          <cell r="M11532" t="str">
            <v>F</v>
          </cell>
          <cell r="AB11532" t="str">
            <v>WB</v>
          </cell>
          <cell r="AF11532">
            <v>1</v>
          </cell>
        </row>
        <row r="11533">
          <cell r="A11533" t="str">
            <v>IS_alqt_plus</v>
          </cell>
          <cell r="K11533" t="str">
            <v>HGG</v>
          </cell>
          <cell r="M11533" t="str">
            <v>F</v>
          </cell>
          <cell r="AB11533" t="str">
            <v>WB</v>
          </cell>
          <cell r="AF11533">
            <v>1</v>
          </cell>
        </row>
        <row r="11534">
          <cell r="A11534" t="str">
            <v>IS_alqt_plus</v>
          </cell>
          <cell r="K11534" t="str">
            <v>HGG</v>
          </cell>
          <cell r="M11534" t="str">
            <v>F</v>
          </cell>
          <cell r="AB11534" t="str">
            <v>WB</v>
          </cell>
          <cell r="AF11534">
            <v>1</v>
          </cell>
        </row>
        <row r="11535">
          <cell r="A11535" t="str">
            <v>IS_alqt_plus</v>
          </cell>
          <cell r="K11535" t="str">
            <v>HGG</v>
          </cell>
          <cell r="M11535" t="str">
            <v>F</v>
          </cell>
          <cell r="AB11535" t="str">
            <v>WB</v>
          </cell>
          <cell r="AF11535">
            <v>0.5</v>
          </cell>
        </row>
        <row r="11536">
          <cell r="A11536" t="str">
            <v>IS_alqt_plus</v>
          </cell>
          <cell r="K11536" t="str">
            <v>PCOQ</v>
          </cell>
          <cell r="M11536" t="str">
            <v>M</v>
          </cell>
          <cell r="AB11536" t="str">
            <v>PRBC</v>
          </cell>
          <cell r="AF11536">
            <v>0.3</v>
          </cell>
        </row>
        <row r="11537">
          <cell r="A11537" t="str">
            <v>IS_alqt_plus</v>
          </cell>
          <cell r="K11537" t="str">
            <v>PCOQ</v>
          </cell>
          <cell r="M11537" t="str">
            <v>F</v>
          </cell>
          <cell r="AB11537" t="str">
            <v>PRBC</v>
          </cell>
          <cell r="AF11537">
            <v>0.3</v>
          </cell>
        </row>
        <row r="11538">
          <cell r="A11538" t="str">
            <v>IS_alqt_plus</v>
          </cell>
          <cell r="K11538" t="str">
            <v>PCOQ</v>
          </cell>
          <cell r="M11538" t="str">
            <v>M</v>
          </cell>
          <cell r="AB11538" t="str">
            <v>PRBC</v>
          </cell>
          <cell r="AF11538">
            <v>0.3</v>
          </cell>
        </row>
        <row r="11539">
          <cell r="A11539" t="str">
            <v>IS_alqt_plus</v>
          </cell>
          <cell r="K11539" t="str">
            <v>PCOQ</v>
          </cell>
          <cell r="M11539" t="str">
            <v>F</v>
          </cell>
          <cell r="AB11539" t="str">
            <v>PRBC</v>
          </cell>
          <cell r="AF11539">
            <v>0.5</v>
          </cell>
        </row>
        <row r="11540">
          <cell r="A11540" t="str">
            <v>IS_alqt_plus</v>
          </cell>
          <cell r="K11540" t="str">
            <v>PCOQ</v>
          </cell>
          <cell r="M11540" t="str">
            <v>M</v>
          </cell>
          <cell r="AB11540" t="str">
            <v>serum</v>
          </cell>
          <cell r="AF11540">
            <v>1.25</v>
          </cell>
        </row>
        <row r="11541">
          <cell r="A11541" t="str">
            <v>IS_alqt_plus</v>
          </cell>
          <cell r="K11541" t="str">
            <v>PCOQ</v>
          </cell>
          <cell r="M11541" t="str">
            <v>F</v>
          </cell>
          <cell r="AB11541" t="str">
            <v>WB</v>
          </cell>
          <cell r="AF11541">
            <v>1.4</v>
          </cell>
        </row>
        <row r="11542">
          <cell r="A11542" t="str">
            <v>IS_alqt_minus</v>
          </cell>
          <cell r="K11542" t="str">
            <v>MMUR</v>
          </cell>
          <cell r="M11542" t="str">
            <v>F</v>
          </cell>
          <cell r="AB11542" t="str">
            <v>WB</v>
          </cell>
          <cell r="AF11542">
            <v>0.1</v>
          </cell>
        </row>
        <row r="11543">
          <cell r="A11543" t="str">
            <v>gone</v>
          </cell>
          <cell r="K11543" t="str">
            <v>PCOQ</v>
          </cell>
          <cell r="M11543" t="str">
            <v>F</v>
          </cell>
          <cell r="AB11543" t="str">
            <v>serum</v>
          </cell>
          <cell r="AF11543">
            <v>0.2</v>
          </cell>
        </row>
        <row r="11544">
          <cell r="A11544" t="str">
            <v>IS_alqt_plus</v>
          </cell>
          <cell r="K11544" t="str">
            <v>PCOQ</v>
          </cell>
          <cell r="M11544" t="str">
            <v>F</v>
          </cell>
          <cell r="AB11544" t="str">
            <v>PRBC</v>
          </cell>
          <cell r="AF11544">
            <v>0.25</v>
          </cell>
        </row>
        <row r="11545">
          <cell r="A11545" t="str">
            <v>IS_alqt_plus</v>
          </cell>
          <cell r="K11545" t="str">
            <v>PCOQ</v>
          </cell>
          <cell r="M11545" t="str">
            <v>F</v>
          </cell>
          <cell r="AB11545" t="str">
            <v>WB</v>
          </cell>
          <cell r="AF11545">
            <v>1.1000000000000001</v>
          </cell>
        </row>
        <row r="11546">
          <cell r="A11546" t="str">
            <v>IS_alqt_plus</v>
          </cell>
          <cell r="K11546" t="str">
            <v>LCAT</v>
          </cell>
          <cell r="M11546" t="str">
            <v>F</v>
          </cell>
          <cell r="AB11546" t="str">
            <v>serum</v>
          </cell>
          <cell r="AF11546">
            <v>1</v>
          </cell>
        </row>
        <row r="11547">
          <cell r="A11547" t="str">
            <v>IS_alqt_plus</v>
          </cell>
          <cell r="K11547" t="str">
            <v>LCAT</v>
          </cell>
          <cell r="M11547" t="str">
            <v>F</v>
          </cell>
          <cell r="AB11547" t="str">
            <v>serum</v>
          </cell>
          <cell r="AF11547">
            <v>0.5</v>
          </cell>
        </row>
        <row r="11548">
          <cell r="A11548" t="str">
            <v>IS_alqt_plus</v>
          </cell>
          <cell r="K11548" t="str">
            <v>PCOQ</v>
          </cell>
          <cell r="M11548" t="str">
            <v>M</v>
          </cell>
          <cell r="AB11548" t="str">
            <v>serum</v>
          </cell>
          <cell r="AF11548">
            <v>1.25</v>
          </cell>
        </row>
        <row r="11549">
          <cell r="A11549" t="str">
            <v>IS_alqt_plus</v>
          </cell>
          <cell r="K11549" t="str">
            <v>PCOQ</v>
          </cell>
          <cell r="M11549" t="str">
            <v>F</v>
          </cell>
          <cell r="AB11549" t="str">
            <v>WB</v>
          </cell>
          <cell r="AF11549">
            <v>1</v>
          </cell>
        </row>
        <row r="11550">
          <cell r="A11550" t="str">
            <v>IS_alqt_plus</v>
          </cell>
          <cell r="K11550" t="str">
            <v>PCOQ</v>
          </cell>
          <cell r="M11550" t="str">
            <v>F</v>
          </cell>
          <cell r="AB11550" t="str">
            <v>WB</v>
          </cell>
          <cell r="AF11550">
            <v>1.2</v>
          </cell>
        </row>
        <row r="11551">
          <cell r="A11551" t="str">
            <v>IS_alqt_minus</v>
          </cell>
          <cell r="K11551" t="str">
            <v>CMED</v>
          </cell>
          <cell r="M11551" t="str">
            <v>M</v>
          </cell>
          <cell r="AB11551" t="str">
            <v>WB</v>
          </cell>
          <cell r="AF11551">
            <v>0.15</v>
          </cell>
        </row>
        <row r="11552">
          <cell r="A11552" t="str">
            <v>IS_alqt_plus</v>
          </cell>
          <cell r="K11552" t="str">
            <v>EFLA</v>
          </cell>
          <cell r="M11552" t="str">
            <v>M</v>
          </cell>
          <cell r="AB11552" t="str">
            <v>WB</v>
          </cell>
          <cell r="AF11552">
            <v>1</v>
          </cell>
        </row>
        <row r="11553">
          <cell r="A11553" t="str">
            <v>IS_alqt_plus</v>
          </cell>
          <cell r="K11553" t="str">
            <v>EFLA</v>
          </cell>
          <cell r="M11553" t="str">
            <v>M</v>
          </cell>
          <cell r="AB11553" t="str">
            <v>WB</v>
          </cell>
          <cell r="AF11553">
            <v>1</v>
          </cell>
        </row>
        <row r="11554">
          <cell r="A11554" t="str">
            <v>IS_alqt_plus</v>
          </cell>
          <cell r="K11554" t="str">
            <v>DMAD</v>
          </cell>
          <cell r="M11554" t="str">
            <v>F</v>
          </cell>
          <cell r="AB11554" t="str">
            <v>serum</v>
          </cell>
          <cell r="AF11554">
            <v>1</v>
          </cell>
        </row>
        <row r="11555">
          <cell r="A11555" t="str">
            <v>IS_alqt_plus</v>
          </cell>
          <cell r="K11555" t="str">
            <v>DMAD</v>
          </cell>
          <cell r="M11555" t="str">
            <v>F</v>
          </cell>
          <cell r="AB11555" t="str">
            <v>serum</v>
          </cell>
          <cell r="AF11555">
            <v>1</v>
          </cell>
        </row>
        <row r="11556">
          <cell r="A11556" t="str">
            <v>IS_alqt_plus</v>
          </cell>
          <cell r="K11556" t="str">
            <v>DMAD</v>
          </cell>
          <cell r="M11556" t="str">
            <v>F</v>
          </cell>
          <cell r="AB11556" t="str">
            <v>serum</v>
          </cell>
          <cell r="AF11556">
            <v>1</v>
          </cell>
        </row>
        <row r="11557">
          <cell r="A11557" t="str">
            <v>IS_alqt_plus</v>
          </cell>
          <cell r="K11557" t="str">
            <v>DMAD</v>
          </cell>
          <cell r="M11557" t="str">
            <v>F</v>
          </cell>
          <cell r="AB11557" t="str">
            <v>serum</v>
          </cell>
          <cell r="AF11557">
            <v>1</v>
          </cell>
        </row>
        <row r="11558">
          <cell r="A11558" t="str">
            <v>IS_alqt_plus</v>
          </cell>
          <cell r="K11558" t="str">
            <v>DMAD</v>
          </cell>
          <cell r="M11558" t="str">
            <v>F</v>
          </cell>
          <cell r="AB11558" t="str">
            <v>serum</v>
          </cell>
          <cell r="AF11558">
            <v>1</v>
          </cell>
        </row>
        <row r="11559">
          <cell r="A11559" t="str">
            <v>IS_alqt_plus</v>
          </cell>
          <cell r="K11559" t="str">
            <v>DMAD</v>
          </cell>
          <cell r="M11559" t="str">
            <v>F</v>
          </cell>
          <cell r="AB11559" t="str">
            <v>serum</v>
          </cell>
          <cell r="AF11559">
            <v>1</v>
          </cell>
        </row>
        <row r="11560">
          <cell r="A11560" t="str">
            <v>IS_alqt_plus</v>
          </cell>
          <cell r="K11560" t="str">
            <v>DMAD</v>
          </cell>
          <cell r="M11560" t="str">
            <v>F</v>
          </cell>
          <cell r="AB11560" t="str">
            <v>serum</v>
          </cell>
          <cell r="AF11560">
            <v>1</v>
          </cell>
        </row>
        <row r="11561">
          <cell r="A11561" t="str">
            <v>IS_alqt_plus</v>
          </cell>
          <cell r="K11561" t="str">
            <v>DMAD</v>
          </cell>
          <cell r="M11561" t="str">
            <v>F</v>
          </cell>
          <cell r="AB11561" t="str">
            <v>serum</v>
          </cell>
          <cell r="AF11561">
            <v>1</v>
          </cell>
        </row>
        <row r="11562">
          <cell r="A11562" t="str">
            <v>IS_alqt_plus</v>
          </cell>
          <cell r="K11562" t="str">
            <v>DMAD</v>
          </cell>
          <cell r="M11562" t="str">
            <v>F</v>
          </cell>
          <cell r="AB11562" t="str">
            <v>serum</v>
          </cell>
          <cell r="AF11562">
            <v>1</v>
          </cell>
        </row>
        <row r="11563">
          <cell r="A11563" t="str">
            <v>IS_alqt_plus</v>
          </cell>
          <cell r="K11563" t="str">
            <v>DMAD</v>
          </cell>
          <cell r="M11563" t="str">
            <v>F</v>
          </cell>
          <cell r="AB11563" t="str">
            <v>serum</v>
          </cell>
          <cell r="AF11563">
            <v>1</v>
          </cell>
        </row>
        <row r="11564">
          <cell r="A11564" t="str">
            <v>IS_alqt_plus</v>
          </cell>
          <cell r="K11564" t="str">
            <v>DMAD</v>
          </cell>
          <cell r="M11564" t="str">
            <v>F</v>
          </cell>
          <cell r="AB11564" t="str">
            <v>serum</v>
          </cell>
          <cell r="AF11564">
            <v>1</v>
          </cell>
        </row>
        <row r="11565">
          <cell r="A11565" t="str">
            <v>IS_alqt_plus</v>
          </cell>
          <cell r="K11565" t="str">
            <v>DMAD</v>
          </cell>
          <cell r="M11565" t="str">
            <v>F</v>
          </cell>
          <cell r="AB11565" t="str">
            <v>serum</v>
          </cell>
          <cell r="AF11565">
            <v>1</v>
          </cell>
        </row>
        <row r="11566">
          <cell r="A11566" t="str">
            <v>IS_alqt_plus</v>
          </cell>
          <cell r="K11566" t="str">
            <v>DMAD</v>
          </cell>
          <cell r="M11566" t="str">
            <v>F</v>
          </cell>
          <cell r="AB11566" t="str">
            <v>serum</v>
          </cell>
          <cell r="AF11566">
            <v>1</v>
          </cell>
        </row>
        <row r="11567">
          <cell r="A11567" t="str">
            <v>IS_alqt_plus</v>
          </cell>
          <cell r="K11567" t="str">
            <v>DMAD</v>
          </cell>
          <cell r="M11567" t="str">
            <v>F</v>
          </cell>
          <cell r="AB11567" t="str">
            <v>serum</v>
          </cell>
          <cell r="AF11567">
            <v>1</v>
          </cell>
        </row>
        <row r="11568">
          <cell r="A11568" t="str">
            <v>IS_alqt_plus</v>
          </cell>
          <cell r="K11568" t="str">
            <v>DMAD</v>
          </cell>
          <cell r="M11568" t="str">
            <v>F</v>
          </cell>
          <cell r="AB11568" t="str">
            <v>serum</v>
          </cell>
          <cell r="AF11568">
            <v>1</v>
          </cell>
        </row>
        <row r="11569">
          <cell r="A11569" t="str">
            <v>IS_alqt_plus</v>
          </cell>
          <cell r="K11569" t="str">
            <v>DMAD</v>
          </cell>
          <cell r="M11569" t="str">
            <v>F</v>
          </cell>
          <cell r="AB11569" t="str">
            <v>WB</v>
          </cell>
          <cell r="AF11569">
            <v>1</v>
          </cell>
        </row>
        <row r="11570">
          <cell r="A11570" t="str">
            <v>IS_alqt_plus</v>
          </cell>
          <cell r="K11570" t="str">
            <v>DMAD</v>
          </cell>
          <cell r="M11570" t="str">
            <v>F</v>
          </cell>
          <cell r="AB11570" t="str">
            <v>WB</v>
          </cell>
          <cell r="AF11570">
            <v>1</v>
          </cell>
        </row>
        <row r="11571">
          <cell r="A11571" t="str">
            <v>IS_alqt_plus</v>
          </cell>
          <cell r="K11571" t="str">
            <v>DMAD</v>
          </cell>
          <cell r="M11571" t="str">
            <v>F</v>
          </cell>
          <cell r="AB11571" t="str">
            <v>WB</v>
          </cell>
          <cell r="AF11571">
            <v>1</v>
          </cell>
        </row>
        <row r="11572">
          <cell r="A11572" t="str">
            <v>IS_alqt_plus</v>
          </cell>
          <cell r="K11572" t="str">
            <v>DMAD</v>
          </cell>
          <cell r="M11572" t="str">
            <v>F</v>
          </cell>
          <cell r="AB11572" t="str">
            <v>WB</v>
          </cell>
          <cell r="AF11572">
            <v>1</v>
          </cell>
        </row>
        <row r="11573">
          <cell r="A11573" t="str">
            <v>IS_alqt_plus</v>
          </cell>
          <cell r="K11573" t="str">
            <v>DMAD</v>
          </cell>
          <cell r="M11573" t="str">
            <v>F</v>
          </cell>
          <cell r="AB11573" t="str">
            <v>WB</v>
          </cell>
          <cell r="AF11573">
            <v>1</v>
          </cell>
        </row>
        <row r="11574">
          <cell r="A11574" t="str">
            <v>IS_alqt_plus</v>
          </cell>
          <cell r="K11574" t="str">
            <v>DMAD</v>
          </cell>
          <cell r="M11574" t="str">
            <v>F</v>
          </cell>
          <cell r="AB11574" t="str">
            <v>WB</v>
          </cell>
          <cell r="AF11574">
            <v>1</v>
          </cell>
        </row>
        <row r="11575">
          <cell r="A11575" t="str">
            <v>IS_alqt_plus</v>
          </cell>
          <cell r="K11575" t="str">
            <v>DMAD</v>
          </cell>
          <cell r="M11575" t="str">
            <v>F</v>
          </cell>
          <cell r="AB11575" t="str">
            <v>WB</v>
          </cell>
          <cell r="AF11575">
            <v>1</v>
          </cell>
        </row>
        <row r="11576">
          <cell r="A11576" t="str">
            <v>IS_alqt_plus</v>
          </cell>
          <cell r="K11576" t="str">
            <v>DMAD</v>
          </cell>
          <cell r="M11576" t="str">
            <v>F</v>
          </cell>
          <cell r="AB11576" t="str">
            <v>WB</v>
          </cell>
          <cell r="AF11576">
            <v>1</v>
          </cell>
        </row>
        <row r="11577">
          <cell r="A11577" t="str">
            <v>IS_alqt_plus</v>
          </cell>
          <cell r="K11577" t="str">
            <v>DMAD</v>
          </cell>
          <cell r="M11577" t="str">
            <v>F</v>
          </cell>
          <cell r="AB11577" t="str">
            <v>WB</v>
          </cell>
          <cell r="AF11577">
            <v>1</v>
          </cell>
        </row>
        <row r="11578">
          <cell r="A11578" t="str">
            <v>IS_alqt_plus</v>
          </cell>
          <cell r="K11578" t="str">
            <v>DMAD</v>
          </cell>
          <cell r="M11578" t="str">
            <v>F</v>
          </cell>
          <cell r="AB11578" t="str">
            <v>WB</v>
          </cell>
          <cell r="AF11578">
            <v>1</v>
          </cell>
        </row>
        <row r="11579">
          <cell r="A11579" t="str">
            <v>IS_alqt_plus</v>
          </cell>
          <cell r="K11579" t="str">
            <v>DMAD</v>
          </cell>
          <cell r="M11579" t="str">
            <v>F</v>
          </cell>
          <cell r="AB11579" t="str">
            <v>WB</v>
          </cell>
          <cell r="AF11579">
            <v>1</v>
          </cell>
        </row>
        <row r="11580">
          <cell r="A11580" t="str">
            <v>IS_alqt_plus</v>
          </cell>
          <cell r="K11580" t="str">
            <v>DMAD</v>
          </cell>
          <cell r="M11580" t="str">
            <v>F</v>
          </cell>
          <cell r="AB11580" t="str">
            <v>WB</v>
          </cell>
          <cell r="AF11580">
            <v>1</v>
          </cell>
        </row>
        <row r="11581">
          <cell r="A11581" t="str">
            <v>IS_alqt_plus</v>
          </cell>
          <cell r="K11581" t="str">
            <v>DMAD</v>
          </cell>
          <cell r="M11581" t="str">
            <v>F</v>
          </cell>
          <cell r="AB11581" t="str">
            <v>WB</v>
          </cell>
          <cell r="AF11581">
            <v>1</v>
          </cell>
        </row>
        <row r="11582">
          <cell r="A11582" t="str">
            <v>IS_alqt_plus</v>
          </cell>
          <cell r="K11582" t="str">
            <v>DMAD</v>
          </cell>
          <cell r="M11582" t="str">
            <v>F</v>
          </cell>
          <cell r="AB11582" t="str">
            <v>WB</v>
          </cell>
          <cell r="AF11582">
            <v>1</v>
          </cell>
        </row>
        <row r="11583">
          <cell r="A11583" t="str">
            <v>IS_alqt_plus</v>
          </cell>
          <cell r="K11583" t="str">
            <v>DMAD</v>
          </cell>
          <cell r="M11583" t="str">
            <v>F</v>
          </cell>
          <cell r="AB11583" t="str">
            <v>WB</v>
          </cell>
          <cell r="AF11583">
            <v>1</v>
          </cell>
        </row>
        <row r="11584">
          <cell r="A11584" t="str">
            <v>IS_alqt_plus</v>
          </cell>
          <cell r="K11584" t="str">
            <v>DMAD</v>
          </cell>
          <cell r="M11584" t="str">
            <v>F</v>
          </cell>
          <cell r="AB11584" t="str">
            <v>WB</v>
          </cell>
          <cell r="AF11584">
            <v>1</v>
          </cell>
        </row>
        <row r="11585">
          <cell r="A11585" t="str">
            <v>IS_alqt_plus</v>
          </cell>
          <cell r="K11585" t="str">
            <v>DMAD</v>
          </cell>
          <cell r="M11585" t="str">
            <v>F</v>
          </cell>
          <cell r="AB11585" t="str">
            <v>WB</v>
          </cell>
          <cell r="AF11585">
            <v>1</v>
          </cell>
        </row>
        <row r="11586">
          <cell r="A11586" t="str">
            <v>IS_alqt_plus</v>
          </cell>
          <cell r="K11586" t="str">
            <v>DMAD</v>
          </cell>
          <cell r="M11586" t="str">
            <v>F</v>
          </cell>
          <cell r="AB11586" t="str">
            <v>WB</v>
          </cell>
          <cell r="AF11586">
            <v>1</v>
          </cell>
        </row>
        <row r="11587">
          <cell r="A11587" t="str">
            <v>IS_alqt_plus</v>
          </cell>
          <cell r="K11587" t="str">
            <v>DMAD</v>
          </cell>
          <cell r="M11587" t="str">
            <v>F</v>
          </cell>
          <cell r="AB11587" t="str">
            <v>WB</v>
          </cell>
          <cell r="AF11587">
            <v>1</v>
          </cell>
        </row>
        <row r="11588">
          <cell r="A11588" t="str">
            <v>IS_alqt_plus</v>
          </cell>
          <cell r="K11588" t="str">
            <v>DMAD</v>
          </cell>
          <cell r="M11588" t="str">
            <v>F</v>
          </cell>
          <cell r="AB11588" t="str">
            <v>WB</v>
          </cell>
          <cell r="AF11588">
            <v>1</v>
          </cell>
        </row>
        <row r="11589">
          <cell r="A11589" t="str">
            <v>IS_alqt_plus</v>
          </cell>
          <cell r="K11589" t="str">
            <v>DMAD</v>
          </cell>
          <cell r="M11589" t="str">
            <v>F</v>
          </cell>
          <cell r="AB11589" t="str">
            <v>WB</v>
          </cell>
          <cell r="AF11589">
            <v>1</v>
          </cell>
        </row>
        <row r="11590">
          <cell r="A11590" t="str">
            <v>IS_alqt_plus</v>
          </cell>
          <cell r="K11590" t="str">
            <v>DMAD</v>
          </cell>
          <cell r="M11590" t="str">
            <v>F</v>
          </cell>
          <cell r="AB11590" t="str">
            <v>WB</v>
          </cell>
          <cell r="AF11590">
            <v>1</v>
          </cell>
        </row>
        <row r="11591">
          <cell r="A11591" t="str">
            <v>IS_alqt_plus</v>
          </cell>
          <cell r="K11591" t="str">
            <v>DMAD</v>
          </cell>
          <cell r="M11591" t="str">
            <v>F</v>
          </cell>
          <cell r="AB11591" t="str">
            <v>WB</v>
          </cell>
          <cell r="AF11591">
            <v>1</v>
          </cell>
        </row>
        <row r="11592">
          <cell r="A11592" t="str">
            <v>IS_alqt_plus</v>
          </cell>
          <cell r="K11592" t="str">
            <v>MMUR</v>
          </cell>
          <cell r="M11592" t="str">
            <v>M</v>
          </cell>
          <cell r="AB11592" t="str">
            <v>WB</v>
          </cell>
          <cell r="AF11592">
            <v>1</v>
          </cell>
        </row>
        <row r="11593">
          <cell r="A11593" t="str">
            <v>IS_alqt_plus</v>
          </cell>
          <cell r="K11593" t="str">
            <v>PCOQ</v>
          </cell>
          <cell r="M11593" t="str">
            <v>F</v>
          </cell>
          <cell r="AB11593" t="str">
            <v>serum</v>
          </cell>
          <cell r="AF11593">
            <v>1</v>
          </cell>
        </row>
        <row r="11594">
          <cell r="A11594" t="str">
            <v>IS_alqt_plus</v>
          </cell>
          <cell r="K11594" t="str">
            <v>PCOQ</v>
          </cell>
          <cell r="M11594" t="str">
            <v>F</v>
          </cell>
          <cell r="AB11594" t="str">
            <v>serum</v>
          </cell>
          <cell r="AF11594">
            <v>1</v>
          </cell>
        </row>
        <row r="11595">
          <cell r="A11595" t="str">
            <v>gone</v>
          </cell>
          <cell r="K11595" t="str">
            <v>MMUR</v>
          </cell>
          <cell r="M11595" t="str">
            <v>M</v>
          </cell>
          <cell r="AB11595" t="str">
            <v>WB</v>
          </cell>
          <cell r="AF11595">
            <v>0</v>
          </cell>
        </row>
        <row r="11596">
          <cell r="A11596" t="str">
            <v>IS_alqt_plus</v>
          </cell>
          <cell r="K11596" t="str">
            <v>MMUR</v>
          </cell>
          <cell r="M11596" t="str">
            <v>M</v>
          </cell>
          <cell r="AB11596" t="str">
            <v>WB</v>
          </cell>
          <cell r="AF11596">
            <v>1</v>
          </cell>
        </row>
        <row r="11597">
          <cell r="A11597" t="str">
            <v>IS_alqt_plus</v>
          </cell>
          <cell r="K11597" t="str">
            <v>PCOQ</v>
          </cell>
          <cell r="M11597" t="str">
            <v>F</v>
          </cell>
          <cell r="AB11597" t="str">
            <v>serum</v>
          </cell>
          <cell r="AF11597">
            <v>0.2</v>
          </cell>
        </row>
        <row r="11598">
          <cell r="A11598" t="str">
            <v>IS_alqt_plus</v>
          </cell>
          <cell r="K11598" t="str">
            <v>PCOQ</v>
          </cell>
          <cell r="M11598" t="str">
            <v>F</v>
          </cell>
          <cell r="AB11598" t="str">
            <v>serum</v>
          </cell>
          <cell r="AF11598">
            <v>0.2</v>
          </cell>
        </row>
        <row r="11599">
          <cell r="A11599" t="str">
            <v>IS_alqt_plus</v>
          </cell>
          <cell r="K11599" t="str">
            <v>PCOQ</v>
          </cell>
          <cell r="M11599" t="str">
            <v>F</v>
          </cell>
          <cell r="AB11599" t="str">
            <v>WB</v>
          </cell>
          <cell r="AF11599">
            <v>1.2</v>
          </cell>
        </row>
        <row r="11600">
          <cell r="A11600" t="str">
            <v>IS_alqt_plus</v>
          </cell>
          <cell r="K11600" t="str">
            <v>DMAD</v>
          </cell>
          <cell r="M11600" t="str">
            <v>F</v>
          </cell>
          <cell r="AB11600" t="str">
            <v>WB</v>
          </cell>
          <cell r="AF11600">
            <v>1</v>
          </cell>
        </row>
        <row r="11601">
          <cell r="A11601" t="str">
            <v>IS_alqt_plus</v>
          </cell>
          <cell r="K11601" t="str">
            <v>DMAD</v>
          </cell>
          <cell r="M11601" t="str">
            <v>F</v>
          </cell>
          <cell r="AB11601" t="str">
            <v>plasma</v>
          </cell>
          <cell r="AF11601">
            <v>1</v>
          </cell>
        </row>
        <row r="11602">
          <cell r="A11602" t="str">
            <v>IS_alqt_plus</v>
          </cell>
          <cell r="K11602" t="str">
            <v>DMAD</v>
          </cell>
          <cell r="M11602" t="str">
            <v>F</v>
          </cell>
          <cell r="AB11602" t="str">
            <v>WB</v>
          </cell>
          <cell r="AF11602">
            <v>1</v>
          </cell>
        </row>
        <row r="11603">
          <cell r="A11603" t="str">
            <v>IS_alqt_plus</v>
          </cell>
          <cell r="K11603" t="str">
            <v>EFLA</v>
          </cell>
          <cell r="M11603" t="str">
            <v>M</v>
          </cell>
          <cell r="AB11603" t="str">
            <v>serum</v>
          </cell>
          <cell r="AF11603">
            <v>1</v>
          </cell>
        </row>
        <row r="11604">
          <cell r="A11604" t="str">
            <v>gone</v>
          </cell>
          <cell r="K11604" t="str">
            <v>EFLA</v>
          </cell>
          <cell r="M11604" t="str">
            <v>M</v>
          </cell>
          <cell r="AB11604" t="str">
            <v>WB</v>
          </cell>
          <cell r="AF11604">
            <v>0</v>
          </cell>
        </row>
        <row r="11605">
          <cell r="A11605" t="str">
            <v>IS_alqt_plus</v>
          </cell>
          <cell r="K11605" t="str">
            <v>PCOQ</v>
          </cell>
          <cell r="M11605" t="str">
            <v>F</v>
          </cell>
          <cell r="AB11605" t="str">
            <v>PRBC</v>
          </cell>
          <cell r="AF11605">
            <v>0.25</v>
          </cell>
        </row>
        <row r="11606">
          <cell r="A11606" t="str">
            <v>IS_alqt_plus</v>
          </cell>
          <cell r="K11606" t="str">
            <v>PCOQ</v>
          </cell>
          <cell r="M11606" t="str">
            <v>M</v>
          </cell>
          <cell r="AB11606" t="str">
            <v>PRBC</v>
          </cell>
          <cell r="AF11606">
            <v>0.25</v>
          </cell>
        </row>
        <row r="11607">
          <cell r="A11607" t="str">
            <v>gone</v>
          </cell>
          <cell r="K11607" t="str">
            <v>EFLA</v>
          </cell>
          <cell r="M11607" t="str">
            <v>F</v>
          </cell>
          <cell r="AB11607" t="str">
            <v>WB</v>
          </cell>
          <cell r="AF11607">
            <v>0</v>
          </cell>
        </row>
        <row r="11608">
          <cell r="A11608" t="str">
            <v>IS_alqt_plus</v>
          </cell>
          <cell r="K11608" t="str">
            <v>MMUR</v>
          </cell>
          <cell r="M11608" t="str">
            <v>F</v>
          </cell>
          <cell r="AB11608" t="str">
            <v>WB</v>
          </cell>
          <cell r="AF11608">
            <v>0.75</v>
          </cell>
        </row>
        <row r="11609">
          <cell r="A11609" t="str">
            <v>IS_alqt_plus</v>
          </cell>
          <cell r="K11609" t="str">
            <v>PCOQ</v>
          </cell>
          <cell r="M11609" t="str">
            <v>M</v>
          </cell>
          <cell r="AB11609" t="str">
            <v>PRBC</v>
          </cell>
          <cell r="AF11609">
            <v>0.75</v>
          </cell>
        </row>
        <row r="11610">
          <cell r="A11610" t="str">
            <v>IS_alqt_plus</v>
          </cell>
          <cell r="K11610" t="str">
            <v>PCOQ</v>
          </cell>
          <cell r="M11610" t="str">
            <v>F</v>
          </cell>
          <cell r="AB11610" t="str">
            <v>PRBC</v>
          </cell>
          <cell r="AF11610">
            <v>0.25</v>
          </cell>
        </row>
        <row r="11611">
          <cell r="A11611" t="str">
            <v>IS_alqt_plus</v>
          </cell>
          <cell r="K11611" t="str">
            <v>PCOQ</v>
          </cell>
          <cell r="M11611" t="str">
            <v>F</v>
          </cell>
          <cell r="AB11611" t="str">
            <v>PRBC</v>
          </cell>
          <cell r="AF11611">
            <v>0.25</v>
          </cell>
        </row>
        <row r="11612">
          <cell r="A11612" t="str">
            <v>IS_alqt_plus</v>
          </cell>
          <cell r="K11612" t="str">
            <v>PCOQ</v>
          </cell>
          <cell r="M11612" t="str">
            <v>M</v>
          </cell>
          <cell r="AB11612" t="str">
            <v>serum</v>
          </cell>
          <cell r="AF11612">
            <v>1</v>
          </cell>
        </row>
        <row r="11613">
          <cell r="A11613" t="str">
            <v>IS_alqt_plus</v>
          </cell>
          <cell r="K11613" t="str">
            <v>PCOQ</v>
          </cell>
          <cell r="M11613" t="str">
            <v>M</v>
          </cell>
          <cell r="AB11613" t="str">
            <v>serum</v>
          </cell>
          <cell r="AF11613">
            <v>1</v>
          </cell>
        </row>
        <row r="11614">
          <cell r="A11614" t="str">
            <v>IS_alqt_plus</v>
          </cell>
          <cell r="K11614" t="str">
            <v>PCOQ</v>
          </cell>
          <cell r="M11614" t="str">
            <v>M</v>
          </cell>
          <cell r="AB11614" t="str">
            <v>serum</v>
          </cell>
          <cell r="AF11614">
            <v>1</v>
          </cell>
        </row>
        <row r="11615">
          <cell r="A11615" t="str">
            <v>IS_alqt_plus</v>
          </cell>
          <cell r="K11615" t="str">
            <v>PCOQ</v>
          </cell>
          <cell r="M11615" t="str">
            <v>M</v>
          </cell>
          <cell r="AB11615" t="str">
            <v>serum</v>
          </cell>
          <cell r="AF11615">
            <v>1</v>
          </cell>
        </row>
        <row r="11616">
          <cell r="A11616" t="str">
            <v>IS_alqt_plus</v>
          </cell>
          <cell r="K11616" t="str">
            <v>PCOQ</v>
          </cell>
          <cell r="M11616" t="str">
            <v>M</v>
          </cell>
          <cell r="AB11616" t="str">
            <v>serum</v>
          </cell>
          <cell r="AF11616">
            <v>1</v>
          </cell>
        </row>
        <row r="11617">
          <cell r="A11617" t="str">
            <v>IS_alqt_plus</v>
          </cell>
          <cell r="K11617" t="str">
            <v>PCOQ</v>
          </cell>
          <cell r="M11617" t="str">
            <v>M</v>
          </cell>
          <cell r="AB11617" t="str">
            <v>serum</v>
          </cell>
          <cell r="AF11617">
            <v>1</v>
          </cell>
        </row>
        <row r="11618">
          <cell r="A11618" t="str">
            <v>IS_alqt_plus</v>
          </cell>
          <cell r="K11618" t="str">
            <v>PCOQ</v>
          </cell>
          <cell r="M11618" t="str">
            <v>M</v>
          </cell>
          <cell r="AB11618" t="str">
            <v>serum</v>
          </cell>
          <cell r="AF11618">
            <v>1</v>
          </cell>
        </row>
        <row r="11619">
          <cell r="A11619" t="str">
            <v>IS_alqt_plus</v>
          </cell>
          <cell r="K11619" t="str">
            <v>PCOQ</v>
          </cell>
          <cell r="M11619" t="str">
            <v>M</v>
          </cell>
          <cell r="AB11619" t="str">
            <v>serum</v>
          </cell>
          <cell r="AF11619">
            <v>1</v>
          </cell>
        </row>
        <row r="11620">
          <cell r="A11620" t="str">
            <v>IS_alqt_plus</v>
          </cell>
          <cell r="K11620" t="str">
            <v>PCOQ</v>
          </cell>
          <cell r="M11620" t="str">
            <v>M</v>
          </cell>
          <cell r="AB11620" t="str">
            <v>serum</v>
          </cell>
          <cell r="AF11620">
            <v>1</v>
          </cell>
        </row>
        <row r="11621">
          <cell r="A11621" t="str">
            <v>IS_alqt_plus</v>
          </cell>
          <cell r="K11621" t="str">
            <v>PCOQ</v>
          </cell>
          <cell r="M11621" t="str">
            <v>M</v>
          </cell>
          <cell r="AB11621" t="str">
            <v>serum</v>
          </cell>
          <cell r="AF11621">
            <v>1</v>
          </cell>
        </row>
        <row r="11622">
          <cell r="A11622" t="str">
            <v>IS_alqt_plus</v>
          </cell>
          <cell r="K11622" t="str">
            <v>PCOQ</v>
          </cell>
          <cell r="M11622" t="str">
            <v>M</v>
          </cell>
          <cell r="AB11622" t="str">
            <v>serum</v>
          </cell>
          <cell r="AF11622">
            <v>1</v>
          </cell>
        </row>
        <row r="11623">
          <cell r="A11623" t="str">
            <v>IS_alqt_plus</v>
          </cell>
          <cell r="K11623" t="str">
            <v>PCOQ</v>
          </cell>
          <cell r="M11623" t="str">
            <v>M</v>
          </cell>
          <cell r="AB11623" t="str">
            <v>serum</v>
          </cell>
          <cell r="AF11623">
            <v>1</v>
          </cell>
        </row>
        <row r="11624">
          <cell r="A11624" t="str">
            <v>IS_alqt_plus</v>
          </cell>
          <cell r="K11624" t="str">
            <v>PCOQ</v>
          </cell>
          <cell r="M11624" t="str">
            <v>M</v>
          </cell>
          <cell r="AB11624" t="str">
            <v>serum</v>
          </cell>
          <cell r="AF11624">
            <v>1</v>
          </cell>
        </row>
        <row r="11625">
          <cell r="A11625" t="str">
            <v>IS_alqt_plus</v>
          </cell>
          <cell r="K11625" t="str">
            <v>PCOQ</v>
          </cell>
          <cell r="M11625" t="str">
            <v>M</v>
          </cell>
          <cell r="AB11625" t="str">
            <v>serum</v>
          </cell>
          <cell r="AF11625">
            <v>1</v>
          </cell>
        </row>
        <row r="11626">
          <cell r="A11626" t="str">
            <v>IS_alqt_plus</v>
          </cell>
          <cell r="K11626" t="str">
            <v>PCOQ</v>
          </cell>
          <cell r="M11626" t="str">
            <v>M</v>
          </cell>
          <cell r="AB11626" t="str">
            <v>serum</v>
          </cell>
          <cell r="AF11626">
            <v>1</v>
          </cell>
        </row>
        <row r="11627">
          <cell r="A11627" t="str">
            <v>IS_alqt_plus</v>
          </cell>
          <cell r="K11627" t="str">
            <v>PCOQ</v>
          </cell>
          <cell r="M11627" t="str">
            <v>M</v>
          </cell>
          <cell r="AB11627" t="str">
            <v>serum</v>
          </cell>
          <cell r="AF11627">
            <v>1</v>
          </cell>
        </row>
        <row r="11628">
          <cell r="A11628" t="str">
            <v>IS_alqt_plus</v>
          </cell>
          <cell r="K11628" t="str">
            <v>PCOQ</v>
          </cell>
          <cell r="M11628" t="str">
            <v>M</v>
          </cell>
          <cell r="AB11628" t="str">
            <v>serum</v>
          </cell>
          <cell r="AF11628">
            <v>1</v>
          </cell>
        </row>
        <row r="11629">
          <cell r="A11629" t="str">
            <v>IS_alqt_plus</v>
          </cell>
          <cell r="K11629" t="str">
            <v>PCOQ</v>
          </cell>
          <cell r="M11629" t="str">
            <v>M</v>
          </cell>
          <cell r="AB11629" t="str">
            <v>serum</v>
          </cell>
          <cell r="AF11629">
            <v>1</v>
          </cell>
        </row>
        <row r="11630">
          <cell r="A11630" t="str">
            <v>IS_alqt_plus</v>
          </cell>
          <cell r="K11630" t="str">
            <v>PCOQ</v>
          </cell>
          <cell r="M11630" t="str">
            <v>M</v>
          </cell>
          <cell r="AB11630" t="str">
            <v>serum</v>
          </cell>
          <cell r="AF11630">
            <v>1</v>
          </cell>
        </row>
        <row r="11631">
          <cell r="A11631" t="str">
            <v>IS_alqt_plus</v>
          </cell>
          <cell r="K11631" t="str">
            <v>PCOQ</v>
          </cell>
          <cell r="M11631" t="str">
            <v>M</v>
          </cell>
          <cell r="AB11631" t="str">
            <v>serum</v>
          </cell>
          <cell r="AF11631">
            <v>1</v>
          </cell>
        </row>
        <row r="11632">
          <cell r="A11632" t="str">
            <v>IS_alqt_plus</v>
          </cell>
          <cell r="K11632" t="str">
            <v>PCOQ</v>
          </cell>
          <cell r="M11632" t="str">
            <v>M</v>
          </cell>
          <cell r="AB11632" t="str">
            <v>serum</v>
          </cell>
          <cell r="AF11632">
            <v>1</v>
          </cell>
        </row>
        <row r="11633">
          <cell r="A11633" t="str">
            <v>IS_alqt_plus</v>
          </cell>
          <cell r="K11633" t="str">
            <v>PCOQ</v>
          </cell>
          <cell r="M11633" t="str">
            <v>M</v>
          </cell>
          <cell r="AB11633" t="str">
            <v>serum</v>
          </cell>
          <cell r="AF11633">
            <v>1</v>
          </cell>
        </row>
        <row r="11634">
          <cell r="A11634" t="str">
            <v>IS_alqt_plus</v>
          </cell>
          <cell r="K11634" t="str">
            <v>PCOQ</v>
          </cell>
          <cell r="M11634" t="str">
            <v>M</v>
          </cell>
          <cell r="AB11634" t="str">
            <v>serum</v>
          </cell>
          <cell r="AF11634">
            <v>1</v>
          </cell>
        </row>
        <row r="11635">
          <cell r="A11635" t="str">
            <v>IS_alqt_plus</v>
          </cell>
          <cell r="K11635" t="str">
            <v>PCOQ</v>
          </cell>
          <cell r="M11635" t="str">
            <v>M</v>
          </cell>
          <cell r="AB11635" t="str">
            <v>serum</v>
          </cell>
          <cell r="AF11635">
            <v>1</v>
          </cell>
        </row>
        <row r="11636">
          <cell r="A11636" t="str">
            <v>IS_alqt_plus</v>
          </cell>
          <cell r="K11636" t="str">
            <v>PCOQ</v>
          </cell>
          <cell r="M11636" t="str">
            <v>M</v>
          </cell>
          <cell r="AB11636" t="str">
            <v>serum</v>
          </cell>
          <cell r="AF11636">
            <v>1</v>
          </cell>
        </row>
        <row r="11637">
          <cell r="A11637" t="str">
            <v>IS_alqt_plus</v>
          </cell>
          <cell r="K11637" t="str">
            <v>PCOQ</v>
          </cell>
          <cell r="M11637" t="str">
            <v>M</v>
          </cell>
          <cell r="AB11637" t="str">
            <v>serum</v>
          </cell>
          <cell r="AF11637">
            <v>1</v>
          </cell>
        </row>
        <row r="11638">
          <cell r="A11638" t="str">
            <v>IS_alqt_plus</v>
          </cell>
          <cell r="K11638" t="str">
            <v>PCOQ</v>
          </cell>
          <cell r="M11638" t="str">
            <v>M</v>
          </cell>
          <cell r="AB11638" t="str">
            <v>serum</v>
          </cell>
          <cell r="AF11638">
            <v>1</v>
          </cell>
        </row>
        <row r="11639">
          <cell r="A11639" t="str">
            <v>IS_alqt_plus</v>
          </cell>
          <cell r="K11639" t="str">
            <v>PCOQ</v>
          </cell>
          <cell r="M11639" t="str">
            <v>M</v>
          </cell>
          <cell r="AB11639" t="str">
            <v>serum</v>
          </cell>
          <cell r="AF11639">
            <v>1</v>
          </cell>
        </row>
        <row r="11640">
          <cell r="A11640" t="str">
            <v>IS_alqt_plus</v>
          </cell>
          <cell r="K11640" t="str">
            <v>PCOQ</v>
          </cell>
          <cell r="M11640" t="str">
            <v>M</v>
          </cell>
          <cell r="AB11640" t="str">
            <v>serum</v>
          </cell>
          <cell r="AF11640">
            <v>1</v>
          </cell>
        </row>
        <row r="11641">
          <cell r="A11641" t="str">
            <v>IS_alqt_plus</v>
          </cell>
          <cell r="K11641" t="str">
            <v>PCOQ</v>
          </cell>
          <cell r="M11641" t="str">
            <v>M</v>
          </cell>
          <cell r="AB11641" t="str">
            <v>serum</v>
          </cell>
          <cell r="AF11641">
            <v>1</v>
          </cell>
        </row>
        <row r="11642">
          <cell r="A11642" t="str">
            <v>IS_alqt_plus</v>
          </cell>
          <cell r="K11642" t="str">
            <v>PCOQ</v>
          </cell>
          <cell r="M11642" t="str">
            <v>M</v>
          </cell>
          <cell r="AB11642" t="str">
            <v>serum</v>
          </cell>
          <cell r="AF11642">
            <v>1</v>
          </cell>
        </row>
        <row r="11643">
          <cell r="A11643" t="str">
            <v>IS_alqt_plus</v>
          </cell>
          <cell r="K11643" t="str">
            <v>PCOQ</v>
          </cell>
          <cell r="M11643" t="str">
            <v>M</v>
          </cell>
          <cell r="AB11643" t="str">
            <v>serum</v>
          </cell>
          <cell r="AF11643">
            <v>1</v>
          </cell>
        </row>
        <row r="11644">
          <cell r="A11644" t="str">
            <v>IS_alqt_plus</v>
          </cell>
          <cell r="K11644" t="str">
            <v>PCOQ</v>
          </cell>
          <cell r="M11644" t="str">
            <v>M</v>
          </cell>
          <cell r="AB11644" t="str">
            <v>serum</v>
          </cell>
          <cell r="AF11644">
            <v>1</v>
          </cell>
        </row>
        <row r="11645">
          <cell r="A11645" t="str">
            <v>IS_alqt_plus</v>
          </cell>
          <cell r="K11645" t="str">
            <v>PCOQ</v>
          </cell>
          <cell r="M11645" t="str">
            <v>M</v>
          </cell>
          <cell r="AB11645" t="str">
            <v>serum</v>
          </cell>
          <cell r="AF11645">
            <v>1</v>
          </cell>
        </row>
        <row r="11646">
          <cell r="A11646" t="str">
            <v>IS_alqt_plus</v>
          </cell>
          <cell r="K11646" t="str">
            <v>PCOQ</v>
          </cell>
          <cell r="M11646" t="str">
            <v>M</v>
          </cell>
          <cell r="AB11646" t="str">
            <v>serum</v>
          </cell>
          <cell r="AF11646">
            <v>1</v>
          </cell>
        </row>
        <row r="11647">
          <cell r="A11647" t="str">
            <v>IS_alqt_plus</v>
          </cell>
          <cell r="K11647" t="str">
            <v>PCOQ</v>
          </cell>
          <cell r="M11647" t="str">
            <v>M</v>
          </cell>
          <cell r="AB11647" t="str">
            <v>serum</v>
          </cell>
          <cell r="AF11647">
            <v>1</v>
          </cell>
        </row>
        <row r="11648">
          <cell r="A11648" t="str">
            <v>IS_alqt_plus</v>
          </cell>
          <cell r="K11648" t="str">
            <v>PCOQ</v>
          </cell>
          <cell r="M11648" t="str">
            <v>M</v>
          </cell>
          <cell r="AB11648" t="str">
            <v>serum</v>
          </cell>
          <cell r="AF11648">
            <v>1</v>
          </cell>
        </row>
        <row r="11649">
          <cell r="A11649" t="str">
            <v>IS_alqt_plus</v>
          </cell>
          <cell r="K11649" t="str">
            <v>PCOQ</v>
          </cell>
          <cell r="M11649" t="str">
            <v>M</v>
          </cell>
          <cell r="AB11649" t="str">
            <v>serum</v>
          </cell>
          <cell r="AF11649">
            <v>1</v>
          </cell>
        </row>
        <row r="11650">
          <cell r="A11650" t="str">
            <v>IS_alqt_plus</v>
          </cell>
          <cell r="K11650" t="str">
            <v>PCOQ</v>
          </cell>
          <cell r="M11650" t="str">
            <v>M</v>
          </cell>
          <cell r="AB11650" t="str">
            <v>serum</v>
          </cell>
          <cell r="AF11650">
            <v>1</v>
          </cell>
        </row>
        <row r="11651">
          <cell r="A11651" t="str">
            <v>IS_alqt_plus</v>
          </cell>
          <cell r="K11651" t="str">
            <v>PCOQ</v>
          </cell>
          <cell r="M11651" t="str">
            <v>M</v>
          </cell>
          <cell r="AB11651" t="str">
            <v>serum</v>
          </cell>
          <cell r="AF11651">
            <v>1</v>
          </cell>
        </row>
        <row r="11652">
          <cell r="A11652" t="str">
            <v>IS_alqt_plus</v>
          </cell>
          <cell r="K11652" t="str">
            <v>PCOQ</v>
          </cell>
          <cell r="M11652" t="str">
            <v>M</v>
          </cell>
          <cell r="AB11652" t="str">
            <v>serum</v>
          </cell>
          <cell r="AF11652">
            <v>1</v>
          </cell>
        </row>
        <row r="11653">
          <cell r="A11653" t="str">
            <v>IS_alqt_plus</v>
          </cell>
          <cell r="K11653" t="str">
            <v>PCOQ</v>
          </cell>
          <cell r="M11653" t="str">
            <v>M</v>
          </cell>
          <cell r="AB11653" t="str">
            <v>serum</v>
          </cell>
          <cell r="AF11653">
            <v>1</v>
          </cell>
        </row>
        <row r="11654">
          <cell r="A11654" t="str">
            <v>IS_alqt_plus</v>
          </cell>
          <cell r="K11654" t="str">
            <v>PCOQ</v>
          </cell>
          <cell r="M11654" t="str">
            <v>M</v>
          </cell>
          <cell r="AB11654" t="str">
            <v>serum</v>
          </cell>
          <cell r="AF11654">
            <v>1</v>
          </cell>
        </row>
        <row r="11655">
          <cell r="A11655" t="str">
            <v>IS_alqt_plus</v>
          </cell>
          <cell r="K11655" t="str">
            <v>PCOQ</v>
          </cell>
          <cell r="M11655" t="str">
            <v>M</v>
          </cell>
          <cell r="AB11655" t="str">
            <v>serum</v>
          </cell>
          <cell r="AF11655">
            <v>1</v>
          </cell>
        </row>
        <row r="11656">
          <cell r="A11656" t="str">
            <v>IS_alqt_plus</v>
          </cell>
          <cell r="K11656" t="str">
            <v>PCOQ</v>
          </cell>
          <cell r="M11656" t="str">
            <v>M</v>
          </cell>
          <cell r="AB11656" t="str">
            <v>serum</v>
          </cell>
          <cell r="AF11656">
            <v>1</v>
          </cell>
        </row>
        <row r="11657">
          <cell r="A11657" t="str">
            <v>IS_alqt_plus</v>
          </cell>
          <cell r="K11657" t="str">
            <v>PCOQ</v>
          </cell>
          <cell r="M11657" t="str">
            <v>M</v>
          </cell>
          <cell r="AB11657" t="str">
            <v>serum</v>
          </cell>
          <cell r="AF11657">
            <v>1</v>
          </cell>
        </row>
        <row r="11658">
          <cell r="A11658" t="str">
            <v>IS_alqt_plus</v>
          </cell>
          <cell r="K11658" t="str">
            <v>PCOQ</v>
          </cell>
          <cell r="M11658" t="str">
            <v>M</v>
          </cell>
          <cell r="AB11658" t="str">
            <v>serum</v>
          </cell>
          <cell r="AF11658">
            <v>1</v>
          </cell>
        </row>
        <row r="11659">
          <cell r="A11659" t="str">
            <v>IS_alqt_plus</v>
          </cell>
          <cell r="K11659" t="str">
            <v>PCOQ</v>
          </cell>
          <cell r="M11659" t="str">
            <v>M</v>
          </cell>
          <cell r="AB11659" t="str">
            <v>serum</v>
          </cell>
          <cell r="AF11659">
            <v>1</v>
          </cell>
        </row>
        <row r="11660">
          <cell r="A11660" t="str">
            <v>IS_alqt_plus</v>
          </cell>
          <cell r="K11660" t="str">
            <v>PCOQ</v>
          </cell>
          <cell r="M11660" t="str">
            <v>M</v>
          </cell>
          <cell r="AB11660" t="str">
            <v>PRBC</v>
          </cell>
          <cell r="AF11660">
            <v>0.25</v>
          </cell>
        </row>
        <row r="11661">
          <cell r="A11661" t="str">
            <v>IS_alqt_plus</v>
          </cell>
          <cell r="K11661" t="str">
            <v>PCOQ</v>
          </cell>
          <cell r="M11661" t="str">
            <v>F</v>
          </cell>
          <cell r="AB11661" t="str">
            <v>WB</v>
          </cell>
          <cell r="AF11661">
            <v>1.2</v>
          </cell>
        </row>
        <row r="11662">
          <cell r="A11662" t="str">
            <v>IS_alqt_plus</v>
          </cell>
          <cell r="K11662" t="str">
            <v>PCOQ</v>
          </cell>
          <cell r="M11662" t="str">
            <v>F</v>
          </cell>
          <cell r="AB11662" t="str">
            <v>WB</v>
          </cell>
          <cell r="AF11662">
            <v>1.2</v>
          </cell>
        </row>
        <row r="11663">
          <cell r="A11663" t="str">
            <v>IS_alqt_plus</v>
          </cell>
          <cell r="K11663" t="str">
            <v>PCOQ</v>
          </cell>
          <cell r="M11663" t="str">
            <v>F</v>
          </cell>
          <cell r="AB11663" t="str">
            <v>WB</v>
          </cell>
          <cell r="AF11663">
            <v>1.2</v>
          </cell>
        </row>
        <row r="11664">
          <cell r="A11664" t="str">
            <v>IS_alqt_plus</v>
          </cell>
          <cell r="K11664" t="str">
            <v>PCOQ</v>
          </cell>
          <cell r="M11664" t="str">
            <v>F</v>
          </cell>
          <cell r="AB11664" t="str">
            <v>WB</v>
          </cell>
          <cell r="AF11664">
            <v>1.2</v>
          </cell>
        </row>
        <row r="11665">
          <cell r="A11665" t="str">
            <v>IS_alqt_plus</v>
          </cell>
          <cell r="K11665" t="str">
            <v>PCOQ</v>
          </cell>
          <cell r="M11665" t="str">
            <v>F</v>
          </cell>
          <cell r="AB11665" t="str">
            <v>WB</v>
          </cell>
          <cell r="AF11665">
            <v>1.3</v>
          </cell>
        </row>
        <row r="11666">
          <cell r="A11666" t="str">
            <v>IS_alqt_plus</v>
          </cell>
          <cell r="K11666" t="str">
            <v>PCOQ</v>
          </cell>
          <cell r="M11666" t="str">
            <v>F</v>
          </cell>
          <cell r="AB11666" t="str">
            <v>WB</v>
          </cell>
          <cell r="AF11666">
            <v>1.2</v>
          </cell>
        </row>
        <row r="11667">
          <cell r="A11667" t="str">
            <v>IS_alqt_plus</v>
          </cell>
          <cell r="K11667" t="str">
            <v>PCOQ</v>
          </cell>
          <cell r="M11667" t="str">
            <v>F</v>
          </cell>
          <cell r="AB11667" t="str">
            <v>WB</v>
          </cell>
          <cell r="AF11667">
            <v>1.2</v>
          </cell>
        </row>
        <row r="11668">
          <cell r="A11668" t="str">
            <v>IS_alqt_plus</v>
          </cell>
          <cell r="K11668" t="str">
            <v>PCOQ</v>
          </cell>
          <cell r="M11668" t="str">
            <v>F</v>
          </cell>
          <cell r="AB11668" t="str">
            <v>WB</v>
          </cell>
          <cell r="AF11668">
            <v>1.1000000000000001</v>
          </cell>
        </row>
        <row r="11669">
          <cell r="A11669" t="str">
            <v>IS_alqt_plus</v>
          </cell>
          <cell r="K11669" t="str">
            <v>PCOQ</v>
          </cell>
          <cell r="M11669" t="str">
            <v>F</v>
          </cell>
          <cell r="AB11669" t="str">
            <v>WB</v>
          </cell>
          <cell r="AF11669">
            <v>0.2</v>
          </cell>
        </row>
        <row r="11670">
          <cell r="A11670" t="str">
            <v>gone</v>
          </cell>
          <cell r="K11670" t="str">
            <v>PCOQ</v>
          </cell>
          <cell r="M11670" t="str">
            <v>F</v>
          </cell>
          <cell r="AB11670" t="str">
            <v>WB</v>
          </cell>
          <cell r="AF11670">
            <v>0</v>
          </cell>
        </row>
        <row r="11671">
          <cell r="A11671" t="str">
            <v>IS_alqt_plus</v>
          </cell>
          <cell r="K11671" t="str">
            <v>PCOQ</v>
          </cell>
          <cell r="M11671" t="str">
            <v>F</v>
          </cell>
          <cell r="AB11671" t="str">
            <v>WB</v>
          </cell>
          <cell r="AF11671">
            <v>0.25</v>
          </cell>
        </row>
        <row r="11672">
          <cell r="A11672" t="str">
            <v>gone</v>
          </cell>
          <cell r="K11672" t="str">
            <v>PCOQ</v>
          </cell>
          <cell r="M11672" t="str">
            <v>F</v>
          </cell>
          <cell r="AB11672" t="str">
            <v>WB</v>
          </cell>
          <cell r="AF11672">
            <v>0</v>
          </cell>
        </row>
        <row r="11673">
          <cell r="A11673" t="str">
            <v>IS_alqt_plus</v>
          </cell>
          <cell r="K11673" t="str">
            <v>PCOQ</v>
          </cell>
          <cell r="M11673" t="str">
            <v>M</v>
          </cell>
          <cell r="AB11673" t="str">
            <v>WB</v>
          </cell>
          <cell r="AF11673">
            <v>1</v>
          </cell>
        </row>
        <row r="11674">
          <cell r="A11674" t="str">
            <v>IS_alqt_plus</v>
          </cell>
          <cell r="K11674" t="str">
            <v>PCOQ</v>
          </cell>
          <cell r="M11674" t="str">
            <v>M</v>
          </cell>
          <cell r="AB11674" t="str">
            <v>WB</v>
          </cell>
          <cell r="AF11674">
            <v>1</v>
          </cell>
        </row>
        <row r="11675">
          <cell r="A11675" t="str">
            <v>IS_alqt_plus</v>
          </cell>
          <cell r="K11675" t="str">
            <v>PCOQ</v>
          </cell>
          <cell r="M11675" t="str">
            <v>M</v>
          </cell>
          <cell r="AB11675" t="str">
            <v>WB</v>
          </cell>
          <cell r="AF11675">
            <v>1.3</v>
          </cell>
        </row>
        <row r="11676">
          <cell r="A11676" t="str">
            <v>IS_alqt_plus</v>
          </cell>
          <cell r="K11676" t="str">
            <v>PCOQ</v>
          </cell>
          <cell r="M11676" t="str">
            <v>M</v>
          </cell>
          <cell r="AB11676" t="str">
            <v>WB</v>
          </cell>
          <cell r="AF11676">
            <v>0.5</v>
          </cell>
        </row>
        <row r="11677">
          <cell r="A11677" t="str">
            <v>gone</v>
          </cell>
          <cell r="K11677" t="str">
            <v>PCOQ</v>
          </cell>
          <cell r="M11677" t="str">
            <v>F</v>
          </cell>
          <cell r="AB11677" t="str">
            <v>WB</v>
          </cell>
          <cell r="AF11677">
            <v>0</v>
          </cell>
        </row>
        <row r="11678">
          <cell r="A11678" t="str">
            <v>IS_alqt_plus</v>
          </cell>
          <cell r="K11678" t="str">
            <v>PCOQ</v>
          </cell>
          <cell r="M11678" t="str">
            <v>M</v>
          </cell>
          <cell r="AB11678" t="str">
            <v>WB</v>
          </cell>
          <cell r="AF11678">
            <v>1</v>
          </cell>
        </row>
        <row r="11679">
          <cell r="A11679" t="str">
            <v>IS_alqt_plus</v>
          </cell>
          <cell r="K11679" t="str">
            <v>PCOQ</v>
          </cell>
          <cell r="M11679" t="str">
            <v>M</v>
          </cell>
          <cell r="AB11679" t="str">
            <v>WB</v>
          </cell>
          <cell r="AF11679">
            <v>1.5</v>
          </cell>
        </row>
        <row r="11680">
          <cell r="A11680" t="str">
            <v>IS_alqt_plus</v>
          </cell>
          <cell r="K11680" t="str">
            <v>PCOQ</v>
          </cell>
          <cell r="M11680" t="str">
            <v>M</v>
          </cell>
          <cell r="AB11680" t="str">
            <v>WB</v>
          </cell>
          <cell r="AF11680">
            <v>1.1000000000000001</v>
          </cell>
        </row>
        <row r="11681">
          <cell r="A11681" t="str">
            <v>IS_alqt_plus</v>
          </cell>
          <cell r="K11681" t="str">
            <v>PCOQ</v>
          </cell>
          <cell r="M11681" t="str">
            <v>M</v>
          </cell>
          <cell r="AB11681" t="str">
            <v>WB</v>
          </cell>
          <cell r="AF11681">
            <v>0.7</v>
          </cell>
        </row>
        <row r="11682">
          <cell r="A11682" t="str">
            <v>IS_alqt_plus</v>
          </cell>
          <cell r="K11682" t="str">
            <v>PCOQ</v>
          </cell>
          <cell r="M11682" t="str">
            <v>M</v>
          </cell>
          <cell r="AB11682" t="str">
            <v>WB</v>
          </cell>
          <cell r="AF11682">
            <v>1</v>
          </cell>
        </row>
        <row r="11683">
          <cell r="A11683" t="str">
            <v>IS_alqt_plus</v>
          </cell>
          <cell r="K11683" t="str">
            <v>PCOQ</v>
          </cell>
          <cell r="M11683" t="str">
            <v>M</v>
          </cell>
          <cell r="AB11683" t="str">
            <v>WB</v>
          </cell>
          <cell r="AF11683">
            <v>0.2</v>
          </cell>
        </row>
        <row r="11684">
          <cell r="A11684" t="str">
            <v>IS_alqt_plus</v>
          </cell>
          <cell r="K11684" t="str">
            <v>PCOQ</v>
          </cell>
          <cell r="M11684" t="str">
            <v>M</v>
          </cell>
          <cell r="AB11684" t="str">
            <v>WB</v>
          </cell>
          <cell r="AF11684">
            <v>0.2</v>
          </cell>
        </row>
        <row r="11685">
          <cell r="A11685" t="str">
            <v>IS_alqt_plus</v>
          </cell>
          <cell r="K11685" t="str">
            <v>PCOQ</v>
          </cell>
          <cell r="M11685" t="str">
            <v>M</v>
          </cell>
          <cell r="AB11685" t="str">
            <v>WB</v>
          </cell>
          <cell r="AF11685">
            <v>0.2</v>
          </cell>
        </row>
        <row r="11686">
          <cell r="A11686" t="str">
            <v>IS_alqt_plus</v>
          </cell>
          <cell r="K11686" t="str">
            <v>PCOQ</v>
          </cell>
          <cell r="M11686" t="str">
            <v>M</v>
          </cell>
          <cell r="AB11686" t="str">
            <v>WB</v>
          </cell>
          <cell r="AF11686">
            <v>0.2</v>
          </cell>
        </row>
        <row r="11687">
          <cell r="A11687" t="str">
            <v>IS_alqt_plus</v>
          </cell>
          <cell r="K11687" t="str">
            <v>PCOQ</v>
          </cell>
          <cell r="M11687" t="str">
            <v>M</v>
          </cell>
          <cell r="AB11687" t="str">
            <v>WB</v>
          </cell>
          <cell r="AF11687">
            <v>0.2</v>
          </cell>
        </row>
        <row r="11688">
          <cell r="A11688" t="str">
            <v>IS_alqt_plus</v>
          </cell>
          <cell r="K11688" t="str">
            <v>PCOQ</v>
          </cell>
          <cell r="M11688" t="str">
            <v>M</v>
          </cell>
          <cell r="AB11688" t="str">
            <v>WB</v>
          </cell>
          <cell r="AF11688">
            <v>0.2</v>
          </cell>
        </row>
        <row r="11689">
          <cell r="A11689" t="str">
            <v>gone</v>
          </cell>
          <cell r="K11689" t="str">
            <v>PCOQ</v>
          </cell>
          <cell r="M11689" t="str">
            <v>M</v>
          </cell>
          <cell r="AB11689" t="str">
            <v>WB</v>
          </cell>
          <cell r="AF11689">
            <v>0</v>
          </cell>
        </row>
        <row r="11690">
          <cell r="A11690" t="str">
            <v>IS_alqt_plus</v>
          </cell>
          <cell r="K11690" t="str">
            <v>PCOQ</v>
          </cell>
          <cell r="M11690" t="str">
            <v>M</v>
          </cell>
          <cell r="AB11690" t="str">
            <v>WB</v>
          </cell>
          <cell r="AF11690">
            <v>0.9</v>
          </cell>
        </row>
        <row r="11691">
          <cell r="A11691" t="str">
            <v>IS_alqt_minus</v>
          </cell>
          <cell r="K11691" t="str">
            <v>MMUR</v>
          </cell>
          <cell r="M11691" t="str">
            <v>M</v>
          </cell>
          <cell r="AB11691" t="str">
            <v>WB</v>
          </cell>
          <cell r="AF11691">
            <v>0.1</v>
          </cell>
        </row>
        <row r="11692">
          <cell r="A11692" t="str">
            <v>IS_alqt_minus</v>
          </cell>
          <cell r="K11692" t="str">
            <v>MMUR</v>
          </cell>
          <cell r="M11692" t="str">
            <v>M</v>
          </cell>
          <cell r="AB11692" t="str">
            <v>WB</v>
          </cell>
          <cell r="AF11692">
            <v>0.15</v>
          </cell>
        </row>
        <row r="11693">
          <cell r="A11693" t="str">
            <v>IS_alqt_plus</v>
          </cell>
          <cell r="K11693" t="str">
            <v>DMAD</v>
          </cell>
          <cell r="M11693" t="str">
            <v>F</v>
          </cell>
          <cell r="AB11693" t="str">
            <v>serum</v>
          </cell>
          <cell r="AF11693">
            <v>1</v>
          </cell>
        </row>
        <row r="11694">
          <cell r="A11694" t="str">
            <v>IS_alqt_plus</v>
          </cell>
          <cell r="K11694" t="str">
            <v>DMAD</v>
          </cell>
          <cell r="M11694" t="str">
            <v>F</v>
          </cell>
          <cell r="AB11694" t="str">
            <v>serum</v>
          </cell>
          <cell r="AF11694">
            <v>1</v>
          </cell>
        </row>
        <row r="11695">
          <cell r="A11695" t="str">
            <v>IS_alqt_plus</v>
          </cell>
          <cell r="K11695" t="str">
            <v>DMAD</v>
          </cell>
          <cell r="M11695" t="str">
            <v>F</v>
          </cell>
          <cell r="AB11695" t="str">
            <v>serum</v>
          </cell>
          <cell r="AF11695">
            <v>1</v>
          </cell>
        </row>
        <row r="11696">
          <cell r="A11696" t="str">
            <v>IS_alqt_plus</v>
          </cell>
          <cell r="K11696" t="str">
            <v>DMAD</v>
          </cell>
          <cell r="M11696" t="str">
            <v>F</v>
          </cell>
          <cell r="AB11696" t="str">
            <v>serum</v>
          </cell>
          <cell r="AF11696">
            <v>1</v>
          </cell>
        </row>
        <row r="11697">
          <cell r="A11697" t="str">
            <v>IS_alqt_plus</v>
          </cell>
          <cell r="K11697" t="str">
            <v>DMAD</v>
          </cell>
          <cell r="M11697" t="str">
            <v>F</v>
          </cell>
          <cell r="AB11697" t="str">
            <v>serum</v>
          </cell>
          <cell r="AF11697">
            <v>1</v>
          </cell>
        </row>
        <row r="11698">
          <cell r="A11698" t="str">
            <v>IS_alqt_plus</v>
          </cell>
          <cell r="K11698" t="str">
            <v>DMAD</v>
          </cell>
          <cell r="M11698" t="str">
            <v>F</v>
          </cell>
          <cell r="AB11698" t="str">
            <v>serum</v>
          </cell>
          <cell r="AF11698">
            <v>1</v>
          </cell>
        </row>
        <row r="11699">
          <cell r="A11699" t="str">
            <v>IS_alqt_plus</v>
          </cell>
          <cell r="K11699" t="str">
            <v>DMAD</v>
          </cell>
          <cell r="M11699" t="str">
            <v>F</v>
          </cell>
          <cell r="AB11699" t="str">
            <v>serum</v>
          </cell>
          <cell r="AF11699">
            <v>1</v>
          </cell>
        </row>
        <row r="11700">
          <cell r="A11700" t="str">
            <v>IS_alqt_plus</v>
          </cell>
          <cell r="K11700" t="str">
            <v>DMAD</v>
          </cell>
          <cell r="M11700" t="str">
            <v>F</v>
          </cell>
          <cell r="AB11700" t="str">
            <v>serum</v>
          </cell>
          <cell r="AF11700">
            <v>1</v>
          </cell>
        </row>
        <row r="11701">
          <cell r="A11701" t="str">
            <v>IS_alqt_plus</v>
          </cell>
          <cell r="K11701" t="str">
            <v>DMAD</v>
          </cell>
          <cell r="M11701" t="str">
            <v>F</v>
          </cell>
          <cell r="AB11701" t="str">
            <v>serum</v>
          </cell>
          <cell r="AF11701">
            <v>1</v>
          </cell>
        </row>
        <row r="11702">
          <cell r="A11702" t="str">
            <v>IS_alqt_plus</v>
          </cell>
          <cell r="K11702" t="str">
            <v>DMAD</v>
          </cell>
          <cell r="M11702" t="str">
            <v>F</v>
          </cell>
          <cell r="AB11702" t="str">
            <v>serum</v>
          </cell>
          <cell r="AF11702">
            <v>1</v>
          </cell>
        </row>
        <row r="11703">
          <cell r="A11703" t="str">
            <v>IS_alqt_plus</v>
          </cell>
          <cell r="K11703" t="str">
            <v>DMAD</v>
          </cell>
          <cell r="M11703" t="str">
            <v>F</v>
          </cell>
          <cell r="AB11703" t="str">
            <v>serum</v>
          </cell>
          <cell r="AF11703">
            <v>1</v>
          </cell>
        </row>
        <row r="11704">
          <cell r="A11704" t="str">
            <v>IS_alqt_plus</v>
          </cell>
          <cell r="K11704" t="str">
            <v>DMAD</v>
          </cell>
          <cell r="M11704" t="str">
            <v>F</v>
          </cell>
          <cell r="AB11704" t="str">
            <v>serum</v>
          </cell>
          <cell r="AF11704">
            <v>1</v>
          </cell>
        </row>
        <row r="11705">
          <cell r="A11705" t="str">
            <v>IS_alqt_plus</v>
          </cell>
          <cell r="K11705" t="str">
            <v>DMAD</v>
          </cell>
          <cell r="M11705" t="str">
            <v>F</v>
          </cell>
          <cell r="AB11705" t="str">
            <v>serum</v>
          </cell>
          <cell r="AF11705">
            <v>1</v>
          </cell>
        </row>
        <row r="11706">
          <cell r="A11706" t="str">
            <v>IS_alqt_plus</v>
          </cell>
          <cell r="K11706" t="str">
            <v>DMAD</v>
          </cell>
          <cell r="M11706" t="str">
            <v>F</v>
          </cell>
          <cell r="AB11706" t="str">
            <v>serum</v>
          </cell>
          <cell r="AF11706">
            <v>1</v>
          </cell>
        </row>
        <row r="11707">
          <cell r="A11707" t="str">
            <v>IS_alqt_plus</v>
          </cell>
          <cell r="K11707" t="str">
            <v>DMAD</v>
          </cell>
          <cell r="M11707" t="str">
            <v>F</v>
          </cell>
          <cell r="AB11707" t="str">
            <v>serum</v>
          </cell>
          <cell r="AF11707">
            <v>1</v>
          </cell>
        </row>
        <row r="11708">
          <cell r="A11708" t="str">
            <v>IS_alqt_plus</v>
          </cell>
          <cell r="K11708" t="str">
            <v>DMAD</v>
          </cell>
          <cell r="M11708" t="str">
            <v>F</v>
          </cell>
          <cell r="AB11708" t="str">
            <v>serum</v>
          </cell>
          <cell r="AF11708">
            <v>1</v>
          </cell>
        </row>
        <row r="11709">
          <cell r="A11709" t="str">
            <v>IS_alqt_plus</v>
          </cell>
          <cell r="K11709" t="str">
            <v>DMAD</v>
          </cell>
          <cell r="M11709" t="str">
            <v>F</v>
          </cell>
          <cell r="AB11709" t="str">
            <v>serum</v>
          </cell>
          <cell r="AF11709">
            <v>1</v>
          </cell>
        </row>
        <row r="11710">
          <cell r="A11710" t="str">
            <v>IS_alqt_plus</v>
          </cell>
          <cell r="K11710" t="str">
            <v>DMAD</v>
          </cell>
          <cell r="M11710" t="str">
            <v>F</v>
          </cell>
          <cell r="AB11710" t="str">
            <v>serum</v>
          </cell>
          <cell r="AF11710">
            <v>1</v>
          </cell>
        </row>
        <row r="11711">
          <cell r="A11711" t="str">
            <v>IS_alqt_plus</v>
          </cell>
          <cell r="K11711" t="str">
            <v>DMAD</v>
          </cell>
          <cell r="M11711" t="str">
            <v>F</v>
          </cell>
          <cell r="AB11711" t="str">
            <v>serum</v>
          </cell>
          <cell r="AF11711">
            <v>1</v>
          </cell>
        </row>
        <row r="11712">
          <cell r="A11712" t="str">
            <v>IS_alqt_plus</v>
          </cell>
          <cell r="K11712" t="str">
            <v>DMAD</v>
          </cell>
          <cell r="M11712" t="str">
            <v>F</v>
          </cell>
          <cell r="AB11712" t="str">
            <v>serum</v>
          </cell>
          <cell r="AF11712">
            <v>1</v>
          </cell>
        </row>
        <row r="11713">
          <cell r="A11713" t="str">
            <v>IS_alqt_plus</v>
          </cell>
          <cell r="K11713" t="str">
            <v>DMAD</v>
          </cell>
          <cell r="M11713" t="str">
            <v>F</v>
          </cell>
          <cell r="AB11713" t="str">
            <v>serum</v>
          </cell>
          <cell r="AF11713">
            <v>1</v>
          </cell>
        </row>
        <row r="11714">
          <cell r="A11714" t="str">
            <v>IS_alqt_plus</v>
          </cell>
          <cell r="K11714" t="str">
            <v>DMAD</v>
          </cell>
          <cell r="M11714" t="str">
            <v>F</v>
          </cell>
          <cell r="AB11714" t="str">
            <v>serum</v>
          </cell>
          <cell r="AF11714">
            <v>1</v>
          </cell>
        </row>
        <row r="11715">
          <cell r="A11715" t="str">
            <v>IS_alqt_plus</v>
          </cell>
          <cell r="K11715" t="str">
            <v>DMAD</v>
          </cell>
          <cell r="M11715" t="str">
            <v>F</v>
          </cell>
          <cell r="AB11715" t="str">
            <v>serum</v>
          </cell>
          <cell r="AF11715">
            <v>1</v>
          </cell>
        </row>
        <row r="11716">
          <cell r="A11716" t="str">
            <v>IS_alqt_plus</v>
          </cell>
          <cell r="K11716" t="str">
            <v>DMAD</v>
          </cell>
          <cell r="M11716" t="str">
            <v>F</v>
          </cell>
          <cell r="AB11716" t="str">
            <v>serum</v>
          </cell>
          <cell r="AF11716">
            <v>1</v>
          </cell>
        </row>
        <row r="11717">
          <cell r="A11717" t="str">
            <v>IS_alqt_plus</v>
          </cell>
          <cell r="K11717" t="str">
            <v>DMAD</v>
          </cell>
          <cell r="M11717" t="str">
            <v>F</v>
          </cell>
          <cell r="AB11717" t="str">
            <v>serum</v>
          </cell>
          <cell r="AF11717">
            <v>1</v>
          </cell>
        </row>
        <row r="11718">
          <cell r="A11718" t="str">
            <v>IS_alqt_plus</v>
          </cell>
          <cell r="K11718" t="str">
            <v>DMAD</v>
          </cell>
          <cell r="M11718" t="str">
            <v>F</v>
          </cell>
          <cell r="AB11718" t="str">
            <v>serum</v>
          </cell>
          <cell r="AF11718">
            <v>1</v>
          </cell>
        </row>
        <row r="11719">
          <cell r="A11719" t="str">
            <v>IS_alqt_plus</v>
          </cell>
          <cell r="K11719" t="str">
            <v>DMAD</v>
          </cell>
          <cell r="M11719" t="str">
            <v>F</v>
          </cell>
          <cell r="AB11719" t="str">
            <v>serum</v>
          </cell>
          <cell r="AF11719">
            <v>1</v>
          </cell>
        </row>
        <row r="11720">
          <cell r="A11720" t="str">
            <v>IS_alqt_plus</v>
          </cell>
          <cell r="K11720" t="str">
            <v>DMAD</v>
          </cell>
          <cell r="M11720" t="str">
            <v>F</v>
          </cell>
          <cell r="AB11720" t="str">
            <v>serum</v>
          </cell>
          <cell r="AF11720">
            <v>1</v>
          </cell>
        </row>
        <row r="11721">
          <cell r="A11721" t="str">
            <v>IS_alqt_plus</v>
          </cell>
          <cell r="K11721" t="str">
            <v>DMAD</v>
          </cell>
          <cell r="M11721" t="str">
            <v>F</v>
          </cell>
          <cell r="AB11721" t="str">
            <v>serum</v>
          </cell>
          <cell r="AF11721">
            <v>1</v>
          </cell>
        </row>
        <row r="11722">
          <cell r="A11722" t="str">
            <v>IS_alqt_plus</v>
          </cell>
          <cell r="K11722" t="str">
            <v>DMAD</v>
          </cell>
          <cell r="M11722" t="str">
            <v>F</v>
          </cell>
          <cell r="AB11722" t="str">
            <v>serum</v>
          </cell>
          <cell r="AF11722">
            <v>1</v>
          </cell>
        </row>
        <row r="11723">
          <cell r="A11723" t="str">
            <v>IS_alqt_plus</v>
          </cell>
          <cell r="K11723" t="str">
            <v>DMAD</v>
          </cell>
          <cell r="M11723" t="str">
            <v>F</v>
          </cell>
          <cell r="AB11723" t="str">
            <v>serum</v>
          </cell>
          <cell r="AF11723">
            <v>1</v>
          </cell>
        </row>
        <row r="11724">
          <cell r="A11724" t="str">
            <v>IS_alqt_plus</v>
          </cell>
          <cell r="K11724" t="str">
            <v>DMAD</v>
          </cell>
          <cell r="M11724" t="str">
            <v>F</v>
          </cell>
          <cell r="AB11724" t="str">
            <v>serum</v>
          </cell>
          <cell r="AF11724">
            <v>1</v>
          </cell>
        </row>
        <row r="11725">
          <cell r="A11725" t="str">
            <v>IS_alqt_plus</v>
          </cell>
          <cell r="K11725" t="str">
            <v>DMAD</v>
          </cell>
          <cell r="M11725" t="str">
            <v>F</v>
          </cell>
          <cell r="AB11725" t="str">
            <v>serum</v>
          </cell>
          <cell r="AF11725">
            <v>1</v>
          </cell>
        </row>
        <row r="11726">
          <cell r="A11726" t="str">
            <v>IS_alqt_plus</v>
          </cell>
          <cell r="K11726" t="str">
            <v>DMAD</v>
          </cell>
          <cell r="M11726" t="str">
            <v>F</v>
          </cell>
          <cell r="AB11726" t="str">
            <v>serum</v>
          </cell>
          <cell r="AF11726">
            <v>1</v>
          </cell>
        </row>
        <row r="11727">
          <cell r="A11727" t="str">
            <v>IS_alqt_plus</v>
          </cell>
          <cell r="K11727" t="str">
            <v>DMAD</v>
          </cell>
          <cell r="M11727" t="str">
            <v>F</v>
          </cell>
          <cell r="AB11727" t="str">
            <v>serum</v>
          </cell>
          <cell r="AF11727">
            <v>1</v>
          </cell>
        </row>
        <row r="11728">
          <cell r="A11728" t="str">
            <v>IS_alqt_plus</v>
          </cell>
          <cell r="K11728" t="str">
            <v>DMAD</v>
          </cell>
          <cell r="M11728" t="str">
            <v>F</v>
          </cell>
          <cell r="AB11728" t="str">
            <v>WB</v>
          </cell>
          <cell r="AF11728">
            <v>0.75</v>
          </cell>
        </row>
        <row r="11729">
          <cell r="A11729" t="str">
            <v>IS_alqt_plus</v>
          </cell>
          <cell r="K11729" t="str">
            <v>DMAD</v>
          </cell>
          <cell r="M11729" t="str">
            <v>F</v>
          </cell>
          <cell r="AB11729" t="str">
            <v>WB</v>
          </cell>
          <cell r="AF11729">
            <v>1</v>
          </cell>
        </row>
        <row r="11730">
          <cell r="A11730" t="str">
            <v>IS_alqt_plus</v>
          </cell>
          <cell r="K11730" t="str">
            <v>DMAD</v>
          </cell>
          <cell r="M11730" t="str">
            <v>F</v>
          </cell>
          <cell r="AB11730" t="str">
            <v>WB</v>
          </cell>
          <cell r="AF11730">
            <v>1</v>
          </cell>
        </row>
        <row r="11731">
          <cell r="A11731" t="str">
            <v>IS_alqt_plus</v>
          </cell>
          <cell r="K11731" t="str">
            <v>DMAD</v>
          </cell>
          <cell r="M11731" t="str">
            <v>F</v>
          </cell>
          <cell r="AB11731" t="str">
            <v>WB</v>
          </cell>
          <cell r="AF11731">
            <v>1</v>
          </cell>
        </row>
        <row r="11732">
          <cell r="A11732" t="str">
            <v>IS_alqt_plus</v>
          </cell>
          <cell r="K11732" t="str">
            <v>DMAD</v>
          </cell>
          <cell r="M11732" t="str">
            <v>F</v>
          </cell>
          <cell r="AB11732" t="str">
            <v>WB</v>
          </cell>
          <cell r="AF11732">
            <v>1</v>
          </cell>
        </row>
        <row r="11733">
          <cell r="A11733" t="str">
            <v>gone</v>
          </cell>
          <cell r="K11733" t="str">
            <v>DMAD</v>
          </cell>
          <cell r="M11733" t="str">
            <v>F</v>
          </cell>
          <cell r="AB11733" t="str">
            <v>WB</v>
          </cell>
          <cell r="AF11733">
            <v>0</v>
          </cell>
        </row>
        <row r="11734">
          <cell r="A11734" t="str">
            <v>IS_alqt_plus</v>
          </cell>
          <cell r="K11734" t="str">
            <v>DMAD</v>
          </cell>
          <cell r="M11734" t="str">
            <v>F</v>
          </cell>
          <cell r="AB11734" t="str">
            <v>WB</v>
          </cell>
          <cell r="AF11734">
            <v>1</v>
          </cell>
        </row>
        <row r="11735">
          <cell r="A11735" t="str">
            <v>IS_alqt_plus</v>
          </cell>
          <cell r="K11735" t="str">
            <v>DMAD</v>
          </cell>
          <cell r="M11735" t="str">
            <v>F</v>
          </cell>
          <cell r="AB11735" t="str">
            <v>WB</v>
          </cell>
          <cell r="AF11735">
            <v>1</v>
          </cell>
        </row>
        <row r="11736">
          <cell r="A11736" t="str">
            <v>IS_alqt_plus</v>
          </cell>
          <cell r="K11736" t="str">
            <v>DMAD</v>
          </cell>
          <cell r="M11736" t="str">
            <v>F</v>
          </cell>
          <cell r="AB11736" t="str">
            <v>WB</v>
          </cell>
          <cell r="AF11736">
            <v>1</v>
          </cell>
        </row>
        <row r="11737">
          <cell r="A11737" t="str">
            <v>IS_alqt_plus</v>
          </cell>
          <cell r="K11737" t="str">
            <v>DMAD</v>
          </cell>
          <cell r="M11737" t="str">
            <v>F</v>
          </cell>
          <cell r="AB11737" t="str">
            <v>WB</v>
          </cell>
          <cell r="AF11737">
            <v>1</v>
          </cell>
        </row>
        <row r="11738">
          <cell r="A11738" t="str">
            <v>IS_alqt_plus</v>
          </cell>
          <cell r="K11738" t="str">
            <v>DMAD</v>
          </cell>
          <cell r="M11738" t="str">
            <v>F</v>
          </cell>
          <cell r="AB11738" t="str">
            <v>WB</v>
          </cell>
          <cell r="AF11738">
            <v>1</v>
          </cell>
        </row>
        <row r="11739">
          <cell r="A11739" t="str">
            <v>IS_alqt_plus</v>
          </cell>
          <cell r="K11739" t="str">
            <v>DMAD</v>
          </cell>
          <cell r="M11739" t="str">
            <v>F</v>
          </cell>
          <cell r="AB11739" t="str">
            <v>WB</v>
          </cell>
          <cell r="AF11739">
            <v>1</v>
          </cell>
        </row>
        <row r="11740">
          <cell r="A11740" t="str">
            <v>IS_alqt_plus</v>
          </cell>
          <cell r="K11740" t="str">
            <v>DMAD</v>
          </cell>
          <cell r="M11740" t="str">
            <v>F</v>
          </cell>
          <cell r="AB11740" t="str">
            <v>WB</v>
          </cell>
          <cell r="AF11740">
            <v>1</v>
          </cell>
        </row>
        <row r="11741">
          <cell r="A11741" t="str">
            <v>IS_alqt_plus</v>
          </cell>
          <cell r="K11741" t="str">
            <v>DMAD</v>
          </cell>
          <cell r="M11741" t="str">
            <v>F</v>
          </cell>
          <cell r="AB11741" t="str">
            <v>WB</v>
          </cell>
          <cell r="AF11741">
            <v>1</v>
          </cell>
        </row>
        <row r="11742">
          <cell r="A11742" t="str">
            <v>IS_alqt_plus</v>
          </cell>
          <cell r="K11742" t="str">
            <v>DMAD</v>
          </cell>
          <cell r="M11742" t="str">
            <v>F</v>
          </cell>
          <cell r="AB11742" t="str">
            <v>WB</v>
          </cell>
          <cell r="AF11742">
            <v>0.2</v>
          </cell>
        </row>
        <row r="11743">
          <cell r="A11743" t="str">
            <v>IS_alqt_plus</v>
          </cell>
          <cell r="K11743" t="str">
            <v>DMAD</v>
          </cell>
          <cell r="M11743" t="str">
            <v>F</v>
          </cell>
          <cell r="AB11743" t="str">
            <v>WB</v>
          </cell>
          <cell r="AF11743">
            <v>1</v>
          </cell>
        </row>
        <row r="11744">
          <cell r="A11744" t="str">
            <v>IS_alqt_plus</v>
          </cell>
          <cell r="K11744" t="str">
            <v>DMAD</v>
          </cell>
          <cell r="M11744" t="str">
            <v>F</v>
          </cell>
          <cell r="AB11744" t="str">
            <v>WB</v>
          </cell>
          <cell r="AF11744">
            <v>1</v>
          </cell>
        </row>
        <row r="11745">
          <cell r="A11745" t="str">
            <v>IS_alqt_plus</v>
          </cell>
          <cell r="K11745" t="str">
            <v>DMAD</v>
          </cell>
          <cell r="M11745" t="str">
            <v>F</v>
          </cell>
          <cell r="AB11745" t="str">
            <v>WB</v>
          </cell>
          <cell r="AF11745">
            <v>1</v>
          </cell>
        </row>
        <row r="11746">
          <cell r="A11746" t="str">
            <v>IS_alqt_plus</v>
          </cell>
          <cell r="K11746" t="str">
            <v>DMAD</v>
          </cell>
          <cell r="M11746" t="str">
            <v>F</v>
          </cell>
          <cell r="AB11746" t="str">
            <v>WB</v>
          </cell>
          <cell r="AF11746">
            <v>1</v>
          </cell>
        </row>
        <row r="11747">
          <cell r="A11747" t="str">
            <v>IS_alqt_plus</v>
          </cell>
          <cell r="K11747" t="str">
            <v>DMAD</v>
          </cell>
          <cell r="M11747" t="str">
            <v>F</v>
          </cell>
          <cell r="AB11747" t="str">
            <v>WB</v>
          </cell>
          <cell r="AF11747">
            <v>1</v>
          </cell>
        </row>
        <row r="11748">
          <cell r="A11748" t="str">
            <v>IS_alqt_plus</v>
          </cell>
          <cell r="K11748" t="str">
            <v>DMAD</v>
          </cell>
          <cell r="M11748" t="str">
            <v>F</v>
          </cell>
          <cell r="AB11748" t="str">
            <v>WB</v>
          </cell>
          <cell r="AF11748">
            <v>1</v>
          </cell>
        </row>
        <row r="11749">
          <cell r="A11749" t="str">
            <v>IS_alqt_plus</v>
          </cell>
          <cell r="K11749" t="str">
            <v>DMAD</v>
          </cell>
          <cell r="M11749" t="str">
            <v>F</v>
          </cell>
          <cell r="AB11749" t="str">
            <v>WB</v>
          </cell>
          <cell r="AF11749">
            <v>1</v>
          </cell>
        </row>
        <row r="11750">
          <cell r="A11750" t="str">
            <v>IS_alqt_plus</v>
          </cell>
          <cell r="K11750" t="str">
            <v>DMAD</v>
          </cell>
          <cell r="M11750" t="str">
            <v>F</v>
          </cell>
          <cell r="AB11750" t="str">
            <v>WB</v>
          </cell>
          <cell r="AF11750">
            <v>0.2</v>
          </cell>
        </row>
        <row r="11751">
          <cell r="A11751" t="str">
            <v>IS_alqt_plus</v>
          </cell>
          <cell r="K11751" t="str">
            <v>DMAD</v>
          </cell>
          <cell r="M11751" t="str">
            <v>F</v>
          </cell>
          <cell r="AB11751" t="str">
            <v>WB</v>
          </cell>
          <cell r="AF11751">
            <v>0.2</v>
          </cell>
        </row>
        <row r="11752">
          <cell r="A11752" t="str">
            <v>IS_alqt_plus</v>
          </cell>
          <cell r="K11752" t="str">
            <v>DMAD</v>
          </cell>
          <cell r="M11752" t="str">
            <v>F</v>
          </cell>
          <cell r="AB11752" t="str">
            <v>WB</v>
          </cell>
          <cell r="AF11752">
            <v>0.2</v>
          </cell>
        </row>
        <row r="11753">
          <cell r="A11753" t="str">
            <v>IS_alqt_plus</v>
          </cell>
          <cell r="K11753" t="str">
            <v>EFLA</v>
          </cell>
          <cell r="M11753" t="str">
            <v>M</v>
          </cell>
          <cell r="AB11753" t="str">
            <v>serum</v>
          </cell>
          <cell r="AF11753">
            <v>1.25</v>
          </cell>
        </row>
        <row r="11754">
          <cell r="A11754" t="str">
            <v>IS_alqt_plus</v>
          </cell>
          <cell r="K11754" t="str">
            <v>EFLA</v>
          </cell>
          <cell r="M11754" t="str">
            <v>M</v>
          </cell>
          <cell r="AB11754" t="str">
            <v>WB</v>
          </cell>
          <cell r="AF11754">
            <v>1</v>
          </cell>
        </row>
        <row r="11755">
          <cell r="A11755" t="str">
            <v>IS_alqt_plus</v>
          </cell>
          <cell r="K11755" t="str">
            <v>PCOQ</v>
          </cell>
          <cell r="M11755" t="str">
            <v>M</v>
          </cell>
          <cell r="AB11755" t="str">
            <v>PRBC</v>
          </cell>
          <cell r="AF11755">
            <v>0.5</v>
          </cell>
        </row>
        <row r="11756">
          <cell r="A11756" t="str">
            <v>IS_alqt_plus</v>
          </cell>
          <cell r="K11756" t="str">
            <v>PCOQ</v>
          </cell>
          <cell r="M11756" t="str">
            <v>M</v>
          </cell>
          <cell r="AB11756" t="str">
            <v>PRBC</v>
          </cell>
          <cell r="AF11756">
            <v>0.25</v>
          </cell>
        </row>
        <row r="11757">
          <cell r="A11757" t="str">
            <v>IS_alqt_plus</v>
          </cell>
          <cell r="K11757" t="str">
            <v>EMON</v>
          </cell>
          <cell r="M11757" t="str">
            <v>F</v>
          </cell>
          <cell r="AB11757" t="str">
            <v>serum</v>
          </cell>
          <cell r="AF11757">
            <v>0.8</v>
          </cell>
        </row>
        <row r="11758">
          <cell r="A11758" t="str">
            <v>IS_alqt_plus</v>
          </cell>
          <cell r="K11758" t="str">
            <v>EMON</v>
          </cell>
          <cell r="M11758" t="str">
            <v>F</v>
          </cell>
          <cell r="AB11758" t="str">
            <v>serum</v>
          </cell>
          <cell r="AF11758">
            <v>0.8</v>
          </cell>
        </row>
        <row r="11759">
          <cell r="A11759" t="str">
            <v>IS_alqt_plus</v>
          </cell>
          <cell r="K11759" t="str">
            <v>EMON</v>
          </cell>
          <cell r="M11759" t="str">
            <v>F</v>
          </cell>
          <cell r="AB11759" t="str">
            <v>WB</v>
          </cell>
          <cell r="AF11759">
            <v>1</v>
          </cell>
        </row>
        <row r="11760">
          <cell r="A11760" t="str">
            <v>IS_alqt_minus</v>
          </cell>
          <cell r="K11760" t="str">
            <v>CMED</v>
          </cell>
          <cell r="M11760" t="str">
            <v>M</v>
          </cell>
          <cell r="AB11760" t="str">
            <v>WB</v>
          </cell>
          <cell r="AF11760">
            <v>0.15</v>
          </cell>
        </row>
        <row r="11761">
          <cell r="A11761" t="str">
            <v>IS_alqt_minus</v>
          </cell>
          <cell r="K11761" t="str">
            <v>CMED</v>
          </cell>
          <cell r="M11761" t="str">
            <v>F</v>
          </cell>
          <cell r="AB11761" t="str">
            <v>WB</v>
          </cell>
          <cell r="AF11761">
            <v>0.1</v>
          </cell>
        </row>
        <row r="11762">
          <cell r="A11762" t="str">
            <v>IS_alqt_minus</v>
          </cell>
          <cell r="K11762" t="str">
            <v>PCOQ</v>
          </cell>
          <cell r="M11762" t="str">
            <v>F</v>
          </cell>
          <cell r="AB11762" t="str">
            <v>PRBC</v>
          </cell>
          <cell r="AF11762">
            <v>0.1</v>
          </cell>
        </row>
        <row r="11763">
          <cell r="A11763" t="str">
            <v>IS_alqt_plus</v>
          </cell>
          <cell r="K11763" t="str">
            <v>PCOQ</v>
          </cell>
          <cell r="M11763" t="str">
            <v>M</v>
          </cell>
          <cell r="AB11763" t="str">
            <v>PRBC</v>
          </cell>
          <cell r="AF11763">
            <v>0.25</v>
          </cell>
        </row>
        <row r="11764">
          <cell r="A11764" t="str">
            <v>IS_alqt_plus</v>
          </cell>
          <cell r="K11764" t="str">
            <v>VVV</v>
          </cell>
          <cell r="M11764" t="str">
            <v>F</v>
          </cell>
          <cell r="AB11764" t="str">
            <v>serum</v>
          </cell>
          <cell r="AF11764">
            <v>0.6</v>
          </cell>
        </row>
        <row r="11765">
          <cell r="A11765" t="str">
            <v>gone</v>
          </cell>
          <cell r="K11765" t="str">
            <v>PCOQ</v>
          </cell>
          <cell r="M11765" t="str">
            <v>F</v>
          </cell>
          <cell r="AB11765" t="str">
            <v>WB</v>
          </cell>
          <cell r="AF11765">
            <v>0</v>
          </cell>
        </row>
        <row r="11766">
          <cell r="A11766" t="str">
            <v>IS_alqt_plus</v>
          </cell>
          <cell r="K11766" t="str">
            <v>PCOQ</v>
          </cell>
          <cell r="M11766" t="str">
            <v>M</v>
          </cell>
          <cell r="AB11766" t="str">
            <v>WB</v>
          </cell>
          <cell r="AF11766">
            <v>1.25</v>
          </cell>
        </row>
        <row r="11767">
          <cell r="A11767" t="str">
            <v>IS_alqt_plus</v>
          </cell>
          <cell r="K11767" t="str">
            <v>LCAT</v>
          </cell>
          <cell r="M11767" t="str">
            <v>F</v>
          </cell>
          <cell r="AB11767" t="str">
            <v>serum</v>
          </cell>
          <cell r="AF11767">
            <v>1.25</v>
          </cell>
        </row>
        <row r="11768">
          <cell r="A11768" t="str">
            <v>IS_alqt_plus</v>
          </cell>
          <cell r="K11768" t="str">
            <v>LCAT</v>
          </cell>
          <cell r="M11768" t="str">
            <v>F</v>
          </cell>
          <cell r="AB11768" t="str">
            <v>serum</v>
          </cell>
          <cell r="AF11768">
            <v>1.25</v>
          </cell>
        </row>
        <row r="11769">
          <cell r="A11769" t="str">
            <v>IS_alqt_plus</v>
          </cell>
          <cell r="K11769" t="str">
            <v>PCOQ</v>
          </cell>
          <cell r="M11769" t="str">
            <v>M</v>
          </cell>
          <cell r="AB11769" t="str">
            <v>WB</v>
          </cell>
          <cell r="AF11769">
            <v>0.75</v>
          </cell>
        </row>
        <row r="11770">
          <cell r="A11770" t="str">
            <v>IS_alqt_plus</v>
          </cell>
          <cell r="K11770" t="str">
            <v>PCOQ</v>
          </cell>
          <cell r="M11770" t="str">
            <v>M</v>
          </cell>
          <cell r="AB11770" t="str">
            <v>WB</v>
          </cell>
          <cell r="AF11770">
            <v>0.7</v>
          </cell>
        </row>
        <row r="11771">
          <cell r="A11771" t="str">
            <v>IS_alqt_plus</v>
          </cell>
          <cell r="K11771" t="str">
            <v>LCAT</v>
          </cell>
          <cell r="M11771" t="str">
            <v>M</v>
          </cell>
          <cell r="AB11771" t="str">
            <v>serum</v>
          </cell>
          <cell r="AF11771">
            <v>1.25</v>
          </cell>
        </row>
        <row r="11772">
          <cell r="A11772" t="str">
            <v>IS_alqt_plus</v>
          </cell>
          <cell r="K11772" t="str">
            <v>LCAT</v>
          </cell>
          <cell r="M11772" t="str">
            <v>F</v>
          </cell>
          <cell r="AB11772" t="str">
            <v>serum</v>
          </cell>
          <cell r="AF11772">
            <v>1.25</v>
          </cell>
        </row>
        <row r="11773">
          <cell r="A11773" t="str">
            <v>IS_alqt_plus</v>
          </cell>
          <cell r="K11773" t="str">
            <v>DMAD</v>
          </cell>
          <cell r="M11773" t="str">
            <v>M</v>
          </cell>
          <cell r="AB11773" t="str">
            <v>serum</v>
          </cell>
          <cell r="AF11773">
            <v>0.75</v>
          </cell>
        </row>
        <row r="11774">
          <cell r="A11774" t="str">
            <v>IS_alqt_plus</v>
          </cell>
          <cell r="K11774" t="str">
            <v>ECOL</v>
          </cell>
          <cell r="M11774" t="str">
            <v>F</v>
          </cell>
          <cell r="AB11774" t="str">
            <v>serum</v>
          </cell>
          <cell r="AF11774">
            <v>1.25</v>
          </cell>
        </row>
        <row r="11775">
          <cell r="A11775" t="str">
            <v>IS_alqt_plus</v>
          </cell>
          <cell r="K11775" t="str">
            <v>DMAD</v>
          </cell>
          <cell r="M11775" t="str">
            <v>M</v>
          </cell>
          <cell r="AB11775" t="str">
            <v>WB</v>
          </cell>
          <cell r="AF11775">
            <v>0.3</v>
          </cell>
        </row>
        <row r="11776">
          <cell r="A11776" t="str">
            <v>IS_alqt_plus</v>
          </cell>
          <cell r="K11776" t="str">
            <v>DMAD</v>
          </cell>
          <cell r="M11776" t="str">
            <v>M</v>
          </cell>
          <cell r="AB11776" t="str">
            <v>WB</v>
          </cell>
          <cell r="AF11776">
            <v>0.2</v>
          </cell>
        </row>
        <row r="11777">
          <cell r="A11777" t="str">
            <v>IS_alqt_plus</v>
          </cell>
          <cell r="K11777" t="str">
            <v>DMAD</v>
          </cell>
          <cell r="M11777" t="str">
            <v>M</v>
          </cell>
          <cell r="AB11777" t="str">
            <v>WB</v>
          </cell>
          <cell r="AF11777">
            <v>0.2</v>
          </cell>
        </row>
        <row r="11778">
          <cell r="A11778" t="str">
            <v>gone</v>
          </cell>
          <cell r="K11778" t="str">
            <v>ECOL</v>
          </cell>
          <cell r="M11778" t="str">
            <v>F</v>
          </cell>
          <cell r="AB11778" t="str">
            <v>WB</v>
          </cell>
          <cell r="AF11778">
            <v>0</v>
          </cell>
        </row>
        <row r="11779">
          <cell r="A11779" t="str">
            <v>IS_alqt_plus</v>
          </cell>
          <cell r="K11779" t="str">
            <v>ECOL</v>
          </cell>
          <cell r="M11779" t="str">
            <v>M</v>
          </cell>
          <cell r="AB11779" t="str">
            <v>serum</v>
          </cell>
          <cell r="AF11779">
            <v>1.5</v>
          </cell>
        </row>
        <row r="11780">
          <cell r="A11780" t="str">
            <v>gone</v>
          </cell>
          <cell r="K11780" t="str">
            <v>ECOL</v>
          </cell>
          <cell r="M11780" t="str">
            <v>M</v>
          </cell>
          <cell r="AB11780" t="str">
            <v>WB</v>
          </cell>
          <cell r="AF11780">
            <v>0</v>
          </cell>
        </row>
        <row r="11781">
          <cell r="A11781" t="str">
            <v>IS_alqt_plus</v>
          </cell>
          <cell r="K11781" t="str">
            <v>VRUB</v>
          </cell>
          <cell r="M11781" t="str">
            <v>M</v>
          </cell>
          <cell r="AB11781" t="str">
            <v>serum</v>
          </cell>
          <cell r="AF11781">
            <v>1.25</v>
          </cell>
        </row>
        <row r="11782">
          <cell r="A11782" t="str">
            <v>IS_alqt_plus</v>
          </cell>
          <cell r="K11782" t="str">
            <v>VRUB</v>
          </cell>
          <cell r="M11782" t="str">
            <v>M</v>
          </cell>
          <cell r="AB11782" t="str">
            <v>WB</v>
          </cell>
          <cell r="AF11782">
            <v>1</v>
          </cell>
        </row>
        <row r="11783">
          <cell r="A11783" t="str">
            <v>IS_alqt_plus</v>
          </cell>
          <cell r="K11783" t="str">
            <v>DMAD</v>
          </cell>
          <cell r="M11783" t="str">
            <v>F</v>
          </cell>
          <cell r="AB11783" t="str">
            <v>serum</v>
          </cell>
          <cell r="AF11783">
            <v>1</v>
          </cell>
        </row>
        <row r="11784">
          <cell r="A11784" t="str">
            <v>IS_alqt_plus</v>
          </cell>
          <cell r="K11784" t="str">
            <v>DMAD</v>
          </cell>
          <cell r="M11784" t="str">
            <v>F</v>
          </cell>
          <cell r="AB11784" t="str">
            <v>WB</v>
          </cell>
          <cell r="AF11784">
            <v>0.2</v>
          </cell>
        </row>
        <row r="11785">
          <cell r="A11785" t="str">
            <v>IS_alqt_plus</v>
          </cell>
          <cell r="K11785" t="str">
            <v>DMAD</v>
          </cell>
          <cell r="M11785" t="str">
            <v>F</v>
          </cell>
          <cell r="AB11785" t="str">
            <v>WB</v>
          </cell>
          <cell r="AF11785">
            <v>0.2</v>
          </cell>
        </row>
        <row r="11786">
          <cell r="A11786" t="str">
            <v>IS_alqt_plus</v>
          </cell>
          <cell r="K11786" t="str">
            <v>DMAD</v>
          </cell>
          <cell r="M11786" t="str">
            <v>F</v>
          </cell>
          <cell r="AB11786" t="str">
            <v>WB</v>
          </cell>
          <cell r="AF11786">
            <v>0.2</v>
          </cell>
        </row>
        <row r="11787">
          <cell r="A11787" t="str">
            <v>IS_alqt_plus</v>
          </cell>
          <cell r="K11787" t="str">
            <v>DMAD</v>
          </cell>
          <cell r="M11787" t="str">
            <v>F</v>
          </cell>
          <cell r="AB11787" t="str">
            <v>WB</v>
          </cell>
          <cell r="AF11787">
            <v>0.2</v>
          </cell>
        </row>
        <row r="11788">
          <cell r="A11788" t="str">
            <v>IS_alqt_plus</v>
          </cell>
          <cell r="K11788" t="str">
            <v>MMUR</v>
          </cell>
          <cell r="M11788" t="str">
            <v>F</v>
          </cell>
          <cell r="AB11788" t="str">
            <v>WB</v>
          </cell>
          <cell r="AF11788">
            <v>0.25</v>
          </cell>
        </row>
        <row r="11789">
          <cell r="A11789" t="str">
            <v>IS_alqt_plus</v>
          </cell>
          <cell r="K11789" t="str">
            <v>PCOQ</v>
          </cell>
          <cell r="M11789" t="str">
            <v>M</v>
          </cell>
          <cell r="AB11789" t="str">
            <v>serum</v>
          </cell>
          <cell r="AF11789">
            <v>0.2</v>
          </cell>
        </row>
        <row r="11790">
          <cell r="A11790" t="str">
            <v>IS_alqt_plus</v>
          </cell>
          <cell r="K11790" t="str">
            <v>PCOQ</v>
          </cell>
          <cell r="M11790" t="str">
            <v>M</v>
          </cell>
          <cell r="AB11790" t="str">
            <v>serum</v>
          </cell>
          <cell r="AF11790">
            <v>0.2</v>
          </cell>
        </row>
        <row r="11791">
          <cell r="A11791" t="str">
            <v>IS_alqt_plus</v>
          </cell>
          <cell r="K11791" t="str">
            <v>PCOQ</v>
          </cell>
          <cell r="M11791" t="str">
            <v>M</v>
          </cell>
          <cell r="AB11791" t="str">
            <v>serum</v>
          </cell>
          <cell r="AF11791">
            <v>0.2</v>
          </cell>
        </row>
        <row r="11792">
          <cell r="A11792" t="str">
            <v>gone</v>
          </cell>
          <cell r="K11792" t="str">
            <v>PCOQ</v>
          </cell>
          <cell r="M11792" t="str">
            <v>F</v>
          </cell>
          <cell r="AB11792" t="str">
            <v>serum</v>
          </cell>
          <cell r="AF11792">
            <v>0.2</v>
          </cell>
        </row>
        <row r="11793">
          <cell r="A11793" t="str">
            <v>gone</v>
          </cell>
          <cell r="K11793" t="str">
            <v>PCOQ</v>
          </cell>
          <cell r="M11793" t="str">
            <v>F</v>
          </cell>
          <cell r="AB11793" t="str">
            <v>WB</v>
          </cell>
          <cell r="AF11793">
            <v>0</v>
          </cell>
        </row>
        <row r="11794">
          <cell r="A11794" t="str">
            <v>IS_alqt_plus</v>
          </cell>
          <cell r="K11794" t="str">
            <v>LCAT</v>
          </cell>
          <cell r="M11794" t="str">
            <v>F</v>
          </cell>
          <cell r="AB11794" t="str">
            <v>serum</v>
          </cell>
          <cell r="AF11794">
            <v>1.25</v>
          </cell>
        </row>
        <row r="11795">
          <cell r="A11795" t="str">
            <v>IS_alqt_plus</v>
          </cell>
          <cell r="K11795" t="str">
            <v>LCAT</v>
          </cell>
          <cell r="M11795" t="str">
            <v>F</v>
          </cell>
          <cell r="AB11795" t="str">
            <v>serum</v>
          </cell>
          <cell r="AF11795">
            <v>1.25</v>
          </cell>
        </row>
        <row r="11796">
          <cell r="A11796" t="str">
            <v>IS_alqt_plus</v>
          </cell>
          <cell r="K11796" t="str">
            <v>PCOQ</v>
          </cell>
          <cell r="M11796" t="str">
            <v>F</v>
          </cell>
          <cell r="AB11796" t="str">
            <v>WB</v>
          </cell>
          <cell r="AF11796">
            <v>1.2</v>
          </cell>
        </row>
        <row r="11797">
          <cell r="A11797" t="str">
            <v>IS_alqt_plus</v>
          </cell>
          <cell r="K11797" t="str">
            <v>PCOQ</v>
          </cell>
          <cell r="M11797" t="str">
            <v>M</v>
          </cell>
          <cell r="AB11797" t="str">
            <v>WB</v>
          </cell>
          <cell r="AF11797">
            <v>0.75</v>
          </cell>
        </row>
        <row r="11798">
          <cell r="A11798" t="str">
            <v>IS_alqt_plus</v>
          </cell>
          <cell r="K11798" t="str">
            <v>PCOQ</v>
          </cell>
          <cell r="M11798" t="str">
            <v>M</v>
          </cell>
          <cell r="AB11798" t="str">
            <v>WB</v>
          </cell>
          <cell r="AF11798">
            <v>0.75</v>
          </cell>
        </row>
        <row r="11799">
          <cell r="A11799" t="str">
            <v>IS_alqt_plus</v>
          </cell>
          <cell r="K11799" t="str">
            <v>LCAT</v>
          </cell>
          <cell r="M11799" t="str">
            <v>F</v>
          </cell>
          <cell r="AB11799" t="str">
            <v>serum</v>
          </cell>
          <cell r="AF11799">
            <v>1</v>
          </cell>
        </row>
        <row r="11800">
          <cell r="A11800" t="str">
            <v>IS_alqt_plus</v>
          </cell>
          <cell r="K11800" t="str">
            <v>EFLA</v>
          </cell>
          <cell r="M11800" t="str">
            <v>F</v>
          </cell>
          <cell r="AB11800" t="str">
            <v>serum</v>
          </cell>
          <cell r="AF11800">
            <v>1</v>
          </cell>
        </row>
        <row r="11801">
          <cell r="A11801" t="str">
            <v>gone</v>
          </cell>
          <cell r="K11801" t="str">
            <v>CMED</v>
          </cell>
          <cell r="M11801" t="str">
            <v>F</v>
          </cell>
          <cell r="AB11801" t="str">
            <v>WB</v>
          </cell>
          <cell r="AF11801">
            <v>0</v>
          </cell>
        </row>
        <row r="11802">
          <cell r="A11802" t="str">
            <v>gone</v>
          </cell>
          <cell r="K11802" t="str">
            <v>CMED</v>
          </cell>
          <cell r="M11802" t="str">
            <v>F</v>
          </cell>
          <cell r="AB11802" t="str">
            <v>WB</v>
          </cell>
          <cell r="AF11802">
            <v>0</v>
          </cell>
        </row>
        <row r="11803">
          <cell r="A11803" t="str">
            <v>gone</v>
          </cell>
          <cell r="K11803" t="str">
            <v>CMED</v>
          </cell>
          <cell r="M11803" t="str">
            <v>F</v>
          </cell>
          <cell r="AB11803" t="str">
            <v>WB</v>
          </cell>
          <cell r="AF11803">
            <v>0</v>
          </cell>
        </row>
        <row r="11804">
          <cell r="A11804" t="str">
            <v>gone</v>
          </cell>
          <cell r="K11804" t="str">
            <v>CMED</v>
          </cell>
          <cell r="M11804" t="str">
            <v>F</v>
          </cell>
          <cell r="AB11804" t="str">
            <v>WB</v>
          </cell>
          <cell r="AF11804">
            <v>0</v>
          </cell>
        </row>
        <row r="11805">
          <cell r="A11805" t="str">
            <v>IS_alqt_minus</v>
          </cell>
          <cell r="K11805" t="str">
            <v>CMED</v>
          </cell>
          <cell r="M11805" t="str">
            <v>F</v>
          </cell>
          <cell r="AB11805" t="str">
            <v>WB</v>
          </cell>
          <cell r="AF11805">
            <v>0.1</v>
          </cell>
        </row>
        <row r="11806">
          <cell r="A11806" t="str">
            <v>IS_alqt_plus</v>
          </cell>
          <cell r="K11806" t="str">
            <v>PCOQ</v>
          </cell>
          <cell r="M11806" t="str">
            <v>M</v>
          </cell>
          <cell r="AB11806" t="str">
            <v>WB</v>
          </cell>
          <cell r="AF11806">
            <v>1</v>
          </cell>
        </row>
        <row r="11807">
          <cell r="A11807" t="str">
            <v>IS_alqt_plus</v>
          </cell>
          <cell r="K11807" t="str">
            <v>LCAT</v>
          </cell>
          <cell r="M11807" t="str">
            <v>M</v>
          </cell>
          <cell r="AB11807" t="str">
            <v>serum</v>
          </cell>
          <cell r="AF11807">
            <v>1</v>
          </cell>
        </row>
        <row r="11808">
          <cell r="A11808" t="str">
            <v>gone</v>
          </cell>
          <cell r="K11808" t="str">
            <v>PCOQ</v>
          </cell>
          <cell r="M11808" t="str">
            <v>F</v>
          </cell>
          <cell r="AB11808" t="str">
            <v>WB</v>
          </cell>
          <cell r="AF11808">
            <v>0</v>
          </cell>
        </row>
        <row r="11809">
          <cell r="A11809" t="str">
            <v>IS_alqt_plus</v>
          </cell>
          <cell r="K11809" t="str">
            <v>PCOQ</v>
          </cell>
          <cell r="M11809" t="str">
            <v>F</v>
          </cell>
          <cell r="AB11809" t="str">
            <v>WB</v>
          </cell>
          <cell r="AF11809">
            <v>1.3</v>
          </cell>
        </row>
        <row r="11810">
          <cell r="A11810" t="str">
            <v>IS_alqt_plus</v>
          </cell>
          <cell r="K11810" t="str">
            <v>LCAT</v>
          </cell>
          <cell r="M11810" t="str">
            <v>F</v>
          </cell>
          <cell r="AB11810" t="str">
            <v>serum</v>
          </cell>
          <cell r="AF11810">
            <v>1.25</v>
          </cell>
        </row>
        <row r="11811">
          <cell r="A11811" t="str">
            <v>IS_alqt_plus</v>
          </cell>
          <cell r="K11811" t="str">
            <v>PCOQ</v>
          </cell>
          <cell r="M11811" t="str">
            <v>F</v>
          </cell>
          <cell r="AB11811" t="str">
            <v>serum</v>
          </cell>
          <cell r="AF11811">
            <v>1.25</v>
          </cell>
        </row>
        <row r="11812">
          <cell r="A11812" t="str">
            <v>IS_alqt_plus</v>
          </cell>
          <cell r="K11812" t="str">
            <v>PCOQ</v>
          </cell>
          <cell r="M11812" t="str">
            <v>M</v>
          </cell>
          <cell r="AB11812" t="str">
            <v>WB</v>
          </cell>
          <cell r="AF11812">
            <v>1.5</v>
          </cell>
        </row>
        <row r="11813">
          <cell r="A11813" t="str">
            <v>IS_alqt_plus</v>
          </cell>
          <cell r="K11813" t="str">
            <v>LCAT</v>
          </cell>
          <cell r="M11813" t="str">
            <v>M</v>
          </cell>
          <cell r="AB11813" t="str">
            <v>serum</v>
          </cell>
          <cell r="AF11813">
            <v>0.5</v>
          </cell>
        </row>
        <row r="11814">
          <cell r="A11814" t="str">
            <v>IS_alqt_plus</v>
          </cell>
          <cell r="K11814" t="str">
            <v>EFLA</v>
          </cell>
          <cell r="M11814" t="str">
            <v>F</v>
          </cell>
          <cell r="AB11814" t="str">
            <v>serum</v>
          </cell>
          <cell r="AF11814">
            <v>1.25</v>
          </cell>
        </row>
        <row r="11815">
          <cell r="A11815" t="str">
            <v>IS_alqt_plus</v>
          </cell>
          <cell r="K11815" t="str">
            <v>EFLA</v>
          </cell>
          <cell r="M11815" t="str">
            <v>F</v>
          </cell>
          <cell r="AB11815" t="str">
            <v>WB</v>
          </cell>
          <cell r="AF11815">
            <v>1</v>
          </cell>
        </row>
        <row r="11816">
          <cell r="A11816" t="str">
            <v>IS_alqt_plus</v>
          </cell>
          <cell r="K11816" t="str">
            <v>PCOQ</v>
          </cell>
          <cell r="M11816" t="str">
            <v>M</v>
          </cell>
          <cell r="AB11816" t="str">
            <v>serum</v>
          </cell>
          <cell r="AF11816">
            <v>1.25</v>
          </cell>
        </row>
        <row r="11817">
          <cell r="A11817" t="str">
            <v>IS_alqt_plus</v>
          </cell>
          <cell r="K11817" t="str">
            <v>PCOQ</v>
          </cell>
          <cell r="M11817" t="str">
            <v>M</v>
          </cell>
          <cell r="AB11817" t="str">
            <v>WB</v>
          </cell>
          <cell r="AF11817">
            <v>1.5</v>
          </cell>
        </row>
        <row r="11818">
          <cell r="A11818" t="str">
            <v>IS_alqt_plus</v>
          </cell>
          <cell r="K11818" t="str">
            <v>PCOQ</v>
          </cell>
          <cell r="M11818" t="str">
            <v>M</v>
          </cell>
          <cell r="AB11818" t="str">
            <v>serum</v>
          </cell>
          <cell r="AF11818">
            <v>0.75</v>
          </cell>
        </row>
        <row r="11819">
          <cell r="A11819" t="str">
            <v>IS_alqt_plus</v>
          </cell>
          <cell r="K11819" t="str">
            <v>VVV</v>
          </cell>
          <cell r="M11819" t="str">
            <v>F</v>
          </cell>
          <cell r="AB11819" t="str">
            <v>serum</v>
          </cell>
          <cell r="AF11819">
            <v>0.75</v>
          </cell>
        </row>
        <row r="11820">
          <cell r="A11820" t="str">
            <v>IS_alqt_plus</v>
          </cell>
          <cell r="K11820" t="str">
            <v>MMUR</v>
          </cell>
          <cell r="M11820" t="str">
            <v>M</v>
          </cell>
          <cell r="AB11820" t="str">
            <v>serum</v>
          </cell>
          <cell r="AF11820">
            <v>0.5</v>
          </cell>
        </row>
        <row r="11821">
          <cell r="A11821" t="str">
            <v>IS_alqt_plus</v>
          </cell>
          <cell r="K11821" t="str">
            <v>MMUR</v>
          </cell>
          <cell r="M11821" t="str">
            <v>M</v>
          </cell>
          <cell r="AB11821" t="str">
            <v>WB</v>
          </cell>
          <cell r="AF11821">
            <v>0.5</v>
          </cell>
        </row>
        <row r="11822">
          <cell r="A11822" t="str">
            <v>IS_alqt_plus</v>
          </cell>
          <cell r="K11822" t="str">
            <v>PCOQ</v>
          </cell>
          <cell r="M11822" t="str">
            <v>M</v>
          </cell>
          <cell r="AB11822" t="str">
            <v>serum</v>
          </cell>
          <cell r="AF11822">
            <v>0.5</v>
          </cell>
        </row>
        <row r="11823">
          <cell r="A11823" t="str">
            <v>IS_alqt_plus</v>
          </cell>
          <cell r="K11823" t="str">
            <v>PCOQ</v>
          </cell>
          <cell r="M11823" t="str">
            <v>M</v>
          </cell>
          <cell r="AB11823" t="str">
            <v>WB</v>
          </cell>
          <cell r="AF11823">
            <v>1</v>
          </cell>
        </row>
        <row r="11824">
          <cell r="A11824" t="str">
            <v>IS_alqt_plus</v>
          </cell>
          <cell r="K11824" t="str">
            <v>PCOQ</v>
          </cell>
          <cell r="M11824" t="str">
            <v>M</v>
          </cell>
          <cell r="AB11824" t="str">
            <v>WB</v>
          </cell>
          <cell r="AF11824">
            <v>0.75</v>
          </cell>
        </row>
        <row r="11825">
          <cell r="A11825" t="str">
            <v>IS_alqt_plus</v>
          </cell>
          <cell r="K11825" t="str">
            <v>PCOQ</v>
          </cell>
          <cell r="M11825" t="str">
            <v>F</v>
          </cell>
          <cell r="AB11825" t="str">
            <v>serum</v>
          </cell>
          <cell r="AF11825">
            <v>1</v>
          </cell>
        </row>
        <row r="11826">
          <cell r="A11826" t="str">
            <v>IS_alqt_plus</v>
          </cell>
          <cell r="K11826" t="str">
            <v>PCOQ</v>
          </cell>
          <cell r="M11826" t="str">
            <v>M</v>
          </cell>
          <cell r="AB11826" t="str">
            <v>WB</v>
          </cell>
          <cell r="AF11826">
            <v>0.75</v>
          </cell>
        </row>
        <row r="11827">
          <cell r="A11827" t="str">
            <v>IS_alqt_plus</v>
          </cell>
          <cell r="K11827" t="str">
            <v>ECOR</v>
          </cell>
          <cell r="M11827" t="str">
            <v>F</v>
          </cell>
          <cell r="AB11827" t="str">
            <v>serum</v>
          </cell>
          <cell r="AF11827">
            <v>0.8</v>
          </cell>
        </row>
        <row r="11828">
          <cell r="A11828" t="str">
            <v>IS_alqt_plus</v>
          </cell>
          <cell r="K11828" t="str">
            <v>ECOR</v>
          </cell>
          <cell r="M11828" t="str">
            <v>F</v>
          </cell>
          <cell r="AB11828" t="str">
            <v>WB</v>
          </cell>
          <cell r="AF11828">
            <v>0.75</v>
          </cell>
        </row>
        <row r="11829">
          <cell r="A11829" t="str">
            <v>IS_alqt_plus</v>
          </cell>
          <cell r="K11829" t="str">
            <v>VVV</v>
          </cell>
          <cell r="M11829" t="str">
            <v>M</v>
          </cell>
          <cell r="AB11829" t="str">
            <v>WB</v>
          </cell>
          <cell r="AF11829">
            <v>0.75</v>
          </cell>
        </row>
        <row r="11830">
          <cell r="A11830" t="str">
            <v>IS_alqt_plus</v>
          </cell>
          <cell r="K11830" t="str">
            <v>VVV</v>
          </cell>
          <cell r="M11830" t="str">
            <v>M</v>
          </cell>
          <cell r="AB11830" t="str">
            <v>serum</v>
          </cell>
          <cell r="AF11830">
            <v>1</v>
          </cell>
        </row>
        <row r="11831">
          <cell r="A11831" t="str">
            <v>IS_alqt_plus</v>
          </cell>
          <cell r="K11831" t="str">
            <v>VVV</v>
          </cell>
          <cell r="M11831" t="str">
            <v>F</v>
          </cell>
          <cell r="AB11831" t="str">
            <v>WB</v>
          </cell>
          <cell r="AF11831">
            <v>0.2</v>
          </cell>
        </row>
        <row r="11832">
          <cell r="A11832" t="str">
            <v>IS_alqt_plus</v>
          </cell>
          <cell r="K11832" t="str">
            <v>VVV</v>
          </cell>
          <cell r="M11832" t="str">
            <v>F</v>
          </cell>
          <cell r="AB11832" t="str">
            <v>WB</v>
          </cell>
          <cell r="AF11832">
            <v>0.2</v>
          </cell>
        </row>
        <row r="11833">
          <cell r="A11833" t="str">
            <v>IS_alqt_plus</v>
          </cell>
          <cell r="K11833" t="str">
            <v>VVV</v>
          </cell>
          <cell r="M11833" t="str">
            <v>F</v>
          </cell>
          <cell r="AB11833" t="str">
            <v>WB</v>
          </cell>
          <cell r="AF11833">
            <v>0.2</v>
          </cell>
        </row>
        <row r="11834">
          <cell r="A11834" t="str">
            <v>IS_alqt_plus</v>
          </cell>
          <cell r="K11834" t="str">
            <v>VVV</v>
          </cell>
          <cell r="M11834" t="str">
            <v>F</v>
          </cell>
          <cell r="AB11834" t="str">
            <v>WB</v>
          </cell>
          <cell r="AF11834">
            <v>0.2</v>
          </cell>
        </row>
        <row r="11835">
          <cell r="A11835" t="str">
            <v>IS_alqt_plus</v>
          </cell>
          <cell r="K11835" t="str">
            <v>VVV</v>
          </cell>
          <cell r="M11835" t="str">
            <v>F</v>
          </cell>
          <cell r="AB11835" t="str">
            <v>WB</v>
          </cell>
          <cell r="AF11835">
            <v>0.2</v>
          </cell>
        </row>
        <row r="11836">
          <cell r="A11836" t="str">
            <v>IS_alqt_plus</v>
          </cell>
          <cell r="K11836" t="str">
            <v>VVV</v>
          </cell>
          <cell r="M11836" t="str">
            <v>F</v>
          </cell>
          <cell r="AB11836" t="str">
            <v>WB</v>
          </cell>
          <cell r="AF11836">
            <v>0.2</v>
          </cell>
        </row>
        <row r="11837">
          <cell r="A11837" t="str">
            <v>IS_alqt_plus</v>
          </cell>
          <cell r="K11837" t="str">
            <v>VVV</v>
          </cell>
          <cell r="M11837" t="str">
            <v>F</v>
          </cell>
          <cell r="AB11837" t="str">
            <v>WB</v>
          </cell>
          <cell r="AF11837">
            <v>0.2</v>
          </cell>
        </row>
        <row r="11838">
          <cell r="A11838" t="str">
            <v>IS_alqt_plus</v>
          </cell>
          <cell r="K11838" t="str">
            <v>VVV</v>
          </cell>
          <cell r="M11838" t="str">
            <v>F</v>
          </cell>
          <cell r="AB11838" t="str">
            <v>WB</v>
          </cell>
          <cell r="AF11838">
            <v>0.2</v>
          </cell>
        </row>
        <row r="11839">
          <cell r="A11839" t="str">
            <v>IS_alqt_plus</v>
          </cell>
          <cell r="K11839" t="str">
            <v>VVV</v>
          </cell>
          <cell r="M11839" t="str">
            <v>F</v>
          </cell>
          <cell r="AB11839" t="str">
            <v>WB</v>
          </cell>
          <cell r="AF11839">
            <v>0.2</v>
          </cell>
        </row>
        <row r="11840">
          <cell r="A11840" t="str">
            <v>IS_alqt_plus</v>
          </cell>
          <cell r="K11840" t="str">
            <v>VVV</v>
          </cell>
          <cell r="M11840" t="str">
            <v>M</v>
          </cell>
          <cell r="AB11840" t="str">
            <v>WB</v>
          </cell>
          <cell r="AF11840">
            <v>0.2</v>
          </cell>
        </row>
        <row r="11841">
          <cell r="A11841" t="str">
            <v>IS_alqt_plus</v>
          </cell>
          <cell r="K11841" t="str">
            <v>VVV</v>
          </cell>
          <cell r="M11841" t="str">
            <v>M</v>
          </cell>
          <cell r="AB11841" t="str">
            <v>WB</v>
          </cell>
          <cell r="AF11841">
            <v>0.2</v>
          </cell>
        </row>
        <row r="11842">
          <cell r="A11842" t="str">
            <v>IS_alqt_plus</v>
          </cell>
          <cell r="K11842" t="str">
            <v>VVV</v>
          </cell>
          <cell r="M11842" t="str">
            <v>M</v>
          </cell>
          <cell r="AB11842" t="str">
            <v>WB</v>
          </cell>
          <cell r="AF11842">
            <v>0.2</v>
          </cell>
        </row>
        <row r="11843">
          <cell r="A11843" t="str">
            <v>gone</v>
          </cell>
          <cell r="K11843" t="str">
            <v>VVV</v>
          </cell>
          <cell r="M11843" t="str">
            <v>M</v>
          </cell>
          <cell r="AB11843" t="str">
            <v>WB</v>
          </cell>
          <cell r="AF11843">
            <v>0</v>
          </cell>
        </row>
        <row r="11844">
          <cell r="A11844" t="str">
            <v>IS_alqt_plus</v>
          </cell>
          <cell r="K11844" t="str">
            <v>VVV</v>
          </cell>
          <cell r="M11844" t="str">
            <v>M</v>
          </cell>
          <cell r="AB11844" t="str">
            <v>WB</v>
          </cell>
          <cell r="AF11844">
            <v>1</v>
          </cell>
        </row>
        <row r="11845">
          <cell r="A11845" t="str">
            <v>IS_alqt_plus</v>
          </cell>
          <cell r="K11845" t="str">
            <v>VVV</v>
          </cell>
          <cell r="M11845" t="str">
            <v>M</v>
          </cell>
          <cell r="AB11845" t="str">
            <v>WB</v>
          </cell>
          <cell r="AF11845">
            <v>1</v>
          </cell>
        </row>
        <row r="11846">
          <cell r="A11846" t="str">
            <v>IS_alqt_plus</v>
          </cell>
          <cell r="K11846" t="str">
            <v>VVV</v>
          </cell>
          <cell r="M11846" t="str">
            <v>M</v>
          </cell>
          <cell r="AB11846" t="str">
            <v>WB</v>
          </cell>
          <cell r="AF11846">
            <v>1</v>
          </cell>
        </row>
        <row r="11847">
          <cell r="A11847" t="str">
            <v>IS_alqt_plus</v>
          </cell>
          <cell r="K11847" t="str">
            <v>VVV</v>
          </cell>
          <cell r="M11847" t="str">
            <v>M</v>
          </cell>
          <cell r="AB11847" t="str">
            <v>WB</v>
          </cell>
          <cell r="AF11847">
            <v>1</v>
          </cell>
        </row>
        <row r="11848">
          <cell r="A11848" t="str">
            <v>IS_alqt_plus</v>
          </cell>
          <cell r="K11848" t="str">
            <v>VVV</v>
          </cell>
          <cell r="M11848" t="str">
            <v>M</v>
          </cell>
          <cell r="AB11848" t="str">
            <v>WB</v>
          </cell>
          <cell r="AF11848">
            <v>1</v>
          </cell>
        </row>
        <row r="11849">
          <cell r="A11849" t="str">
            <v>IS_alqt_plus</v>
          </cell>
          <cell r="K11849" t="str">
            <v>VVV</v>
          </cell>
          <cell r="M11849" t="str">
            <v>M</v>
          </cell>
          <cell r="AB11849" t="str">
            <v>WB</v>
          </cell>
          <cell r="AF11849">
            <v>1</v>
          </cell>
        </row>
        <row r="11850">
          <cell r="A11850" t="str">
            <v>IS_alqt_plus</v>
          </cell>
          <cell r="K11850" t="str">
            <v>VVV</v>
          </cell>
          <cell r="M11850" t="str">
            <v>M</v>
          </cell>
          <cell r="AB11850" t="str">
            <v>WB</v>
          </cell>
          <cell r="AF11850">
            <v>1</v>
          </cell>
        </row>
        <row r="11851">
          <cell r="A11851" t="str">
            <v>IS_alqt_plus</v>
          </cell>
          <cell r="K11851" t="str">
            <v>VVV</v>
          </cell>
          <cell r="M11851" t="str">
            <v>M</v>
          </cell>
          <cell r="AB11851" t="str">
            <v>WB</v>
          </cell>
          <cell r="AF11851">
            <v>1</v>
          </cell>
        </row>
        <row r="11852">
          <cell r="A11852" t="str">
            <v>IS_alqt_plus</v>
          </cell>
          <cell r="K11852" t="str">
            <v>VVV</v>
          </cell>
          <cell r="M11852" t="str">
            <v>M</v>
          </cell>
          <cell r="AB11852" t="str">
            <v>WB</v>
          </cell>
          <cell r="AF11852">
            <v>1</v>
          </cell>
        </row>
        <row r="11853">
          <cell r="A11853" t="str">
            <v>IS_alqt_plus</v>
          </cell>
          <cell r="K11853" t="str">
            <v>VVV</v>
          </cell>
          <cell r="M11853" t="str">
            <v>M</v>
          </cell>
          <cell r="AB11853" t="str">
            <v>WB</v>
          </cell>
          <cell r="AF11853">
            <v>1</v>
          </cell>
        </row>
        <row r="11854">
          <cell r="A11854" t="str">
            <v>IS_alqt_plus</v>
          </cell>
          <cell r="K11854" t="str">
            <v>VVV</v>
          </cell>
          <cell r="M11854" t="str">
            <v>M</v>
          </cell>
          <cell r="AB11854" t="str">
            <v>WB</v>
          </cell>
          <cell r="AF11854">
            <v>1</v>
          </cell>
        </row>
        <row r="11855">
          <cell r="A11855" t="str">
            <v>IS_alqt_plus</v>
          </cell>
          <cell r="K11855" t="str">
            <v>VVV</v>
          </cell>
          <cell r="M11855" t="str">
            <v>M</v>
          </cell>
          <cell r="AB11855" t="str">
            <v>WB</v>
          </cell>
          <cell r="AF11855">
            <v>1</v>
          </cell>
        </row>
        <row r="11856">
          <cell r="A11856" t="str">
            <v>IS_alqt_plus</v>
          </cell>
          <cell r="K11856" t="str">
            <v>VVV</v>
          </cell>
          <cell r="M11856" t="str">
            <v>M</v>
          </cell>
          <cell r="AB11856" t="str">
            <v>WB</v>
          </cell>
          <cell r="AF11856">
            <v>1</v>
          </cell>
        </row>
        <row r="11857">
          <cell r="A11857" t="str">
            <v>IS_alqt_plus</v>
          </cell>
          <cell r="K11857" t="str">
            <v>VVV</v>
          </cell>
          <cell r="M11857" t="str">
            <v>M</v>
          </cell>
          <cell r="AB11857" t="str">
            <v>WB</v>
          </cell>
          <cell r="AF11857">
            <v>1</v>
          </cell>
        </row>
        <row r="11858">
          <cell r="A11858" t="str">
            <v>IS_alqt_plus</v>
          </cell>
          <cell r="K11858" t="str">
            <v>VVV</v>
          </cell>
          <cell r="M11858" t="str">
            <v>M</v>
          </cell>
          <cell r="AB11858" t="str">
            <v>WB</v>
          </cell>
          <cell r="AF11858">
            <v>1</v>
          </cell>
        </row>
        <row r="11859">
          <cell r="A11859" t="str">
            <v>IS_alqt_plus</v>
          </cell>
          <cell r="K11859" t="str">
            <v>VVV</v>
          </cell>
          <cell r="M11859" t="str">
            <v>M</v>
          </cell>
          <cell r="AB11859" t="str">
            <v>WB</v>
          </cell>
          <cell r="AF11859">
            <v>1</v>
          </cell>
        </row>
        <row r="11860">
          <cell r="A11860" t="str">
            <v>IS_alqt_plus</v>
          </cell>
          <cell r="K11860" t="str">
            <v>VVV</v>
          </cell>
          <cell r="M11860" t="str">
            <v>M</v>
          </cell>
          <cell r="AB11860" t="str">
            <v>WB</v>
          </cell>
          <cell r="AF11860">
            <v>1</v>
          </cell>
        </row>
        <row r="11861">
          <cell r="A11861" t="str">
            <v>IS_alqt_plus</v>
          </cell>
          <cell r="K11861" t="str">
            <v>VVV</v>
          </cell>
          <cell r="M11861" t="str">
            <v>M</v>
          </cell>
          <cell r="AB11861" t="str">
            <v>WB</v>
          </cell>
          <cell r="AF11861">
            <v>1</v>
          </cell>
        </row>
        <row r="11862">
          <cell r="A11862" t="str">
            <v>IS_alqt_plus</v>
          </cell>
          <cell r="K11862" t="str">
            <v>VVV</v>
          </cell>
          <cell r="M11862" t="str">
            <v>M</v>
          </cell>
          <cell r="AB11862" t="str">
            <v>WB</v>
          </cell>
          <cell r="AF11862">
            <v>1</v>
          </cell>
        </row>
        <row r="11863">
          <cell r="A11863" t="str">
            <v>IS_alqt_plus</v>
          </cell>
          <cell r="K11863" t="str">
            <v>VVV</v>
          </cell>
          <cell r="M11863" t="str">
            <v>M</v>
          </cell>
          <cell r="AB11863" t="str">
            <v>WB</v>
          </cell>
          <cell r="AF11863">
            <v>1</v>
          </cell>
        </row>
        <row r="11864">
          <cell r="A11864" t="str">
            <v>IS_alqt_plus</v>
          </cell>
          <cell r="K11864" t="str">
            <v>VVV</v>
          </cell>
          <cell r="M11864" t="str">
            <v>M</v>
          </cell>
          <cell r="AB11864" t="str">
            <v>WB</v>
          </cell>
          <cell r="AF11864">
            <v>1</v>
          </cell>
        </row>
        <row r="11865">
          <cell r="A11865" t="str">
            <v>IS_alqt_plus</v>
          </cell>
          <cell r="K11865" t="str">
            <v>VVV</v>
          </cell>
          <cell r="M11865" t="str">
            <v>M</v>
          </cell>
          <cell r="AB11865" t="str">
            <v>WB</v>
          </cell>
          <cell r="AF11865">
            <v>1</v>
          </cell>
        </row>
        <row r="11866">
          <cell r="A11866" t="str">
            <v>IS_alqt_plus</v>
          </cell>
          <cell r="K11866" t="str">
            <v>VVV</v>
          </cell>
          <cell r="M11866" t="str">
            <v>M</v>
          </cell>
          <cell r="AB11866" t="str">
            <v>WB</v>
          </cell>
          <cell r="AF11866">
            <v>1</v>
          </cell>
        </row>
        <row r="11867">
          <cell r="A11867" t="str">
            <v>IS_alqt_plus</v>
          </cell>
          <cell r="K11867" t="str">
            <v>VVV</v>
          </cell>
          <cell r="M11867" t="str">
            <v>M</v>
          </cell>
          <cell r="AB11867" t="str">
            <v>WB</v>
          </cell>
          <cell r="AF11867">
            <v>1</v>
          </cell>
        </row>
        <row r="11868">
          <cell r="A11868" t="str">
            <v>IS_alqt_plus</v>
          </cell>
          <cell r="K11868" t="str">
            <v>VVV</v>
          </cell>
          <cell r="M11868" t="str">
            <v>M</v>
          </cell>
          <cell r="AB11868" t="str">
            <v>WB</v>
          </cell>
          <cell r="AF11868">
            <v>1</v>
          </cell>
        </row>
        <row r="11869">
          <cell r="A11869" t="str">
            <v>IS_alqt_plus</v>
          </cell>
          <cell r="K11869" t="str">
            <v>VVV</v>
          </cell>
          <cell r="M11869" t="str">
            <v>M</v>
          </cell>
          <cell r="AB11869" t="str">
            <v>WB</v>
          </cell>
          <cell r="AF11869">
            <v>1</v>
          </cell>
        </row>
        <row r="11870">
          <cell r="A11870" t="str">
            <v>IS_alqt_plus</v>
          </cell>
          <cell r="K11870" t="str">
            <v>VVV</v>
          </cell>
          <cell r="M11870" t="str">
            <v>M</v>
          </cell>
          <cell r="AB11870" t="str">
            <v>WB</v>
          </cell>
          <cell r="AF11870">
            <v>1</v>
          </cell>
        </row>
        <row r="11871">
          <cell r="A11871" t="str">
            <v>IS_alqt_plus</v>
          </cell>
          <cell r="K11871" t="str">
            <v>VVV</v>
          </cell>
          <cell r="M11871" t="str">
            <v>M</v>
          </cell>
          <cell r="AB11871" t="str">
            <v>WB</v>
          </cell>
          <cell r="AF11871">
            <v>1</v>
          </cell>
        </row>
        <row r="11872">
          <cell r="A11872" t="str">
            <v>IS_alqt_plus</v>
          </cell>
          <cell r="K11872" t="str">
            <v>VVV</v>
          </cell>
          <cell r="M11872" t="str">
            <v>M</v>
          </cell>
          <cell r="AB11872" t="str">
            <v>WB</v>
          </cell>
          <cell r="AF11872">
            <v>1</v>
          </cell>
        </row>
        <row r="11873">
          <cell r="A11873" t="str">
            <v>IS_alqt_plus</v>
          </cell>
          <cell r="K11873" t="str">
            <v>VVV</v>
          </cell>
          <cell r="M11873" t="str">
            <v>M</v>
          </cell>
          <cell r="AB11873" t="str">
            <v>WB</v>
          </cell>
          <cell r="AF11873">
            <v>1</v>
          </cell>
        </row>
        <row r="11874">
          <cell r="A11874" t="str">
            <v>IS_alqt_plus</v>
          </cell>
          <cell r="K11874" t="str">
            <v>VVV</v>
          </cell>
          <cell r="M11874" t="str">
            <v>M</v>
          </cell>
          <cell r="AB11874" t="str">
            <v>WB</v>
          </cell>
          <cell r="AF11874">
            <v>1</v>
          </cell>
        </row>
        <row r="11875">
          <cell r="A11875" t="str">
            <v>IS_alqt_plus</v>
          </cell>
          <cell r="K11875" t="str">
            <v>VVV</v>
          </cell>
          <cell r="M11875" t="str">
            <v>M</v>
          </cell>
          <cell r="AB11875" t="str">
            <v>WB</v>
          </cell>
          <cell r="AF11875">
            <v>1</v>
          </cell>
        </row>
        <row r="11876">
          <cell r="A11876" t="str">
            <v>IS_alqt_plus</v>
          </cell>
          <cell r="K11876" t="str">
            <v>VVV</v>
          </cell>
          <cell r="M11876" t="str">
            <v>M</v>
          </cell>
          <cell r="AB11876" t="str">
            <v>WB</v>
          </cell>
          <cell r="AF11876">
            <v>1</v>
          </cell>
        </row>
        <row r="11877">
          <cell r="A11877" t="str">
            <v>IS_alqt_plus</v>
          </cell>
          <cell r="K11877" t="str">
            <v>VVV</v>
          </cell>
          <cell r="M11877" t="str">
            <v>M</v>
          </cell>
          <cell r="AB11877" t="str">
            <v>WB</v>
          </cell>
          <cell r="AF11877">
            <v>0.25</v>
          </cell>
        </row>
        <row r="11878">
          <cell r="A11878" t="str">
            <v>IS_alqt_plus</v>
          </cell>
          <cell r="K11878" t="str">
            <v>VVV</v>
          </cell>
          <cell r="M11878" t="str">
            <v>M</v>
          </cell>
          <cell r="AB11878" t="str">
            <v>WB</v>
          </cell>
          <cell r="AF11878">
            <v>1</v>
          </cell>
        </row>
        <row r="11879">
          <cell r="A11879" t="str">
            <v>IS_alqt_plus</v>
          </cell>
          <cell r="K11879" t="str">
            <v>VVV</v>
          </cell>
          <cell r="M11879" t="str">
            <v>M</v>
          </cell>
          <cell r="AB11879" t="str">
            <v>WB</v>
          </cell>
          <cell r="AF11879">
            <v>1</v>
          </cell>
        </row>
        <row r="11880">
          <cell r="A11880" t="str">
            <v>IS_alqt_plus</v>
          </cell>
          <cell r="K11880" t="str">
            <v>VVV</v>
          </cell>
          <cell r="M11880" t="str">
            <v>M</v>
          </cell>
          <cell r="AB11880" t="str">
            <v>WB</v>
          </cell>
          <cell r="AF11880">
            <v>1</v>
          </cell>
        </row>
        <row r="11881">
          <cell r="A11881" t="str">
            <v>IS_alqt_plus</v>
          </cell>
          <cell r="K11881" t="str">
            <v>VVV</v>
          </cell>
          <cell r="M11881" t="str">
            <v>M</v>
          </cell>
          <cell r="AB11881" t="str">
            <v>WB</v>
          </cell>
          <cell r="AF11881">
            <v>1</v>
          </cell>
        </row>
        <row r="11882">
          <cell r="A11882" t="str">
            <v>IS_alqt_plus</v>
          </cell>
          <cell r="K11882" t="str">
            <v>VVV</v>
          </cell>
          <cell r="M11882" t="str">
            <v>M</v>
          </cell>
          <cell r="AB11882" t="str">
            <v>WB</v>
          </cell>
          <cell r="AF11882">
            <v>1</v>
          </cell>
        </row>
        <row r="11883">
          <cell r="A11883" t="str">
            <v>IS_alqt_plus</v>
          </cell>
          <cell r="K11883" t="str">
            <v>VVV</v>
          </cell>
          <cell r="M11883" t="str">
            <v>M</v>
          </cell>
          <cell r="AB11883" t="str">
            <v>WB</v>
          </cell>
          <cell r="AF11883">
            <v>1</v>
          </cell>
        </row>
        <row r="11884">
          <cell r="A11884" t="str">
            <v>IS_alqt_plus</v>
          </cell>
          <cell r="K11884" t="str">
            <v>VVV</v>
          </cell>
          <cell r="M11884" t="str">
            <v>M</v>
          </cell>
          <cell r="AB11884" t="str">
            <v>WB</v>
          </cell>
          <cell r="AF11884">
            <v>1</v>
          </cell>
        </row>
        <row r="11885">
          <cell r="A11885" t="str">
            <v>IS_alqt_plus</v>
          </cell>
          <cell r="K11885" t="str">
            <v>VVV</v>
          </cell>
          <cell r="M11885" t="str">
            <v>M</v>
          </cell>
          <cell r="AB11885" t="str">
            <v>WB</v>
          </cell>
          <cell r="AF11885">
            <v>1</v>
          </cell>
        </row>
        <row r="11886">
          <cell r="A11886" t="str">
            <v>IS_alqt_plus</v>
          </cell>
          <cell r="K11886" t="str">
            <v>VVV</v>
          </cell>
          <cell r="M11886" t="str">
            <v>M</v>
          </cell>
          <cell r="AB11886" t="str">
            <v>WB</v>
          </cell>
          <cell r="AF11886">
            <v>1</v>
          </cell>
        </row>
        <row r="11887">
          <cell r="A11887" t="str">
            <v>IS_alqt_plus</v>
          </cell>
          <cell r="K11887" t="str">
            <v>VVV</v>
          </cell>
          <cell r="M11887" t="str">
            <v>M</v>
          </cell>
          <cell r="AB11887" t="str">
            <v>WB</v>
          </cell>
          <cell r="AF11887">
            <v>1</v>
          </cell>
        </row>
        <row r="11888">
          <cell r="A11888" t="str">
            <v>IS_alqt_plus</v>
          </cell>
          <cell r="K11888" t="str">
            <v>VVV</v>
          </cell>
          <cell r="M11888" t="str">
            <v>M</v>
          </cell>
          <cell r="AB11888" t="str">
            <v>WB</v>
          </cell>
          <cell r="AF11888">
            <v>1</v>
          </cell>
        </row>
        <row r="11889">
          <cell r="A11889" t="str">
            <v>gone</v>
          </cell>
          <cell r="K11889" t="str">
            <v>VVV</v>
          </cell>
          <cell r="M11889" t="str">
            <v>M</v>
          </cell>
          <cell r="AB11889" t="str">
            <v>serum</v>
          </cell>
          <cell r="AF11889">
            <v>0</v>
          </cell>
        </row>
        <row r="11890">
          <cell r="A11890" t="str">
            <v>IS_alqt_plus</v>
          </cell>
          <cell r="K11890" t="str">
            <v>VVV</v>
          </cell>
          <cell r="M11890" t="str">
            <v>M</v>
          </cell>
          <cell r="AB11890" t="str">
            <v>serum</v>
          </cell>
          <cell r="AF11890">
            <v>1</v>
          </cell>
        </row>
        <row r="11891">
          <cell r="A11891" t="str">
            <v>IS_alqt_plus</v>
          </cell>
          <cell r="K11891" t="str">
            <v>VVV</v>
          </cell>
          <cell r="M11891" t="str">
            <v>M</v>
          </cell>
          <cell r="AB11891" t="str">
            <v xml:space="preserve">serum </v>
          </cell>
          <cell r="AF11891">
            <v>1</v>
          </cell>
        </row>
        <row r="11892">
          <cell r="A11892" t="str">
            <v>IS_alqt_plus</v>
          </cell>
          <cell r="K11892" t="str">
            <v>VVV</v>
          </cell>
          <cell r="M11892" t="str">
            <v>M</v>
          </cell>
          <cell r="AB11892" t="str">
            <v>serum</v>
          </cell>
          <cell r="AF11892">
            <v>1</v>
          </cell>
        </row>
        <row r="11893">
          <cell r="A11893" t="str">
            <v>IS_alqt_plus</v>
          </cell>
          <cell r="K11893" t="str">
            <v>VVV</v>
          </cell>
          <cell r="M11893" t="str">
            <v>M</v>
          </cell>
          <cell r="AB11893" t="str">
            <v xml:space="preserve">serum </v>
          </cell>
          <cell r="AF11893">
            <v>1</v>
          </cell>
        </row>
        <row r="11894">
          <cell r="A11894" t="str">
            <v>IS_alqt_plus</v>
          </cell>
          <cell r="K11894" t="str">
            <v>VVV</v>
          </cell>
          <cell r="M11894" t="str">
            <v>M</v>
          </cell>
          <cell r="AB11894" t="str">
            <v xml:space="preserve">serum </v>
          </cell>
          <cell r="AF11894">
            <v>1</v>
          </cell>
        </row>
        <row r="11895">
          <cell r="A11895" t="str">
            <v>IS_alqt_plus</v>
          </cell>
          <cell r="K11895" t="str">
            <v>VVV</v>
          </cell>
          <cell r="M11895" t="str">
            <v>M</v>
          </cell>
          <cell r="AB11895" t="str">
            <v xml:space="preserve">serum </v>
          </cell>
          <cell r="AF11895">
            <v>1</v>
          </cell>
        </row>
        <row r="11896">
          <cell r="A11896" t="str">
            <v>IS_alqt_plus</v>
          </cell>
          <cell r="K11896" t="str">
            <v>VVV</v>
          </cell>
          <cell r="M11896" t="str">
            <v>M</v>
          </cell>
          <cell r="AB11896" t="str">
            <v xml:space="preserve">serum </v>
          </cell>
          <cell r="AF11896">
            <v>1</v>
          </cell>
        </row>
        <row r="11897">
          <cell r="A11897" t="str">
            <v>IS_alqt_plus</v>
          </cell>
          <cell r="K11897" t="str">
            <v>VVV</v>
          </cell>
          <cell r="M11897" t="str">
            <v>M</v>
          </cell>
          <cell r="AB11897" t="str">
            <v xml:space="preserve">serum </v>
          </cell>
          <cell r="AF11897">
            <v>1</v>
          </cell>
        </row>
        <row r="11898">
          <cell r="A11898" t="str">
            <v>IS_alqt_plus</v>
          </cell>
          <cell r="K11898" t="str">
            <v>VVV</v>
          </cell>
          <cell r="M11898" t="str">
            <v>M</v>
          </cell>
          <cell r="AB11898" t="str">
            <v xml:space="preserve">serum </v>
          </cell>
          <cell r="AF11898">
            <v>1</v>
          </cell>
        </row>
        <row r="11899">
          <cell r="A11899" t="str">
            <v>IS_alqt_plus</v>
          </cell>
          <cell r="K11899" t="str">
            <v>VVV</v>
          </cell>
          <cell r="M11899" t="str">
            <v>M</v>
          </cell>
          <cell r="AB11899" t="str">
            <v>serum</v>
          </cell>
          <cell r="AF11899">
            <v>1</v>
          </cell>
        </row>
        <row r="11900">
          <cell r="A11900" t="str">
            <v>IS_alqt_plus</v>
          </cell>
          <cell r="K11900" t="str">
            <v>VVV</v>
          </cell>
          <cell r="M11900" t="str">
            <v>M</v>
          </cell>
          <cell r="AB11900" t="str">
            <v>serum</v>
          </cell>
          <cell r="AF11900">
            <v>1</v>
          </cell>
        </row>
        <row r="11901">
          <cell r="A11901" t="str">
            <v>IS_alqt_plus</v>
          </cell>
          <cell r="K11901" t="str">
            <v>VVV</v>
          </cell>
          <cell r="M11901" t="str">
            <v>M</v>
          </cell>
          <cell r="AB11901" t="str">
            <v>serum</v>
          </cell>
          <cell r="AF11901">
            <v>1</v>
          </cell>
        </row>
        <row r="11902">
          <cell r="A11902" t="str">
            <v>IS_alqt_plus</v>
          </cell>
          <cell r="K11902" t="str">
            <v>VVV</v>
          </cell>
          <cell r="M11902" t="str">
            <v>M</v>
          </cell>
          <cell r="AB11902" t="str">
            <v>serum</v>
          </cell>
          <cell r="AF11902">
            <v>1</v>
          </cell>
        </row>
        <row r="11903">
          <cell r="A11903" t="str">
            <v>IS_alqt_plus</v>
          </cell>
          <cell r="K11903" t="str">
            <v>VVV</v>
          </cell>
          <cell r="M11903" t="str">
            <v>M</v>
          </cell>
          <cell r="AB11903" t="str">
            <v>serum</v>
          </cell>
          <cell r="AF11903">
            <v>1</v>
          </cell>
        </row>
        <row r="11904">
          <cell r="A11904" t="str">
            <v>IS_alqt_plus</v>
          </cell>
          <cell r="K11904" t="str">
            <v>VVV</v>
          </cell>
          <cell r="M11904" t="str">
            <v>M</v>
          </cell>
          <cell r="AB11904" t="str">
            <v>serum</v>
          </cell>
          <cell r="AF11904">
            <v>1</v>
          </cell>
        </row>
        <row r="11905">
          <cell r="A11905" t="str">
            <v>IS_alqt_plus</v>
          </cell>
          <cell r="K11905" t="str">
            <v>VVV</v>
          </cell>
          <cell r="M11905" t="str">
            <v>M</v>
          </cell>
          <cell r="AB11905" t="str">
            <v>serum</v>
          </cell>
          <cell r="AF11905">
            <v>1</v>
          </cell>
        </row>
        <row r="11906">
          <cell r="A11906" t="str">
            <v>IS_alqt_plus</v>
          </cell>
          <cell r="K11906" t="str">
            <v>VVV</v>
          </cell>
          <cell r="M11906" t="str">
            <v>M</v>
          </cell>
          <cell r="AB11906" t="str">
            <v>serum</v>
          </cell>
          <cell r="AF11906">
            <v>1</v>
          </cell>
        </row>
        <row r="11907">
          <cell r="A11907" t="str">
            <v>IS_alqt_plus</v>
          </cell>
          <cell r="K11907" t="str">
            <v>VVV</v>
          </cell>
          <cell r="M11907" t="str">
            <v>M</v>
          </cell>
          <cell r="AB11907" t="str">
            <v>serum</v>
          </cell>
          <cell r="AF11907">
            <v>1</v>
          </cell>
        </row>
        <row r="11908">
          <cell r="A11908" t="str">
            <v>IS_alqt_plus</v>
          </cell>
          <cell r="K11908" t="str">
            <v>VVV</v>
          </cell>
          <cell r="M11908" t="str">
            <v>M</v>
          </cell>
          <cell r="AB11908" t="str">
            <v>serum</v>
          </cell>
          <cell r="AF11908">
            <v>1</v>
          </cell>
        </row>
        <row r="11909">
          <cell r="A11909" t="str">
            <v>IS_alqt_plus</v>
          </cell>
          <cell r="K11909" t="str">
            <v>VVV</v>
          </cell>
          <cell r="M11909" t="str">
            <v>M</v>
          </cell>
          <cell r="AB11909" t="str">
            <v>serum</v>
          </cell>
          <cell r="AF11909">
            <v>1</v>
          </cell>
        </row>
        <row r="11910">
          <cell r="A11910" t="str">
            <v>IS_alqt_plus</v>
          </cell>
          <cell r="K11910" t="str">
            <v>VVV</v>
          </cell>
          <cell r="M11910" t="str">
            <v>M</v>
          </cell>
          <cell r="AB11910" t="str">
            <v>serum</v>
          </cell>
          <cell r="AF11910">
            <v>1</v>
          </cell>
        </row>
        <row r="11911">
          <cell r="A11911" t="str">
            <v>IS_alqt_plus</v>
          </cell>
          <cell r="K11911" t="str">
            <v>VVV</v>
          </cell>
          <cell r="M11911" t="str">
            <v>M</v>
          </cell>
          <cell r="AB11911" t="str">
            <v>serum</v>
          </cell>
          <cell r="AF11911">
            <v>1</v>
          </cell>
        </row>
        <row r="11912">
          <cell r="A11912" t="str">
            <v>IS_alqt_plus</v>
          </cell>
          <cell r="K11912" t="str">
            <v>VVV</v>
          </cell>
          <cell r="M11912" t="str">
            <v>M</v>
          </cell>
          <cell r="AB11912" t="str">
            <v>serum</v>
          </cell>
          <cell r="AF11912">
            <v>1</v>
          </cell>
        </row>
        <row r="11913">
          <cell r="A11913" t="str">
            <v>IS_alqt_plus</v>
          </cell>
          <cell r="K11913" t="str">
            <v>VVV</v>
          </cell>
          <cell r="M11913" t="str">
            <v>M</v>
          </cell>
          <cell r="AB11913" t="str">
            <v>serum</v>
          </cell>
          <cell r="AF11913">
            <v>1</v>
          </cell>
        </row>
        <row r="11914">
          <cell r="A11914" t="str">
            <v>IS_alqt_plus</v>
          </cell>
          <cell r="K11914" t="str">
            <v>VVV</v>
          </cell>
          <cell r="M11914" t="str">
            <v>M</v>
          </cell>
          <cell r="AB11914" t="str">
            <v>serum</v>
          </cell>
          <cell r="AF11914">
            <v>1</v>
          </cell>
        </row>
        <row r="11915">
          <cell r="A11915" t="str">
            <v>IS_alqt_plus</v>
          </cell>
          <cell r="K11915" t="str">
            <v>VVV</v>
          </cell>
          <cell r="M11915" t="str">
            <v>M</v>
          </cell>
          <cell r="AB11915" t="str">
            <v>serum</v>
          </cell>
          <cell r="AF11915">
            <v>1</v>
          </cell>
        </row>
        <row r="11916">
          <cell r="A11916" t="str">
            <v>IS_alqt_plus</v>
          </cell>
          <cell r="K11916" t="str">
            <v>VVV</v>
          </cell>
          <cell r="M11916" t="str">
            <v>M</v>
          </cell>
          <cell r="AB11916" t="str">
            <v>serum</v>
          </cell>
          <cell r="AF11916">
            <v>1</v>
          </cell>
        </row>
        <row r="11917">
          <cell r="A11917" t="str">
            <v>IS_alqt_plus</v>
          </cell>
          <cell r="K11917" t="str">
            <v>VVV</v>
          </cell>
          <cell r="M11917" t="str">
            <v>M</v>
          </cell>
          <cell r="AB11917" t="str">
            <v>serum</v>
          </cell>
          <cell r="AF11917">
            <v>1</v>
          </cell>
        </row>
        <row r="11918">
          <cell r="A11918" t="str">
            <v>IS_alqt_plus</v>
          </cell>
          <cell r="K11918" t="str">
            <v>VVV</v>
          </cell>
          <cell r="M11918" t="str">
            <v>M</v>
          </cell>
          <cell r="AB11918" t="str">
            <v>serum</v>
          </cell>
          <cell r="AF11918">
            <v>1</v>
          </cell>
        </row>
        <row r="11919">
          <cell r="A11919" t="str">
            <v>IS_alqt_plus</v>
          </cell>
          <cell r="K11919" t="str">
            <v>VVV</v>
          </cell>
          <cell r="M11919" t="str">
            <v>M</v>
          </cell>
          <cell r="AB11919" t="str">
            <v>serum</v>
          </cell>
          <cell r="AF11919">
            <v>1</v>
          </cell>
        </row>
        <row r="11920">
          <cell r="A11920" t="str">
            <v>IS_alqt_plus</v>
          </cell>
          <cell r="K11920" t="str">
            <v>VVV</v>
          </cell>
          <cell r="M11920" t="str">
            <v>M</v>
          </cell>
          <cell r="AB11920" t="str">
            <v>serum</v>
          </cell>
          <cell r="AF11920">
            <v>1</v>
          </cell>
        </row>
        <row r="11921">
          <cell r="A11921" t="str">
            <v>IS_alqt_plus</v>
          </cell>
          <cell r="K11921" t="str">
            <v>VVV</v>
          </cell>
          <cell r="M11921" t="str">
            <v>M</v>
          </cell>
          <cell r="AB11921" t="str">
            <v>serum</v>
          </cell>
          <cell r="AF11921">
            <v>1</v>
          </cell>
        </row>
        <row r="11922">
          <cell r="A11922" t="str">
            <v>IS_alqt_plus</v>
          </cell>
          <cell r="K11922" t="str">
            <v>VVV</v>
          </cell>
          <cell r="M11922" t="str">
            <v>M</v>
          </cell>
          <cell r="AB11922" t="str">
            <v>serum</v>
          </cell>
          <cell r="AF11922">
            <v>1</v>
          </cell>
        </row>
        <row r="11923">
          <cell r="A11923" t="str">
            <v>IS_alqt_plus</v>
          </cell>
          <cell r="K11923" t="str">
            <v>VVV</v>
          </cell>
          <cell r="M11923" t="str">
            <v>M</v>
          </cell>
          <cell r="AB11923" t="str">
            <v>serum</v>
          </cell>
          <cell r="AF11923">
            <v>1</v>
          </cell>
        </row>
        <row r="11924">
          <cell r="A11924" t="str">
            <v>IS_alqt_plus</v>
          </cell>
          <cell r="K11924" t="str">
            <v>VVV</v>
          </cell>
          <cell r="M11924" t="str">
            <v>M</v>
          </cell>
          <cell r="AB11924" t="str">
            <v xml:space="preserve">serum </v>
          </cell>
          <cell r="AF11924">
            <v>1</v>
          </cell>
        </row>
        <row r="11925">
          <cell r="A11925" t="str">
            <v>IS_alqt_plus</v>
          </cell>
          <cell r="K11925" t="str">
            <v>VRUB</v>
          </cell>
          <cell r="M11925" t="str">
            <v>M</v>
          </cell>
          <cell r="AB11925" t="str">
            <v>serum</v>
          </cell>
          <cell r="AF11925">
            <v>1</v>
          </cell>
        </row>
        <row r="11926">
          <cell r="A11926" t="str">
            <v>IS_alqt_plus</v>
          </cell>
          <cell r="K11926" t="str">
            <v>PCOQ</v>
          </cell>
          <cell r="M11926" t="str">
            <v>F</v>
          </cell>
          <cell r="AB11926" t="str">
            <v>WB</v>
          </cell>
          <cell r="AF11926">
            <v>0.3</v>
          </cell>
        </row>
        <row r="11927">
          <cell r="A11927" t="str">
            <v>IS_alqt_plus</v>
          </cell>
          <cell r="K11927" t="str">
            <v>LCAT</v>
          </cell>
          <cell r="M11927" t="str">
            <v>M</v>
          </cell>
          <cell r="AB11927" t="str">
            <v>serum</v>
          </cell>
          <cell r="AF11927">
            <v>1</v>
          </cell>
        </row>
        <row r="11928">
          <cell r="A11928" t="str">
            <v>IS_alqt_plus</v>
          </cell>
          <cell r="K11928" t="str">
            <v>EFLA</v>
          </cell>
          <cell r="M11928" t="str">
            <v>F</v>
          </cell>
          <cell r="AB11928" t="str">
            <v xml:space="preserve">serum </v>
          </cell>
          <cell r="AF11928">
            <v>1.1000000000000001</v>
          </cell>
        </row>
        <row r="11929">
          <cell r="A11929" t="str">
            <v>IS_alqt_plus</v>
          </cell>
          <cell r="K11929" t="str">
            <v>CMED</v>
          </cell>
          <cell r="M11929" t="str">
            <v>M</v>
          </cell>
          <cell r="AB11929" t="str">
            <v>WB</v>
          </cell>
          <cell r="AF11929">
            <v>0.5</v>
          </cell>
        </row>
        <row r="11930">
          <cell r="A11930" t="str">
            <v>IS_alqt_plus</v>
          </cell>
          <cell r="K11930" t="str">
            <v>PCOQ</v>
          </cell>
          <cell r="M11930" t="str">
            <v>F</v>
          </cell>
          <cell r="AB11930" t="str">
            <v>WB</v>
          </cell>
          <cell r="AF11930">
            <v>0.75</v>
          </cell>
        </row>
        <row r="11931">
          <cell r="A11931" t="str">
            <v>IS_alqt_plus</v>
          </cell>
          <cell r="K11931" t="str">
            <v>PCOQ</v>
          </cell>
          <cell r="M11931" t="str">
            <v>F</v>
          </cell>
          <cell r="AB11931" t="str">
            <v>WB</v>
          </cell>
          <cell r="AF11931">
            <v>0.5</v>
          </cell>
        </row>
        <row r="11932">
          <cell r="A11932" t="str">
            <v>IS_alqt_plus</v>
          </cell>
          <cell r="K11932" t="str">
            <v>EMON</v>
          </cell>
          <cell r="M11932" t="str">
            <v>M</v>
          </cell>
          <cell r="AB11932" t="str">
            <v>WB</v>
          </cell>
          <cell r="AF11932">
            <v>1</v>
          </cell>
        </row>
        <row r="11933">
          <cell r="A11933" t="str">
            <v>IS_alqt_plus</v>
          </cell>
          <cell r="K11933" t="str">
            <v>EMON</v>
          </cell>
          <cell r="M11933" t="str">
            <v>M</v>
          </cell>
          <cell r="AB11933" t="str">
            <v>WB</v>
          </cell>
          <cell r="AF11933">
            <v>1.5</v>
          </cell>
        </row>
        <row r="11934">
          <cell r="A11934" t="str">
            <v>IS_alqt_plus</v>
          </cell>
          <cell r="K11934" t="str">
            <v>EMON</v>
          </cell>
          <cell r="M11934" t="str">
            <v>M</v>
          </cell>
          <cell r="AB11934" t="str">
            <v>WB</v>
          </cell>
          <cell r="AF11934">
            <v>0.75</v>
          </cell>
        </row>
        <row r="11935">
          <cell r="A11935" t="str">
            <v>gone</v>
          </cell>
          <cell r="K11935" t="str">
            <v>EMON</v>
          </cell>
          <cell r="M11935" t="str">
            <v>F</v>
          </cell>
          <cell r="AB11935" t="str">
            <v>WB</v>
          </cell>
          <cell r="AF11935">
            <v>0</v>
          </cell>
        </row>
        <row r="11936">
          <cell r="A11936" t="str">
            <v>IS_alqt_plus</v>
          </cell>
          <cell r="K11936" t="str">
            <v>GMOH</v>
          </cell>
          <cell r="M11936" t="str">
            <v>F</v>
          </cell>
          <cell r="AB11936" t="str">
            <v>WB</v>
          </cell>
          <cell r="AF11936">
            <v>0.2</v>
          </cell>
        </row>
        <row r="11937">
          <cell r="A11937" t="str">
            <v>IS_alqt_plus</v>
          </cell>
          <cell r="K11937" t="str">
            <v>EFLA</v>
          </cell>
          <cell r="M11937" t="str">
            <v>M</v>
          </cell>
          <cell r="AB11937" t="str">
            <v>WB</v>
          </cell>
          <cell r="AF11937">
            <v>1</v>
          </cell>
        </row>
        <row r="11938">
          <cell r="A11938" t="str">
            <v>IS_alqt_plus</v>
          </cell>
          <cell r="K11938" t="str">
            <v>VRUB</v>
          </cell>
          <cell r="M11938" t="str">
            <v>M</v>
          </cell>
          <cell r="AB11938" t="str">
            <v>WB</v>
          </cell>
          <cell r="AF11938">
            <v>1</v>
          </cell>
        </row>
        <row r="11939">
          <cell r="A11939" t="str">
            <v>IS_alqt_plus</v>
          </cell>
          <cell r="K11939" t="str">
            <v>VRUB</v>
          </cell>
          <cell r="M11939" t="str">
            <v>M</v>
          </cell>
          <cell r="AB11939" t="str">
            <v>WB</v>
          </cell>
          <cell r="AF11939">
            <v>1</v>
          </cell>
        </row>
        <row r="11940">
          <cell r="A11940" t="str">
            <v>IS_alqt_plus</v>
          </cell>
          <cell r="K11940" t="str">
            <v>VRUB</v>
          </cell>
          <cell r="M11940" t="str">
            <v>M</v>
          </cell>
          <cell r="AB11940" t="str">
            <v>serum</v>
          </cell>
          <cell r="AF11940">
            <v>0.75</v>
          </cell>
        </row>
        <row r="11941">
          <cell r="A11941" t="str">
            <v>IS_alqt_plus</v>
          </cell>
          <cell r="K11941" t="str">
            <v>VVV</v>
          </cell>
          <cell r="M11941" t="str">
            <v>F</v>
          </cell>
          <cell r="AB11941" t="str">
            <v>WB</v>
          </cell>
          <cell r="AF11941">
            <v>0.5</v>
          </cell>
        </row>
        <row r="11942">
          <cell r="A11942" t="str">
            <v>IS_alqt_plus</v>
          </cell>
          <cell r="K11942" t="str">
            <v>PCOQ</v>
          </cell>
          <cell r="M11942" t="str">
            <v>M</v>
          </cell>
          <cell r="AB11942" t="str">
            <v>WB</v>
          </cell>
          <cell r="AF11942">
            <v>1.5</v>
          </cell>
        </row>
        <row r="11943">
          <cell r="A11943" t="str">
            <v>IS_alqt_plus</v>
          </cell>
          <cell r="K11943" t="str">
            <v>PCOQ</v>
          </cell>
          <cell r="M11943" t="str">
            <v>F</v>
          </cell>
          <cell r="AB11943" t="str">
            <v>WB</v>
          </cell>
          <cell r="AF11943">
            <v>1</v>
          </cell>
        </row>
        <row r="11944">
          <cell r="A11944" t="str">
            <v>gone</v>
          </cell>
          <cell r="K11944" t="str">
            <v>PCOQ</v>
          </cell>
          <cell r="M11944" t="str">
            <v>F</v>
          </cell>
          <cell r="AB11944" t="str">
            <v>WB</v>
          </cell>
          <cell r="AF11944">
            <v>0</v>
          </cell>
        </row>
        <row r="11945">
          <cell r="A11945" t="str">
            <v>IS_alqt_plus</v>
          </cell>
          <cell r="K11945" t="str">
            <v>VVV</v>
          </cell>
          <cell r="M11945" t="str">
            <v>F</v>
          </cell>
          <cell r="AB11945" t="str">
            <v>serum</v>
          </cell>
          <cell r="AF11945">
            <v>0.5</v>
          </cell>
        </row>
        <row r="11946">
          <cell r="A11946" t="str">
            <v>IS_alqt_plus</v>
          </cell>
          <cell r="K11946" t="str">
            <v>EFLA</v>
          </cell>
          <cell r="M11946" t="str">
            <v>F</v>
          </cell>
          <cell r="AB11946" t="str">
            <v>WB</v>
          </cell>
          <cell r="AF11946">
            <v>1</v>
          </cell>
        </row>
        <row r="11947">
          <cell r="A11947" t="str">
            <v>IS_alqt_plus</v>
          </cell>
          <cell r="K11947" t="str">
            <v>ECOR</v>
          </cell>
          <cell r="M11947" t="str">
            <v>M</v>
          </cell>
          <cell r="AB11947" t="str">
            <v>WB</v>
          </cell>
          <cell r="AF11947">
            <v>1</v>
          </cell>
        </row>
        <row r="11948">
          <cell r="A11948" t="str">
            <v>gone</v>
          </cell>
          <cell r="K11948" t="str">
            <v>MMUR</v>
          </cell>
          <cell r="M11948" t="str">
            <v>F</v>
          </cell>
          <cell r="AB11948" t="str">
            <v>WB</v>
          </cell>
          <cell r="AF11948">
            <v>0</v>
          </cell>
        </row>
        <row r="11949">
          <cell r="A11949" t="str">
            <v>gone</v>
          </cell>
          <cell r="K11949" t="str">
            <v>PCOQ</v>
          </cell>
          <cell r="M11949" t="str">
            <v>F</v>
          </cell>
          <cell r="AB11949" t="str">
            <v>WB</v>
          </cell>
          <cell r="AF11949">
            <v>0</v>
          </cell>
        </row>
        <row r="11950">
          <cell r="A11950" t="str">
            <v>IS_alqt_plus</v>
          </cell>
          <cell r="K11950" t="str">
            <v>PCOQ</v>
          </cell>
          <cell r="M11950" t="str">
            <v>F</v>
          </cell>
          <cell r="AB11950" t="str">
            <v>WB</v>
          </cell>
          <cell r="AF11950">
            <v>1</v>
          </cell>
        </row>
        <row r="11951">
          <cell r="A11951" t="str">
            <v>IS_alqt_plus</v>
          </cell>
          <cell r="K11951" t="str">
            <v>PCOQ</v>
          </cell>
          <cell r="M11951" t="str">
            <v>F</v>
          </cell>
          <cell r="AB11951" t="str">
            <v>WB</v>
          </cell>
          <cell r="AF11951">
            <v>1</v>
          </cell>
        </row>
        <row r="11952">
          <cell r="A11952" t="str">
            <v>IS_alqt_plus</v>
          </cell>
          <cell r="K11952" t="str">
            <v>PCOQ</v>
          </cell>
          <cell r="M11952" t="str">
            <v>F</v>
          </cell>
          <cell r="AB11952" t="str">
            <v>serum</v>
          </cell>
          <cell r="AF11952">
            <v>1.25</v>
          </cell>
        </row>
        <row r="11953">
          <cell r="A11953" t="str">
            <v>IS_alqt_plus</v>
          </cell>
          <cell r="K11953" t="str">
            <v>MMUR</v>
          </cell>
          <cell r="M11953" t="str">
            <v>F</v>
          </cell>
          <cell r="AB11953" t="str">
            <v>WB</v>
          </cell>
          <cell r="AF11953">
            <v>0.4</v>
          </cell>
        </row>
        <row r="11954">
          <cell r="A11954" t="str">
            <v>IS_alqt_plus</v>
          </cell>
          <cell r="K11954" t="str">
            <v>PCOQ</v>
          </cell>
          <cell r="M11954" t="str">
            <v>F</v>
          </cell>
          <cell r="AB11954" t="str">
            <v>WB</v>
          </cell>
          <cell r="AF11954">
            <v>1</v>
          </cell>
        </row>
        <row r="11955">
          <cell r="A11955" t="str">
            <v>IS_alqt_plus</v>
          </cell>
          <cell r="K11955" t="str">
            <v>PCOQ</v>
          </cell>
          <cell r="M11955" t="str">
            <v>F</v>
          </cell>
          <cell r="AB11955" t="str">
            <v>WB</v>
          </cell>
          <cell r="AF11955">
            <v>1</v>
          </cell>
        </row>
        <row r="11956">
          <cell r="A11956" t="str">
            <v>IS_alqt_plus</v>
          </cell>
          <cell r="K11956" t="str">
            <v>VRUB</v>
          </cell>
          <cell r="M11956" t="str">
            <v>M</v>
          </cell>
          <cell r="AB11956" t="str">
            <v>WB</v>
          </cell>
          <cell r="AF11956">
            <v>1</v>
          </cell>
        </row>
        <row r="11957">
          <cell r="A11957" t="str">
            <v>IS_alqt_plus</v>
          </cell>
          <cell r="K11957" t="str">
            <v>VRUB</v>
          </cell>
          <cell r="M11957" t="str">
            <v>M</v>
          </cell>
          <cell r="AB11957" t="str">
            <v>WB</v>
          </cell>
          <cell r="AF11957">
            <v>1</v>
          </cell>
        </row>
        <row r="11958">
          <cell r="A11958" t="str">
            <v>IS_alqt_plus</v>
          </cell>
          <cell r="K11958" t="str">
            <v>PCOQ</v>
          </cell>
          <cell r="M11958" t="str">
            <v>F</v>
          </cell>
          <cell r="AB11958" t="str">
            <v>WB</v>
          </cell>
          <cell r="AF11958">
            <v>1</v>
          </cell>
        </row>
        <row r="11959">
          <cell r="A11959" t="str">
            <v>IS_alqt_plus</v>
          </cell>
          <cell r="K11959" t="str">
            <v>PCOQ</v>
          </cell>
          <cell r="M11959" t="str">
            <v>M</v>
          </cell>
          <cell r="AB11959" t="str">
            <v>serum</v>
          </cell>
          <cell r="AF11959">
            <v>1.25</v>
          </cell>
        </row>
        <row r="11960">
          <cell r="A11960" t="str">
            <v>gone</v>
          </cell>
          <cell r="K11960" t="str">
            <v>VVV</v>
          </cell>
          <cell r="M11960" t="str">
            <v>F</v>
          </cell>
          <cell r="AB11960" t="str">
            <v>serum</v>
          </cell>
          <cell r="AF11960">
            <v>0</v>
          </cell>
        </row>
        <row r="11961">
          <cell r="A11961" t="str">
            <v>IS_alqt_plus</v>
          </cell>
          <cell r="K11961" t="str">
            <v>ECOL</v>
          </cell>
          <cell r="M11961" t="str">
            <v>f</v>
          </cell>
          <cell r="AB11961" t="str">
            <v>WB</v>
          </cell>
          <cell r="AF11961">
            <v>0.75</v>
          </cell>
        </row>
        <row r="11962">
          <cell r="A11962" t="str">
            <v>IS_alqt_plus</v>
          </cell>
          <cell r="K11962" t="str">
            <v>PCOQ</v>
          </cell>
          <cell r="M11962" t="str">
            <v>F</v>
          </cell>
          <cell r="AB11962" t="str">
            <v>WB</v>
          </cell>
          <cell r="AF11962">
            <v>1</v>
          </cell>
        </row>
        <row r="11963">
          <cell r="A11963" t="str">
            <v>IS_alqt_plus</v>
          </cell>
          <cell r="K11963" t="str">
            <v>PCOQ</v>
          </cell>
          <cell r="M11963" t="str">
            <v>F</v>
          </cell>
          <cell r="AB11963" t="str">
            <v>WB</v>
          </cell>
          <cell r="AF11963">
            <v>1</v>
          </cell>
        </row>
        <row r="11964">
          <cell r="A11964" t="str">
            <v>IS_alqt_plus</v>
          </cell>
          <cell r="K11964" t="str">
            <v>ECOR</v>
          </cell>
          <cell r="M11964" t="str">
            <v>M</v>
          </cell>
          <cell r="AB11964" t="str">
            <v>serum</v>
          </cell>
          <cell r="AF11964">
            <v>1</v>
          </cell>
        </row>
        <row r="11965">
          <cell r="A11965" t="str">
            <v>IS_alqt_plus</v>
          </cell>
          <cell r="K11965" t="str">
            <v>PCOQ</v>
          </cell>
          <cell r="M11965" t="str">
            <v>F</v>
          </cell>
          <cell r="AB11965" t="str">
            <v>WB</v>
          </cell>
          <cell r="AF11965">
            <v>1</v>
          </cell>
        </row>
        <row r="11966">
          <cell r="A11966" t="str">
            <v>IS_alqt_plus</v>
          </cell>
          <cell r="K11966" t="str">
            <v>PCOQ</v>
          </cell>
          <cell r="M11966" t="str">
            <v>F</v>
          </cell>
          <cell r="AB11966" t="str">
            <v>WB</v>
          </cell>
          <cell r="AF11966">
            <v>0.4</v>
          </cell>
        </row>
        <row r="11967">
          <cell r="A11967" t="str">
            <v>IS_alqt_plus</v>
          </cell>
          <cell r="K11967" t="str">
            <v>PCOQ</v>
          </cell>
          <cell r="M11967" t="str">
            <v>M</v>
          </cell>
          <cell r="AB11967" t="str">
            <v>WB</v>
          </cell>
          <cell r="AF11967">
            <v>1</v>
          </cell>
        </row>
        <row r="11968">
          <cell r="A11968" t="str">
            <v>IS_alqt_plus</v>
          </cell>
          <cell r="K11968" t="str">
            <v>PCOQ</v>
          </cell>
          <cell r="M11968" t="str">
            <v>F</v>
          </cell>
          <cell r="AB11968" t="str">
            <v>WB</v>
          </cell>
          <cell r="AF11968">
            <v>1</v>
          </cell>
        </row>
        <row r="11969">
          <cell r="A11969" t="str">
            <v>IS_alqt_plus</v>
          </cell>
          <cell r="K11969" t="str">
            <v>VRUB</v>
          </cell>
          <cell r="M11969" t="str">
            <v>M</v>
          </cell>
          <cell r="AB11969" t="str">
            <v>WB</v>
          </cell>
          <cell r="AF11969">
            <v>1</v>
          </cell>
        </row>
        <row r="11970">
          <cell r="A11970" t="str">
            <v>IS_alqt_plus</v>
          </cell>
          <cell r="K11970" t="str">
            <v>VRUB</v>
          </cell>
          <cell r="M11970" t="str">
            <v>M</v>
          </cell>
          <cell r="AB11970" t="str">
            <v>serum</v>
          </cell>
          <cell r="AF11970">
            <v>1</v>
          </cell>
        </row>
        <row r="11971">
          <cell r="A11971" t="str">
            <v>IS_alqt_plus</v>
          </cell>
          <cell r="K11971" t="str">
            <v>PCOQ</v>
          </cell>
          <cell r="M11971" t="str">
            <v>M</v>
          </cell>
          <cell r="AB11971" t="str">
            <v>WB</v>
          </cell>
          <cell r="AF11971">
            <v>1</v>
          </cell>
        </row>
        <row r="11972">
          <cell r="A11972" t="str">
            <v>IS_alqt_plus</v>
          </cell>
          <cell r="K11972" t="str">
            <v>MMUR</v>
          </cell>
          <cell r="M11972" t="str">
            <v>M</v>
          </cell>
          <cell r="AB11972" t="str">
            <v>WB</v>
          </cell>
          <cell r="AF11972">
            <v>0.5</v>
          </cell>
        </row>
        <row r="11973">
          <cell r="A11973" t="str">
            <v>IS_alqt_plus</v>
          </cell>
          <cell r="K11973" t="str">
            <v>ECOL</v>
          </cell>
          <cell r="M11973" t="str">
            <v>f</v>
          </cell>
          <cell r="AB11973" t="str">
            <v xml:space="preserve">serum </v>
          </cell>
          <cell r="AF11973">
            <v>1.25</v>
          </cell>
        </row>
        <row r="11974">
          <cell r="A11974" t="str">
            <v>IS_alqt_plus</v>
          </cell>
          <cell r="K11974" t="str">
            <v>PCOQ</v>
          </cell>
          <cell r="M11974" t="str">
            <v>F</v>
          </cell>
          <cell r="AB11974" t="str">
            <v>WB</v>
          </cell>
          <cell r="AF11974">
            <v>0.75</v>
          </cell>
        </row>
        <row r="11975">
          <cell r="A11975" t="str">
            <v>IS_alqt_plus</v>
          </cell>
          <cell r="K11975" t="str">
            <v>PCOQ</v>
          </cell>
          <cell r="M11975" t="str">
            <v>M</v>
          </cell>
          <cell r="AB11975" t="str">
            <v>serum</v>
          </cell>
          <cell r="AF11975">
            <v>1</v>
          </cell>
        </row>
        <row r="11976">
          <cell r="A11976" t="str">
            <v>IS_alqt_plus</v>
          </cell>
          <cell r="K11976" t="str">
            <v>PCOQ</v>
          </cell>
          <cell r="M11976" t="str">
            <v>F</v>
          </cell>
          <cell r="AB11976" t="str">
            <v>WB</v>
          </cell>
          <cell r="AF11976">
            <v>0.5</v>
          </cell>
        </row>
        <row r="11977">
          <cell r="A11977" t="str">
            <v>IS_alqt_plus</v>
          </cell>
          <cell r="K11977" t="str">
            <v>VRUB</v>
          </cell>
          <cell r="M11977" t="str">
            <v>M</v>
          </cell>
          <cell r="AB11977" t="str">
            <v>WB</v>
          </cell>
          <cell r="AF11977">
            <v>1</v>
          </cell>
        </row>
        <row r="11978">
          <cell r="A11978" t="str">
            <v>IS_alqt_plus</v>
          </cell>
          <cell r="K11978" t="str">
            <v>VRUB</v>
          </cell>
          <cell r="M11978" t="str">
            <v>M</v>
          </cell>
          <cell r="AB11978" t="str">
            <v>serum</v>
          </cell>
          <cell r="AF11978">
            <v>1</v>
          </cell>
        </row>
        <row r="11979">
          <cell r="A11979" t="str">
            <v>IS_alqt_plus</v>
          </cell>
          <cell r="K11979" t="str">
            <v>PCOQ</v>
          </cell>
          <cell r="M11979" t="str">
            <v>M</v>
          </cell>
          <cell r="AB11979" t="str">
            <v>WB</v>
          </cell>
          <cell r="AF11979">
            <v>0.5</v>
          </cell>
        </row>
        <row r="11980">
          <cell r="A11980" t="str">
            <v>IS_alqt_plus</v>
          </cell>
          <cell r="K11980" t="str">
            <v>MMUR</v>
          </cell>
          <cell r="M11980" t="str">
            <v>M</v>
          </cell>
          <cell r="AB11980" t="str">
            <v>WB</v>
          </cell>
          <cell r="AF11980">
            <v>0.4</v>
          </cell>
        </row>
        <row r="11981">
          <cell r="A11981" t="str">
            <v>IS_alqt_plus</v>
          </cell>
          <cell r="K11981" t="str">
            <v>EMON</v>
          </cell>
          <cell r="M11981" t="str">
            <v>M</v>
          </cell>
          <cell r="AB11981" t="str">
            <v xml:space="preserve">serum </v>
          </cell>
          <cell r="AF11981">
            <v>1.3</v>
          </cell>
        </row>
        <row r="11982">
          <cell r="A11982" t="str">
            <v>IS_alqt_plus</v>
          </cell>
          <cell r="K11982" t="str">
            <v>PCOQ</v>
          </cell>
          <cell r="M11982" t="str">
            <v>F</v>
          </cell>
          <cell r="AB11982" t="str">
            <v>serum</v>
          </cell>
          <cell r="AF11982">
            <v>0.75</v>
          </cell>
        </row>
        <row r="11983">
          <cell r="A11983" t="str">
            <v>IS_alqt_minus</v>
          </cell>
          <cell r="K11983" t="str">
            <v>MMUR</v>
          </cell>
          <cell r="M11983" t="str">
            <v>F</v>
          </cell>
          <cell r="AB11983" t="str">
            <v>WB</v>
          </cell>
          <cell r="AF11983">
            <v>0.05</v>
          </cell>
        </row>
        <row r="11984">
          <cell r="A11984" t="str">
            <v>gone</v>
          </cell>
          <cell r="K11984" t="str">
            <v>PCOQ</v>
          </cell>
          <cell r="M11984" t="str">
            <v>M</v>
          </cell>
          <cell r="AB11984" t="str">
            <v>WB</v>
          </cell>
          <cell r="AF11984">
            <v>0</v>
          </cell>
        </row>
        <row r="11985">
          <cell r="A11985" t="str">
            <v>IS_alqt_plus</v>
          </cell>
          <cell r="K11985" t="str">
            <v>VRUB</v>
          </cell>
          <cell r="M11985" t="str">
            <v>M</v>
          </cell>
          <cell r="AB11985" t="str">
            <v>WB</v>
          </cell>
          <cell r="AF11985">
            <v>1</v>
          </cell>
        </row>
        <row r="11986">
          <cell r="A11986" t="str">
            <v>IS_alqt_plus</v>
          </cell>
          <cell r="K11986" t="str">
            <v>PCOQ</v>
          </cell>
          <cell r="M11986" t="str">
            <v>F</v>
          </cell>
          <cell r="AB11986" t="str">
            <v>WB</v>
          </cell>
          <cell r="AF11986">
            <v>1</v>
          </cell>
        </row>
        <row r="11987">
          <cell r="A11987" t="str">
            <v>IS_alqt_plus</v>
          </cell>
          <cell r="K11987" t="str">
            <v>PCOQ</v>
          </cell>
          <cell r="M11987" t="str">
            <v>F</v>
          </cell>
          <cell r="AB11987" t="str">
            <v>WB</v>
          </cell>
          <cell r="AF11987">
            <v>1</v>
          </cell>
        </row>
        <row r="11988">
          <cell r="A11988" t="str">
            <v>IS_alqt_plus</v>
          </cell>
          <cell r="K11988" t="str">
            <v>VRUB</v>
          </cell>
          <cell r="M11988" t="str">
            <v>M</v>
          </cell>
          <cell r="AB11988" t="str">
            <v>serum</v>
          </cell>
          <cell r="AF11988">
            <v>1</v>
          </cell>
        </row>
        <row r="11989">
          <cell r="A11989" t="str">
            <v>IS_alqt_plus</v>
          </cell>
          <cell r="K11989" t="str">
            <v>MMUR</v>
          </cell>
          <cell r="M11989" t="str">
            <v>M</v>
          </cell>
          <cell r="AB11989" t="str">
            <v>WB</v>
          </cell>
          <cell r="AF11989">
            <v>0.25</v>
          </cell>
        </row>
        <row r="11990">
          <cell r="A11990" t="str">
            <v>IS_alqt_plus</v>
          </cell>
          <cell r="K11990" t="str">
            <v>PCOQ</v>
          </cell>
          <cell r="M11990" t="str">
            <v>F</v>
          </cell>
          <cell r="AB11990" t="str">
            <v>WB</v>
          </cell>
          <cell r="AF11990">
            <v>1</v>
          </cell>
        </row>
        <row r="11991">
          <cell r="A11991" t="str">
            <v>IS_alqt_minus</v>
          </cell>
          <cell r="K11991" t="str">
            <v>EMON</v>
          </cell>
          <cell r="M11991" t="str">
            <v>M</v>
          </cell>
          <cell r="AB11991" t="str">
            <v>WB</v>
          </cell>
          <cell r="AF11991">
            <v>0.15</v>
          </cell>
        </row>
        <row r="11992">
          <cell r="A11992" t="str">
            <v>IS_alqt_plus</v>
          </cell>
          <cell r="K11992" t="str">
            <v>PCOQ</v>
          </cell>
          <cell r="M11992" t="str">
            <v>F</v>
          </cell>
          <cell r="AB11992" t="str">
            <v>WB</v>
          </cell>
          <cell r="AF11992">
            <v>1.3</v>
          </cell>
        </row>
        <row r="11993">
          <cell r="A11993" t="str">
            <v>IS_alqt_plus</v>
          </cell>
          <cell r="K11993" t="str">
            <v>PCOQ</v>
          </cell>
          <cell r="M11993" t="str">
            <v>F</v>
          </cell>
          <cell r="AB11993" t="str">
            <v>serum</v>
          </cell>
          <cell r="AF11993">
            <v>0.75</v>
          </cell>
        </row>
        <row r="11994">
          <cell r="A11994" t="str">
            <v>IS_alqt_minus</v>
          </cell>
          <cell r="K11994" t="str">
            <v>MMUR</v>
          </cell>
          <cell r="M11994" t="str">
            <v>F</v>
          </cell>
          <cell r="AB11994" t="str">
            <v>WB</v>
          </cell>
          <cell r="AF11994">
            <v>0.05</v>
          </cell>
        </row>
        <row r="11995">
          <cell r="A11995" t="str">
            <v>IS_alqt_plus</v>
          </cell>
          <cell r="K11995" t="str">
            <v>PCOQ</v>
          </cell>
          <cell r="M11995" t="str">
            <v>M</v>
          </cell>
          <cell r="AB11995" t="str">
            <v>serum</v>
          </cell>
          <cell r="AF11995">
            <v>1</v>
          </cell>
        </row>
        <row r="11996">
          <cell r="A11996" t="str">
            <v>IS_alqt_plus</v>
          </cell>
          <cell r="K11996" t="str">
            <v>PCOQ</v>
          </cell>
          <cell r="M11996" t="str">
            <v>F</v>
          </cell>
          <cell r="AB11996" t="str">
            <v>WB</v>
          </cell>
          <cell r="AF11996">
            <v>1</v>
          </cell>
        </row>
        <row r="11997">
          <cell r="A11997" t="str">
            <v>IS_alqt_plus</v>
          </cell>
          <cell r="K11997" t="str">
            <v>PCOQ</v>
          </cell>
          <cell r="M11997" t="str">
            <v>F</v>
          </cell>
          <cell r="AB11997" t="str">
            <v>WB</v>
          </cell>
          <cell r="AF11997">
            <v>1</v>
          </cell>
        </row>
        <row r="11998">
          <cell r="A11998" t="str">
            <v>IS_alqt_plus</v>
          </cell>
          <cell r="K11998" t="str">
            <v>LCAT</v>
          </cell>
          <cell r="M11998" t="str">
            <v>M</v>
          </cell>
          <cell r="AB11998" t="str">
            <v>serum</v>
          </cell>
          <cell r="AF11998">
            <v>0.75</v>
          </cell>
        </row>
        <row r="11999">
          <cell r="A11999" t="str">
            <v>IS_alqt_plus</v>
          </cell>
          <cell r="K11999" t="str">
            <v>PCOQ</v>
          </cell>
          <cell r="M11999" t="str">
            <v>F</v>
          </cell>
          <cell r="AB11999" t="str">
            <v>WB</v>
          </cell>
          <cell r="AF11999">
            <v>0.5</v>
          </cell>
        </row>
        <row r="12000">
          <cell r="A12000" t="str">
            <v>IS_alqt_plus</v>
          </cell>
          <cell r="K12000" t="str">
            <v>LCAT</v>
          </cell>
          <cell r="M12000" t="str">
            <v>M</v>
          </cell>
          <cell r="AB12000" t="str">
            <v>serum</v>
          </cell>
          <cell r="AF12000">
            <v>0.2</v>
          </cell>
        </row>
        <row r="12001">
          <cell r="A12001" t="str">
            <v>IS_alqt_plus</v>
          </cell>
          <cell r="K12001" t="str">
            <v>DMAD</v>
          </cell>
          <cell r="M12001" t="str">
            <v>F</v>
          </cell>
          <cell r="AB12001" t="str">
            <v>serum</v>
          </cell>
          <cell r="AF12001">
            <v>1</v>
          </cell>
        </row>
        <row r="12002">
          <cell r="A12002" t="str">
            <v>IS_alqt_plus</v>
          </cell>
          <cell r="K12002" t="str">
            <v>DMAD</v>
          </cell>
          <cell r="M12002" t="str">
            <v>F</v>
          </cell>
          <cell r="AB12002" t="str">
            <v>WB</v>
          </cell>
          <cell r="AF12002">
            <v>0.75</v>
          </cell>
        </row>
        <row r="12003">
          <cell r="A12003" t="str">
            <v>gone</v>
          </cell>
          <cell r="K12003" t="str">
            <v>CMED</v>
          </cell>
          <cell r="M12003" t="str">
            <v>M</v>
          </cell>
          <cell r="AB12003" t="str">
            <v>WB</v>
          </cell>
          <cell r="AF12003">
            <v>0</v>
          </cell>
        </row>
        <row r="12004">
          <cell r="A12004" t="str">
            <v>IS_alqt_plus</v>
          </cell>
          <cell r="K12004" t="str">
            <v>VRUB</v>
          </cell>
          <cell r="M12004" t="str">
            <v>M</v>
          </cell>
          <cell r="AB12004" t="str">
            <v>serum</v>
          </cell>
          <cell r="AF12004">
            <v>1</v>
          </cell>
        </row>
        <row r="12005">
          <cell r="A12005" t="str">
            <v>IS_alqt_plus</v>
          </cell>
          <cell r="K12005" t="str">
            <v>VRUB</v>
          </cell>
          <cell r="M12005" t="str">
            <v>M</v>
          </cell>
          <cell r="AB12005" t="str">
            <v>serum</v>
          </cell>
          <cell r="AF12005">
            <v>1</v>
          </cell>
        </row>
        <row r="12006">
          <cell r="A12006" t="str">
            <v>IS_alqt_plus</v>
          </cell>
          <cell r="K12006" t="str">
            <v>VRUB</v>
          </cell>
          <cell r="M12006" t="str">
            <v>M</v>
          </cell>
          <cell r="AB12006" t="str">
            <v>serum</v>
          </cell>
          <cell r="AF12006">
            <v>1</v>
          </cell>
        </row>
        <row r="12007">
          <cell r="A12007" t="str">
            <v>IS_alqt_plus</v>
          </cell>
          <cell r="K12007" t="str">
            <v>VRUB</v>
          </cell>
          <cell r="M12007" t="str">
            <v>M</v>
          </cell>
          <cell r="AB12007" t="str">
            <v>serum</v>
          </cell>
          <cell r="AF12007">
            <v>1</v>
          </cell>
        </row>
        <row r="12008">
          <cell r="A12008" t="str">
            <v>IS_alqt_plus</v>
          </cell>
          <cell r="K12008" t="str">
            <v>VRUB</v>
          </cell>
          <cell r="M12008" t="str">
            <v>M</v>
          </cell>
          <cell r="AB12008" t="str">
            <v>serum</v>
          </cell>
          <cell r="AF12008">
            <v>1</v>
          </cell>
        </row>
        <row r="12009">
          <cell r="A12009" t="str">
            <v>IS_alqt_plus</v>
          </cell>
          <cell r="K12009" t="str">
            <v>VRUB</v>
          </cell>
          <cell r="M12009" t="str">
            <v>M</v>
          </cell>
          <cell r="AB12009" t="str">
            <v>serum</v>
          </cell>
          <cell r="AF12009">
            <v>1</v>
          </cell>
        </row>
        <row r="12010">
          <cell r="A12010" t="str">
            <v>IS_alqt_plus</v>
          </cell>
          <cell r="K12010" t="str">
            <v>VRUB</v>
          </cell>
          <cell r="M12010" t="str">
            <v>M</v>
          </cell>
          <cell r="AB12010" t="str">
            <v>serum</v>
          </cell>
          <cell r="AF12010">
            <v>1</v>
          </cell>
        </row>
        <row r="12011">
          <cell r="A12011" t="str">
            <v>IS_alqt_plus</v>
          </cell>
          <cell r="K12011" t="str">
            <v>VRUB</v>
          </cell>
          <cell r="M12011" t="str">
            <v>M</v>
          </cell>
          <cell r="AB12011" t="str">
            <v>serum</v>
          </cell>
          <cell r="AF12011">
            <v>1</v>
          </cell>
        </row>
        <row r="12012">
          <cell r="A12012" t="str">
            <v>IS_alqt_plus</v>
          </cell>
          <cell r="K12012" t="str">
            <v>VRUB</v>
          </cell>
          <cell r="M12012" t="str">
            <v>M</v>
          </cell>
          <cell r="AB12012" t="str">
            <v>serum</v>
          </cell>
          <cell r="AF12012">
            <v>1</v>
          </cell>
        </row>
        <row r="12013">
          <cell r="A12013" t="str">
            <v>IS_alqt_plus</v>
          </cell>
          <cell r="K12013" t="str">
            <v>VRUB</v>
          </cell>
          <cell r="M12013" t="str">
            <v>M</v>
          </cell>
          <cell r="AB12013" t="str">
            <v>serum</v>
          </cell>
          <cell r="AF12013">
            <v>1</v>
          </cell>
        </row>
        <row r="12014">
          <cell r="A12014" t="str">
            <v>IS_alqt_plus</v>
          </cell>
          <cell r="K12014" t="str">
            <v>VRUB</v>
          </cell>
          <cell r="M12014" t="str">
            <v>M</v>
          </cell>
          <cell r="AB12014" t="str">
            <v>serum</v>
          </cell>
          <cell r="AF12014">
            <v>1</v>
          </cell>
        </row>
        <row r="12015">
          <cell r="A12015" t="str">
            <v>IS_alqt_plus</v>
          </cell>
          <cell r="K12015" t="str">
            <v>VRUB</v>
          </cell>
          <cell r="M12015" t="str">
            <v>M</v>
          </cell>
          <cell r="AB12015" t="str">
            <v>serum</v>
          </cell>
          <cell r="AF12015">
            <v>1</v>
          </cell>
        </row>
        <row r="12016">
          <cell r="A12016" t="str">
            <v>IS_alqt_plus</v>
          </cell>
          <cell r="K12016" t="str">
            <v>VRUB</v>
          </cell>
          <cell r="M12016" t="str">
            <v>M</v>
          </cell>
          <cell r="AB12016" t="str">
            <v>serum</v>
          </cell>
          <cell r="AF12016">
            <v>1</v>
          </cell>
        </row>
        <row r="12017">
          <cell r="A12017" t="str">
            <v>IS_alqt_plus</v>
          </cell>
          <cell r="K12017" t="str">
            <v>VRUB</v>
          </cell>
          <cell r="M12017" t="str">
            <v>M</v>
          </cell>
          <cell r="AB12017" t="str">
            <v>serum</v>
          </cell>
          <cell r="AF12017">
            <v>1</v>
          </cell>
        </row>
        <row r="12018">
          <cell r="A12018" t="str">
            <v>IS_alqt_plus</v>
          </cell>
          <cell r="K12018" t="str">
            <v>VRUB</v>
          </cell>
          <cell r="M12018" t="str">
            <v>M</v>
          </cell>
          <cell r="AB12018" t="str">
            <v>serum</v>
          </cell>
          <cell r="AF12018">
            <v>1</v>
          </cell>
        </row>
        <row r="12019">
          <cell r="A12019" t="str">
            <v>IS_alqt_plus</v>
          </cell>
          <cell r="K12019" t="str">
            <v>VRUB</v>
          </cell>
          <cell r="M12019" t="str">
            <v>M</v>
          </cell>
          <cell r="AB12019" t="str">
            <v>serum</v>
          </cell>
          <cell r="AF12019">
            <v>1</v>
          </cell>
        </row>
        <row r="12020">
          <cell r="A12020" t="str">
            <v>IS_alqt_plus</v>
          </cell>
          <cell r="K12020" t="str">
            <v>VRUB</v>
          </cell>
          <cell r="M12020" t="str">
            <v>M</v>
          </cell>
          <cell r="AB12020" t="str">
            <v>serum</v>
          </cell>
          <cell r="AF12020">
            <v>1</v>
          </cell>
        </row>
        <row r="12021">
          <cell r="A12021" t="str">
            <v>IS_alqt_plus</v>
          </cell>
          <cell r="K12021" t="str">
            <v>VRUB</v>
          </cell>
          <cell r="M12021" t="str">
            <v>M</v>
          </cell>
          <cell r="AB12021" t="str">
            <v>serum</v>
          </cell>
          <cell r="AF12021">
            <v>1</v>
          </cell>
        </row>
        <row r="12022">
          <cell r="A12022" t="str">
            <v>IS_alqt_plus</v>
          </cell>
          <cell r="K12022" t="str">
            <v>VRUB</v>
          </cell>
          <cell r="M12022" t="str">
            <v>M</v>
          </cell>
          <cell r="AB12022" t="str">
            <v>serum</v>
          </cell>
          <cell r="AF12022">
            <v>1</v>
          </cell>
        </row>
        <row r="12023">
          <cell r="A12023" t="str">
            <v>IS_alqt_plus</v>
          </cell>
          <cell r="K12023" t="str">
            <v>VRUB</v>
          </cell>
          <cell r="M12023" t="str">
            <v>M</v>
          </cell>
          <cell r="AB12023" t="str">
            <v>serum</v>
          </cell>
          <cell r="AF12023">
            <v>1</v>
          </cell>
        </row>
        <row r="12024">
          <cell r="A12024" t="str">
            <v>IS_alqt_plus</v>
          </cell>
          <cell r="K12024" t="str">
            <v>VRUB</v>
          </cell>
          <cell r="M12024" t="str">
            <v>M</v>
          </cell>
          <cell r="AB12024" t="str">
            <v>serum</v>
          </cell>
          <cell r="AF12024">
            <v>1</v>
          </cell>
        </row>
        <row r="12025">
          <cell r="A12025" t="str">
            <v>IS_alqt_plus</v>
          </cell>
          <cell r="K12025" t="str">
            <v>VRUB</v>
          </cell>
          <cell r="M12025" t="str">
            <v>M</v>
          </cell>
          <cell r="AB12025" t="str">
            <v>serum</v>
          </cell>
          <cell r="AF12025">
            <v>1</v>
          </cell>
        </row>
        <row r="12026">
          <cell r="A12026" t="str">
            <v>IS_alqt_plus</v>
          </cell>
          <cell r="K12026" t="str">
            <v>VRUB</v>
          </cell>
          <cell r="M12026" t="str">
            <v>M</v>
          </cell>
          <cell r="AB12026" t="str">
            <v>serum</v>
          </cell>
          <cell r="AF12026">
            <v>1</v>
          </cell>
        </row>
        <row r="12027">
          <cell r="A12027" t="str">
            <v>IS_alqt_plus</v>
          </cell>
          <cell r="K12027" t="str">
            <v>VRUB</v>
          </cell>
          <cell r="M12027" t="str">
            <v>M</v>
          </cell>
          <cell r="AB12027" t="str">
            <v>serum</v>
          </cell>
          <cell r="AF12027">
            <v>1</v>
          </cell>
        </row>
        <row r="12028">
          <cell r="A12028" t="str">
            <v>IS_alqt_plus</v>
          </cell>
          <cell r="K12028" t="str">
            <v>VRUB</v>
          </cell>
          <cell r="M12028" t="str">
            <v>M</v>
          </cell>
          <cell r="AB12028" t="str">
            <v>serum</v>
          </cell>
          <cell r="AF12028">
            <v>1</v>
          </cell>
        </row>
        <row r="12029">
          <cell r="A12029" t="str">
            <v>IS_alqt_plus</v>
          </cell>
          <cell r="K12029" t="str">
            <v>VRUB</v>
          </cell>
          <cell r="M12029" t="str">
            <v>M</v>
          </cell>
          <cell r="AB12029" t="str">
            <v>serum</v>
          </cell>
          <cell r="AF12029">
            <v>1</v>
          </cell>
        </row>
        <row r="12030">
          <cell r="A12030" t="str">
            <v>IS_alqt_plus</v>
          </cell>
          <cell r="K12030" t="str">
            <v>VRUB</v>
          </cell>
          <cell r="M12030" t="str">
            <v>M</v>
          </cell>
          <cell r="AB12030" t="str">
            <v>serum</v>
          </cell>
          <cell r="AF12030">
            <v>1</v>
          </cell>
        </row>
        <row r="12031">
          <cell r="A12031" t="str">
            <v>IS_alqt_plus</v>
          </cell>
          <cell r="K12031" t="str">
            <v>VRUB</v>
          </cell>
          <cell r="M12031" t="str">
            <v>M</v>
          </cell>
          <cell r="AB12031" t="str">
            <v>serum</v>
          </cell>
          <cell r="AF12031">
            <v>1</v>
          </cell>
        </row>
        <row r="12032">
          <cell r="A12032" t="str">
            <v>IS_alqt_plus</v>
          </cell>
          <cell r="K12032" t="str">
            <v>VRUB</v>
          </cell>
          <cell r="M12032" t="str">
            <v>M</v>
          </cell>
          <cell r="AB12032" t="str">
            <v>serum</v>
          </cell>
          <cell r="AF12032">
            <v>1</v>
          </cell>
        </row>
        <row r="12033">
          <cell r="A12033" t="str">
            <v>IS_alqt_plus</v>
          </cell>
          <cell r="K12033" t="str">
            <v>VRUB</v>
          </cell>
          <cell r="M12033" t="str">
            <v>M</v>
          </cell>
          <cell r="AB12033" t="str">
            <v>serum</v>
          </cell>
          <cell r="AF12033">
            <v>1</v>
          </cell>
        </row>
        <row r="12034">
          <cell r="A12034" t="str">
            <v>IS_alqt_plus</v>
          </cell>
          <cell r="K12034" t="str">
            <v>VRUB</v>
          </cell>
          <cell r="M12034" t="str">
            <v>M</v>
          </cell>
          <cell r="AB12034" t="str">
            <v>serum</v>
          </cell>
          <cell r="AF12034">
            <v>1</v>
          </cell>
        </row>
        <row r="12035">
          <cell r="A12035" t="str">
            <v>IS_alqt_plus</v>
          </cell>
          <cell r="K12035" t="str">
            <v>VRUB</v>
          </cell>
          <cell r="M12035" t="str">
            <v>M</v>
          </cell>
          <cell r="AB12035" t="str">
            <v>serum</v>
          </cell>
          <cell r="AF12035">
            <v>1</v>
          </cell>
        </row>
        <row r="12036">
          <cell r="A12036" t="str">
            <v>IS_alqt_plus</v>
          </cell>
          <cell r="K12036" t="str">
            <v>VRUB</v>
          </cell>
          <cell r="M12036" t="str">
            <v>M</v>
          </cell>
          <cell r="AB12036" t="str">
            <v>serum</v>
          </cell>
          <cell r="AF12036">
            <v>1</v>
          </cell>
        </row>
        <row r="12037">
          <cell r="A12037" t="str">
            <v>IS_alqt_plus</v>
          </cell>
          <cell r="K12037" t="str">
            <v>VRUB</v>
          </cell>
          <cell r="M12037" t="str">
            <v>M</v>
          </cell>
          <cell r="AB12037" t="str">
            <v>serum</v>
          </cell>
          <cell r="AF12037">
            <v>1</v>
          </cell>
        </row>
        <row r="12038">
          <cell r="A12038" t="str">
            <v>IS_alqt_plus</v>
          </cell>
          <cell r="K12038" t="str">
            <v>VRUB</v>
          </cell>
          <cell r="M12038" t="str">
            <v>M</v>
          </cell>
          <cell r="AB12038" t="str">
            <v>serum</v>
          </cell>
          <cell r="AF12038">
            <v>1</v>
          </cell>
        </row>
        <row r="12039">
          <cell r="A12039" t="str">
            <v>IS_alqt_plus</v>
          </cell>
          <cell r="K12039" t="str">
            <v>VRUB</v>
          </cell>
          <cell r="M12039" t="str">
            <v>M</v>
          </cell>
          <cell r="AB12039" t="str">
            <v>serum</v>
          </cell>
          <cell r="AF12039">
            <v>1</v>
          </cell>
        </row>
        <row r="12040">
          <cell r="A12040" t="str">
            <v>IS_alqt_plus</v>
          </cell>
          <cell r="K12040" t="str">
            <v>VRUB</v>
          </cell>
          <cell r="M12040" t="str">
            <v>M</v>
          </cell>
          <cell r="AB12040" t="str">
            <v>serum</v>
          </cell>
          <cell r="AF12040">
            <v>1</v>
          </cell>
        </row>
        <row r="12041">
          <cell r="A12041" t="str">
            <v>IS_alqt_plus</v>
          </cell>
          <cell r="K12041" t="str">
            <v>VRUB</v>
          </cell>
          <cell r="M12041" t="str">
            <v>M</v>
          </cell>
          <cell r="AB12041" t="str">
            <v>serum</v>
          </cell>
          <cell r="AF12041">
            <v>1</v>
          </cell>
        </row>
        <row r="12042">
          <cell r="A12042" t="str">
            <v>IS_alqt_plus</v>
          </cell>
          <cell r="K12042" t="str">
            <v>VRUB</v>
          </cell>
          <cell r="M12042" t="str">
            <v>M</v>
          </cell>
          <cell r="AB12042" t="str">
            <v>serum</v>
          </cell>
          <cell r="AF12042">
            <v>1</v>
          </cell>
        </row>
        <row r="12043">
          <cell r="A12043" t="str">
            <v>IS_alqt_plus</v>
          </cell>
          <cell r="K12043" t="str">
            <v>VRUB</v>
          </cell>
          <cell r="M12043" t="str">
            <v>M</v>
          </cell>
          <cell r="AB12043" t="str">
            <v>serum</v>
          </cell>
          <cell r="AF12043">
            <v>1</v>
          </cell>
        </row>
        <row r="12044">
          <cell r="A12044" t="str">
            <v>IS_alqt_plus</v>
          </cell>
          <cell r="K12044" t="str">
            <v>VRUB</v>
          </cell>
          <cell r="M12044" t="str">
            <v>M</v>
          </cell>
          <cell r="AB12044" t="str">
            <v>serum</v>
          </cell>
          <cell r="AF12044">
            <v>1</v>
          </cell>
        </row>
        <row r="12045">
          <cell r="A12045" t="str">
            <v>IS_alqt_plus</v>
          </cell>
          <cell r="K12045" t="str">
            <v>VRUB</v>
          </cell>
          <cell r="M12045" t="str">
            <v>M</v>
          </cell>
          <cell r="AB12045" t="str">
            <v>serum</v>
          </cell>
          <cell r="AF12045">
            <v>1</v>
          </cell>
        </row>
        <row r="12046">
          <cell r="A12046" t="str">
            <v>IS_alqt_plus</v>
          </cell>
          <cell r="K12046" t="str">
            <v>VRUB</v>
          </cell>
          <cell r="M12046" t="str">
            <v>M</v>
          </cell>
          <cell r="AB12046" t="str">
            <v>serum</v>
          </cell>
          <cell r="AF12046">
            <v>1</v>
          </cell>
        </row>
        <row r="12047">
          <cell r="A12047" t="str">
            <v>IS_alqt_plus</v>
          </cell>
          <cell r="K12047" t="str">
            <v>VRUB</v>
          </cell>
          <cell r="M12047" t="str">
            <v>M</v>
          </cell>
          <cell r="AB12047" t="str">
            <v>serum</v>
          </cell>
          <cell r="AF12047">
            <v>1</v>
          </cell>
        </row>
        <row r="12048">
          <cell r="A12048" t="str">
            <v>IS_alqt_plus</v>
          </cell>
          <cell r="K12048" t="str">
            <v>VRUB</v>
          </cell>
          <cell r="M12048" t="str">
            <v>M</v>
          </cell>
          <cell r="AB12048" t="str">
            <v>serum</v>
          </cell>
          <cell r="AF12048">
            <v>1</v>
          </cell>
        </row>
        <row r="12049">
          <cell r="A12049" t="str">
            <v>IS_alqt_plus</v>
          </cell>
          <cell r="K12049" t="str">
            <v>VRUB</v>
          </cell>
          <cell r="M12049" t="str">
            <v>M</v>
          </cell>
          <cell r="AB12049" t="str">
            <v>serum</v>
          </cell>
          <cell r="AF12049">
            <v>1</v>
          </cell>
        </row>
        <row r="12050">
          <cell r="A12050" t="str">
            <v>IS_alqt_plus</v>
          </cell>
          <cell r="K12050" t="str">
            <v>VRUB</v>
          </cell>
          <cell r="M12050" t="str">
            <v>M</v>
          </cell>
          <cell r="AB12050" t="str">
            <v>serum</v>
          </cell>
          <cell r="AF12050">
            <v>1</v>
          </cell>
        </row>
        <row r="12051">
          <cell r="A12051" t="str">
            <v>IS_alqt_plus</v>
          </cell>
          <cell r="K12051" t="str">
            <v>VRUB</v>
          </cell>
          <cell r="M12051" t="str">
            <v>M</v>
          </cell>
          <cell r="AB12051" t="str">
            <v>serum</v>
          </cell>
          <cell r="AF12051">
            <v>1</v>
          </cell>
        </row>
        <row r="12052">
          <cell r="A12052" t="str">
            <v>IS_alqt_plus</v>
          </cell>
          <cell r="K12052" t="str">
            <v>VRUB</v>
          </cell>
          <cell r="M12052" t="str">
            <v>M</v>
          </cell>
          <cell r="AB12052" t="str">
            <v>serum</v>
          </cell>
          <cell r="AF12052">
            <v>1</v>
          </cell>
        </row>
        <row r="12053">
          <cell r="A12053" t="str">
            <v>IS_alqt_plus</v>
          </cell>
          <cell r="K12053" t="str">
            <v>VRUB</v>
          </cell>
          <cell r="M12053" t="str">
            <v>M</v>
          </cell>
          <cell r="AB12053" t="str">
            <v>serum</v>
          </cell>
          <cell r="AF12053">
            <v>1</v>
          </cell>
        </row>
        <row r="12054">
          <cell r="A12054" t="str">
            <v>IS_alqt_plus</v>
          </cell>
          <cell r="K12054" t="str">
            <v>VRUB</v>
          </cell>
          <cell r="M12054" t="str">
            <v>M</v>
          </cell>
          <cell r="AB12054" t="str">
            <v>serum</v>
          </cell>
          <cell r="AF12054">
            <v>1</v>
          </cell>
        </row>
        <row r="12055">
          <cell r="A12055" t="str">
            <v>IS_alqt_plus</v>
          </cell>
          <cell r="K12055" t="str">
            <v>VRUB</v>
          </cell>
          <cell r="M12055" t="str">
            <v>M</v>
          </cell>
          <cell r="AB12055" t="str">
            <v>serum</v>
          </cell>
          <cell r="AF12055">
            <v>1</v>
          </cell>
        </row>
        <row r="12056">
          <cell r="A12056" t="str">
            <v>IS_alqt_plus</v>
          </cell>
          <cell r="K12056" t="str">
            <v>VRUB</v>
          </cell>
          <cell r="M12056" t="str">
            <v>M</v>
          </cell>
          <cell r="AB12056" t="str">
            <v>serum</v>
          </cell>
          <cell r="AF12056">
            <v>1</v>
          </cell>
        </row>
        <row r="12057">
          <cell r="A12057" t="str">
            <v>IS_alqt_plus</v>
          </cell>
          <cell r="K12057" t="str">
            <v>VRUB</v>
          </cell>
          <cell r="M12057" t="str">
            <v>M</v>
          </cell>
          <cell r="AB12057" t="str">
            <v>serum</v>
          </cell>
          <cell r="AF12057">
            <v>1</v>
          </cell>
        </row>
        <row r="12058">
          <cell r="A12058" t="str">
            <v>IS_alqt_plus</v>
          </cell>
          <cell r="K12058" t="str">
            <v>VRUB</v>
          </cell>
          <cell r="M12058" t="str">
            <v>M</v>
          </cell>
          <cell r="AB12058" t="str">
            <v>serum</v>
          </cell>
          <cell r="AF12058">
            <v>1</v>
          </cell>
        </row>
        <row r="12059">
          <cell r="A12059" t="str">
            <v>IS_alqt_plus</v>
          </cell>
          <cell r="K12059" t="str">
            <v>VRUB</v>
          </cell>
          <cell r="M12059" t="str">
            <v>M</v>
          </cell>
          <cell r="AB12059" t="str">
            <v>serum</v>
          </cell>
          <cell r="AF12059">
            <v>1</v>
          </cell>
        </row>
        <row r="12060">
          <cell r="A12060" t="str">
            <v>IS_alqt_plus</v>
          </cell>
          <cell r="K12060" t="str">
            <v>VRUB</v>
          </cell>
          <cell r="M12060" t="str">
            <v>M</v>
          </cell>
          <cell r="AB12060" t="str">
            <v>serum</v>
          </cell>
          <cell r="AF12060">
            <v>1</v>
          </cell>
        </row>
        <row r="12061">
          <cell r="A12061" t="str">
            <v>IS_alqt_plus</v>
          </cell>
          <cell r="K12061" t="str">
            <v>VRUB</v>
          </cell>
          <cell r="M12061" t="str">
            <v>M</v>
          </cell>
          <cell r="AB12061" t="str">
            <v>serum</v>
          </cell>
          <cell r="AF12061">
            <v>1</v>
          </cell>
        </row>
        <row r="12062">
          <cell r="A12062" t="str">
            <v>IS_alqt_plus</v>
          </cell>
          <cell r="K12062" t="str">
            <v>VRUB</v>
          </cell>
          <cell r="M12062" t="str">
            <v>M</v>
          </cell>
          <cell r="AB12062" t="str">
            <v>WB</v>
          </cell>
          <cell r="AF12062">
            <v>0.75</v>
          </cell>
        </row>
        <row r="12063">
          <cell r="A12063" t="str">
            <v>IS_alqt_plus</v>
          </cell>
          <cell r="K12063" t="str">
            <v>VRUB</v>
          </cell>
          <cell r="M12063" t="str">
            <v>M</v>
          </cell>
          <cell r="AB12063" t="str">
            <v>WB</v>
          </cell>
          <cell r="AF12063">
            <v>0.75</v>
          </cell>
        </row>
        <row r="12064">
          <cell r="A12064" t="str">
            <v>gone</v>
          </cell>
          <cell r="K12064" t="str">
            <v>VRUB</v>
          </cell>
          <cell r="M12064" t="str">
            <v>M</v>
          </cell>
          <cell r="AB12064" t="str">
            <v>WB</v>
          </cell>
          <cell r="AF12064">
            <v>0</v>
          </cell>
        </row>
        <row r="12065">
          <cell r="A12065" t="str">
            <v>IS_alqt_plus</v>
          </cell>
          <cell r="K12065" t="str">
            <v>VRUB</v>
          </cell>
          <cell r="M12065" t="str">
            <v>M</v>
          </cell>
          <cell r="AB12065" t="str">
            <v>WB</v>
          </cell>
          <cell r="AF12065">
            <v>0.5</v>
          </cell>
        </row>
        <row r="12066">
          <cell r="A12066" t="str">
            <v>IS_alqt_plus</v>
          </cell>
          <cell r="K12066" t="str">
            <v>VRUB</v>
          </cell>
          <cell r="M12066" t="str">
            <v>M</v>
          </cell>
          <cell r="AB12066" t="str">
            <v>WB</v>
          </cell>
          <cell r="AF12066">
            <v>1.3</v>
          </cell>
        </row>
        <row r="12067">
          <cell r="A12067" t="str">
            <v>IS_alqt_plus</v>
          </cell>
          <cell r="K12067" t="str">
            <v>VRUB</v>
          </cell>
          <cell r="M12067" t="str">
            <v>M</v>
          </cell>
          <cell r="AB12067" t="str">
            <v>WB</v>
          </cell>
          <cell r="AF12067">
            <v>1.3</v>
          </cell>
        </row>
        <row r="12068">
          <cell r="A12068" t="str">
            <v>IS_alqt_plus</v>
          </cell>
          <cell r="K12068" t="str">
            <v>VRUB</v>
          </cell>
          <cell r="M12068" t="str">
            <v>M</v>
          </cell>
          <cell r="AB12068" t="str">
            <v>WB</v>
          </cell>
          <cell r="AF12068">
            <v>1.3</v>
          </cell>
        </row>
        <row r="12069">
          <cell r="A12069" t="str">
            <v>IS_alqt_plus</v>
          </cell>
          <cell r="K12069" t="str">
            <v>VRUB</v>
          </cell>
          <cell r="M12069" t="str">
            <v>M</v>
          </cell>
          <cell r="AB12069" t="str">
            <v>WB</v>
          </cell>
          <cell r="AF12069">
            <v>1.3</v>
          </cell>
        </row>
        <row r="12070">
          <cell r="A12070" t="str">
            <v>IS_alqt_plus</v>
          </cell>
          <cell r="K12070" t="str">
            <v>VRUB</v>
          </cell>
          <cell r="M12070" t="str">
            <v>M</v>
          </cell>
          <cell r="AB12070" t="str">
            <v>WB</v>
          </cell>
          <cell r="AF12070">
            <v>1.3</v>
          </cell>
        </row>
        <row r="12071">
          <cell r="A12071" t="str">
            <v>IS_alqt_plus</v>
          </cell>
          <cell r="K12071" t="str">
            <v>VRUB</v>
          </cell>
          <cell r="M12071" t="str">
            <v>M</v>
          </cell>
          <cell r="AB12071" t="str">
            <v>WB</v>
          </cell>
          <cell r="AF12071">
            <v>1.3</v>
          </cell>
        </row>
        <row r="12072">
          <cell r="A12072" t="str">
            <v>IS_alqt_plus</v>
          </cell>
          <cell r="K12072" t="str">
            <v>VRUB</v>
          </cell>
          <cell r="M12072" t="str">
            <v>M</v>
          </cell>
          <cell r="AB12072" t="str">
            <v>WB</v>
          </cell>
          <cell r="AF12072">
            <v>1.3</v>
          </cell>
        </row>
        <row r="12073">
          <cell r="A12073" t="str">
            <v>IS_alqt_plus</v>
          </cell>
          <cell r="K12073" t="str">
            <v>VRUB</v>
          </cell>
          <cell r="M12073" t="str">
            <v>M</v>
          </cell>
          <cell r="AB12073" t="str">
            <v>WB</v>
          </cell>
          <cell r="AF12073">
            <v>1.3</v>
          </cell>
        </row>
        <row r="12074">
          <cell r="A12074" t="str">
            <v>IS_alqt_plus</v>
          </cell>
          <cell r="K12074" t="str">
            <v>VRUB</v>
          </cell>
          <cell r="M12074" t="str">
            <v>M</v>
          </cell>
          <cell r="AB12074" t="str">
            <v>WB</v>
          </cell>
          <cell r="AF12074">
            <v>1</v>
          </cell>
        </row>
        <row r="12075">
          <cell r="A12075" t="str">
            <v>IS_alqt_plus</v>
          </cell>
          <cell r="K12075" t="str">
            <v>VRUB</v>
          </cell>
          <cell r="M12075" t="str">
            <v>M</v>
          </cell>
          <cell r="AB12075" t="str">
            <v>WB</v>
          </cell>
          <cell r="AF12075">
            <v>1</v>
          </cell>
        </row>
        <row r="12076">
          <cell r="A12076" t="str">
            <v>IS_alqt_plus</v>
          </cell>
          <cell r="K12076" t="str">
            <v>VRUB</v>
          </cell>
          <cell r="M12076" t="str">
            <v>M</v>
          </cell>
          <cell r="AB12076" t="str">
            <v>WB</v>
          </cell>
          <cell r="AF12076">
            <v>1</v>
          </cell>
        </row>
        <row r="12077">
          <cell r="A12077" t="str">
            <v>IS_alqt_plus</v>
          </cell>
          <cell r="K12077" t="str">
            <v>VRUB</v>
          </cell>
          <cell r="M12077" t="str">
            <v>M</v>
          </cell>
          <cell r="AB12077" t="str">
            <v>WB</v>
          </cell>
          <cell r="AF12077">
            <v>1</v>
          </cell>
        </row>
        <row r="12078">
          <cell r="A12078" t="str">
            <v>IS_alqt_plus</v>
          </cell>
          <cell r="K12078" t="str">
            <v>VRUB</v>
          </cell>
          <cell r="M12078" t="str">
            <v>M</v>
          </cell>
          <cell r="AB12078" t="str">
            <v>WB</v>
          </cell>
          <cell r="AF12078">
            <v>1</v>
          </cell>
        </row>
        <row r="12079">
          <cell r="A12079" t="str">
            <v>IS_alqt_plus</v>
          </cell>
          <cell r="K12079" t="str">
            <v>VRUB</v>
          </cell>
          <cell r="M12079" t="str">
            <v>M</v>
          </cell>
          <cell r="AB12079" t="str">
            <v>WB</v>
          </cell>
          <cell r="AF12079">
            <v>1</v>
          </cell>
        </row>
        <row r="12080">
          <cell r="A12080" t="str">
            <v>IS_alqt_plus</v>
          </cell>
          <cell r="K12080" t="str">
            <v>VRUB</v>
          </cell>
          <cell r="M12080" t="str">
            <v>M</v>
          </cell>
          <cell r="AB12080" t="str">
            <v>WB</v>
          </cell>
          <cell r="AF12080">
            <v>1</v>
          </cell>
        </row>
        <row r="12081">
          <cell r="A12081" t="str">
            <v>IS_alqt_plus</v>
          </cell>
          <cell r="K12081" t="str">
            <v>VRUB</v>
          </cell>
          <cell r="M12081" t="str">
            <v>M</v>
          </cell>
          <cell r="AB12081" t="str">
            <v>WB</v>
          </cell>
          <cell r="AF12081">
            <v>1</v>
          </cell>
        </row>
        <row r="12082">
          <cell r="A12082" t="str">
            <v>IS_alqt_plus</v>
          </cell>
          <cell r="K12082" t="str">
            <v>VRUB</v>
          </cell>
          <cell r="M12082" t="str">
            <v>M</v>
          </cell>
          <cell r="AB12082" t="str">
            <v>WB</v>
          </cell>
          <cell r="AF12082">
            <v>1</v>
          </cell>
        </row>
        <row r="12083">
          <cell r="A12083" t="str">
            <v>IS_alqt_plus</v>
          </cell>
          <cell r="K12083" t="str">
            <v>VRUB</v>
          </cell>
          <cell r="M12083" t="str">
            <v>M</v>
          </cell>
          <cell r="AB12083" t="str">
            <v>WB</v>
          </cell>
          <cell r="AF12083">
            <v>1</v>
          </cell>
        </row>
        <row r="12084">
          <cell r="A12084" t="str">
            <v>IS_alqt_plus</v>
          </cell>
          <cell r="K12084" t="str">
            <v>VRUB</v>
          </cell>
          <cell r="M12084" t="str">
            <v>M</v>
          </cell>
          <cell r="AB12084" t="str">
            <v>WB</v>
          </cell>
          <cell r="AF12084">
            <v>1</v>
          </cell>
        </row>
        <row r="12085">
          <cell r="A12085" t="str">
            <v>IS_alqt_plus</v>
          </cell>
          <cell r="K12085" t="str">
            <v>VRUB</v>
          </cell>
          <cell r="M12085" t="str">
            <v>M</v>
          </cell>
          <cell r="AB12085" t="str">
            <v>WB</v>
          </cell>
          <cell r="AF12085">
            <v>1</v>
          </cell>
        </row>
        <row r="12086">
          <cell r="A12086" t="str">
            <v>IS_alqt_plus</v>
          </cell>
          <cell r="K12086" t="str">
            <v>VRUB</v>
          </cell>
          <cell r="M12086" t="str">
            <v>M</v>
          </cell>
          <cell r="AB12086" t="str">
            <v>WB</v>
          </cell>
          <cell r="AF12086">
            <v>1</v>
          </cell>
        </row>
        <row r="12087">
          <cell r="A12087" t="str">
            <v>IS_alqt_plus</v>
          </cell>
          <cell r="K12087" t="str">
            <v>VRUB</v>
          </cell>
          <cell r="M12087" t="str">
            <v>M</v>
          </cell>
          <cell r="AB12087" t="str">
            <v>WB</v>
          </cell>
          <cell r="AF12087">
            <v>1</v>
          </cell>
        </row>
        <row r="12088">
          <cell r="A12088" t="str">
            <v>IS_alqt_plus</v>
          </cell>
          <cell r="K12088" t="str">
            <v>VRUB</v>
          </cell>
          <cell r="M12088" t="str">
            <v>M</v>
          </cell>
          <cell r="AB12088" t="str">
            <v>WB</v>
          </cell>
          <cell r="AF12088">
            <v>1</v>
          </cell>
        </row>
        <row r="12089">
          <cell r="A12089" t="str">
            <v>IS_alqt_plus</v>
          </cell>
          <cell r="K12089" t="str">
            <v>VRUB</v>
          </cell>
          <cell r="M12089" t="str">
            <v>M</v>
          </cell>
          <cell r="AB12089" t="str">
            <v>WB</v>
          </cell>
          <cell r="AF12089">
            <v>1</v>
          </cell>
        </row>
        <row r="12090">
          <cell r="A12090" t="str">
            <v>IS_alqt_plus</v>
          </cell>
          <cell r="K12090" t="str">
            <v>VRUB</v>
          </cell>
          <cell r="M12090" t="str">
            <v>M</v>
          </cell>
          <cell r="AB12090" t="str">
            <v>WB</v>
          </cell>
          <cell r="AF12090">
            <v>1</v>
          </cell>
        </row>
        <row r="12091">
          <cell r="A12091" t="str">
            <v>IS_alqt_plus</v>
          </cell>
          <cell r="K12091" t="str">
            <v>VRUB</v>
          </cell>
          <cell r="M12091" t="str">
            <v>M</v>
          </cell>
          <cell r="AB12091" t="str">
            <v>WB</v>
          </cell>
          <cell r="AF12091">
            <v>1</v>
          </cell>
        </row>
        <row r="12092">
          <cell r="A12092" t="str">
            <v>IS_alqt_plus</v>
          </cell>
          <cell r="K12092" t="str">
            <v>VRUB</v>
          </cell>
          <cell r="M12092" t="str">
            <v>M</v>
          </cell>
          <cell r="AB12092" t="str">
            <v>WB</v>
          </cell>
          <cell r="AF12092">
            <v>1</v>
          </cell>
        </row>
        <row r="12093">
          <cell r="A12093" t="str">
            <v>IS_alqt_plus</v>
          </cell>
          <cell r="K12093" t="str">
            <v>VRUB</v>
          </cell>
          <cell r="M12093" t="str">
            <v>M</v>
          </cell>
          <cell r="AB12093" t="str">
            <v>WB</v>
          </cell>
          <cell r="AF12093">
            <v>1</v>
          </cell>
        </row>
        <row r="12094">
          <cell r="A12094" t="str">
            <v>IS_alqt_plus</v>
          </cell>
          <cell r="K12094" t="str">
            <v>VRUB</v>
          </cell>
          <cell r="M12094" t="str">
            <v>M</v>
          </cell>
          <cell r="AB12094" t="str">
            <v>WB</v>
          </cell>
          <cell r="AF12094">
            <v>1</v>
          </cell>
        </row>
        <row r="12095">
          <cell r="A12095" t="str">
            <v>IS_alqt_plus</v>
          </cell>
          <cell r="K12095" t="str">
            <v>VRUB</v>
          </cell>
          <cell r="M12095" t="str">
            <v>M</v>
          </cell>
          <cell r="AB12095" t="str">
            <v>WB</v>
          </cell>
          <cell r="AF12095">
            <v>1</v>
          </cell>
        </row>
        <row r="12096">
          <cell r="A12096" t="str">
            <v>IS_alqt_plus</v>
          </cell>
          <cell r="K12096" t="str">
            <v>VRUB</v>
          </cell>
          <cell r="M12096" t="str">
            <v>M</v>
          </cell>
          <cell r="AB12096" t="str">
            <v>WB</v>
          </cell>
          <cell r="AF12096">
            <v>1</v>
          </cell>
        </row>
        <row r="12097">
          <cell r="A12097" t="str">
            <v>IS_alqt_plus</v>
          </cell>
          <cell r="K12097" t="str">
            <v>VRUB</v>
          </cell>
          <cell r="M12097" t="str">
            <v>M</v>
          </cell>
          <cell r="AB12097" t="str">
            <v>WB</v>
          </cell>
          <cell r="AF12097">
            <v>1</v>
          </cell>
        </row>
        <row r="12098">
          <cell r="A12098" t="str">
            <v>IS_alqt_plus</v>
          </cell>
          <cell r="K12098" t="str">
            <v>VRUB</v>
          </cell>
          <cell r="M12098" t="str">
            <v>M</v>
          </cell>
          <cell r="AB12098" t="str">
            <v>WB</v>
          </cell>
          <cell r="AF12098">
            <v>1</v>
          </cell>
        </row>
        <row r="12099">
          <cell r="A12099" t="str">
            <v>IS_alqt_plus</v>
          </cell>
          <cell r="K12099" t="str">
            <v>VRUB</v>
          </cell>
          <cell r="M12099" t="str">
            <v>M</v>
          </cell>
          <cell r="AB12099" t="str">
            <v>WB</v>
          </cell>
          <cell r="AF12099">
            <v>1</v>
          </cell>
        </row>
        <row r="12100">
          <cell r="A12100" t="str">
            <v>IS_alqt_plus</v>
          </cell>
          <cell r="K12100" t="str">
            <v>VRUB</v>
          </cell>
          <cell r="M12100" t="str">
            <v>M</v>
          </cell>
          <cell r="AB12100" t="str">
            <v>WB</v>
          </cell>
          <cell r="AF12100">
            <v>1</v>
          </cell>
        </row>
        <row r="12101">
          <cell r="A12101" t="str">
            <v>IS_alqt_plus</v>
          </cell>
          <cell r="K12101" t="str">
            <v>VRUB</v>
          </cell>
          <cell r="M12101" t="str">
            <v>M</v>
          </cell>
          <cell r="AB12101" t="str">
            <v>WB</v>
          </cell>
          <cell r="AF12101">
            <v>1</v>
          </cell>
        </row>
        <row r="12102">
          <cell r="A12102" t="str">
            <v>IS_alqt_plus</v>
          </cell>
          <cell r="K12102" t="str">
            <v>VRUB</v>
          </cell>
          <cell r="M12102" t="str">
            <v>M</v>
          </cell>
          <cell r="AB12102" t="str">
            <v>WB</v>
          </cell>
          <cell r="AF12102">
            <v>1</v>
          </cell>
        </row>
        <row r="12103">
          <cell r="A12103" t="str">
            <v>IS_alqt_plus</v>
          </cell>
          <cell r="K12103" t="str">
            <v>VRUB</v>
          </cell>
          <cell r="M12103" t="str">
            <v>M</v>
          </cell>
          <cell r="AB12103" t="str">
            <v>WB</v>
          </cell>
          <cell r="AF12103">
            <v>1</v>
          </cell>
        </row>
        <row r="12104">
          <cell r="A12104" t="str">
            <v>IS_alqt_plus</v>
          </cell>
          <cell r="K12104" t="str">
            <v>VRUB</v>
          </cell>
          <cell r="M12104" t="str">
            <v>M</v>
          </cell>
          <cell r="AB12104" t="str">
            <v>WB</v>
          </cell>
          <cell r="AF12104">
            <v>1</v>
          </cell>
        </row>
        <row r="12105">
          <cell r="A12105" t="str">
            <v>IS_alqt_plus</v>
          </cell>
          <cell r="K12105" t="str">
            <v>VRUB</v>
          </cell>
          <cell r="M12105" t="str">
            <v>M</v>
          </cell>
          <cell r="AB12105" t="str">
            <v>WB</v>
          </cell>
          <cell r="AF12105">
            <v>1</v>
          </cell>
        </row>
        <row r="12106">
          <cell r="A12106" t="str">
            <v>IS_alqt_plus</v>
          </cell>
          <cell r="K12106" t="str">
            <v>VRUB</v>
          </cell>
          <cell r="M12106" t="str">
            <v>M</v>
          </cell>
          <cell r="AB12106" t="str">
            <v>WB</v>
          </cell>
          <cell r="AF12106">
            <v>1</v>
          </cell>
        </row>
        <row r="12107">
          <cell r="A12107" t="str">
            <v>IS_alqt_plus</v>
          </cell>
          <cell r="K12107" t="str">
            <v>VRUB</v>
          </cell>
          <cell r="M12107" t="str">
            <v>M</v>
          </cell>
          <cell r="AB12107" t="str">
            <v>WB</v>
          </cell>
          <cell r="AF12107">
            <v>1</v>
          </cell>
        </row>
        <row r="12108">
          <cell r="A12108" t="str">
            <v>IS_alqt_plus</v>
          </cell>
          <cell r="K12108" t="str">
            <v>VRUB</v>
          </cell>
          <cell r="M12108" t="str">
            <v>M</v>
          </cell>
          <cell r="AB12108" t="str">
            <v>WB</v>
          </cell>
          <cell r="AF12108">
            <v>1</v>
          </cell>
        </row>
        <row r="12109">
          <cell r="A12109" t="str">
            <v>IS_alqt_plus</v>
          </cell>
          <cell r="K12109" t="str">
            <v>VRUB</v>
          </cell>
          <cell r="M12109" t="str">
            <v>M</v>
          </cell>
          <cell r="AB12109" t="str">
            <v>WB</v>
          </cell>
          <cell r="AF12109">
            <v>1</v>
          </cell>
        </row>
        <row r="12110">
          <cell r="A12110" t="str">
            <v>IS_alqt_plus</v>
          </cell>
          <cell r="K12110" t="str">
            <v>VRUB</v>
          </cell>
          <cell r="M12110" t="str">
            <v>M</v>
          </cell>
          <cell r="AB12110" t="str">
            <v>WB</v>
          </cell>
          <cell r="AF12110">
            <v>1</v>
          </cell>
        </row>
        <row r="12111">
          <cell r="A12111" t="str">
            <v>IS_alqt_plus</v>
          </cell>
          <cell r="K12111" t="str">
            <v>VRUB</v>
          </cell>
          <cell r="M12111" t="str">
            <v>M</v>
          </cell>
          <cell r="AB12111" t="str">
            <v>WB</v>
          </cell>
          <cell r="AF12111">
            <v>1</v>
          </cell>
        </row>
        <row r="12112">
          <cell r="A12112" t="str">
            <v>IS_alqt_plus</v>
          </cell>
          <cell r="K12112" t="str">
            <v>VRUB</v>
          </cell>
          <cell r="M12112" t="str">
            <v>M</v>
          </cell>
          <cell r="AB12112" t="str">
            <v>WB</v>
          </cell>
          <cell r="AF12112">
            <v>1</v>
          </cell>
        </row>
        <row r="12113">
          <cell r="A12113" t="str">
            <v>IS_alqt_plus</v>
          </cell>
          <cell r="K12113" t="str">
            <v>DMAD</v>
          </cell>
          <cell r="M12113" t="str">
            <v>F</v>
          </cell>
          <cell r="AB12113" t="str">
            <v>serum</v>
          </cell>
          <cell r="AF12113">
            <v>0.75</v>
          </cell>
        </row>
        <row r="12114">
          <cell r="A12114" t="str">
            <v>IS_alqt_plus</v>
          </cell>
          <cell r="K12114" t="str">
            <v>PCOQ</v>
          </cell>
          <cell r="M12114" t="str">
            <v>F</v>
          </cell>
          <cell r="AB12114" t="str">
            <v>serum</v>
          </cell>
          <cell r="AF12114">
            <v>0.75</v>
          </cell>
        </row>
        <row r="12115">
          <cell r="A12115" t="str">
            <v>IS_alqt_plus</v>
          </cell>
          <cell r="K12115" t="str">
            <v>DMAD</v>
          </cell>
          <cell r="M12115" t="str">
            <v>F</v>
          </cell>
          <cell r="AB12115" t="str">
            <v>WB</v>
          </cell>
          <cell r="AF12115">
            <v>1</v>
          </cell>
        </row>
        <row r="12116">
          <cell r="A12116" t="str">
            <v>IS_alqt_plus</v>
          </cell>
          <cell r="K12116" t="str">
            <v>PCOQ</v>
          </cell>
          <cell r="M12116" t="str">
            <v>F</v>
          </cell>
          <cell r="AB12116" t="str">
            <v>WB</v>
          </cell>
          <cell r="AF12116">
            <v>1</v>
          </cell>
        </row>
        <row r="12117">
          <cell r="A12117" t="str">
            <v>IS_alqt_plus</v>
          </cell>
          <cell r="K12117" t="str">
            <v>PCOQ</v>
          </cell>
          <cell r="M12117" t="str">
            <v>F</v>
          </cell>
          <cell r="AB12117" t="str">
            <v>WB</v>
          </cell>
          <cell r="AF12117">
            <v>1</v>
          </cell>
        </row>
        <row r="12118">
          <cell r="A12118" t="str">
            <v>IS_alqt_plus</v>
          </cell>
          <cell r="K12118" t="str">
            <v>LCAT</v>
          </cell>
          <cell r="M12118" t="str">
            <v>F</v>
          </cell>
          <cell r="AB12118" t="str">
            <v>serum</v>
          </cell>
          <cell r="AF12118">
            <v>0.3</v>
          </cell>
        </row>
        <row r="12119">
          <cell r="A12119" t="str">
            <v>IS_alqt_plus</v>
          </cell>
          <cell r="K12119" t="str">
            <v>LCAT</v>
          </cell>
          <cell r="M12119" t="str">
            <v>F</v>
          </cell>
          <cell r="AB12119" t="str">
            <v>serum</v>
          </cell>
          <cell r="AF12119">
            <v>0.25</v>
          </cell>
        </row>
        <row r="12120">
          <cell r="A12120" t="str">
            <v>IS_alqt_plus</v>
          </cell>
          <cell r="K12120" t="str">
            <v>LCAT</v>
          </cell>
          <cell r="M12120" t="str">
            <v>M</v>
          </cell>
          <cell r="AB12120" t="str">
            <v>serum</v>
          </cell>
          <cell r="AF12120">
            <v>0.25</v>
          </cell>
        </row>
        <row r="12121">
          <cell r="A12121" t="str">
            <v>IS_alqt_plus</v>
          </cell>
          <cell r="K12121" t="str">
            <v>ECOL</v>
          </cell>
          <cell r="M12121" t="str">
            <v>F</v>
          </cell>
          <cell r="AB12121" t="str">
            <v>serum</v>
          </cell>
          <cell r="AF12121">
            <v>1.25</v>
          </cell>
        </row>
        <row r="12122">
          <cell r="A12122" t="str">
            <v>gone</v>
          </cell>
          <cell r="K12122" t="str">
            <v>ECOL</v>
          </cell>
          <cell r="M12122" t="str">
            <v>F</v>
          </cell>
          <cell r="AB12122" t="str">
            <v>WB</v>
          </cell>
          <cell r="AF12122">
            <v>0</v>
          </cell>
        </row>
        <row r="12123">
          <cell r="A12123" t="str">
            <v>IS_alqt_plus</v>
          </cell>
          <cell r="K12123" t="str">
            <v>PCOQ</v>
          </cell>
          <cell r="M12123" t="str">
            <v>F</v>
          </cell>
          <cell r="AB12123" t="str">
            <v>WB</v>
          </cell>
          <cell r="AF12123">
            <v>1</v>
          </cell>
        </row>
        <row r="12124">
          <cell r="A12124" t="str">
            <v>IS_alqt_plus</v>
          </cell>
          <cell r="K12124" t="str">
            <v>PCOQ</v>
          </cell>
          <cell r="M12124" t="str">
            <v>F</v>
          </cell>
          <cell r="AB12124" t="str">
            <v>WB</v>
          </cell>
          <cell r="AF12124">
            <v>1</v>
          </cell>
        </row>
        <row r="12125">
          <cell r="A12125" t="str">
            <v>IS_alqt_plus</v>
          </cell>
          <cell r="K12125" t="str">
            <v>PCOQ</v>
          </cell>
          <cell r="M12125" t="str">
            <v>F</v>
          </cell>
          <cell r="AB12125" t="str">
            <v>WB</v>
          </cell>
          <cell r="AF12125">
            <v>1</v>
          </cell>
        </row>
        <row r="12126">
          <cell r="A12126" t="str">
            <v>IS_alqt_plus</v>
          </cell>
          <cell r="K12126" t="str">
            <v>PCOQ</v>
          </cell>
          <cell r="M12126" t="str">
            <v>F</v>
          </cell>
          <cell r="AB12126" t="str">
            <v>serum</v>
          </cell>
          <cell r="AF12126">
            <v>0.75</v>
          </cell>
        </row>
        <row r="12127">
          <cell r="A12127" t="str">
            <v>IS_alqt_plus</v>
          </cell>
          <cell r="K12127" t="str">
            <v>PCOQ</v>
          </cell>
          <cell r="M12127" t="str">
            <v>F</v>
          </cell>
          <cell r="AB12127" t="str">
            <v>WB</v>
          </cell>
          <cell r="AF12127">
            <v>1</v>
          </cell>
        </row>
        <row r="12128">
          <cell r="A12128" t="str">
            <v>IS_alqt_plus</v>
          </cell>
          <cell r="K12128" t="str">
            <v>DMAD</v>
          </cell>
          <cell r="M12128" t="str">
            <v>M</v>
          </cell>
          <cell r="AB12128" t="str">
            <v>serum</v>
          </cell>
          <cell r="AF12128">
            <v>1</v>
          </cell>
        </row>
        <row r="12129">
          <cell r="A12129" t="str">
            <v>IS_alqt_plus</v>
          </cell>
          <cell r="K12129" t="str">
            <v>DMAD</v>
          </cell>
          <cell r="M12129" t="str">
            <v>F</v>
          </cell>
          <cell r="AB12129" t="str">
            <v>serum</v>
          </cell>
          <cell r="AF12129">
            <v>0.75</v>
          </cell>
        </row>
        <row r="12130">
          <cell r="A12130" t="str">
            <v>IS_alqt_plus</v>
          </cell>
          <cell r="K12130" t="str">
            <v>DMAD</v>
          </cell>
          <cell r="M12130" t="str">
            <v>M</v>
          </cell>
          <cell r="AB12130" t="str">
            <v>WB</v>
          </cell>
          <cell r="AF12130">
            <v>1.2</v>
          </cell>
        </row>
        <row r="12131">
          <cell r="A12131" t="str">
            <v>IS_alqt_plus</v>
          </cell>
          <cell r="K12131" t="str">
            <v>DMAD</v>
          </cell>
          <cell r="M12131" t="str">
            <v>F</v>
          </cell>
          <cell r="AB12131" t="str">
            <v>WB</v>
          </cell>
          <cell r="AF12131">
            <v>1</v>
          </cell>
        </row>
        <row r="12132">
          <cell r="A12132" t="str">
            <v>IS_alqt_minus</v>
          </cell>
          <cell r="K12132" t="str">
            <v>CMED</v>
          </cell>
          <cell r="M12132" t="str">
            <v>M</v>
          </cell>
          <cell r="AB12132" t="str">
            <v>WB</v>
          </cell>
          <cell r="AF12132">
            <v>0.15</v>
          </cell>
        </row>
        <row r="12133">
          <cell r="A12133" t="str">
            <v>IS_alqt_minus</v>
          </cell>
          <cell r="K12133" t="str">
            <v>MMUR</v>
          </cell>
          <cell r="M12133" t="str">
            <v>M</v>
          </cell>
          <cell r="AB12133" t="str">
            <v>WB</v>
          </cell>
          <cell r="AF12133">
            <v>0.15</v>
          </cell>
        </row>
        <row r="12134">
          <cell r="A12134" t="str">
            <v>IS_alqt_plus</v>
          </cell>
          <cell r="K12134" t="str">
            <v>VRUB</v>
          </cell>
          <cell r="M12134" t="str">
            <v>M</v>
          </cell>
          <cell r="AB12134" t="str">
            <v>WB</v>
          </cell>
          <cell r="AF12134">
            <v>1</v>
          </cell>
        </row>
        <row r="12135">
          <cell r="A12135" t="str">
            <v>IS_alqt_plus</v>
          </cell>
          <cell r="K12135" t="str">
            <v>VRUB</v>
          </cell>
          <cell r="M12135" t="str">
            <v>M</v>
          </cell>
          <cell r="AB12135" t="str">
            <v>serum</v>
          </cell>
          <cell r="AF12135">
            <v>1</v>
          </cell>
        </row>
        <row r="12136">
          <cell r="A12136" t="str">
            <v>IS_alqt_minus</v>
          </cell>
          <cell r="K12136" t="str">
            <v>CMED</v>
          </cell>
          <cell r="M12136" t="str">
            <v>M</v>
          </cell>
          <cell r="AB12136" t="str">
            <v>WB</v>
          </cell>
          <cell r="AF12136">
            <v>0.1</v>
          </cell>
        </row>
        <row r="12137">
          <cell r="A12137" t="str">
            <v>IS_alqt_plus</v>
          </cell>
          <cell r="K12137" t="str">
            <v>PCOQ</v>
          </cell>
          <cell r="M12137" t="str">
            <v>F</v>
          </cell>
          <cell r="AB12137" t="str">
            <v>WB</v>
          </cell>
          <cell r="AF12137">
            <v>1</v>
          </cell>
        </row>
        <row r="12138">
          <cell r="A12138" t="str">
            <v>IS_alqt_plus</v>
          </cell>
          <cell r="K12138" t="str">
            <v>LCAT</v>
          </cell>
          <cell r="M12138" t="str">
            <v>F</v>
          </cell>
          <cell r="AB12138" t="str">
            <v>serum</v>
          </cell>
          <cell r="AF12138">
            <v>1</v>
          </cell>
        </row>
        <row r="12139">
          <cell r="A12139" t="str">
            <v>IS_alqt_minus</v>
          </cell>
          <cell r="K12139" t="str">
            <v>MMUR</v>
          </cell>
          <cell r="M12139" t="str">
            <v>M</v>
          </cell>
          <cell r="AB12139" t="str">
            <v>WB</v>
          </cell>
          <cell r="AF12139">
            <v>0.05</v>
          </cell>
        </row>
        <row r="12140">
          <cell r="A12140" t="str">
            <v>IS_alqt_plus</v>
          </cell>
          <cell r="K12140" t="str">
            <v>EFLA</v>
          </cell>
          <cell r="M12140" t="str">
            <v>M</v>
          </cell>
          <cell r="AB12140" t="str">
            <v>serum</v>
          </cell>
          <cell r="AF12140">
            <v>0.75</v>
          </cell>
        </row>
        <row r="12141">
          <cell r="A12141" t="str">
            <v>IS_alqt_plus</v>
          </cell>
          <cell r="K12141" t="str">
            <v>EFLA</v>
          </cell>
          <cell r="M12141" t="str">
            <v>M</v>
          </cell>
          <cell r="AB12141" t="str">
            <v>serum</v>
          </cell>
          <cell r="AF12141">
            <v>0.4</v>
          </cell>
        </row>
        <row r="12142">
          <cell r="A12142" t="str">
            <v>IS_alqt_plus</v>
          </cell>
          <cell r="K12142" t="str">
            <v>EFLA</v>
          </cell>
          <cell r="M12142" t="str">
            <v>M</v>
          </cell>
          <cell r="AB12142" t="str">
            <v>serum</v>
          </cell>
          <cell r="AF12142">
            <v>1</v>
          </cell>
        </row>
        <row r="12143">
          <cell r="A12143" t="str">
            <v>IS_alqt_plus</v>
          </cell>
          <cell r="K12143" t="str">
            <v>EFLA</v>
          </cell>
          <cell r="M12143" t="str">
            <v>M</v>
          </cell>
          <cell r="AB12143" t="str">
            <v>serum</v>
          </cell>
          <cell r="AF12143">
            <v>1</v>
          </cell>
        </row>
        <row r="12144">
          <cell r="A12144" t="str">
            <v>IS_alqt_plus</v>
          </cell>
          <cell r="K12144" t="str">
            <v>EFLA</v>
          </cell>
          <cell r="M12144" t="str">
            <v>M</v>
          </cell>
          <cell r="AB12144" t="str">
            <v>serum</v>
          </cell>
          <cell r="AF12144">
            <v>1</v>
          </cell>
        </row>
        <row r="12145">
          <cell r="A12145" t="str">
            <v>IS_alqt_plus</v>
          </cell>
          <cell r="K12145" t="str">
            <v>EFLA</v>
          </cell>
          <cell r="M12145" t="str">
            <v>M</v>
          </cell>
          <cell r="AB12145" t="str">
            <v>serum</v>
          </cell>
          <cell r="AF12145">
            <v>1</v>
          </cell>
        </row>
        <row r="12146">
          <cell r="A12146" t="str">
            <v>IS_alqt_plus</v>
          </cell>
          <cell r="K12146" t="str">
            <v>EFLA</v>
          </cell>
          <cell r="M12146" t="str">
            <v>M</v>
          </cell>
          <cell r="AB12146" t="str">
            <v>serum</v>
          </cell>
          <cell r="AF12146">
            <v>1</v>
          </cell>
        </row>
        <row r="12147">
          <cell r="A12147" t="str">
            <v>IS_alqt_plus</v>
          </cell>
          <cell r="K12147" t="str">
            <v>EFLA</v>
          </cell>
          <cell r="M12147" t="str">
            <v>M</v>
          </cell>
          <cell r="AB12147" t="str">
            <v>serum</v>
          </cell>
          <cell r="AF12147">
            <v>1</v>
          </cell>
        </row>
        <row r="12148">
          <cell r="A12148" t="str">
            <v>IS_alqt_plus</v>
          </cell>
          <cell r="K12148" t="str">
            <v>EFLA</v>
          </cell>
          <cell r="M12148" t="str">
            <v>M</v>
          </cell>
          <cell r="AB12148" t="str">
            <v>serum</v>
          </cell>
          <cell r="AF12148">
            <v>1</v>
          </cell>
        </row>
        <row r="12149">
          <cell r="A12149" t="str">
            <v>IS_alqt_plus</v>
          </cell>
          <cell r="K12149" t="str">
            <v>EFLA</v>
          </cell>
          <cell r="M12149" t="str">
            <v>M</v>
          </cell>
          <cell r="AB12149" t="str">
            <v>serum</v>
          </cell>
          <cell r="AF12149">
            <v>1</v>
          </cell>
        </row>
        <row r="12150">
          <cell r="A12150" t="str">
            <v>IS_alqt_plus</v>
          </cell>
          <cell r="K12150" t="str">
            <v>EFLA</v>
          </cell>
          <cell r="M12150" t="str">
            <v>M</v>
          </cell>
          <cell r="AB12150" t="str">
            <v>serum</v>
          </cell>
          <cell r="AF12150">
            <v>1</v>
          </cell>
        </row>
        <row r="12151">
          <cell r="A12151" t="str">
            <v>IS_alqt_plus</v>
          </cell>
          <cell r="K12151" t="str">
            <v>EFLA</v>
          </cell>
          <cell r="M12151" t="str">
            <v>M</v>
          </cell>
          <cell r="AB12151" t="str">
            <v>serum</v>
          </cell>
          <cell r="AF12151">
            <v>1</v>
          </cell>
        </row>
        <row r="12152">
          <cell r="A12152" t="str">
            <v>IS_alqt_plus</v>
          </cell>
          <cell r="K12152" t="str">
            <v>EFLA</v>
          </cell>
          <cell r="M12152" t="str">
            <v>M</v>
          </cell>
          <cell r="AB12152" t="str">
            <v>serum</v>
          </cell>
          <cell r="AF12152">
            <v>1</v>
          </cell>
        </row>
        <row r="12153">
          <cell r="A12153" t="str">
            <v>IS_alqt_plus</v>
          </cell>
          <cell r="K12153" t="str">
            <v>EFLA</v>
          </cell>
          <cell r="M12153" t="str">
            <v>M</v>
          </cell>
          <cell r="AB12153" t="str">
            <v>serum</v>
          </cell>
          <cell r="AF12153">
            <v>1</v>
          </cell>
        </row>
        <row r="12154">
          <cell r="A12154" t="str">
            <v>IS_alqt_plus</v>
          </cell>
          <cell r="K12154" t="str">
            <v>EFLA</v>
          </cell>
          <cell r="M12154" t="str">
            <v>M</v>
          </cell>
          <cell r="AB12154" t="str">
            <v>serum</v>
          </cell>
          <cell r="AF12154">
            <v>1</v>
          </cell>
        </row>
        <row r="12155">
          <cell r="A12155" t="str">
            <v>IS_alqt_plus</v>
          </cell>
          <cell r="K12155" t="str">
            <v>EFLA</v>
          </cell>
          <cell r="M12155" t="str">
            <v>M</v>
          </cell>
          <cell r="AB12155" t="str">
            <v>serum</v>
          </cell>
          <cell r="AF12155">
            <v>1</v>
          </cell>
        </row>
        <row r="12156">
          <cell r="A12156" t="str">
            <v>IS_alqt_plus</v>
          </cell>
          <cell r="K12156" t="str">
            <v>EFLA</v>
          </cell>
          <cell r="M12156" t="str">
            <v>M</v>
          </cell>
          <cell r="AB12156" t="str">
            <v>serum</v>
          </cell>
          <cell r="AF12156">
            <v>1</v>
          </cell>
        </row>
        <row r="12157">
          <cell r="A12157" t="str">
            <v>IS_alqt_plus</v>
          </cell>
          <cell r="K12157" t="str">
            <v>EFLA</v>
          </cell>
          <cell r="M12157" t="str">
            <v>M</v>
          </cell>
          <cell r="AB12157" t="str">
            <v>serum</v>
          </cell>
          <cell r="AF12157">
            <v>1</v>
          </cell>
        </row>
        <row r="12158">
          <cell r="A12158" t="str">
            <v>IS_alqt_plus</v>
          </cell>
          <cell r="K12158" t="str">
            <v>EFLA</v>
          </cell>
          <cell r="M12158" t="str">
            <v>M</v>
          </cell>
          <cell r="AB12158" t="str">
            <v>serum</v>
          </cell>
          <cell r="AF12158">
            <v>1</v>
          </cell>
        </row>
        <row r="12159">
          <cell r="A12159" t="str">
            <v>IS_alqt_plus</v>
          </cell>
          <cell r="K12159" t="str">
            <v>EFLA</v>
          </cell>
          <cell r="M12159" t="str">
            <v>M</v>
          </cell>
          <cell r="AB12159" t="str">
            <v>serum</v>
          </cell>
          <cell r="AF12159">
            <v>1</v>
          </cell>
        </row>
        <row r="12160">
          <cell r="A12160" t="str">
            <v>IS_alqt_plus</v>
          </cell>
          <cell r="K12160" t="str">
            <v>EFLA</v>
          </cell>
          <cell r="M12160" t="str">
            <v>M</v>
          </cell>
          <cell r="AB12160" t="str">
            <v>serum</v>
          </cell>
          <cell r="AF12160">
            <v>1</v>
          </cell>
        </row>
        <row r="12161">
          <cell r="A12161" t="str">
            <v>IS_alqt_plus</v>
          </cell>
          <cell r="K12161" t="str">
            <v>EFLA</v>
          </cell>
          <cell r="M12161" t="str">
            <v>M</v>
          </cell>
          <cell r="AB12161" t="str">
            <v>serum</v>
          </cell>
          <cell r="AF12161">
            <v>1</v>
          </cell>
        </row>
        <row r="12162">
          <cell r="A12162" t="str">
            <v>IS_alqt_plus</v>
          </cell>
          <cell r="K12162" t="str">
            <v>EFLA</v>
          </cell>
          <cell r="M12162" t="str">
            <v>M</v>
          </cell>
          <cell r="AB12162" t="str">
            <v>serum</v>
          </cell>
          <cell r="AF12162">
            <v>1</v>
          </cell>
        </row>
        <row r="12163">
          <cell r="A12163" t="str">
            <v>IS_alqt_plus</v>
          </cell>
          <cell r="K12163" t="str">
            <v>EFLA</v>
          </cell>
          <cell r="M12163" t="str">
            <v>M</v>
          </cell>
          <cell r="AB12163" t="str">
            <v>serum</v>
          </cell>
          <cell r="AF12163">
            <v>1</v>
          </cell>
        </row>
        <row r="12164">
          <cell r="A12164" t="str">
            <v>IS_alqt_plus</v>
          </cell>
          <cell r="K12164" t="str">
            <v>EFLA</v>
          </cell>
          <cell r="M12164" t="str">
            <v>M</v>
          </cell>
          <cell r="AB12164" t="str">
            <v>serum</v>
          </cell>
          <cell r="AF12164">
            <v>1</v>
          </cell>
        </row>
        <row r="12165">
          <cell r="A12165" t="str">
            <v>IS_alqt_plus</v>
          </cell>
          <cell r="K12165" t="str">
            <v>EFLA</v>
          </cell>
          <cell r="M12165" t="str">
            <v>M</v>
          </cell>
          <cell r="AB12165" t="str">
            <v>serum</v>
          </cell>
          <cell r="AF12165">
            <v>1</v>
          </cell>
        </row>
        <row r="12166">
          <cell r="A12166" t="str">
            <v>IS_alqt_plus</v>
          </cell>
          <cell r="K12166" t="str">
            <v>EFLA</v>
          </cell>
          <cell r="M12166" t="str">
            <v>M</v>
          </cell>
          <cell r="AB12166" t="str">
            <v>serum</v>
          </cell>
          <cell r="AF12166">
            <v>1</v>
          </cell>
        </row>
        <row r="12167">
          <cell r="A12167" t="str">
            <v>IS_alqt_plus</v>
          </cell>
          <cell r="K12167" t="str">
            <v>EFLA</v>
          </cell>
          <cell r="M12167" t="str">
            <v>M</v>
          </cell>
          <cell r="AB12167" t="str">
            <v>serum</v>
          </cell>
          <cell r="AF12167">
            <v>1</v>
          </cell>
        </row>
        <row r="12168">
          <cell r="A12168" t="str">
            <v>IS_alqt_plus</v>
          </cell>
          <cell r="K12168" t="str">
            <v>EFLA</v>
          </cell>
          <cell r="M12168" t="str">
            <v>M</v>
          </cell>
          <cell r="AB12168" t="str">
            <v>serum</v>
          </cell>
          <cell r="AF12168">
            <v>1</v>
          </cell>
        </row>
        <row r="12169">
          <cell r="A12169" t="str">
            <v>gone</v>
          </cell>
          <cell r="K12169" t="str">
            <v>EFLA</v>
          </cell>
          <cell r="M12169" t="str">
            <v>M</v>
          </cell>
          <cell r="AB12169" t="str">
            <v>WB</v>
          </cell>
          <cell r="AF12169">
            <v>0</v>
          </cell>
        </row>
        <row r="12170">
          <cell r="A12170" t="str">
            <v>IS_alqt_plus</v>
          </cell>
          <cell r="K12170" t="str">
            <v>EFLA</v>
          </cell>
          <cell r="M12170" t="str">
            <v>M</v>
          </cell>
          <cell r="AB12170" t="str">
            <v>WB</v>
          </cell>
          <cell r="AF12170">
            <v>0.75</v>
          </cell>
        </row>
        <row r="12171">
          <cell r="A12171" t="str">
            <v>gone</v>
          </cell>
          <cell r="K12171" t="str">
            <v>EFLA</v>
          </cell>
          <cell r="M12171" t="str">
            <v>M</v>
          </cell>
          <cell r="AB12171" t="str">
            <v>WB</v>
          </cell>
          <cell r="AF12171">
            <v>0</v>
          </cell>
        </row>
        <row r="12172">
          <cell r="A12172" t="str">
            <v>IS_alqt_plus</v>
          </cell>
          <cell r="K12172" t="str">
            <v>EFLA</v>
          </cell>
          <cell r="M12172" t="str">
            <v>M</v>
          </cell>
          <cell r="AB12172" t="str">
            <v>WB</v>
          </cell>
          <cell r="AF12172">
            <v>1</v>
          </cell>
        </row>
        <row r="12173">
          <cell r="A12173" t="str">
            <v>IS_alqt_plus</v>
          </cell>
          <cell r="K12173" t="str">
            <v>EFLA</v>
          </cell>
          <cell r="M12173" t="str">
            <v>M</v>
          </cell>
          <cell r="AB12173" t="str">
            <v>WB</v>
          </cell>
          <cell r="AF12173">
            <v>1</v>
          </cell>
        </row>
        <row r="12174">
          <cell r="A12174" t="str">
            <v>IS_alqt_plus</v>
          </cell>
          <cell r="K12174" t="str">
            <v>EFLA</v>
          </cell>
          <cell r="M12174" t="str">
            <v>M</v>
          </cell>
          <cell r="AB12174" t="str">
            <v>WB</v>
          </cell>
          <cell r="AF12174">
            <v>1</v>
          </cell>
        </row>
        <row r="12175">
          <cell r="A12175" t="str">
            <v>IS_alqt_plus</v>
          </cell>
          <cell r="K12175" t="str">
            <v>EFLA</v>
          </cell>
          <cell r="M12175" t="str">
            <v>M</v>
          </cell>
          <cell r="AB12175" t="str">
            <v>WB</v>
          </cell>
          <cell r="AF12175">
            <v>1</v>
          </cell>
        </row>
        <row r="12176">
          <cell r="A12176" t="str">
            <v>IS_alqt_plus</v>
          </cell>
          <cell r="K12176" t="str">
            <v>EFLA</v>
          </cell>
          <cell r="M12176" t="str">
            <v>M</v>
          </cell>
          <cell r="AB12176" t="str">
            <v>WB</v>
          </cell>
          <cell r="AF12176">
            <v>1</v>
          </cell>
        </row>
        <row r="12177">
          <cell r="A12177" t="str">
            <v>IS_alqt_plus</v>
          </cell>
          <cell r="K12177" t="str">
            <v>EFLA</v>
          </cell>
          <cell r="M12177" t="str">
            <v>M</v>
          </cell>
          <cell r="AB12177" t="str">
            <v>WB</v>
          </cell>
          <cell r="AF12177">
            <v>1</v>
          </cell>
        </row>
        <row r="12178">
          <cell r="A12178" t="str">
            <v>IS_alqt_plus</v>
          </cell>
          <cell r="K12178" t="str">
            <v>EFLA</v>
          </cell>
          <cell r="M12178" t="str">
            <v>M</v>
          </cell>
          <cell r="AB12178" t="str">
            <v>WB</v>
          </cell>
          <cell r="AF12178">
            <v>1</v>
          </cell>
        </row>
        <row r="12179">
          <cell r="A12179" t="str">
            <v>IS_alqt_plus</v>
          </cell>
          <cell r="K12179" t="str">
            <v>EFLA</v>
          </cell>
          <cell r="M12179" t="str">
            <v>M</v>
          </cell>
          <cell r="AB12179" t="str">
            <v>WB</v>
          </cell>
          <cell r="AF12179">
            <v>1</v>
          </cell>
        </row>
        <row r="12180">
          <cell r="A12180" t="str">
            <v>IS_alqt_plus</v>
          </cell>
          <cell r="K12180" t="str">
            <v>EFLA</v>
          </cell>
          <cell r="M12180" t="str">
            <v>M</v>
          </cell>
          <cell r="AB12180" t="str">
            <v>WB</v>
          </cell>
          <cell r="AF12180">
            <v>1</v>
          </cell>
        </row>
        <row r="12181">
          <cell r="A12181" t="str">
            <v>IS_alqt_plus</v>
          </cell>
          <cell r="K12181" t="str">
            <v>EFLA</v>
          </cell>
          <cell r="M12181" t="str">
            <v>M</v>
          </cell>
          <cell r="AB12181" t="str">
            <v>WB</v>
          </cell>
          <cell r="AF12181">
            <v>1</v>
          </cell>
        </row>
        <row r="12182">
          <cell r="A12182" t="str">
            <v>IS_alqt_plus</v>
          </cell>
          <cell r="K12182" t="str">
            <v>EFLA</v>
          </cell>
          <cell r="M12182" t="str">
            <v>M</v>
          </cell>
          <cell r="AB12182" t="str">
            <v>WB</v>
          </cell>
          <cell r="AF12182">
            <v>1</v>
          </cell>
        </row>
        <row r="12183">
          <cell r="A12183" t="str">
            <v>IS_alqt_plus</v>
          </cell>
          <cell r="K12183" t="str">
            <v>EFLA</v>
          </cell>
          <cell r="M12183" t="str">
            <v>M</v>
          </cell>
          <cell r="AB12183" t="str">
            <v>WB</v>
          </cell>
          <cell r="AF12183">
            <v>1</v>
          </cell>
        </row>
        <row r="12184">
          <cell r="A12184" t="str">
            <v>IS_alqt_plus</v>
          </cell>
          <cell r="K12184" t="str">
            <v>EFLA</v>
          </cell>
          <cell r="M12184" t="str">
            <v>M</v>
          </cell>
          <cell r="AB12184" t="str">
            <v>WB</v>
          </cell>
          <cell r="AF12184">
            <v>1</v>
          </cell>
        </row>
        <row r="12185">
          <cell r="A12185" t="str">
            <v>IS_alqt_plus</v>
          </cell>
          <cell r="K12185" t="str">
            <v>EFLA</v>
          </cell>
          <cell r="M12185" t="str">
            <v>M</v>
          </cell>
          <cell r="AB12185" t="str">
            <v>WB</v>
          </cell>
          <cell r="AF12185">
            <v>1</v>
          </cell>
        </row>
        <row r="12186">
          <cell r="A12186" t="str">
            <v>IS_alqt_plus</v>
          </cell>
          <cell r="K12186" t="str">
            <v>EFLA</v>
          </cell>
          <cell r="M12186" t="str">
            <v>M</v>
          </cell>
          <cell r="AB12186" t="str">
            <v>WB</v>
          </cell>
          <cell r="AF12186">
            <v>1</v>
          </cell>
        </row>
        <row r="12187">
          <cell r="A12187" t="str">
            <v>IS_alqt_plus</v>
          </cell>
          <cell r="K12187" t="str">
            <v>EFLA</v>
          </cell>
          <cell r="M12187" t="str">
            <v>M</v>
          </cell>
          <cell r="AB12187" t="str">
            <v>WB</v>
          </cell>
          <cell r="AF12187">
            <v>1</v>
          </cell>
        </row>
        <row r="12188">
          <cell r="A12188" t="str">
            <v>IS_alqt_plus</v>
          </cell>
          <cell r="K12188" t="str">
            <v>ECOR</v>
          </cell>
          <cell r="M12188" t="str">
            <v>F</v>
          </cell>
          <cell r="AB12188" t="str">
            <v>serum</v>
          </cell>
          <cell r="AF12188">
            <v>1.5</v>
          </cell>
        </row>
        <row r="12189">
          <cell r="A12189" t="str">
            <v>IS_alqt_plus</v>
          </cell>
          <cell r="K12189" t="str">
            <v>ERUF</v>
          </cell>
          <cell r="M12189" t="str">
            <v>M</v>
          </cell>
          <cell r="AB12189" t="str">
            <v>serum</v>
          </cell>
          <cell r="AF12189">
            <v>1.5</v>
          </cell>
        </row>
        <row r="12190">
          <cell r="A12190" t="str">
            <v>IS_alqt_plus</v>
          </cell>
          <cell r="K12190" t="str">
            <v>ERUF</v>
          </cell>
          <cell r="M12190" t="str">
            <v>M</v>
          </cell>
          <cell r="AB12190" t="str">
            <v>WB</v>
          </cell>
          <cell r="AF12190">
            <v>1</v>
          </cell>
        </row>
        <row r="12191">
          <cell r="A12191" t="str">
            <v>IS_alqt_plus</v>
          </cell>
          <cell r="K12191" t="str">
            <v>VRUB</v>
          </cell>
          <cell r="M12191" t="str">
            <v>M</v>
          </cell>
          <cell r="AB12191" t="str">
            <v>serum</v>
          </cell>
          <cell r="AF12191">
            <v>0.75</v>
          </cell>
        </row>
        <row r="12192">
          <cell r="A12192" t="str">
            <v>IS_alqt_plus</v>
          </cell>
          <cell r="K12192" t="str">
            <v>VRUB</v>
          </cell>
          <cell r="M12192" t="str">
            <v>M</v>
          </cell>
          <cell r="AB12192" t="str">
            <v>WB</v>
          </cell>
          <cell r="AF12192">
            <v>1</v>
          </cell>
        </row>
        <row r="12193">
          <cell r="A12193" t="str">
            <v>IS_alqt_plus</v>
          </cell>
          <cell r="K12193" t="str">
            <v>CMED</v>
          </cell>
          <cell r="M12193" t="str">
            <v>F</v>
          </cell>
          <cell r="AB12193" t="str">
            <v>serum</v>
          </cell>
          <cell r="AF12193">
            <v>0.35</v>
          </cell>
        </row>
        <row r="12194">
          <cell r="A12194" t="str">
            <v>IS</v>
          </cell>
          <cell r="K12194" t="str">
            <v>CMED</v>
          </cell>
          <cell r="M12194" t="str">
            <v>ND</v>
          </cell>
          <cell r="AB12194" t="str">
            <v>blood cards</v>
          </cell>
          <cell r="AF12194">
            <v>1</v>
          </cell>
        </row>
        <row r="12195">
          <cell r="A12195" t="str">
            <v>IS</v>
          </cell>
          <cell r="K12195" t="str">
            <v>CMED</v>
          </cell>
          <cell r="M12195" t="str">
            <v>ND</v>
          </cell>
          <cell r="AB12195" t="str">
            <v>blood cards</v>
          </cell>
          <cell r="AF12195">
            <v>1</v>
          </cell>
        </row>
        <row r="12196">
          <cell r="A12196" t="str">
            <v>IS_alqt_plus</v>
          </cell>
          <cell r="K12196" t="str">
            <v>DMAD</v>
          </cell>
          <cell r="M12196" t="str">
            <v>M</v>
          </cell>
          <cell r="AB12196" t="str">
            <v>serum</v>
          </cell>
          <cell r="AF12196">
            <v>1</v>
          </cell>
        </row>
        <row r="12197">
          <cell r="A12197" t="str">
            <v>IS_alqt_plus</v>
          </cell>
          <cell r="K12197" t="str">
            <v>DMAD</v>
          </cell>
          <cell r="M12197" t="str">
            <v>M</v>
          </cell>
          <cell r="AB12197" t="str">
            <v>serum</v>
          </cell>
          <cell r="AF12197">
            <v>1.2</v>
          </cell>
        </row>
        <row r="12198">
          <cell r="A12198" t="str">
            <v>IS_alqt_plus</v>
          </cell>
          <cell r="K12198" t="str">
            <v>DMAD</v>
          </cell>
          <cell r="M12198" t="str">
            <v>M</v>
          </cell>
          <cell r="AB12198" t="str">
            <v>serum</v>
          </cell>
          <cell r="AF12198">
            <v>1.5</v>
          </cell>
        </row>
        <row r="12199">
          <cell r="A12199" t="str">
            <v>gone</v>
          </cell>
          <cell r="K12199" t="str">
            <v>PCOQ</v>
          </cell>
          <cell r="M12199" t="str">
            <v>F</v>
          </cell>
          <cell r="AB12199" t="str">
            <v>serum</v>
          </cell>
          <cell r="AF12199">
            <v>0.2</v>
          </cell>
        </row>
        <row r="12200">
          <cell r="A12200" t="str">
            <v>IS_alqt_plus</v>
          </cell>
          <cell r="K12200" t="str">
            <v>DMAD</v>
          </cell>
          <cell r="M12200" t="str">
            <v>M</v>
          </cell>
          <cell r="AB12200" t="str">
            <v>serum</v>
          </cell>
          <cell r="AF12200">
            <v>1</v>
          </cell>
        </row>
        <row r="12201">
          <cell r="A12201" t="str">
            <v>unk</v>
          </cell>
          <cell r="K12201" t="str">
            <v>EUL</v>
          </cell>
          <cell r="M12201" t="str">
            <v>M</v>
          </cell>
          <cell r="AB12201" t="str">
            <v>unk</v>
          </cell>
          <cell r="AF12201">
            <v>0.7</v>
          </cell>
        </row>
        <row r="12202">
          <cell r="A12202" t="str">
            <v>IS_alqt_plus</v>
          </cell>
          <cell r="K12202" t="str">
            <v>EMAC</v>
          </cell>
          <cell r="M12202" t="str">
            <v>M</v>
          </cell>
          <cell r="AB12202" t="str">
            <v>serum</v>
          </cell>
          <cell r="AF12202">
            <v>1.5</v>
          </cell>
        </row>
        <row r="12203">
          <cell r="A12203" t="str">
            <v>IS_alqt_plus</v>
          </cell>
          <cell r="K12203" t="str">
            <v>MMUR</v>
          </cell>
          <cell r="M12203" t="str">
            <v>M</v>
          </cell>
          <cell r="AB12203" t="str">
            <v>serum</v>
          </cell>
          <cell r="AF12203">
            <v>0.5</v>
          </cell>
        </row>
        <row r="12204">
          <cell r="A12204" t="str">
            <v>IS_alqt_plus</v>
          </cell>
          <cell r="K12204" t="str">
            <v>PCOQ</v>
          </cell>
          <cell r="M12204" t="str">
            <v>M</v>
          </cell>
          <cell r="AB12204" t="str">
            <v>serum</v>
          </cell>
          <cell r="AF12204">
            <v>0.5</v>
          </cell>
        </row>
        <row r="12205">
          <cell r="A12205" t="str">
            <v>IS_alqt_plus</v>
          </cell>
          <cell r="K12205" t="str">
            <v>PCOQ</v>
          </cell>
          <cell r="M12205" t="str">
            <v>M</v>
          </cell>
          <cell r="AB12205" t="str">
            <v>serum</v>
          </cell>
          <cell r="AF12205">
            <v>0.75</v>
          </cell>
        </row>
        <row r="12206">
          <cell r="A12206" t="str">
            <v>IS_alqt_plus</v>
          </cell>
          <cell r="K12206" t="str">
            <v>PCOQ</v>
          </cell>
          <cell r="M12206" t="str">
            <v>M</v>
          </cell>
          <cell r="AB12206" t="str">
            <v>serum</v>
          </cell>
          <cell r="AF12206">
            <v>0.7</v>
          </cell>
        </row>
        <row r="12207">
          <cell r="A12207" t="str">
            <v>gone</v>
          </cell>
          <cell r="K12207" t="str">
            <v>PCOQ</v>
          </cell>
          <cell r="M12207" t="str">
            <v>F</v>
          </cell>
          <cell r="AB12207" t="str">
            <v>serum</v>
          </cell>
          <cell r="AF12207">
            <v>0.2</v>
          </cell>
        </row>
        <row r="12208">
          <cell r="A12208" t="str">
            <v>IS_alqt_plus</v>
          </cell>
          <cell r="K12208" t="str">
            <v>PCOQ</v>
          </cell>
          <cell r="M12208" t="str">
            <v>F</v>
          </cell>
          <cell r="AB12208" t="str">
            <v>serum</v>
          </cell>
          <cell r="AF12208">
            <v>0.75</v>
          </cell>
        </row>
        <row r="12209">
          <cell r="A12209" t="str">
            <v>gone</v>
          </cell>
          <cell r="K12209" t="str">
            <v>PCOQ</v>
          </cell>
          <cell r="M12209" t="str">
            <v>F</v>
          </cell>
          <cell r="AB12209" t="str">
            <v>serum</v>
          </cell>
          <cell r="AF12209">
            <v>0.2</v>
          </cell>
        </row>
        <row r="12210">
          <cell r="A12210" t="str">
            <v>gone</v>
          </cell>
          <cell r="K12210" t="str">
            <v>PCOQ</v>
          </cell>
          <cell r="M12210" t="str">
            <v>M</v>
          </cell>
          <cell r="AB12210" t="str">
            <v>serum</v>
          </cell>
          <cell r="AF12210">
            <v>0</v>
          </cell>
        </row>
        <row r="12211">
          <cell r="A12211" t="str">
            <v>IS_alqt_plus</v>
          </cell>
          <cell r="K12211" t="str">
            <v>VRUB</v>
          </cell>
          <cell r="M12211" t="str">
            <v>F</v>
          </cell>
          <cell r="AB12211" t="str">
            <v>serum</v>
          </cell>
          <cell r="AF12211">
            <v>1.5</v>
          </cell>
        </row>
        <row r="12212">
          <cell r="A12212" t="str">
            <v>IS_alqt_plus</v>
          </cell>
          <cell r="K12212" t="str">
            <v>LCAT</v>
          </cell>
          <cell r="M12212" t="str">
            <v>F</v>
          </cell>
          <cell r="AB12212" t="str">
            <v>serum</v>
          </cell>
          <cell r="AF12212">
            <v>1</v>
          </cell>
        </row>
        <row r="12213">
          <cell r="A12213" t="str">
            <v>IS_alqt_plus</v>
          </cell>
          <cell r="K12213" t="str">
            <v>GMOH</v>
          </cell>
          <cell r="M12213" t="str">
            <v>F</v>
          </cell>
          <cell r="AB12213" t="str">
            <v>WB</v>
          </cell>
          <cell r="AF12213">
            <v>0.25</v>
          </cell>
        </row>
        <row r="12214">
          <cell r="A12214" t="str">
            <v>IS_alqt_plus</v>
          </cell>
          <cell r="K12214" t="str">
            <v>LTAR</v>
          </cell>
          <cell r="M12214" t="str">
            <v>F</v>
          </cell>
          <cell r="AB12214" t="str">
            <v>serum</v>
          </cell>
          <cell r="AF12214">
            <v>0.4</v>
          </cell>
        </row>
        <row r="12215">
          <cell r="A12215" t="str">
            <v>IS_alqt_plus</v>
          </cell>
          <cell r="K12215" t="e">
            <v>#N/A</v>
          </cell>
          <cell r="M12215" t="e">
            <v>#N/A</v>
          </cell>
          <cell r="AB12215" t="str">
            <v>serum</v>
          </cell>
          <cell r="AF12215">
            <v>1.5</v>
          </cell>
        </row>
        <row r="12216">
          <cell r="A12216" t="str">
            <v>IS_alqt_plus</v>
          </cell>
          <cell r="K12216" t="e">
            <v>#N/A</v>
          </cell>
          <cell r="M12216" t="e">
            <v>#N/A</v>
          </cell>
          <cell r="AB12216" t="str">
            <v>serum</v>
          </cell>
          <cell r="AF12216">
            <v>0.55000000000000004</v>
          </cell>
        </row>
        <row r="12217">
          <cell r="A12217" t="str">
            <v>IS_alqt_plus</v>
          </cell>
          <cell r="K12217" t="e">
            <v>#N/A</v>
          </cell>
          <cell r="M12217" t="e">
            <v>#N/A</v>
          </cell>
          <cell r="AB12217" t="str">
            <v>serum</v>
          </cell>
          <cell r="AF12217">
            <v>0.5</v>
          </cell>
        </row>
        <row r="12218">
          <cell r="A12218" t="str">
            <v>IS_alqt_plus</v>
          </cell>
          <cell r="K12218" t="str">
            <v>NPYG</v>
          </cell>
          <cell r="M12218" t="str">
            <v>M</v>
          </cell>
          <cell r="AB12218" t="str">
            <v>serum</v>
          </cell>
          <cell r="AF12218">
            <v>0.75</v>
          </cell>
        </row>
        <row r="12219">
          <cell r="A12219" t="str">
            <v>IS_alqt_minus</v>
          </cell>
          <cell r="K12219" t="str">
            <v>NPYG</v>
          </cell>
          <cell r="M12219" t="str">
            <v>M</v>
          </cell>
          <cell r="AB12219" t="str">
            <v>serum</v>
          </cell>
          <cell r="AF12219">
            <v>0.15</v>
          </cell>
        </row>
        <row r="12220">
          <cell r="A12220" t="str">
            <v>IS_alqt_plus</v>
          </cell>
          <cell r="K12220" t="str">
            <v>NPYG</v>
          </cell>
          <cell r="M12220" t="str">
            <v>M</v>
          </cell>
          <cell r="AB12220" t="str">
            <v>serum</v>
          </cell>
          <cell r="AF12220">
            <v>1</v>
          </cell>
        </row>
        <row r="12221">
          <cell r="A12221" t="str">
            <v>IS_alqt_plus</v>
          </cell>
          <cell r="K12221" t="str">
            <v>NPYG</v>
          </cell>
          <cell r="M12221" t="str">
            <v>M</v>
          </cell>
          <cell r="AB12221" t="str">
            <v>serum</v>
          </cell>
          <cell r="AF12221">
            <v>0.2</v>
          </cell>
        </row>
        <row r="12222">
          <cell r="A12222" t="str">
            <v>IS_alqt_plus</v>
          </cell>
          <cell r="K12222" t="str">
            <v>DMAD</v>
          </cell>
          <cell r="M12222" t="str">
            <v>F</v>
          </cell>
          <cell r="AB12222" t="str">
            <v>WB</v>
          </cell>
          <cell r="AF12222">
            <v>0.35</v>
          </cell>
        </row>
        <row r="12223">
          <cell r="A12223" t="str">
            <v>IS_alqt_plus</v>
          </cell>
          <cell r="K12223" t="str">
            <v>ECOL</v>
          </cell>
          <cell r="M12223" t="str">
            <v>F</v>
          </cell>
          <cell r="AB12223" t="str">
            <v>WB</v>
          </cell>
          <cell r="AF12223">
            <v>1</v>
          </cell>
        </row>
        <row r="12224">
          <cell r="A12224" t="str">
            <v>IS_alqt_plus</v>
          </cell>
          <cell r="K12224" t="str">
            <v>ECOL</v>
          </cell>
          <cell r="M12224" t="str">
            <v>M</v>
          </cell>
          <cell r="AB12224" t="str">
            <v>WB</v>
          </cell>
          <cell r="AF12224">
            <v>0.5</v>
          </cell>
        </row>
        <row r="12225">
          <cell r="A12225" t="str">
            <v>IS_alqt_plus</v>
          </cell>
          <cell r="K12225" t="str">
            <v>LCAT</v>
          </cell>
          <cell r="M12225" t="str">
            <v>F</v>
          </cell>
          <cell r="AB12225" t="str">
            <v>WB</v>
          </cell>
          <cell r="AF12225">
            <v>1</v>
          </cell>
        </row>
        <row r="12226">
          <cell r="A12226" t="str">
            <v>IS_alqt_plus</v>
          </cell>
          <cell r="K12226" t="str">
            <v>EMON</v>
          </cell>
          <cell r="M12226" t="str">
            <v>F</v>
          </cell>
          <cell r="AB12226" t="str">
            <v>WB</v>
          </cell>
          <cell r="AF12226">
            <v>1</v>
          </cell>
        </row>
        <row r="12227">
          <cell r="A12227" t="str">
            <v>IS_alqt_plus</v>
          </cell>
          <cell r="K12227" t="str">
            <v>EFLA</v>
          </cell>
          <cell r="M12227" t="str">
            <v>M</v>
          </cell>
          <cell r="AB12227" t="str">
            <v>WB</v>
          </cell>
          <cell r="AF12227">
            <v>0.4</v>
          </cell>
        </row>
        <row r="12228">
          <cell r="A12228" t="str">
            <v>gone</v>
          </cell>
          <cell r="K12228" t="str">
            <v>EMON</v>
          </cell>
          <cell r="M12228" t="str">
            <v>M</v>
          </cell>
          <cell r="AB12228" t="str">
            <v>WB</v>
          </cell>
          <cell r="AF12228">
            <v>0</v>
          </cell>
        </row>
        <row r="12229">
          <cell r="A12229" t="str">
            <v>IS_alqt_plus</v>
          </cell>
          <cell r="K12229" t="str">
            <v>EFLA</v>
          </cell>
          <cell r="M12229" t="str">
            <v>F</v>
          </cell>
          <cell r="AB12229" t="str">
            <v>WB</v>
          </cell>
          <cell r="AF12229">
            <v>0.75</v>
          </cell>
        </row>
        <row r="12230">
          <cell r="A12230" t="str">
            <v>IS_alqt_plus</v>
          </cell>
          <cell r="K12230" t="str">
            <v>EMON</v>
          </cell>
          <cell r="M12230" t="str">
            <v>F</v>
          </cell>
          <cell r="AB12230" t="str">
            <v>WB</v>
          </cell>
          <cell r="AF12230">
            <v>1.4</v>
          </cell>
        </row>
        <row r="12231">
          <cell r="A12231" t="str">
            <v>IS_alqt_plus</v>
          </cell>
          <cell r="K12231" t="str">
            <v>ERUF</v>
          </cell>
          <cell r="M12231" t="str">
            <v>M</v>
          </cell>
          <cell r="AB12231" t="str">
            <v>WB</v>
          </cell>
          <cell r="AF12231">
            <v>1.3</v>
          </cell>
        </row>
        <row r="12232">
          <cell r="A12232" t="str">
            <v>IS_alqt_plus</v>
          </cell>
          <cell r="K12232" t="str">
            <v>HGG</v>
          </cell>
          <cell r="M12232" t="str">
            <v>M</v>
          </cell>
          <cell r="AB12232" t="str">
            <v>WB</v>
          </cell>
          <cell r="AF12232">
            <v>0.2</v>
          </cell>
        </row>
        <row r="12233">
          <cell r="A12233" t="str">
            <v>IS_alqt_plus</v>
          </cell>
          <cell r="K12233" t="str">
            <v>EMAC</v>
          </cell>
          <cell r="M12233" t="str">
            <v>M</v>
          </cell>
          <cell r="AB12233" t="str">
            <v>WB</v>
          </cell>
          <cell r="AF12233">
            <v>0.85</v>
          </cell>
        </row>
        <row r="12234">
          <cell r="A12234" t="str">
            <v>IS_alqt_plus</v>
          </cell>
          <cell r="K12234" t="str">
            <v>MMUR</v>
          </cell>
          <cell r="M12234" t="str">
            <v>F</v>
          </cell>
          <cell r="AB12234" t="str">
            <v>WB</v>
          </cell>
          <cell r="AF12234">
            <v>0.25</v>
          </cell>
        </row>
        <row r="12235">
          <cell r="A12235" t="str">
            <v>IS_alqt_plus</v>
          </cell>
          <cell r="K12235" t="str">
            <v>PCOQ</v>
          </cell>
          <cell r="M12235" t="str">
            <v>F</v>
          </cell>
          <cell r="AB12235" t="str">
            <v>WB</v>
          </cell>
          <cell r="AF12235">
            <v>1</v>
          </cell>
        </row>
        <row r="12236">
          <cell r="A12236" t="str">
            <v>IS_alqt_plus</v>
          </cell>
          <cell r="K12236" t="str">
            <v>PCOQ</v>
          </cell>
          <cell r="M12236" t="str">
            <v>F</v>
          </cell>
          <cell r="AB12236" t="str">
            <v>WB</v>
          </cell>
          <cell r="AF12236">
            <v>1</v>
          </cell>
        </row>
        <row r="12237">
          <cell r="A12237" t="str">
            <v>IS_alqt_plus</v>
          </cell>
          <cell r="K12237" t="str">
            <v>PCOQ</v>
          </cell>
          <cell r="M12237" t="str">
            <v>F</v>
          </cell>
          <cell r="AB12237" t="str">
            <v>WB</v>
          </cell>
          <cell r="AF12237">
            <v>1</v>
          </cell>
        </row>
        <row r="12238">
          <cell r="A12238" t="str">
            <v>IS_alqt_plus</v>
          </cell>
          <cell r="K12238" t="str">
            <v>PCOQ</v>
          </cell>
          <cell r="M12238" t="str">
            <v>F</v>
          </cell>
          <cell r="AB12238" t="str">
            <v>WB</v>
          </cell>
          <cell r="AF12238">
            <v>1</v>
          </cell>
        </row>
        <row r="12239">
          <cell r="A12239" t="str">
            <v>IS_alqt_plus</v>
          </cell>
          <cell r="K12239" t="str">
            <v>PCOQ</v>
          </cell>
          <cell r="M12239" t="str">
            <v>F</v>
          </cell>
          <cell r="AB12239" t="str">
            <v>WB</v>
          </cell>
          <cell r="AF12239">
            <v>1</v>
          </cell>
        </row>
        <row r="12240">
          <cell r="A12240" t="str">
            <v>IS_alqt_plus</v>
          </cell>
          <cell r="K12240" t="str">
            <v>ERUB</v>
          </cell>
          <cell r="M12240" t="str">
            <v>M</v>
          </cell>
          <cell r="AB12240" t="str">
            <v>WB</v>
          </cell>
          <cell r="AF12240">
            <v>1</v>
          </cell>
        </row>
        <row r="12241">
          <cell r="A12241" t="str">
            <v>IS_alqt_plus</v>
          </cell>
          <cell r="K12241" t="str">
            <v>VRUB</v>
          </cell>
          <cell r="M12241" t="str">
            <v>M</v>
          </cell>
          <cell r="AB12241" t="str">
            <v>WB</v>
          </cell>
          <cell r="AF12241">
            <v>1.2</v>
          </cell>
        </row>
        <row r="12242">
          <cell r="A12242" t="str">
            <v>IS_alqt_plus</v>
          </cell>
          <cell r="K12242" t="e">
            <v>#N/A</v>
          </cell>
          <cell r="M12242" t="e">
            <v>#N/A</v>
          </cell>
          <cell r="AB12242" t="str">
            <v>WB</v>
          </cell>
          <cell r="AF12242">
            <v>0.5</v>
          </cell>
        </row>
        <row r="12243">
          <cell r="A12243" t="str">
            <v>IS_alqt_plus</v>
          </cell>
          <cell r="K12243" t="str">
            <v>PCOQ</v>
          </cell>
          <cell r="M12243" t="str">
            <v>F</v>
          </cell>
          <cell r="AB12243" t="str">
            <v>WB</v>
          </cell>
          <cell r="AF12243">
            <v>1</v>
          </cell>
        </row>
        <row r="12244">
          <cell r="A12244" t="str">
            <v>IS_alqt_plus</v>
          </cell>
          <cell r="K12244" t="str">
            <v>PCOQ</v>
          </cell>
          <cell r="M12244" t="str">
            <v>F</v>
          </cell>
          <cell r="AB12244" t="str">
            <v>WB</v>
          </cell>
          <cell r="AF12244">
            <v>1</v>
          </cell>
        </row>
        <row r="12245">
          <cell r="A12245" t="str">
            <v>IS_alqt_plus</v>
          </cell>
          <cell r="K12245" t="str">
            <v>PCOQ</v>
          </cell>
          <cell r="M12245" t="str">
            <v>F</v>
          </cell>
          <cell r="AB12245" t="str">
            <v>WB</v>
          </cell>
          <cell r="AF12245">
            <v>1</v>
          </cell>
        </row>
        <row r="12246">
          <cell r="A12246" t="str">
            <v>IS_alqt_plus</v>
          </cell>
          <cell r="K12246" t="str">
            <v>PCOQ</v>
          </cell>
          <cell r="M12246" t="str">
            <v>F</v>
          </cell>
          <cell r="AB12246" t="str">
            <v>WB</v>
          </cell>
          <cell r="AF12246">
            <v>1</v>
          </cell>
        </row>
        <row r="12247">
          <cell r="A12247" t="str">
            <v>IS_alqt_plus</v>
          </cell>
          <cell r="K12247" t="str">
            <v>PCOQ</v>
          </cell>
          <cell r="M12247" t="str">
            <v>F</v>
          </cell>
          <cell r="AB12247" t="str">
            <v>WB</v>
          </cell>
          <cell r="AF12247">
            <v>1</v>
          </cell>
        </row>
        <row r="12248">
          <cell r="A12248" t="str">
            <v>IS_alqt_plus</v>
          </cell>
          <cell r="K12248" t="str">
            <v>NPYG</v>
          </cell>
          <cell r="M12248" t="str">
            <v>F</v>
          </cell>
          <cell r="AB12248" t="str">
            <v>WB</v>
          </cell>
          <cell r="AF12248">
            <v>0.5</v>
          </cell>
        </row>
        <row r="12249">
          <cell r="A12249" t="str">
            <v>IS_alqt_plus</v>
          </cell>
          <cell r="K12249" t="str">
            <v>PCOQ</v>
          </cell>
          <cell r="M12249" t="str">
            <v>F</v>
          </cell>
          <cell r="AB12249" t="str">
            <v>WB</v>
          </cell>
          <cell r="AF12249">
            <v>1</v>
          </cell>
        </row>
        <row r="12250">
          <cell r="A12250" t="str">
            <v>IS_alqt_plus</v>
          </cell>
          <cell r="K12250" t="e">
            <v>#N/A</v>
          </cell>
          <cell r="M12250" t="e">
            <v>#N/A</v>
          </cell>
          <cell r="AB12250" t="str">
            <v>WB</v>
          </cell>
          <cell r="AF12250">
            <v>0.4</v>
          </cell>
        </row>
        <row r="12251">
          <cell r="A12251" t="str">
            <v>IS_alqt_minus</v>
          </cell>
          <cell r="K12251" t="str">
            <v>CMED</v>
          </cell>
          <cell r="M12251" t="str">
            <v>F</v>
          </cell>
          <cell r="AB12251" t="str">
            <v>WB</v>
          </cell>
          <cell r="AF12251">
            <v>0.1</v>
          </cell>
        </row>
        <row r="12252">
          <cell r="A12252" t="str">
            <v>IS_alqt_plus</v>
          </cell>
          <cell r="K12252" t="str">
            <v>PCOQ</v>
          </cell>
          <cell r="M12252" t="str">
            <v>F</v>
          </cell>
          <cell r="AB12252" t="str">
            <v>WB</v>
          </cell>
          <cell r="AF12252">
            <v>1</v>
          </cell>
        </row>
        <row r="12253">
          <cell r="A12253" t="str">
            <v>unk</v>
          </cell>
          <cell r="K12253" t="e">
            <v>#N/A</v>
          </cell>
          <cell r="M12253" t="e">
            <v>#N/A</v>
          </cell>
          <cell r="AB12253" t="str">
            <v>unk</v>
          </cell>
          <cell r="AF12253">
            <v>1</v>
          </cell>
        </row>
        <row r="12254">
          <cell r="A12254" t="str">
            <v>IS_alqt_plus</v>
          </cell>
          <cell r="K12254" t="str">
            <v>LCAT</v>
          </cell>
          <cell r="M12254" t="str">
            <v>M</v>
          </cell>
          <cell r="AB12254" t="str">
            <v>serum</v>
          </cell>
          <cell r="AF12254">
            <v>0.9</v>
          </cell>
        </row>
        <row r="12255">
          <cell r="A12255" t="str">
            <v>IS_alqt_minus</v>
          </cell>
          <cell r="K12255" t="str">
            <v>CMED</v>
          </cell>
          <cell r="M12255" t="str">
            <v>M</v>
          </cell>
          <cell r="AB12255" t="str">
            <v>WB</v>
          </cell>
          <cell r="AF12255">
            <v>0.1</v>
          </cell>
        </row>
        <row r="12256">
          <cell r="A12256" t="str">
            <v>IS_alqt_plus</v>
          </cell>
          <cell r="K12256" t="str">
            <v>PCOQ</v>
          </cell>
          <cell r="M12256" t="str">
            <v>F</v>
          </cell>
          <cell r="AB12256" t="str">
            <v>serum</v>
          </cell>
          <cell r="AF12256">
            <v>0.25</v>
          </cell>
        </row>
        <row r="12257">
          <cell r="A12257" t="str">
            <v>gone</v>
          </cell>
          <cell r="K12257" t="str">
            <v>LCAT</v>
          </cell>
          <cell r="M12257" t="str">
            <v>F</v>
          </cell>
          <cell r="AB12257" t="str">
            <v>serum</v>
          </cell>
          <cell r="AF12257">
            <v>0</v>
          </cell>
        </row>
        <row r="12258">
          <cell r="A12258" t="str">
            <v>IS_alqt_plus</v>
          </cell>
          <cell r="K12258" t="str">
            <v>VVV</v>
          </cell>
          <cell r="M12258" t="str">
            <v>M</v>
          </cell>
          <cell r="AB12258" t="str">
            <v>WB</v>
          </cell>
          <cell r="AF12258">
            <v>0.4</v>
          </cell>
        </row>
        <row r="12259">
          <cell r="A12259" t="str">
            <v>IS_alqt_plus</v>
          </cell>
          <cell r="K12259" t="str">
            <v>EMON</v>
          </cell>
          <cell r="M12259" t="str">
            <v>F</v>
          </cell>
          <cell r="AB12259" t="str">
            <v>WB</v>
          </cell>
          <cell r="AF12259">
            <v>0.3</v>
          </cell>
        </row>
        <row r="12260">
          <cell r="A12260" t="str">
            <v>IS_alqt_plus</v>
          </cell>
          <cell r="K12260" t="str">
            <v>EMON</v>
          </cell>
          <cell r="M12260" t="str">
            <v>M</v>
          </cell>
          <cell r="AB12260" t="str">
            <v>WB</v>
          </cell>
          <cell r="AF12260">
            <v>1.3</v>
          </cell>
        </row>
        <row r="12261">
          <cell r="A12261" t="str">
            <v>IS_alqt_plus</v>
          </cell>
          <cell r="K12261" t="str">
            <v>EFLA</v>
          </cell>
          <cell r="M12261" t="str">
            <v>M</v>
          </cell>
          <cell r="AB12261" t="str">
            <v>WB</v>
          </cell>
          <cell r="AF12261">
            <v>1.5</v>
          </cell>
        </row>
        <row r="12262">
          <cell r="A12262" t="str">
            <v>IS_alqt_plus</v>
          </cell>
          <cell r="K12262" t="str">
            <v>EFLA</v>
          </cell>
          <cell r="M12262" t="str">
            <v>M</v>
          </cell>
          <cell r="AB12262" t="str">
            <v>serum</v>
          </cell>
          <cell r="AF12262">
            <v>1</v>
          </cell>
        </row>
        <row r="12263">
          <cell r="A12263" t="str">
            <v>IS_alqt_plus</v>
          </cell>
          <cell r="K12263" t="str">
            <v>PCOQ</v>
          </cell>
          <cell r="M12263" t="str">
            <v>F</v>
          </cell>
          <cell r="AB12263" t="str">
            <v>serum</v>
          </cell>
          <cell r="AF12263">
            <v>1</v>
          </cell>
        </row>
        <row r="12264">
          <cell r="A12264" t="str">
            <v>IS_alqt_plus</v>
          </cell>
          <cell r="K12264" t="str">
            <v>PCOQ</v>
          </cell>
          <cell r="M12264" t="str">
            <v>F</v>
          </cell>
          <cell r="AB12264" t="str">
            <v>serum</v>
          </cell>
          <cell r="AF12264">
            <v>1</v>
          </cell>
        </row>
        <row r="12265">
          <cell r="A12265" t="str">
            <v>IS_alqt_plus</v>
          </cell>
          <cell r="K12265" t="str">
            <v>PCOQ</v>
          </cell>
          <cell r="M12265" t="str">
            <v>F</v>
          </cell>
          <cell r="AB12265" t="str">
            <v>serum</v>
          </cell>
          <cell r="AF12265">
            <v>1</v>
          </cell>
        </row>
        <row r="12266">
          <cell r="A12266" t="str">
            <v>IS_alqt_plus</v>
          </cell>
          <cell r="K12266" t="str">
            <v>PCOQ</v>
          </cell>
          <cell r="M12266" t="str">
            <v>F</v>
          </cell>
          <cell r="AB12266" t="str">
            <v>serum</v>
          </cell>
          <cell r="AF12266">
            <v>1</v>
          </cell>
        </row>
        <row r="12267">
          <cell r="A12267" t="str">
            <v>IS_alqt_plus</v>
          </cell>
          <cell r="K12267" t="str">
            <v>PCOQ</v>
          </cell>
          <cell r="M12267" t="str">
            <v>F</v>
          </cell>
          <cell r="AB12267" t="str">
            <v>serum</v>
          </cell>
          <cell r="AF12267">
            <v>1</v>
          </cell>
        </row>
        <row r="12268">
          <cell r="A12268" t="str">
            <v>IS_alqt_plus</v>
          </cell>
          <cell r="K12268" t="str">
            <v>PCOQ</v>
          </cell>
          <cell r="M12268" t="str">
            <v>F</v>
          </cell>
          <cell r="AB12268" t="str">
            <v>serum</v>
          </cell>
          <cell r="AF12268">
            <v>1</v>
          </cell>
        </row>
        <row r="12269">
          <cell r="A12269" t="str">
            <v>IS_alqt_plus</v>
          </cell>
          <cell r="K12269" t="str">
            <v>PCOQ</v>
          </cell>
          <cell r="M12269" t="str">
            <v>F</v>
          </cell>
          <cell r="AB12269" t="str">
            <v>serum</v>
          </cell>
          <cell r="AF12269">
            <v>1</v>
          </cell>
        </row>
        <row r="12270">
          <cell r="A12270" t="str">
            <v>IS_alqt_plus</v>
          </cell>
          <cell r="K12270" t="str">
            <v>PCOQ</v>
          </cell>
          <cell r="M12270" t="str">
            <v>F</v>
          </cell>
          <cell r="AB12270" t="str">
            <v>serum</v>
          </cell>
          <cell r="AF12270">
            <v>1</v>
          </cell>
        </row>
        <row r="12271">
          <cell r="A12271" t="str">
            <v>IS_alqt_plus</v>
          </cell>
          <cell r="K12271" t="str">
            <v>PCOQ</v>
          </cell>
          <cell r="M12271" t="str">
            <v>F</v>
          </cell>
          <cell r="AB12271" t="str">
            <v>serum</v>
          </cell>
          <cell r="AF12271">
            <v>1</v>
          </cell>
        </row>
        <row r="12272">
          <cell r="A12272" t="str">
            <v>IS_alqt_plus</v>
          </cell>
          <cell r="K12272" t="str">
            <v>PCOQ</v>
          </cell>
          <cell r="M12272" t="str">
            <v>F</v>
          </cell>
          <cell r="AB12272" t="str">
            <v>serum</v>
          </cell>
          <cell r="AF12272">
            <v>1</v>
          </cell>
        </row>
        <row r="12273">
          <cell r="A12273" t="str">
            <v>IS_alqt_plus</v>
          </cell>
          <cell r="K12273" t="str">
            <v>PCOQ</v>
          </cell>
          <cell r="M12273" t="str">
            <v>F</v>
          </cell>
          <cell r="AB12273" t="str">
            <v>serum</v>
          </cell>
          <cell r="AF12273">
            <v>1</v>
          </cell>
        </row>
        <row r="12274">
          <cell r="A12274" t="str">
            <v>IS_alqt_plus</v>
          </cell>
          <cell r="K12274" t="str">
            <v>PCOQ</v>
          </cell>
          <cell r="M12274" t="str">
            <v>F</v>
          </cell>
          <cell r="AB12274" t="str">
            <v>serum</v>
          </cell>
          <cell r="AF12274">
            <v>1</v>
          </cell>
        </row>
        <row r="12275">
          <cell r="A12275" t="str">
            <v>IS_alqt_plus</v>
          </cell>
          <cell r="K12275" t="str">
            <v>PCOQ</v>
          </cell>
          <cell r="M12275" t="str">
            <v>F</v>
          </cell>
          <cell r="AB12275" t="str">
            <v>serum</v>
          </cell>
          <cell r="AF12275">
            <v>1</v>
          </cell>
        </row>
        <row r="12276">
          <cell r="A12276" t="str">
            <v>IS_alqt_plus</v>
          </cell>
          <cell r="K12276" t="str">
            <v>PCOQ</v>
          </cell>
          <cell r="M12276" t="str">
            <v>F</v>
          </cell>
          <cell r="AB12276" t="str">
            <v>serum</v>
          </cell>
          <cell r="AF12276">
            <v>1</v>
          </cell>
        </row>
        <row r="12277">
          <cell r="A12277" t="str">
            <v>IS_alqt_plus</v>
          </cell>
          <cell r="K12277" t="str">
            <v>PCOQ</v>
          </cell>
          <cell r="M12277" t="str">
            <v>F</v>
          </cell>
          <cell r="AB12277" t="str">
            <v>serum</v>
          </cell>
          <cell r="AF12277">
            <v>1</v>
          </cell>
        </row>
        <row r="12278">
          <cell r="A12278" t="str">
            <v>IS_alqt_plus</v>
          </cell>
          <cell r="K12278" t="str">
            <v>PCOQ</v>
          </cell>
          <cell r="M12278" t="str">
            <v>F</v>
          </cell>
          <cell r="AB12278" t="str">
            <v>serum</v>
          </cell>
          <cell r="AF12278">
            <v>1</v>
          </cell>
        </row>
        <row r="12279">
          <cell r="A12279" t="str">
            <v>IS_alqt_plus</v>
          </cell>
          <cell r="K12279" t="str">
            <v>PCOQ</v>
          </cell>
          <cell r="M12279" t="str">
            <v>F</v>
          </cell>
          <cell r="AB12279" t="str">
            <v>serum</v>
          </cell>
          <cell r="AF12279">
            <v>1</v>
          </cell>
        </row>
        <row r="12280">
          <cell r="A12280" t="str">
            <v>IS_alqt_plus</v>
          </cell>
          <cell r="K12280" t="str">
            <v>PCOQ</v>
          </cell>
          <cell r="M12280" t="str">
            <v>F</v>
          </cell>
          <cell r="AB12280" t="str">
            <v>serum</v>
          </cell>
          <cell r="AF12280">
            <v>1</v>
          </cell>
        </row>
        <row r="12281">
          <cell r="A12281" t="str">
            <v>IS_alqt_plus</v>
          </cell>
          <cell r="K12281" t="str">
            <v>PCOQ</v>
          </cell>
          <cell r="M12281" t="str">
            <v>F</v>
          </cell>
          <cell r="AB12281" t="str">
            <v>serum</v>
          </cell>
          <cell r="AF12281">
            <v>1</v>
          </cell>
        </row>
        <row r="12282">
          <cell r="A12282" t="str">
            <v>IS_alqt_plus</v>
          </cell>
          <cell r="K12282" t="str">
            <v>PCOQ</v>
          </cell>
          <cell r="M12282" t="str">
            <v>F</v>
          </cell>
          <cell r="AB12282" t="str">
            <v>serum</v>
          </cell>
          <cell r="AF12282">
            <v>1</v>
          </cell>
        </row>
        <row r="12283">
          <cell r="A12283" t="str">
            <v>IS_alqt_plus</v>
          </cell>
          <cell r="K12283" t="str">
            <v>PCOQ</v>
          </cell>
          <cell r="M12283" t="str">
            <v>F</v>
          </cell>
          <cell r="AB12283" t="str">
            <v>serum</v>
          </cell>
          <cell r="AF12283">
            <v>1</v>
          </cell>
        </row>
        <row r="12284">
          <cell r="A12284" t="str">
            <v>IS_alqt_plus</v>
          </cell>
          <cell r="K12284" t="str">
            <v>PCOQ</v>
          </cell>
          <cell r="M12284" t="str">
            <v>F</v>
          </cell>
          <cell r="AB12284" t="str">
            <v>serum</v>
          </cell>
          <cell r="AF12284">
            <v>1</v>
          </cell>
        </row>
        <row r="12285">
          <cell r="A12285" t="str">
            <v>IS_alqt_plus</v>
          </cell>
          <cell r="K12285" t="str">
            <v>PCOQ</v>
          </cell>
          <cell r="M12285" t="str">
            <v>F</v>
          </cell>
          <cell r="AB12285" t="str">
            <v>serum</v>
          </cell>
          <cell r="AF12285">
            <v>1</v>
          </cell>
        </row>
        <row r="12286">
          <cell r="A12286" t="str">
            <v>IS_alqt_plus</v>
          </cell>
          <cell r="K12286" t="str">
            <v>PCOQ</v>
          </cell>
          <cell r="M12286" t="str">
            <v>F</v>
          </cell>
          <cell r="AB12286" t="str">
            <v>serum</v>
          </cell>
          <cell r="AF12286">
            <v>1</v>
          </cell>
        </row>
        <row r="12287">
          <cell r="A12287" t="str">
            <v>IS_alqt_plus</v>
          </cell>
          <cell r="K12287" t="str">
            <v>PCOQ</v>
          </cell>
          <cell r="M12287" t="str">
            <v>F</v>
          </cell>
          <cell r="AB12287" t="str">
            <v>serum</v>
          </cell>
          <cell r="AF12287">
            <v>1</v>
          </cell>
        </row>
        <row r="12288">
          <cell r="A12288" t="str">
            <v>IS_alqt_plus</v>
          </cell>
          <cell r="K12288" t="str">
            <v>PCOQ</v>
          </cell>
          <cell r="M12288" t="str">
            <v>F</v>
          </cell>
          <cell r="AB12288" t="str">
            <v>serum</v>
          </cell>
          <cell r="AF12288">
            <v>1</v>
          </cell>
        </row>
        <row r="12289">
          <cell r="A12289" t="str">
            <v>IS_alqt_plus</v>
          </cell>
          <cell r="K12289" t="str">
            <v>PCOQ</v>
          </cell>
          <cell r="M12289" t="str">
            <v>F</v>
          </cell>
          <cell r="AB12289" t="str">
            <v>serum</v>
          </cell>
          <cell r="AF12289">
            <v>1</v>
          </cell>
        </row>
        <row r="12290">
          <cell r="A12290" t="str">
            <v>IS_alqt_plus</v>
          </cell>
          <cell r="K12290" t="str">
            <v>PCOQ</v>
          </cell>
          <cell r="M12290" t="str">
            <v>F</v>
          </cell>
          <cell r="AB12290" t="str">
            <v>serum</v>
          </cell>
          <cell r="AF12290">
            <v>1</v>
          </cell>
        </row>
        <row r="12291">
          <cell r="A12291" t="str">
            <v>IS_alqt_plus</v>
          </cell>
          <cell r="K12291" t="str">
            <v>PCOQ</v>
          </cell>
          <cell r="M12291" t="str">
            <v>F</v>
          </cell>
          <cell r="AB12291" t="str">
            <v>serum</v>
          </cell>
          <cell r="AF12291">
            <v>1</v>
          </cell>
        </row>
        <row r="12292">
          <cell r="A12292" t="str">
            <v>IS_alqt_plus</v>
          </cell>
          <cell r="K12292" t="str">
            <v>PCOQ</v>
          </cell>
          <cell r="M12292" t="str">
            <v>F</v>
          </cell>
          <cell r="AB12292" t="str">
            <v>serum</v>
          </cell>
          <cell r="AF12292">
            <v>1</v>
          </cell>
        </row>
        <row r="12293">
          <cell r="A12293" t="str">
            <v>IS_alqt_plus</v>
          </cell>
          <cell r="K12293" t="str">
            <v>PCOQ</v>
          </cell>
          <cell r="M12293" t="str">
            <v>F</v>
          </cell>
          <cell r="AB12293" t="str">
            <v>serum</v>
          </cell>
          <cell r="AF12293">
            <v>1</v>
          </cell>
        </row>
        <row r="12294">
          <cell r="A12294" t="str">
            <v>IS_alqt_plus</v>
          </cell>
          <cell r="K12294" t="str">
            <v>PCOQ</v>
          </cell>
          <cell r="M12294" t="str">
            <v>F</v>
          </cell>
          <cell r="AB12294" t="str">
            <v>serum</v>
          </cell>
          <cell r="AF12294">
            <v>1</v>
          </cell>
        </row>
        <row r="12295">
          <cell r="A12295" t="str">
            <v>IS_alqt_plus</v>
          </cell>
          <cell r="K12295" t="str">
            <v>PCOQ</v>
          </cell>
          <cell r="M12295" t="str">
            <v>F</v>
          </cell>
          <cell r="AB12295" t="str">
            <v>serum</v>
          </cell>
          <cell r="AF12295">
            <v>1</v>
          </cell>
        </row>
        <row r="12296">
          <cell r="A12296" t="str">
            <v>IS_alqt_plus</v>
          </cell>
          <cell r="K12296" t="str">
            <v>PCOQ</v>
          </cell>
          <cell r="M12296" t="str">
            <v>F</v>
          </cell>
          <cell r="AB12296" t="str">
            <v>serum</v>
          </cell>
          <cell r="AF12296">
            <v>1</v>
          </cell>
        </row>
        <row r="12297">
          <cell r="A12297" t="str">
            <v>IS_alqt_plus</v>
          </cell>
          <cell r="K12297" t="str">
            <v>PCOQ</v>
          </cell>
          <cell r="M12297" t="str">
            <v>F</v>
          </cell>
          <cell r="AB12297" t="str">
            <v>WB</v>
          </cell>
          <cell r="AF12297">
            <v>1</v>
          </cell>
        </row>
        <row r="12298">
          <cell r="A12298" t="str">
            <v>IS_alqt_plus</v>
          </cell>
          <cell r="K12298" t="str">
            <v>PCOQ</v>
          </cell>
          <cell r="M12298" t="str">
            <v>F</v>
          </cell>
          <cell r="AB12298" t="str">
            <v>WB</v>
          </cell>
          <cell r="AF12298">
            <v>1</v>
          </cell>
        </row>
        <row r="12299">
          <cell r="A12299" t="str">
            <v>IS_alqt_plus</v>
          </cell>
          <cell r="K12299" t="str">
            <v>PCOQ</v>
          </cell>
          <cell r="M12299" t="str">
            <v>F</v>
          </cell>
          <cell r="AB12299" t="str">
            <v>WB</v>
          </cell>
          <cell r="AF12299">
            <v>1</v>
          </cell>
        </row>
        <row r="12300">
          <cell r="A12300" t="str">
            <v>IS_alqt_plus</v>
          </cell>
          <cell r="K12300" t="str">
            <v>PCOQ</v>
          </cell>
          <cell r="M12300" t="str">
            <v>F</v>
          </cell>
          <cell r="AB12300" t="str">
            <v>WB</v>
          </cell>
          <cell r="AF12300">
            <v>1</v>
          </cell>
        </row>
        <row r="12301">
          <cell r="A12301" t="str">
            <v>IS_alqt_plus</v>
          </cell>
          <cell r="K12301" t="str">
            <v>PCOQ</v>
          </cell>
          <cell r="M12301" t="str">
            <v>F</v>
          </cell>
          <cell r="AB12301" t="str">
            <v>WB</v>
          </cell>
          <cell r="AF12301">
            <v>1</v>
          </cell>
        </row>
        <row r="12302">
          <cell r="A12302" t="str">
            <v>IS_alqt_plus</v>
          </cell>
          <cell r="K12302" t="str">
            <v>PCOQ</v>
          </cell>
          <cell r="M12302" t="str">
            <v>F</v>
          </cell>
          <cell r="AB12302" t="str">
            <v>WB</v>
          </cell>
          <cell r="AF12302">
            <v>1</v>
          </cell>
        </row>
        <row r="12303">
          <cell r="A12303" t="str">
            <v>IS_alqt_plus</v>
          </cell>
          <cell r="K12303" t="str">
            <v>PCOQ</v>
          </cell>
          <cell r="M12303" t="str">
            <v>F</v>
          </cell>
          <cell r="AB12303" t="str">
            <v>WB</v>
          </cell>
          <cell r="AF12303">
            <v>1</v>
          </cell>
        </row>
        <row r="12304">
          <cell r="A12304" t="str">
            <v>IS_alqt_plus</v>
          </cell>
          <cell r="K12304" t="str">
            <v>PCOQ</v>
          </cell>
          <cell r="M12304" t="str">
            <v>F</v>
          </cell>
          <cell r="AB12304" t="str">
            <v>WB</v>
          </cell>
          <cell r="AF12304">
            <v>1</v>
          </cell>
        </row>
        <row r="12305">
          <cell r="A12305" t="str">
            <v>IS_alqt_plus</v>
          </cell>
          <cell r="K12305" t="str">
            <v>PCOQ</v>
          </cell>
          <cell r="M12305" t="str">
            <v>F</v>
          </cell>
          <cell r="AB12305" t="str">
            <v>WB</v>
          </cell>
          <cell r="AF12305">
            <v>1</v>
          </cell>
        </row>
        <row r="12306">
          <cell r="A12306" t="str">
            <v>IS_alqt_plus</v>
          </cell>
          <cell r="K12306" t="str">
            <v>PCOQ</v>
          </cell>
          <cell r="M12306" t="str">
            <v>F</v>
          </cell>
          <cell r="AB12306" t="str">
            <v>WB</v>
          </cell>
          <cell r="AF12306">
            <v>1</v>
          </cell>
        </row>
        <row r="12307">
          <cell r="A12307" t="str">
            <v>IS_alqt_plus</v>
          </cell>
          <cell r="K12307" t="str">
            <v>PCOQ</v>
          </cell>
          <cell r="M12307" t="str">
            <v>F</v>
          </cell>
          <cell r="AB12307" t="str">
            <v>WB</v>
          </cell>
          <cell r="AF12307">
            <v>1</v>
          </cell>
        </row>
        <row r="12308">
          <cell r="A12308" t="str">
            <v>IS_alqt_plus</v>
          </cell>
          <cell r="K12308" t="str">
            <v>PCOQ</v>
          </cell>
          <cell r="M12308" t="str">
            <v>F</v>
          </cell>
          <cell r="AB12308" t="str">
            <v>WB</v>
          </cell>
          <cell r="AF12308">
            <v>1</v>
          </cell>
        </row>
        <row r="12309">
          <cell r="A12309" t="str">
            <v>IS_alqt_plus</v>
          </cell>
          <cell r="K12309" t="str">
            <v>PCOQ</v>
          </cell>
          <cell r="M12309" t="str">
            <v>F</v>
          </cell>
          <cell r="AB12309" t="str">
            <v>WB</v>
          </cell>
          <cell r="AF12309">
            <v>1</v>
          </cell>
        </row>
        <row r="12310">
          <cell r="A12310" t="str">
            <v>IS_alqt_plus</v>
          </cell>
          <cell r="K12310" t="str">
            <v>PCOQ</v>
          </cell>
          <cell r="M12310" t="str">
            <v>F</v>
          </cell>
          <cell r="AB12310" t="str">
            <v>WB</v>
          </cell>
          <cell r="AF12310">
            <v>1</v>
          </cell>
        </row>
        <row r="12311">
          <cell r="A12311" t="str">
            <v>IS_alqt_plus</v>
          </cell>
          <cell r="K12311" t="str">
            <v>PCOQ</v>
          </cell>
          <cell r="M12311" t="str">
            <v>F</v>
          </cell>
          <cell r="AB12311" t="str">
            <v>WB</v>
          </cell>
          <cell r="AF12311">
            <v>1</v>
          </cell>
        </row>
        <row r="12312">
          <cell r="A12312" t="str">
            <v>IS_alqt_plus</v>
          </cell>
          <cell r="K12312" t="str">
            <v>PCOQ</v>
          </cell>
          <cell r="M12312" t="str">
            <v>F</v>
          </cell>
          <cell r="AB12312" t="str">
            <v>WB</v>
          </cell>
          <cell r="AF12312">
            <v>1</v>
          </cell>
        </row>
        <row r="12313">
          <cell r="A12313" t="str">
            <v>IS_alqt_plus</v>
          </cell>
          <cell r="K12313" t="str">
            <v>PCOQ</v>
          </cell>
          <cell r="M12313" t="str">
            <v>F</v>
          </cell>
          <cell r="AB12313" t="str">
            <v>WB</v>
          </cell>
          <cell r="AF12313">
            <v>1</v>
          </cell>
        </row>
        <row r="12314">
          <cell r="A12314" t="str">
            <v>gone</v>
          </cell>
          <cell r="K12314" t="str">
            <v>PCOQ</v>
          </cell>
          <cell r="M12314" t="str">
            <v>M</v>
          </cell>
          <cell r="AB12314" t="str">
            <v>WB</v>
          </cell>
          <cell r="AF12314">
            <v>0</v>
          </cell>
        </row>
        <row r="12315">
          <cell r="A12315" t="str">
            <v>IS_alqt_plus</v>
          </cell>
          <cell r="K12315" t="str">
            <v>PCOQ</v>
          </cell>
          <cell r="M12315" t="str">
            <v>M</v>
          </cell>
          <cell r="AB12315" t="str">
            <v>WB</v>
          </cell>
          <cell r="AF12315">
            <v>1</v>
          </cell>
        </row>
        <row r="12316">
          <cell r="A12316" t="str">
            <v>IS_alqt_plus</v>
          </cell>
          <cell r="K12316" t="str">
            <v>PCOQ</v>
          </cell>
          <cell r="M12316" t="str">
            <v>M</v>
          </cell>
          <cell r="AB12316" t="str">
            <v>WB</v>
          </cell>
          <cell r="AF12316">
            <v>1</v>
          </cell>
        </row>
        <row r="12317">
          <cell r="A12317" t="str">
            <v>IS_alqt_plus</v>
          </cell>
          <cell r="K12317" t="str">
            <v>PCOQ</v>
          </cell>
          <cell r="M12317" t="str">
            <v>M</v>
          </cell>
          <cell r="AB12317" t="str">
            <v>WB</v>
          </cell>
          <cell r="AF12317">
            <v>1</v>
          </cell>
        </row>
        <row r="12318">
          <cell r="A12318" t="str">
            <v>IS_alqt_plus</v>
          </cell>
          <cell r="K12318" t="str">
            <v>PCOQ</v>
          </cell>
          <cell r="M12318" t="str">
            <v>M</v>
          </cell>
          <cell r="AB12318" t="str">
            <v>WB</v>
          </cell>
          <cell r="AF12318">
            <v>1</v>
          </cell>
        </row>
        <row r="12319">
          <cell r="A12319" t="str">
            <v>IS_alqt_plus</v>
          </cell>
          <cell r="K12319" t="str">
            <v>PCOQ</v>
          </cell>
          <cell r="M12319" t="str">
            <v>M</v>
          </cell>
          <cell r="AB12319" t="str">
            <v>WB</v>
          </cell>
          <cell r="AF12319">
            <v>1</v>
          </cell>
        </row>
        <row r="12320">
          <cell r="A12320" t="str">
            <v>IS_alqt_plus</v>
          </cell>
          <cell r="K12320" t="str">
            <v>PCOQ</v>
          </cell>
          <cell r="M12320" t="str">
            <v>M</v>
          </cell>
          <cell r="AB12320" t="str">
            <v>WB</v>
          </cell>
          <cell r="AF12320">
            <v>1</v>
          </cell>
        </row>
        <row r="12321">
          <cell r="A12321" t="str">
            <v>IS_alqt_plus</v>
          </cell>
          <cell r="K12321" t="str">
            <v>PCOQ</v>
          </cell>
          <cell r="M12321" t="str">
            <v>M</v>
          </cell>
          <cell r="AB12321" t="str">
            <v>WB</v>
          </cell>
          <cell r="AF12321">
            <v>1</v>
          </cell>
        </row>
        <row r="12322">
          <cell r="A12322" t="str">
            <v>IS_alqt_plus</v>
          </cell>
          <cell r="K12322" t="str">
            <v>PCOQ</v>
          </cell>
          <cell r="M12322" t="str">
            <v>M</v>
          </cell>
          <cell r="AB12322" t="str">
            <v>WB</v>
          </cell>
          <cell r="AF12322">
            <v>1</v>
          </cell>
        </row>
        <row r="12323">
          <cell r="A12323" t="str">
            <v>IS_alqt_plus</v>
          </cell>
          <cell r="K12323" t="str">
            <v>PCOQ</v>
          </cell>
          <cell r="M12323" t="str">
            <v>M</v>
          </cell>
          <cell r="AB12323" t="str">
            <v>WB</v>
          </cell>
          <cell r="AF12323">
            <v>1</v>
          </cell>
        </row>
        <row r="12324">
          <cell r="A12324" t="str">
            <v>IS_alqt_plus</v>
          </cell>
          <cell r="K12324" t="str">
            <v>PCOQ</v>
          </cell>
          <cell r="M12324" t="str">
            <v>M</v>
          </cell>
          <cell r="AB12324" t="str">
            <v>WB</v>
          </cell>
          <cell r="AF12324">
            <v>1</v>
          </cell>
        </row>
        <row r="12325">
          <cell r="A12325" t="str">
            <v>IS_alqt_plus</v>
          </cell>
          <cell r="K12325" t="str">
            <v>PCOQ</v>
          </cell>
          <cell r="M12325" t="str">
            <v>M</v>
          </cell>
          <cell r="AB12325" t="str">
            <v>WB</v>
          </cell>
          <cell r="AF12325">
            <v>1</v>
          </cell>
        </row>
        <row r="12326">
          <cell r="A12326" t="str">
            <v>IS_alqt_plus</v>
          </cell>
          <cell r="K12326" t="str">
            <v>PCOQ</v>
          </cell>
          <cell r="M12326" t="str">
            <v>M</v>
          </cell>
          <cell r="AB12326" t="str">
            <v>WB</v>
          </cell>
          <cell r="AF12326">
            <v>1</v>
          </cell>
        </row>
        <row r="12327">
          <cell r="A12327" t="str">
            <v>IS_alqt_plus</v>
          </cell>
          <cell r="K12327" t="str">
            <v>PCOQ</v>
          </cell>
          <cell r="M12327" t="str">
            <v>M</v>
          </cell>
          <cell r="AB12327" t="str">
            <v>WB</v>
          </cell>
          <cell r="AF12327">
            <v>1</v>
          </cell>
        </row>
        <row r="12328">
          <cell r="A12328" t="str">
            <v>IS_alqt_plus</v>
          </cell>
          <cell r="K12328" t="str">
            <v>PCOQ</v>
          </cell>
          <cell r="M12328" t="str">
            <v>M</v>
          </cell>
          <cell r="AB12328" t="str">
            <v>WB</v>
          </cell>
          <cell r="AF12328">
            <v>1</v>
          </cell>
        </row>
        <row r="12329">
          <cell r="A12329" t="str">
            <v>IS_alqt_plus</v>
          </cell>
          <cell r="K12329" t="str">
            <v>PCOQ</v>
          </cell>
          <cell r="M12329" t="str">
            <v>M</v>
          </cell>
          <cell r="AB12329" t="str">
            <v>WB</v>
          </cell>
          <cell r="AF12329">
            <v>1</v>
          </cell>
        </row>
        <row r="12330">
          <cell r="A12330" t="str">
            <v>IS_alqt_plus</v>
          </cell>
          <cell r="K12330" t="str">
            <v>PCOQ</v>
          </cell>
          <cell r="M12330" t="str">
            <v>M</v>
          </cell>
          <cell r="AB12330" t="str">
            <v>WB</v>
          </cell>
          <cell r="AF12330">
            <v>1</v>
          </cell>
        </row>
        <row r="12331">
          <cell r="A12331" t="str">
            <v>IS_alqt_plus</v>
          </cell>
          <cell r="K12331" t="str">
            <v>PCOQ</v>
          </cell>
          <cell r="M12331" t="str">
            <v>M</v>
          </cell>
          <cell r="AB12331" t="str">
            <v>WB</v>
          </cell>
          <cell r="AF12331">
            <v>1</v>
          </cell>
        </row>
        <row r="12332">
          <cell r="A12332" t="str">
            <v>IS_alqt_plus</v>
          </cell>
          <cell r="K12332" t="str">
            <v>PCOQ</v>
          </cell>
          <cell r="M12332" t="str">
            <v>M</v>
          </cell>
          <cell r="AB12332" t="str">
            <v>WB</v>
          </cell>
          <cell r="AF12332">
            <v>1</v>
          </cell>
        </row>
        <row r="12333">
          <cell r="A12333" t="str">
            <v>IS_alqt_plus</v>
          </cell>
          <cell r="K12333" t="str">
            <v>PCOQ</v>
          </cell>
          <cell r="M12333" t="str">
            <v>M</v>
          </cell>
          <cell r="AB12333" t="str">
            <v>WB</v>
          </cell>
          <cell r="AF12333">
            <v>1</v>
          </cell>
        </row>
        <row r="12334">
          <cell r="A12334" t="str">
            <v>IS_alqt_plus</v>
          </cell>
          <cell r="K12334" t="str">
            <v>PCOQ</v>
          </cell>
          <cell r="M12334" t="str">
            <v>M</v>
          </cell>
          <cell r="AB12334" t="str">
            <v>WB</v>
          </cell>
          <cell r="AF12334">
            <v>1</v>
          </cell>
        </row>
        <row r="12335">
          <cell r="A12335" t="str">
            <v>IS_alqt_plus</v>
          </cell>
          <cell r="K12335" t="str">
            <v>PCOQ</v>
          </cell>
          <cell r="M12335" t="str">
            <v>M</v>
          </cell>
          <cell r="AB12335" t="str">
            <v>WB</v>
          </cell>
          <cell r="AF12335">
            <v>1</v>
          </cell>
        </row>
        <row r="12336">
          <cell r="A12336" t="str">
            <v>IS_alqt_plus</v>
          </cell>
          <cell r="K12336" t="str">
            <v>PCOQ</v>
          </cell>
          <cell r="M12336" t="str">
            <v>M</v>
          </cell>
          <cell r="AB12336" t="str">
            <v>WB</v>
          </cell>
          <cell r="AF12336">
            <v>1</v>
          </cell>
        </row>
        <row r="12337">
          <cell r="A12337" t="str">
            <v>IS_alqt_plus</v>
          </cell>
          <cell r="K12337" t="str">
            <v>PCOQ</v>
          </cell>
          <cell r="M12337" t="str">
            <v>M</v>
          </cell>
          <cell r="AB12337" t="str">
            <v>WB</v>
          </cell>
          <cell r="AF12337">
            <v>1</v>
          </cell>
        </row>
        <row r="12338">
          <cell r="A12338" t="str">
            <v>IS_alqt_plus</v>
          </cell>
          <cell r="K12338" t="str">
            <v>PCOQ</v>
          </cell>
          <cell r="M12338" t="str">
            <v>M</v>
          </cell>
          <cell r="AB12338" t="str">
            <v>WB</v>
          </cell>
          <cell r="AF12338">
            <v>1</v>
          </cell>
        </row>
        <row r="12339">
          <cell r="A12339" t="str">
            <v>IS_alqt_plus</v>
          </cell>
          <cell r="K12339" t="str">
            <v>PCOQ</v>
          </cell>
          <cell r="M12339" t="str">
            <v>M</v>
          </cell>
          <cell r="AB12339" t="str">
            <v>WB</v>
          </cell>
          <cell r="AF12339">
            <v>1</v>
          </cell>
        </row>
        <row r="12340">
          <cell r="A12340" t="str">
            <v>IS_alqt_plus</v>
          </cell>
          <cell r="K12340" t="str">
            <v>PCOQ</v>
          </cell>
          <cell r="M12340" t="str">
            <v>M</v>
          </cell>
          <cell r="AB12340" t="str">
            <v>WB</v>
          </cell>
          <cell r="AF12340">
            <v>1</v>
          </cell>
        </row>
        <row r="12341">
          <cell r="A12341" t="str">
            <v>IS_alqt_plus</v>
          </cell>
          <cell r="K12341" t="str">
            <v>PCOQ</v>
          </cell>
          <cell r="M12341" t="str">
            <v>M</v>
          </cell>
          <cell r="AB12341" t="str">
            <v>WB</v>
          </cell>
          <cell r="AF12341">
            <v>1</v>
          </cell>
        </row>
        <row r="12342">
          <cell r="A12342" t="str">
            <v>IS_alqt_plus</v>
          </cell>
          <cell r="K12342" t="str">
            <v>PCOQ</v>
          </cell>
          <cell r="M12342" t="str">
            <v>M</v>
          </cell>
          <cell r="AB12342" t="str">
            <v>WB</v>
          </cell>
          <cell r="AF12342">
            <v>1</v>
          </cell>
        </row>
        <row r="12343">
          <cell r="A12343" t="str">
            <v>IS_alqt_plus</v>
          </cell>
          <cell r="K12343" t="str">
            <v>PCOQ</v>
          </cell>
          <cell r="M12343" t="str">
            <v>M</v>
          </cell>
          <cell r="AB12343" t="str">
            <v>WB</v>
          </cell>
          <cell r="AF12343">
            <v>1</v>
          </cell>
        </row>
        <row r="12344">
          <cell r="A12344" t="str">
            <v>IS_alqt_plus</v>
          </cell>
          <cell r="K12344" t="str">
            <v>PCOQ</v>
          </cell>
          <cell r="M12344" t="str">
            <v>M</v>
          </cell>
          <cell r="AB12344" t="str">
            <v>WB</v>
          </cell>
          <cell r="AF12344">
            <v>1</v>
          </cell>
        </row>
        <row r="12345">
          <cell r="A12345" t="str">
            <v>IS_alqt_plus</v>
          </cell>
          <cell r="K12345" t="str">
            <v>PCOQ</v>
          </cell>
          <cell r="M12345" t="str">
            <v>M</v>
          </cell>
          <cell r="AB12345" t="str">
            <v>WB</v>
          </cell>
          <cell r="AF12345">
            <v>1</v>
          </cell>
        </row>
        <row r="12346">
          <cell r="A12346" t="str">
            <v>IS_alqt_plus</v>
          </cell>
          <cell r="K12346" t="str">
            <v>PCOQ</v>
          </cell>
          <cell r="M12346" t="str">
            <v>M</v>
          </cell>
          <cell r="AB12346" t="str">
            <v>WB</v>
          </cell>
          <cell r="AF12346">
            <v>1</v>
          </cell>
        </row>
        <row r="12347">
          <cell r="A12347" t="str">
            <v>IS_alqt_plus</v>
          </cell>
          <cell r="K12347" t="str">
            <v>PCOQ</v>
          </cell>
          <cell r="M12347" t="str">
            <v>M</v>
          </cell>
          <cell r="AB12347" t="str">
            <v>WB</v>
          </cell>
          <cell r="AF12347">
            <v>1</v>
          </cell>
        </row>
        <row r="12348">
          <cell r="A12348" t="str">
            <v>IS_alqt_plus</v>
          </cell>
          <cell r="K12348" t="str">
            <v>PCOQ</v>
          </cell>
          <cell r="M12348" t="str">
            <v>M</v>
          </cell>
          <cell r="AB12348" t="str">
            <v>WB</v>
          </cell>
          <cell r="AF12348">
            <v>1</v>
          </cell>
        </row>
        <row r="12349">
          <cell r="A12349" t="str">
            <v>IS_alqt_plus</v>
          </cell>
          <cell r="K12349" t="str">
            <v>PCOQ</v>
          </cell>
          <cell r="M12349" t="str">
            <v>F</v>
          </cell>
          <cell r="AB12349" t="str">
            <v>serum</v>
          </cell>
          <cell r="AF12349">
            <v>1</v>
          </cell>
        </row>
        <row r="12350">
          <cell r="A12350" t="str">
            <v>IS_alqt_plus</v>
          </cell>
          <cell r="K12350" t="str">
            <v>PCOQ</v>
          </cell>
          <cell r="M12350" t="str">
            <v>F</v>
          </cell>
          <cell r="AB12350" t="str">
            <v>serum</v>
          </cell>
          <cell r="AF12350">
            <v>1</v>
          </cell>
        </row>
        <row r="12351">
          <cell r="A12351" t="str">
            <v>IS_alqt_plus</v>
          </cell>
          <cell r="K12351" t="str">
            <v>PCOQ</v>
          </cell>
          <cell r="M12351" t="str">
            <v>F</v>
          </cell>
          <cell r="AB12351" t="str">
            <v>serum</v>
          </cell>
          <cell r="AF12351">
            <v>1</v>
          </cell>
        </row>
        <row r="12352">
          <cell r="A12352" t="str">
            <v>IS_alqt_plus</v>
          </cell>
          <cell r="K12352" t="str">
            <v>PCOQ</v>
          </cell>
          <cell r="M12352" t="str">
            <v>F</v>
          </cell>
          <cell r="AB12352" t="str">
            <v>serum</v>
          </cell>
          <cell r="AF12352">
            <v>1</v>
          </cell>
        </row>
        <row r="12353">
          <cell r="A12353" t="str">
            <v>IS_alqt_plus</v>
          </cell>
          <cell r="K12353" t="str">
            <v>PCOQ</v>
          </cell>
          <cell r="M12353" t="str">
            <v>F</v>
          </cell>
          <cell r="AB12353" t="str">
            <v>serum</v>
          </cell>
          <cell r="AF12353">
            <v>1</v>
          </cell>
        </row>
        <row r="12354">
          <cell r="A12354" t="str">
            <v>IS_alqt_plus</v>
          </cell>
          <cell r="K12354" t="str">
            <v>PCOQ</v>
          </cell>
          <cell r="M12354" t="str">
            <v>F</v>
          </cell>
          <cell r="AB12354" t="str">
            <v>serum</v>
          </cell>
          <cell r="AF12354">
            <v>1</v>
          </cell>
        </row>
        <row r="12355">
          <cell r="A12355" t="str">
            <v>IS_alqt_plus</v>
          </cell>
          <cell r="K12355" t="str">
            <v>PCOQ</v>
          </cell>
          <cell r="M12355" t="str">
            <v>F</v>
          </cell>
          <cell r="AB12355" t="str">
            <v>serum</v>
          </cell>
          <cell r="AF12355">
            <v>1</v>
          </cell>
        </row>
        <row r="12356">
          <cell r="A12356" t="str">
            <v>IS_alqt_plus</v>
          </cell>
          <cell r="K12356" t="str">
            <v>PCOQ</v>
          </cell>
          <cell r="M12356" t="str">
            <v>F</v>
          </cell>
          <cell r="AB12356" t="str">
            <v>serum</v>
          </cell>
          <cell r="AF12356">
            <v>1</v>
          </cell>
        </row>
        <row r="12357">
          <cell r="A12357" t="str">
            <v>IS_alqt_plus</v>
          </cell>
          <cell r="K12357" t="str">
            <v>PCOQ</v>
          </cell>
          <cell r="M12357" t="str">
            <v>F</v>
          </cell>
          <cell r="AB12357" t="str">
            <v>serum</v>
          </cell>
          <cell r="AF12357">
            <v>1</v>
          </cell>
        </row>
        <row r="12358">
          <cell r="A12358" t="str">
            <v>IS_alqt_plus</v>
          </cell>
          <cell r="K12358" t="str">
            <v>PCOQ</v>
          </cell>
          <cell r="M12358" t="str">
            <v>F</v>
          </cell>
          <cell r="AB12358" t="str">
            <v>serum</v>
          </cell>
          <cell r="AF12358">
            <v>1</v>
          </cell>
        </row>
        <row r="12359">
          <cell r="A12359" t="str">
            <v>IS_alqt_plus</v>
          </cell>
          <cell r="K12359" t="str">
            <v>PCOQ</v>
          </cell>
          <cell r="M12359" t="str">
            <v>M</v>
          </cell>
          <cell r="AB12359" t="str">
            <v>WB</v>
          </cell>
          <cell r="AF12359">
            <v>1</v>
          </cell>
        </row>
        <row r="12360">
          <cell r="A12360" t="str">
            <v>gone</v>
          </cell>
          <cell r="K12360" t="str">
            <v>EFLA</v>
          </cell>
          <cell r="M12360" t="str">
            <v>M</v>
          </cell>
          <cell r="AB12360" t="str">
            <v>WB</v>
          </cell>
          <cell r="AF12360">
            <v>0</v>
          </cell>
        </row>
        <row r="12361">
          <cell r="A12361" t="str">
            <v>IS_alqt_plus</v>
          </cell>
          <cell r="K12361" t="str">
            <v>EFLA</v>
          </cell>
          <cell r="M12361" t="str">
            <v>M</v>
          </cell>
          <cell r="AB12361" t="str">
            <v>serum</v>
          </cell>
          <cell r="AF12361">
            <v>0.5</v>
          </cell>
        </row>
        <row r="12362">
          <cell r="A12362" t="str">
            <v>IS_alqt_plus</v>
          </cell>
          <cell r="K12362" t="str">
            <v>EFLA</v>
          </cell>
          <cell r="M12362" t="str">
            <v>F</v>
          </cell>
          <cell r="AB12362" t="str">
            <v>WB</v>
          </cell>
          <cell r="AF12362">
            <v>1</v>
          </cell>
        </row>
        <row r="12363">
          <cell r="A12363" t="str">
            <v>gone</v>
          </cell>
          <cell r="K12363" t="str">
            <v>EFLA</v>
          </cell>
          <cell r="M12363" t="str">
            <v>F</v>
          </cell>
          <cell r="AB12363" t="str">
            <v>WB</v>
          </cell>
          <cell r="AF12363">
            <v>0</v>
          </cell>
        </row>
        <row r="12364">
          <cell r="A12364" t="str">
            <v>IS_alqt_plus</v>
          </cell>
          <cell r="K12364" t="str">
            <v>EFLA</v>
          </cell>
          <cell r="M12364" t="str">
            <v>F</v>
          </cell>
          <cell r="AB12364" t="str">
            <v>serum</v>
          </cell>
          <cell r="AF12364">
            <v>0.5</v>
          </cell>
        </row>
        <row r="12365">
          <cell r="A12365" t="str">
            <v>IS_alqt_plus</v>
          </cell>
          <cell r="K12365" t="str">
            <v>PCOQ</v>
          </cell>
          <cell r="M12365" t="str">
            <v>M</v>
          </cell>
          <cell r="AB12365" t="str">
            <v>WB</v>
          </cell>
          <cell r="AF12365">
            <v>1</v>
          </cell>
        </row>
        <row r="12366">
          <cell r="A12366" t="str">
            <v>IS_alqt_plus</v>
          </cell>
          <cell r="K12366" t="str">
            <v>PCOQ</v>
          </cell>
          <cell r="M12366" t="str">
            <v>M</v>
          </cell>
          <cell r="AB12366" t="str">
            <v>WB</v>
          </cell>
          <cell r="AF12366">
            <v>1</v>
          </cell>
        </row>
        <row r="12367">
          <cell r="A12367" t="str">
            <v>IS_alqt_plus</v>
          </cell>
          <cell r="K12367" t="str">
            <v>PCOQ</v>
          </cell>
          <cell r="M12367" t="str">
            <v>M</v>
          </cell>
          <cell r="AB12367" t="str">
            <v>WB</v>
          </cell>
          <cell r="AF12367">
            <v>1</v>
          </cell>
        </row>
        <row r="12368">
          <cell r="A12368" t="str">
            <v>IS_alqt_plus</v>
          </cell>
          <cell r="K12368" t="str">
            <v>PCOQ</v>
          </cell>
          <cell r="M12368" t="str">
            <v>M</v>
          </cell>
          <cell r="AB12368" t="str">
            <v>WB</v>
          </cell>
          <cell r="AF12368">
            <v>1</v>
          </cell>
        </row>
        <row r="12369">
          <cell r="A12369" t="str">
            <v>IS_alqt_plus</v>
          </cell>
          <cell r="K12369" t="str">
            <v>PCOQ</v>
          </cell>
          <cell r="M12369" t="str">
            <v>M</v>
          </cell>
          <cell r="AB12369" t="str">
            <v>WB</v>
          </cell>
          <cell r="AF12369">
            <v>1</v>
          </cell>
        </row>
        <row r="12370">
          <cell r="A12370" t="str">
            <v>IS_alqt_plus</v>
          </cell>
          <cell r="K12370" t="str">
            <v>PCOQ</v>
          </cell>
          <cell r="M12370" t="str">
            <v>M</v>
          </cell>
          <cell r="AB12370" t="str">
            <v>WB</v>
          </cell>
          <cell r="AF12370">
            <v>1</v>
          </cell>
        </row>
        <row r="12371">
          <cell r="A12371" t="str">
            <v>gone</v>
          </cell>
          <cell r="K12371" t="str">
            <v>PCOQ</v>
          </cell>
          <cell r="M12371" t="str">
            <v>M</v>
          </cell>
          <cell r="AB12371" t="str">
            <v>WB</v>
          </cell>
          <cell r="AF12371">
            <v>0</v>
          </cell>
        </row>
        <row r="12372">
          <cell r="A12372" t="str">
            <v>IS_alqt_plus</v>
          </cell>
          <cell r="K12372" t="str">
            <v>PCOQ</v>
          </cell>
          <cell r="M12372" t="str">
            <v>M</v>
          </cell>
          <cell r="AB12372" t="str">
            <v>WB</v>
          </cell>
          <cell r="AF12372">
            <v>1.3</v>
          </cell>
        </row>
        <row r="12373">
          <cell r="A12373" t="str">
            <v>IS_alqt_plus</v>
          </cell>
          <cell r="K12373" t="str">
            <v>PCOQ</v>
          </cell>
          <cell r="M12373" t="str">
            <v>M</v>
          </cell>
          <cell r="AB12373" t="str">
            <v>WB</v>
          </cell>
          <cell r="AF12373">
            <v>1.3</v>
          </cell>
        </row>
        <row r="12374">
          <cell r="A12374" t="str">
            <v>IS_alqt_plus</v>
          </cell>
          <cell r="K12374" t="str">
            <v>PCOQ</v>
          </cell>
          <cell r="M12374" t="str">
            <v>M</v>
          </cell>
          <cell r="AB12374" t="str">
            <v>WB</v>
          </cell>
          <cell r="AF12374">
            <v>1.3</v>
          </cell>
        </row>
        <row r="12375">
          <cell r="A12375" t="str">
            <v>IS_alqt_plus</v>
          </cell>
          <cell r="K12375" t="str">
            <v>PCOQ</v>
          </cell>
          <cell r="M12375" t="str">
            <v>M</v>
          </cell>
          <cell r="AB12375" t="str">
            <v>WB</v>
          </cell>
          <cell r="AF12375">
            <v>1.3</v>
          </cell>
        </row>
        <row r="12376">
          <cell r="A12376" t="str">
            <v>IS_alqt_plus</v>
          </cell>
          <cell r="K12376" t="str">
            <v>PCOQ</v>
          </cell>
          <cell r="M12376" t="str">
            <v>M</v>
          </cell>
          <cell r="AB12376" t="str">
            <v>WB</v>
          </cell>
          <cell r="AF12376">
            <v>1.3</v>
          </cell>
        </row>
        <row r="12377">
          <cell r="A12377" t="str">
            <v>IS_alqt_plus</v>
          </cell>
          <cell r="K12377" t="str">
            <v>PCOQ</v>
          </cell>
          <cell r="M12377" t="str">
            <v>M</v>
          </cell>
          <cell r="AB12377" t="str">
            <v>WB</v>
          </cell>
          <cell r="AF12377">
            <v>1.3</v>
          </cell>
        </row>
        <row r="12378">
          <cell r="A12378" t="str">
            <v>IS_alqt_plus</v>
          </cell>
          <cell r="K12378" t="str">
            <v>PCOQ</v>
          </cell>
          <cell r="M12378" t="str">
            <v>M</v>
          </cell>
          <cell r="AB12378" t="str">
            <v>WB</v>
          </cell>
          <cell r="AF12378">
            <v>1.3</v>
          </cell>
        </row>
        <row r="12379">
          <cell r="A12379" t="str">
            <v>IS_alqt_plus</v>
          </cell>
          <cell r="K12379" t="str">
            <v>PCOQ</v>
          </cell>
          <cell r="M12379" t="str">
            <v>M</v>
          </cell>
          <cell r="AB12379" t="str">
            <v>WB</v>
          </cell>
          <cell r="AF12379">
            <v>1.3</v>
          </cell>
        </row>
        <row r="12380">
          <cell r="A12380" t="str">
            <v>IS_alqt_plus</v>
          </cell>
          <cell r="K12380" t="str">
            <v>PCOQ</v>
          </cell>
          <cell r="M12380" t="str">
            <v>M</v>
          </cell>
          <cell r="AB12380" t="str">
            <v>WB</v>
          </cell>
          <cell r="AF12380">
            <v>1.3</v>
          </cell>
        </row>
        <row r="12381">
          <cell r="A12381" t="str">
            <v>IS_alqt_plus</v>
          </cell>
          <cell r="K12381" t="str">
            <v>PCOQ</v>
          </cell>
          <cell r="M12381" t="str">
            <v>M</v>
          </cell>
          <cell r="AB12381" t="str">
            <v>WB</v>
          </cell>
          <cell r="AF12381">
            <v>1.3</v>
          </cell>
        </row>
        <row r="12382">
          <cell r="A12382" t="str">
            <v>IS_alqt_plus</v>
          </cell>
          <cell r="K12382" t="str">
            <v>PCOQ</v>
          </cell>
          <cell r="M12382" t="str">
            <v>M</v>
          </cell>
          <cell r="AB12382" t="str">
            <v>WB</v>
          </cell>
          <cell r="AF12382">
            <v>1.3</v>
          </cell>
        </row>
        <row r="12383">
          <cell r="A12383" t="str">
            <v>IS_alqt_plus</v>
          </cell>
          <cell r="K12383" t="str">
            <v>PCOQ</v>
          </cell>
          <cell r="M12383" t="str">
            <v>M</v>
          </cell>
          <cell r="AB12383" t="str">
            <v>WB</v>
          </cell>
          <cell r="AF12383">
            <v>1.3</v>
          </cell>
        </row>
        <row r="12384">
          <cell r="A12384" t="str">
            <v>IS_alqt_plus</v>
          </cell>
          <cell r="K12384" t="str">
            <v>PCOQ</v>
          </cell>
          <cell r="M12384" t="str">
            <v>M</v>
          </cell>
          <cell r="AB12384" t="str">
            <v>WB</v>
          </cell>
          <cell r="AF12384">
            <v>1.3</v>
          </cell>
        </row>
        <row r="12385">
          <cell r="A12385" t="str">
            <v>IS_alqt_plus</v>
          </cell>
          <cell r="K12385" t="str">
            <v>PCOQ</v>
          </cell>
          <cell r="M12385" t="str">
            <v>M</v>
          </cell>
          <cell r="AB12385" t="str">
            <v>WB</v>
          </cell>
          <cell r="AF12385">
            <v>0.9</v>
          </cell>
        </row>
        <row r="12386">
          <cell r="A12386" t="str">
            <v>IS_alqt_plus</v>
          </cell>
          <cell r="K12386" t="str">
            <v>PCOQ</v>
          </cell>
          <cell r="M12386" t="str">
            <v>M</v>
          </cell>
          <cell r="AB12386" t="str">
            <v>WB</v>
          </cell>
          <cell r="AF12386">
            <v>0.3</v>
          </cell>
        </row>
        <row r="12387">
          <cell r="A12387" t="str">
            <v>IS_alqt_plus</v>
          </cell>
          <cell r="K12387" t="str">
            <v>PCOQ</v>
          </cell>
          <cell r="M12387" t="str">
            <v>M</v>
          </cell>
          <cell r="AB12387" t="str">
            <v>WB</v>
          </cell>
          <cell r="AF12387">
            <v>0.2</v>
          </cell>
        </row>
        <row r="12388">
          <cell r="A12388" t="str">
            <v>gone</v>
          </cell>
          <cell r="K12388" t="str">
            <v>PCOQ</v>
          </cell>
          <cell r="M12388" t="str">
            <v>M</v>
          </cell>
          <cell r="AB12388" t="str">
            <v>WB</v>
          </cell>
          <cell r="AF12388">
            <v>0</v>
          </cell>
        </row>
        <row r="12389">
          <cell r="A12389" t="str">
            <v>IS_alqt_plus</v>
          </cell>
          <cell r="K12389" t="str">
            <v>PCOQ</v>
          </cell>
          <cell r="M12389" t="str">
            <v>M</v>
          </cell>
          <cell r="AB12389" t="str">
            <v>WB</v>
          </cell>
          <cell r="AF12389">
            <v>1</v>
          </cell>
        </row>
        <row r="12390">
          <cell r="A12390" t="str">
            <v>IS_alqt_plus</v>
          </cell>
          <cell r="K12390" t="str">
            <v>PCOQ</v>
          </cell>
          <cell r="M12390" t="str">
            <v>M</v>
          </cell>
          <cell r="AB12390" t="str">
            <v>WB</v>
          </cell>
          <cell r="AF12390">
            <v>1</v>
          </cell>
        </row>
        <row r="12391">
          <cell r="A12391" t="str">
            <v>IS_alqt_plus</v>
          </cell>
          <cell r="K12391" t="str">
            <v>PCOQ</v>
          </cell>
          <cell r="M12391" t="str">
            <v>M</v>
          </cell>
          <cell r="AB12391" t="str">
            <v>WB</v>
          </cell>
          <cell r="AF12391">
            <v>1</v>
          </cell>
        </row>
        <row r="12392">
          <cell r="A12392" t="str">
            <v>IS_alqt_plus</v>
          </cell>
          <cell r="K12392" t="str">
            <v>PCOQ</v>
          </cell>
          <cell r="M12392" t="str">
            <v>M</v>
          </cell>
          <cell r="AB12392" t="str">
            <v>WB</v>
          </cell>
          <cell r="AF12392">
            <v>1</v>
          </cell>
        </row>
        <row r="12393">
          <cell r="A12393" t="str">
            <v>IS_alqt_plus</v>
          </cell>
          <cell r="K12393" t="str">
            <v>PCOQ</v>
          </cell>
          <cell r="M12393" t="str">
            <v>M</v>
          </cell>
          <cell r="AB12393" t="str">
            <v>WB</v>
          </cell>
          <cell r="AF12393">
            <v>1</v>
          </cell>
        </row>
        <row r="12394">
          <cell r="A12394" t="str">
            <v>IS_alqt_plus</v>
          </cell>
          <cell r="K12394" t="str">
            <v>PCOQ</v>
          </cell>
          <cell r="M12394" t="str">
            <v>M</v>
          </cell>
          <cell r="AB12394" t="str">
            <v>WB</v>
          </cell>
          <cell r="AF12394">
            <v>1</v>
          </cell>
        </row>
        <row r="12395">
          <cell r="A12395" t="str">
            <v>IS_alqt_plus</v>
          </cell>
          <cell r="K12395" t="str">
            <v>PCOQ</v>
          </cell>
          <cell r="M12395" t="str">
            <v>M</v>
          </cell>
          <cell r="AB12395" t="str">
            <v>WB</v>
          </cell>
          <cell r="AF12395">
            <v>1</v>
          </cell>
        </row>
        <row r="12396">
          <cell r="A12396" t="str">
            <v>IS_alqt_plus</v>
          </cell>
          <cell r="K12396" t="str">
            <v>PCOQ</v>
          </cell>
          <cell r="M12396" t="str">
            <v>M</v>
          </cell>
          <cell r="AB12396" t="str">
            <v>WB</v>
          </cell>
          <cell r="AF12396">
            <v>1</v>
          </cell>
        </row>
        <row r="12397">
          <cell r="A12397" t="str">
            <v>IS_alqt_plus</v>
          </cell>
          <cell r="K12397" t="str">
            <v>PCOQ</v>
          </cell>
          <cell r="M12397" t="str">
            <v>M</v>
          </cell>
          <cell r="AB12397" t="str">
            <v>WB</v>
          </cell>
          <cell r="AF12397">
            <v>1</v>
          </cell>
        </row>
        <row r="12398">
          <cell r="A12398" t="str">
            <v>IS_alqt_plus</v>
          </cell>
          <cell r="K12398" t="str">
            <v>PCOQ</v>
          </cell>
          <cell r="M12398" t="str">
            <v>M</v>
          </cell>
          <cell r="AB12398" t="str">
            <v>WB</v>
          </cell>
          <cell r="AF12398">
            <v>0.5</v>
          </cell>
        </row>
        <row r="12399">
          <cell r="A12399" t="str">
            <v>IS_alqt_plus</v>
          </cell>
          <cell r="K12399" t="str">
            <v>PCOQ</v>
          </cell>
          <cell r="M12399" t="str">
            <v>M</v>
          </cell>
          <cell r="AB12399" t="str">
            <v>WB</v>
          </cell>
          <cell r="AF12399">
            <v>1</v>
          </cell>
        </row>
        <row r="12400">
          <cell r="A12400" t="str">
            <v>IS_alqt_plus</v>
          </cell>
          <cell r="K12400" t="str">
            <v>PCOQ</v>
          </cell>
          <cell r="M12400" t="str">
            <v>M</v>
          </cell>
          <cell r="AB12400" t="str">
            <v>WB</v>
          </cell>
          <cell r="AF12400">
            <v>1</v>
          </cell>
        </row>
        <row r="12401">
          <cell r="A12401" t="str">
            <v>IS_alqt_plus</v>
          </cell>
          <cell r="K12401" t="str">
            <v>PCOQ</v>
          </cell>
          <cell r="M12401" t="str">
            <v>M</v>
          </cell>
          <cell r="AB12401" t="str">
            <v>WB</v>
          </cell>
          <cell r="AF12401">
            <v>1</v>
          </cell>
        </row>
        <row r="12402">
          <cell r="A12402" t="str">
            <v>IS_alqt_plus</v>
          </cell>
          <cell r="K12402" t="str">
            <v>PCOQ</v>
          </cell>
          <cell r="M12402" t="str">
            <v>M</v>
          </cell>
          <cell r="AB12402" t="str">
            <v>WB</v>
          </cell>
          <cell r="AF12402">
            <v>1</v>
          </cell>
        </row>
        <row r="12403">
          <cell r="A12403" t="str">
            <v>IS_alqt_plus</v>
          </cell>
          <cell r="K12403" t="str">
            <v>PCOQ</v>
          </cell>
          <cell r="M12403" t="str">
            <v>M</v>
          </cell>
          <cell r="AB12403" t="str">
            <v>WB</v>
          </cell>
          <cell r="AF12403">
            <v>1</v>
          </cell>
        </row>
        <row r="12404">
          <cell r="A12404" t="str">
            <v>IS_alqt_plus</v>
          </cell>
          <cell r="K12404" t="str">
            <v>PCOQ</v>
          </cell>
          <cell r="M12404" t="str">
            <v>M</v>
          </cell>
          <cell r="AB12404" t="str">
            <v>WB</v>
          </cell>
          <cell r="AF12404">
            <v>1</v>
          </cell>
        </row>
        <row r="12405">
          <cell r="A12405" t="str">
            <v>IS_alqt_plus</v>
          </cell>
          <cell r="K12405" t="str">
            <v>PCOQ</v>
          </cell>
          <cell r="M12405" t="str">
            <v>M</v>
          </cell>
          <cell r="AB12405" t="str">
            <v>WB</v>
          </cell>
          <cell r="AF12405">
            <v>1</v>
          </cell>
        </row>
        <row r="12406">
          <cell r="A12406" t="str">
            <v>IS_alqt_plus</v>
          </cell>
          <cell r="K12406" t="str">
            <v>PCOQ</v>
          </cell>
          <cell r="M12406" t="str">
            <v>M</v>
          </cell>
          <cell r="AB12406" t="str">
            <v>WB</v>
          </cell>
          <cell r="AF12406">
            <v>1</v>
          </cell>
        </row>
        <row r="12407">
          <cell r="A12407" t="str">
            <v>IS_alqt_plus</v>
          </cell>
          <cell r="K12407" t="str">
            <v>PCOQ</v>
          </cell>
          <cell r="M12407" t="str">
            <v>M</v>
          </cell>
          <cell r="AB12407" t="str">
            <v>WB</v>
          </cell>
          <cell r="AF12407">
            <v>0.5</v>
          </cell>
        </row>
        <row r="12408">
          <cell r="A12408" t="str">
            <v>IS_alqt_plus</v>
          </cell>
          <cell r="K12408" t="str">
            <v>PCOQ</v>
          </cell>
          <cell r="M12408" t="str">
            <v>M</v>
          </cell>
          <cell r="AB12408" t="str">
            <v>WB</v>
          </cell>
          <cell r="AF12408">
            <v>1</v>
          </cell>
        </row>
        <row r="12409">
          <cell r="A12409" t="str">
            <v>IS_alqt_plus</v>
          </cell>
          <cell r="K12409" t="str">
            <v>PCOQ</v>
          </cell>
          <cell r="M12409" t="str">
            <v>M</v>
          </cell>
          <cell r="AB12409" t="str">
            <v>WB</v>
          </cell>
          <cell r="AF12409">
            <v>1</v>
          </cell>
        </row>
        <row r="12410">
          <cell r="A12410" t="str">
            <v>IS_alqt_plus</v>
          </cell>
          <cell r="K12410" t="str">
            <v>PCOQ</v>
          </cell>
          <cell r="M12410" t="str">
            <v>M</v>
          </cell>
          <cell r="AB12410" t="str">
            <v>WB</v>
          </cell>
          <cell r="AF12410">
            <v>1</v>
          </cell>
        </row>
        <row r="12411">
          <cell r="A12411" t="str">
            <v>IS_alqt_plus</v>
          </cell>
          <cell r="K12411" t="str">
            <v>PCOQ</v>
          </cell>
          <cell r="M12411" t="str">
            <v>M</v>
          </cell>
          <cell r="AB12411" t="str">
            <v>WB</v>
          </cell>
          <cell r="AF12411">
            <v>1</v>
          </cell>
        </row>
        <row r="12412">
          <cell r="A12412" t="str">
            <v>IS_alqt_plus</v>
          </cell>
          <cell r="K12412" t="str">
            <v>PCOQ</v>
          </cell>
          <cell r="M12412" t="str">
            <v>M</v>
          </cell>
          <cell r="AB12412" t="str">
            <v>WB</v>
          </cell>
          <cell r="AF12412">
            <v>1</v>
          </cell>
        </row>
        <row r="12413">
          <cell r="A12413" t="str">
            <v>IS_alqt_plus</v>
          </cell>
          <cell r="K12413" t="str">
            <v>PCOQ</v>
          </cell>
          <cell r="M12413" t="str">
            <v>M</v>
          </cell>
          <cell r="AB12413" t="str">
            <v>WB</v>
          </cell>
          <cell r="AF12413">
            <v>1</v>
          </cell>
        </row>
        <row r="12414">
          <cell r="A12414" t="str">
            <v>gone</v>
          </cell>
          <cell r="K12414" t="str">
            <v>PCOQ</v>
          </cell>
          <cell r="M12414" t="str">
            <v>M</v>
          </cell>
          <cell r="AB12414" t="str">
            <v>WB</v>
          </cell>
          <cell r="AF12414">
            <v>0</v>
          </cell>
        </row>
        <row r="12415">
          <cell r="A12415" t="str">
            <v>IS_alqt_plus</v>
          </cell>
          <cell r="K12415" t="str">
            <v>PCOQ</v>
          </cell>
          <cell r="M12415" t="str">
            <v>M</v>
          </cell>
          <cell r="AB12415" t="str">
            <v>WB</v>
          </cell>
          <cell r="AF12415">
            <v>1</v>
          </cell>
        </row>
        <row r="12416">
          <cell r="A12416" t="str">
            <v>IS_alqt_plus</v>
          </cell>
          <cell r="K12416" t="str">
            <v>PCOQ</v>
          </cell>
          <cell r="M12416" t="str">
            <v>M</v>
          </cell>
          <cell r="AB12416" t="str">
            <v>WB</v>
          </cell>
          <cell r="AF12416">
            <v>1</v>
          </cell>
        </row>
        <row r="12417">
          <cell r="A12417" t="str">
            <v>IS_alqt_plus</v>
          </cell>
          <cell r="K12417" t="str">
            <v>PCOQ</v>
          </cell>
          <cell r="M12417" t="str">
            <v>M</v>
          </cell>
          <cell r="AB12417" t="str">
            <v>WB</v>
          </cell>
          <cell r="AF12417">
            <v>1.2</v>
          </cell>
        </row>
        <row r="12418">
          <cell r="A12418" t="str">
            <v>IS_alqt_plus</v>
          </cell>
          <cell r="K12418" t="str">
            <v>PCOQ</v>
          </cell>
          <cell r="M12418" t="str">
            <v>M</v>
          </cell>
          <cell r="AB12418" t="str">
            <v>WB</v>
          </cell>
          <cell r="AF12418">
            <v>1</v>
          </cell>
        </row>
        <row r="12419">
          <cell r="A12419" t="str">
            <v>IS_alqt_plus</v>
          </cell>
          <cell r="K12419" t="str">
            <v>PCOQ</v>
          </cell>
          <cell r="M12419" t="str">
            <v>M</v>
          </cell>
          <cell r="AB12419" t="str">
            <v>WB</v>
          </cell>
          <cell r="AF12419">
            <v>1</v>
          </cell>
        </row>
        <row r="12420">
          <cell r="A12420" t="str">
            <v>IS_alqt_plus</v>
          </cell>
          <cell r="K12420" t="str">
            <v>PCOQ</v>
          </cell>
          <cell r="M12420" t="str">
            <v>M</v>
          </cell>
          <cell r="AB12420" t="str">
            <v>WB</v>
          </cell>
          <cell r="AF12420">
            <v>1</v>
          </cell>
        </row>
        <row r="12421">
          <cell r="A12421" t="str">
            <v>IS_alqt_plus</v>
          </cell>
          <cell r="K12421" t="str">
            <v>PCOQ</v>
          </cell>
          <cell r="M12421" t="str">
            <v>M</v>
          </cell>
          <cell r="AB12421" t="str">
            <v>serum</v>
          </cell>
          <cell r="AF12421">
            <v>1</v>
          </cell>
        </row>
        <row r="12422">
          <cell r="A12422" t="str">
            <v>IS_alqt_plus</v>
          </cell>
          <cell r="K12422" t="str">
            <v>PCOQ</v>
          </cell>
          <cell r="M12422" t="str">
            <v>M</v>
          </cell>
          <cell r="AB12422" t="str">
            <v>serum</v>
          </cell>
          <cell r="AF12422">
            <v>1</v>
          </cell>
        </row>
        <row r="12423">
          <cell r="A12423" t="str">
            <v>IS_alqt_plus</v>
          </cell>
          <cell r="K12423" t="str">
            <v>PCOQ</v>
          </cell>
          <cell r="M12423" t="str">
            <v>M</v>
          </cell>
          <cell r="AB12423" t="str">
            <v>serum</v>
          </cell>
          <cell r="AF12423">
            <v>1</v>
          </cell>
        </row>
        <row r="12424">
          <cell r="A12424" t="str">
            <v>IS_alqt_plus</v>
          </cell>
          <cell r="K12424" t="str">
            <v>PCOQ</v>
          </cell>
          <cell r="M12424" t="str">
            <v>M</v>
          </cell>
          <cell r="AB12424" t="str">
            <v>serum</v>
          </cell>
          <cell r="AF12424">
            <v>1</v>
          </cell>
        </row>
        <row r="12425">
          <cell r="A12425" t="str">
            <v>IS_alqt_plus</v>
          </cell>
          <cell r="K12425" t="str">
            <v>PCOQ</v>
          </cell>
          <cell r="M12425" t="str">
            <v>M</v>
          </cell>
          <cell r="AB12425" t="str">
            <v>serum</v>
          </cell>
          <cell r="AF12425">
            <v>1</v>
          </cell>
        </row>
        <row r="12426">
          <cell r="A12426" t="str">
            <v>IS_alqt_plus</v>
          </cell>
          <cell r="K12426" t="str">
            <v>PCOQ</v>
          </cell>
          <cell r="M12426" t="str">
            <v>M</v>
          </cell>
          <cell r="AB12426" t="str">
            <v>serum</v>
          </cell>
          <cell r="AF12426">
            <v>1</v>
          </cell>
        </row>
        <row r="12427">
          <cell r="A12427" t="str">
            <v>IS_alqt_plus</v>
          </cell>
          <cell r="K12427" t="str">
            <v>PCOQ</v>
          </cell>
          <cell r="M12427" t="str">
            <v>M</v>
          </cell>
          <cell r="AB12427" t="str">
            <v>serum</v>
          </cell>
          <cell r="AF12427">
            <v>1</v>
          </cell>
        </row>
        <row r="12428">
          <cell r="A12428" t="str">
            <v>IS_alqt_plus</v>
          </cell>
          <cell r="K12428" t="str">
            <v>PCOQ</v>
          </cell>
          <cell r="M12428" t="str">
            <v>M</v>
          </cell>
          <cell r="AB12428" t="str">
            <v>serum</v>
          </cell>
          <cell r="AF12428">
            <v>1</v>
          </cell>
        </row>
        <row r="12429">
          <cell r="A12429" t="str">
            <v>IS_alqt_plus</v>
          </cell>
          <cell r="K12429" t="str">
            <v>PCOQ</v>
          </cell>
          <cell r="M12429" t="str">
            <v>M</v>
          </cell>
          <cell r="AB12429" t="str">
            <v>serum</v>
          </cell>
          <cell r="AF12429">
            <v>1</v>
          </cell>
        </row>
        <row r="12430">
          <cell r="A12430" t="str">
            <v>IS_alqt_plus</v>
          </cell>
          <cell r="K12430" t="str">
            <v>PCOQ</v>
          </cell>
          <cell r="M12430" t="str">
            <v>M</v>
          </cell>
          <cell r="AB12430" t="str">
            <v>serum</v>
          </cell>
          <cell r="AF12430">
            <v>1</v>
          </cell>
        </row>
        <row r="12431">
          <cell r="A12431" t="str">
            <v>IS_alqt_plus</v>
          </cell>
          <cell r="K12431" t="str">
            <v>PCOQ</v>
          </cell>
          <cell r="M12431" t="str">
            <v>M</v>
          </cell>
          <cell r="AB12431" t="str">
            <v>serum</v>
          </cell>
          <cell r="AF12431">
            <v>1</v>
          </cell>
        </row>
        <row r="12432">
          <cell r="A12432" t="str">
            <v>IS_alqt_plus</v>
          </cell>
          <cell r="K12432" t="str">
            <v>PCOQ</v>
          </cell>
          <cell r="M12432" t="str">
            <v>M</v>
          </cell>
          <cell r="AB12432" t="str">
            <v>serum</v>
          </cell>
          <cell r="AF12432">
            <v>1</v>
          </cell>
        </row>
        <row r="12433">
          <cell r="A12433" t="str">
            <v>IS_alqt_plus</v>
          </cell>
          <cell r="K12433" t="str">
            <v>PCOQ</v>
          </cell>
          <cell r="M12433" t="str">
            <v>M</v>
          </cell>
          <cell r="AB12433" t="str">
            <v>serum</v>
          </cell>
          <cell r="AF12433">
            <v>1</v>
          </cell>
        </row>
        <row r="12434">
          <cell r="A12434" t="str">
            <v>IS_alqt_plus</v>
          </cell>
          <cell r="K12434" t="str">
            <v>PCOQ</v>
          </cell>
          <cell r="M12434" t="str">
            <v>M</v>
          </cell>
          <cell r="AB12434" t="str">
            <v>serum</v>
          </cell>
          <cell r="AF12434">
            <v>1</v>
          </cell>
        </row>
        <row r="12435">
          <cell r="A12435" t="str">
            <v>IS_alqt_plus</v>
          </cell>
          <cell r="K12435" t="str">
            <v>PCOQ</v>
          </cell>
          <cell r="M12435" t="str">
            <v>M</v>
          </cell>
          <cell r="AB12435" t="str">
            <v>serum</v>
          </cell>
          <cell r="AF12435">
            <v>1</v>
          </cell>
        </row>
        <row r="12436">
          <cell r="A12436" t="str">
            <v>IS_alqt_plus</v>
          </cell>
          <cell r="K12436" t="str">
            <v>PCOQ</v>
          </cell>
          <cell r="M12436" t="str">
            <v>M</v>
          </cell>
          <cell r="AB12436" t="str">
            <v>serum</v>
          </cell>
          <cell r="AF12436">
            <v>1</v>
          </cell>
        </row>
        <row r="12437">
          <cell r="A12437" t="str">
            <v>IS_alqt_plus</v>
          </cell>
          <cell r="K12437" t="str">
            <v>PCOQ</v>
          </cell>
          <cell r="M12437" t="str">
            <v>M</v>
          </cell>
          <cell r="AB12437" t="str">
            <v>serum</v>
          </cell>
          <cell r="AF12437">
            <v>1</v>
          </cell>
        </row>
        <row r="12438">
          <cell r="A12438" t="str">
            <v>IS_alqt_plus</v>
          </cell>
          <cell r="K12438" t="str">
            <v>PCOQ</v>
          </cell>
          <cell r="M12438" t="str">
            <v>M</v>
          </cell>
          <cell r="AB12438" t="str">
            <v>serum</v>
          </cell>
          <cell r="AF12438">
            <v>1</v>
          </cell>
        </row>
        <row r="12439">
          <cell r="A12439" t="str">
            <v>IS_alqt_plus</v>
          </cell>
          <cell r="K12439" t="str">
            <v>PCOQ</v>
          </cell>
          <cell r="M12439" t="str">
            <v>M</v>
          </cell>
          <cell r="AB12439" t="str">
            <v>serum</v>
          </cell>
          <cell r="AF12439">
            <v>1</v>
          </cell>
        </row>
        <row r="12440">
          <cell r="A12440" t="str">
            <v>IS_alqt_plus</v>
          </cell>
          <cell r="K12440" t="str">
            <v>PCOQ</v>
          </cell>
          <cell r="M12440" t="str">
            <v>M</v>
          </cell>
          <cell r="AB12440" t="str">
            <v>serum</v>
          </cell>
          <cell r="AF12440">
            <v>1</v>
          </cell>
        </row>
        <row r="12441">
          <cell r="A12441" t="str">
            <v>IS_alqt_plus</v>
          </cell>
          <cell r="K12441" t="str">
            <v>PCOQ</v>
          </cell>
          <cell r="M12441" t="str">
            <v>M</v>
          </cell>
          <cell r="AB12441" t="str">
            <v>serum</v>
          </cell>
          <cell r="AF12441">
            <v>1</v>
          </cell>
        </row>
        <row r="12442">
          <cell r="A12442" t="str">
            <v>IS_alqt_plus</v>
          </cell>
          <cell r="K12442" t="str">
            <v>PCOQ</v>
          </cell>
          <cell r="M12442" t="str">
            <v>M</v>
          </cell>
          <cell r="AB12442" t="str">
            <v>serum</v>
          </cell>
          <cell r="AF12442">
            <v>1</v>
          </cell>
        </row>
        <row r="12443">
          <cell r="A12443" t="str">
            <v>IS_alqt_plus</v>
          </cell>
          <cell r="K12443" t="str">
            <v>PCOQ</v>
          </cell>
          <cell r="M12443" t="str">
            <v>M</v>
          </cell>
          <cell r="AB12443" t="str">
            <v>serum</v>
          </cell>
          <cell r="AF12443">
            <v>1</v>
          </cell>
        </row>
        <row r="12444">
          <cell r="A12444" t="str">
            <v>IS_alqt_plus</v>
          </cell>
          <cell r="K12444" t="str">
            <v>PCOQ</v>
          </cell>
          <cell r="M12444" t="str">
            <v>M</v>
          </cell>
          <cell r="AB12444" t="str">
            <v>serum</v>
          </cell>
          <cell r="AF12444">
            <v>1</v>
          </cell>
        </row>
        <row r="12445">
          <cell r="A12445" t="str">
            <v>IS_alqt_plus</v>
          </cell>
          <cell r="K12445" t="str">
            <v>PCOQ</v>
          </cell>
          <cell r="M12445" t="str">
            <v>M</v>
          </cell>
          <cell r="AB12445" t="str">
            <v>serum</v>
          </cell>
          <cell r="AF12445">
            <v>1</v>
          </cell>
        </row>
        <row r="12446">
          <cell r="A12446" t="str">
            <v>IS_alqt_plus</v>
          </cell>
          <cell r="K12446" t="str">
            <v>PCOQ</v>
          </cell>
          <cell r="M12446" t="str">
            <v>M</v>
          </cell>
          <cell r="AB12446" t="str">
            <v>serum</v>
          </cell>
          <cell r="AF12446">
            <v>1</v>
          </cell>
        </row>
        <row r="12447">
          <cell r="A12447" t="str">
            <v>IS_alqt_plus</v>
          </cell>
          <cell r="K12447" t="str">
            <v>PCOQ</v>
          </cell>
          <cell r="M12447" t="str">
            <v>M</v>
          </cell>
          <cell r="AB12447" t="str">
            <v>serum</v>
          </cell>
          <cell r="AF12447">
            <v>1</v>
          </cell>
        </row>
        <row r="12448">
          <cell r="A12448" t="str">
            <v>IS_alqt_plus</v>
          </cell>
          <cell r="K12448" t="str">
            <v>PCOQ</v>
          </cell>
          <cell r="M12448" t="str">
            <v>M</v>
          </cell>
          <cell r="AB12448" t="str">
            <v>serum</v>
          </cell>
          <cell r="AF12448">
            <v>1</v>
          </cell>
        </row>
        <row r="12449">
          <cell r="A12449" t="str">
            <v>IS_alqt_plus</v>
          </cell>
          <cell r="K12449" t="str">
            <v>PCOQ</v>
          </cell>
          <cell r="M12449" t="str">
            <v>M</v>
          </cell>
          <cell r="AB12449" t="str">
            <v>serum</v>
          </cell>
          <cell r="AF12449">
            <v>1</v>
          </cell>
        </row>
        <row r="12450">
          <cell r="A12450" t="str">
            <v>IS_alqt_plus</v>
          </cell>
          <cell r="K12450" t="str">
            <v>PCOQ</v>
          </cell>
          <cell r="M12450" t="str">
            <v>M</v>
          </cell>
          <cell r="AB12450" t="str">
            <v>serum</v>
          </cell>
          <cell r="AF12450">
            <v>1</v>
          </cell>
        </row>
        <row r="12451">
          <cell r="A12451" t="str">
            <v>IS_alqt_plus</v>
          </cell>
          <cell r="K12451" t="str">
            <v>PCOQ</v>
          </cell>
          <cell r="M12451" t="str">
            <v>M</v>
          </cell>
          <cell r="AB12451" t="str">
            <v>serum</v>
          </cell>
          <cell r="AF12451">
            <v>1</v>
          </cell>
        </row>
        <row r="12452">
          <cell r="A12452" t="str">
            <v>IS_alqt_plus</v>
          </cell>
          <cell r="K12452" t="str">
            <v>PCOQ</v>
          </cell>
          <cell r="M12452" t="str">
            <v>M</v>
          </cell>
          <cell r="AB12452" t="str">
            <v>serum</v>
          </cell>
          <cell r="AF12452">
            <v>1</v>
          </cell>
        </row>
        <row r="12453">
          <cell r="A12453" t="str">
            <v>IS_alqt_plus</v>
          </cell>
          <cell r="K12453" t="str">
            <v>PCOQ</v>
          </cell>
          <cell r="M12453" t="str">
            <v>M</v>
          </cell>
          <cell r="AB12453" t="str">
            <v>serum</v>
          </cell>
          <cell r="AF12453">
            <v>1</v>
          </cell>
        </row>
        <row r="12454">
          <cell r="A12454" t="str">
            <v>IS_alqt_plus</v>
          </cell>
          <cell r="K12454" t="str">
            <v>PCOQ</v>
          </cell>
          <cell r="M12454" t="str">
            <v>M</v>
          </cell>
          <cell r="AB12454" t="str">
            <v>serum</v>
          </cell>
          <cell r="AF12454">
            <v>1</v>
          </cell>
        </row>
        <row r="12455">
          <cell r="A12455" t="str">
            <v>IS_alqt_plus</v>
          </cell>
          <cell r="K12455" t="str">
            <v>PCOQ</v>
          </cell>
          <cell r="M12455" t="str">
            <v>M</v>
          </cell>
          <cell r="AB12455" t="str">
            <v>serum</v>
          </cell>
          <cell r="AF12455">
            <v>1</v>
          </cell>
        </row>
        <row r="12456">
          <cell r="A12456" t="str">
            <v>IS_alqt_plus</v>
          </cell>
          <cell r="K12456" t="str">
            <v>PCOQ</v>
          </cell>
          <cell r="M12456" t="str">
            <v>M</v>
          </cell>
          <cell r="AB12456" t="str">
            <v>serum</v>
          </cell>
          <cell r="AF12456">
            <v>1</v>
          </cell>
        </row>
        <row r="12457">
          <cell r="A12457" t="str">
            <v>IS_alqt_plus</v>
          </cell>
          <cell r="K12457" t="str">
            <v>PCOQ</v>
          </cell>
          <cell r="M12457" t="str">
            <v>M</v>
          </cell>
          <cell r="AB12457" t="str">
            <v>serum</v>
          </cell>
          <cell r="AF12457">
            <v>1</v>
          </cell>
        </row>
        <row r="12458">
          <cell r="A12458" t="str">
            <v>IS_alqt_plus</v>
          </cell>
          <cell r="K12458" t="str">
            <v>PCOQ</v>
          </cell>
          <cell r="M12458" t="str">
            <v>M</v>
          </cell>
          <cell r="AB12458" t="str">
            <v>serum</v>
          </cell>
          <cell r="AF12458">
            <v>1</v>
          </cell>
        </row>
        <row r="12459">
          <cell r="A12459" t="str">
            <v>IS_alqt_plus</v>
          </cell>
          <cell r="K12459" t="str">
            <v>PCOQ</v>
          </cell>
          <cell r="M12459" t="str">
            <v>M</v>
          </cell>
          <cell r="AB12459" t="str">
            <v>serum</v>
          </cell>
          <cell r="AF12459">
            <v>1</v>
          </cell>
        </row>
        <row r="12460">
          <cell r="A12460" t="str">
            <v>IS_alqt_plus</v>
          </cell>
          <cell r="K12460" t="str">
            <v>PCOQ</v>
          </cell>
          <cell r="M12460" t="str">
            <v>M</v>
          </cell>
          <cell r="AB12460" t="str">
            <v>serum</v>
          </cell>
          <cell r="AF12460">
            <v>1</v>
          </cell>
        </row>
        <row r="12461">
          <cell r="A12461" t="str">
            <v>IS_alqt_plus</v>
          </cell>
          <cell r="K12461" t="str">
            <v>PCOQ</v>
          </cell>
          <cell r="M12461" t="str">
            <v>M</v>
          </cell>
          <cell r="AB12461" t="str">
            <v>serum</v>
          </cell>
          <cell r="AF12461">
            <v>1</v>
          </cell>
        </row>
        <row r="12462">
          <cell r="A12462" t="str">
            <v>IS_alqt_plus</v>
          </cell>
          <cell r="K12462" t="str">
            <v>PCOQ</v>
          </cell>
          <cell r="M12462" t="str">
            <v>M</v>
          </cell>
          <cell r="AB12462" t="str">
            <v>serum</v>
          </cell>
          <cell r="AF12462">
            <v>1</v>
          </cell>
        </row>
        <row r="12463">
          <cell r="A12463" t="str">
            <v>IS_alqt_plus</v>
          </cell>
          <cell r="K12463" t="str">
            <v>PCOQ</v>
          </cell>
          <cell r="M12463" t="str">
            <v>M</v>
          </cell>
          <cell r="AB12463" t="str">
            <v>serum</v>
          </cell>
          <cell r="AF12463">
            <v>1</v>
          </cell>
        </row>
        <row r="12464">
          <cell r="A12464" t="str">
            <v>IS_alqt_plus</v>
          </cell>
          <cell r="K12464" t="str">
            <v>PCOQ</v>
          </cell>
          <cell r="M12464" t="str">
            <v>M</v>
          </cell>
          <cell r="AB12464" t="str">
            <v>serum</v>
          </cell>
          <cell r="AF12464">
            <v>1</v>
          </cell>
        </row>
        <row r="12465">
          <cell r="A12465" t="str">
            <v>IS_alqt_plus</v>
          </cell>
          <cell r="K12465" t="str">
            <v>PCOQ</v>
          </cell>
          <cell r="M12465" t="str">
            <v>M</v>
          </cell>
          <cell r="AB12465" t="str">
            <v>serum</v>
          </cell>
          <cell r="AF12465">
            <v>1</v>
          </cell>
        </row>
        <row r="12466">
          <cell r="A12466" t="str">
            <v>IS_alqt_plus</v>
          </cell>
          <cell r="K12466" t="str">
            <v>PCOQ</v>
          </cell>
          <cell r="M12466" t="str">
            <v>M</v>
          </cell>
          <cell r="AB12466" t="str">
            <v>serum</v>
          </cell>
          <cell r="AF12466">
            <v>1</v>
          </cell>
        </row>
        <row r="12467">
          <cell r="A12467" t="str">
            <v>IS_alqt_minus</v>
          </cell>
          <cell r="K12467" t="str">
            <v>MMUR</v>
          </cell>
          <cell r="M12467" t="str">
            <v>F</v>
          </cell>
          <cell r="AB12467" t="str">
            <v>WB</v>
          </cell>
          <cell r="AF12467">
            <v>0.01</v>
          </cell>
        </row>
        <row r="12468">
          <cell r="A12468" t="str">
            <v>IS_alqt_plus</v>
          </cell>
          <cell r="K12468" t="str">
            <v>PCOQ</v>
          </cell>
          <cell r="M12468" t="str">
            <v>M</v>
          </cell>
          <cell r="AB12468" t="str">
            <v>serum</v>
          </cell>
          <cell r="AF12468">
            <v>1</v>
          </cell>
        </row>
        <row r="12469">
          <cell r="A12469" t="str">
            <v>IS_alqt_plus</v>
          </cell>
          <cell r="K12469" t="str">
            <v>PCOQ</v>
          </cell>
          <cell r="M12469" t="str">
            <v>M</v>
          </cell>
          <cell r="AB12469" t="str">
            <v>WB</v>
          </cell>
          <cell r="AF12469">
            <v>1</v>
          </cell>
        </row>
        <row r="12470">
          <cell r="A12470" t="str">
            <v>IS_alqt_plus</v>
          </cell>
          <cell r="K12470" t="str">
            <v>PCOQ</v>
          </cell>
          <cell r="M12470" t="str">
            <v>F</v>
          </cell>
          <cell r="AB12470" t="str">
            <v>serum</v>
          </cell>
          <cell r="AF12470">
            <v>1</v>
          </cell>
        </row>
        <row r="12471">
          <cell r="A12471" t="str">
            <v>IS_alqt_plus</v>
          </cell>
          <cell r="K12471" t="str">
            <v>PCOQ</v>
          </cell>
          <cell r="M12471" t="str">
            <v>M</v>
          </cell>
          <cell r="AB12471" t="str">
            <v>WB</v>
          </cell>
          <cell r="AF12471">
            <v>1.2</v>
          </cell>
        </row>
        <row r="12472">
          <cell r="A12472" t="str">
            <v>IS_alqt_plus</v>
          </cell>
          <cell r="K12472" t="str">
            <v>ECOL</v>
          </cell>
          <cell r="M12472" t="str">
            <v>M</v>
          </cell>
          <cell r="AB12472" t="str">
            <v>serum</v>
          </cell>
          <cell r="AF12472">
            <v>1</v>
          </cell>
        </row>
        <row r="12473">
          <cell r="A12473" t="str">
            <v>IS_alqt_plus</v>
          </cell>
          <cell r="K12473" t="str">
            <v>ECOL</v>
          </cell>
          <cell r="M12473" t="str">
            <v>M</v>
          </cell>
          <cell r="AB12473" t="str">
            <v>WB</v>
          </cell>
          <cell r="AF12473">
            <v>1.5</v>
          </cell>
        </row>
        <row r="12474">
          <cell r="A12474" t="str">
            <v>IS_alqt_plus</v>
          </cell>
          <cell r="K12474" t="str">
            <v>EMON</v>
          </cell>
          <cell r="M12474" t="str">
            <v>M</v>
          </cell>
          <cell r="AB12474" t="str">
            <v>WB</v>
          </cell>
          <cell r="AF12474">
            <v>1</v>
          </cell>
        </row>
        <row r="12475">
          <cell r="A12475" t="str">
            <v>IS_alqt_plus</v>
          </cell>
          <cell r="K12475" t="str">
            <v>EMON</v>
          </cell>
          <cell r="M12475" t="str">
            <v>F</v>
          </cell>
          <cell r="AB12475" t="str">
            <v>WB</v>
          </cell>
          <cell r="AF12475">
            <v>1</v>
          </cell>
        </row>
        <row r="12476">
          <cell r="A12476" t="str">
            <v>IS_alqt_plus</v>
          </cell>
          <cell r="K12476" t="str">
            <v>EMON</v>
          </cell>
          <cell r="M12476" t="str">
            <v>F</v>
          </cell>
          <cell r="AB12476" t="str">
            <v>WB</v>
          </cell>
          <cell r="AF12476">
            <v>0.5</v>
          </cell>
        </row>
        <row r="12477">
          <cell r="A12477" t="str">
            <v>IS_alqt_plus</v>
          </cell>
          <cell r="K12477" t="str">
            <v>LCAT</v>
          </cell>
          <cell r="M12477" t="str">
            <v>F</v>
          </cell>
          <cell r="AB12477" t="str">
            <v>serum</v>
          </cell>
          <cell r="AF12477">
            <v>1.25</v>
          </cell>
        </row>
        <row r="12478">
          <cell r="A12478" t="str">
            <v>IS_alqt_minus</v>
          </cell>
          <cell r="K12478" t="str">
            <v>CMED</v>
          </cell>
          <cell r="M12478" t="str">
            <v>M</v>
          </cell>
          <cell r="AB12478" t="str">
            <v>WB</v>
          </cell>
          <cell r="AF12478">
            <v>0.02</v>
          </cell>
        </row>
        <row r="12479">
          <cell r="A12479" t="str">
            <v>IS_alqt_plus</v>
          </cell>
          <cell r="K12479" t="str">
            <v>VRUB</v>
          </cell>
          <cell r="M12479" t="str">
            <v>F</v>
          </cell>
          <cell r="AB12479" t="str">
            <v>WB</v>
          </cell>
          <cell r="AF12479">
            <v>1</v>
          </cell>
        </row>
        <row r="12480">
          <cell r="A12480" t="str">
            <v>IS_alqt_plus</v>
          </cell>
          <cell r="K12480" t="str">
            <v>VRUB</v>
          </cell>
          <cell r="M12480" t="str">
            <v>F</v>
          </cell>
          <cell r="AB12480" t="str">
            <v>WB</v>
          </cell>
          <cell r="AF12480">
            <v>0.5</v>
          </cell>
        </row>
        <row r="12481">
          <cell r="A12481" t="str">
            <v>IS_alqt_plus</v>
          </cell>
          <cell r="K12481" t="str">
            <v>DMAD</v>
          </cell>
          <cell r="M12481" t="str">
            <v>M</v>
          </cell>
          <cell r="AB12481" t="str">
            <v>serum</v>
          </cell>
          <cell r="AF12481">
            <v>1</v>
          </cell>
        </row>
        <row r="12482">
          <cell r="A12482" t="str">
            <v>IS_alqt_plus</v>
          </cell>
          <cell r="K12482" t="str">
            <v>DMAD</v>
          </cell>
          <cell r="M12482" t="str">
            <v>M</v>
          </cell>
          <cell r="AB12482" t="str">
            <v>WB</v>
          </cell>
          <cell r="AF12482">
            <v>0.5</v>
          </cell>
        </row>
        <row r="12483">
          <cell r="A12483" t="str">
            <v>IS_alqt_plus</v>
          </cell>
          <cell r="K12483" t="str">
            <v>DMAD</v>
          </cell>
          <cell r="M12483" t="str">
            <v>M</v>
          </cell>
          <cell r="AB12483" t="str">
            <v>WB</v>
          </cell>
          <cell r="AF12483">
            <v>1</v>
          </cell>
        </row>
        <row r="12484">
          <cell r="A12484" t="str">
            <v>IS_alqt_plus</v>
          </cell>
          <cell r="K12484" t="str">
            <v>VRUB</v>
          </cell>
          <cell r="M12484" t="str">
            <v>M</v>
          </cell>
          <cell r="AB12484" t="str">
            <v>serum</v>
          </cell>
          <cell r="AF12484">
            <v>1</v>
          </cell>
        </row>
        <row r="12485">
          <cell r="A12485" t="str">
            <v>gone</v>
          </cell>
          <cell r="K12485" t="str">
            <v>VRUB</v>
          </cell>
          <cell r="M12485" t="str">
            <v>F</v>
          </cell>
          <cell r="AB12485" t="str">
            <v>WB</v>
          </cell>
          <cell r="AF12485">
            <v>0</v>
          </cell>
        </row>
        <row r="12486">
          <cell r="A12486" t="str">
            <v>gone</v>
          </cell>
          <cell r="K12486" t="str">
            <v>VRUB</v>
          </cell>
          <cell r="M12486" t="str">
            <v>M</v>
          </cell>
          <cell r="AB12486" t="str">
            <v>WB</v>
          </cell>
          <cell r="AF12486">
            <v>0</v>
          </cell>
        </row>
        <row r="12487">
          <cell r="A12487" t="str">
            <v>IS_alqt_plus</v>
          </cell>
          <cell r="K12487" t="str">
            <v>VRUB</v>
          </cell>
          <cell r="M12487" t="str">
            <v>F</v>
          </cell>
          <cell r="AB12487" t="str">
            <v>serum</v>
          </cell>
          <cell r="AF12487">
            <v>1</v>
          </cell>
        </row>
        <row r="12488">
          <cell r="A12488" t="str">
            <v>IS_alqt_plus</v>
          </cell>
          <cell r="K12488" t="str">
            <v>PCOQ</v>
          </cell>
          <cell r="M12488" t="str">
            <v>M</v>
          </cell>
          <cell r="AB12488" t="str">
            <v>WB</v>
          </cell>
          <cell r="AF12488">
            <v>1.2</v>
          </cell>
        </row>
        <row r="12489">
          <cell r="A12489" t="str">
            <v>IS_alqt_plus</v>
          </cell>
          <cell r="K12489" t="str">
            <v>PCOQ</v>
          </cell>
          <cell r="M12489" t="str">
            <v>M</v>
          </cell>
          <cell r="AB12489" t="str">
            <v>serum</v>
          </cell>
          <cell r="AF12489">
            <v>0.5</v>
          </cell>
        </row>
        <row r="12490">
          <cell r="A12490" t="str">
            <v>IS_alqt_plus</v>
          </cell>
          <cell r="K12490" t="str">
            <v>ERUF</v>
          </cell>
          <cell r="M12490" t="str">
            <v>F</v>
          </cell>
          <cell r="AB12490" t="str">
            <v>serum</v>
          </cell>
          <cell r="AF12490">
            <v>1</v>
          </cell>
        </row>
        <row r="12491">
          <cell r="A12491" t="str">
            <v>IS_alqt_plus</v>
          </cell>
          <cell r="K12491" t="str">
            <v>ERUF</v>
          </cell>
          <cell r="M12491" t="str">
            <v>F</v>
          </cell>
          <cell r="AB12491" t="str">
            <v>serum</v>
          </cell>
          <cell r="AF12491">
            <v>1</v>
          </cell>
        </row>
        <row r="12492">
          <cell r="A12492" t="str">
            <v>IS_alqt_plus</v>
          </cell>
          <cell r="K12492" t="str">
            <v>ERUF</v>
          </cell>
          <cell r="M12492" t="str">
            <v>F</v>
          </cell>
          <cell r="AB12492" t="str">
            <v>serum</v>
          </cell>
          <cell r="AF12492">
            <v>1</v>
          </cell>
        </row>
        <row r="12493">
          <cell r="A12493" t="str">
            <v>IS_alqt_plus</v>
          </cell>
          <cell r="K12493" t="str">
            <v>ERUF</v>
          </cell>
          <cell r="M12493" t="str">
            <v>F</v>
          </cell>
          <cell r="AB12493" t="str">
            <v>serum</v>
          </cell>
          <cell r="AF12493">
            <v>1</v>
          </cell>
        </row>
        <row r="12494">
          <cell r="A12494" t="str">
            <v>IS_alqt_plus</v>
          </cell>
          <cell r="K12494" t="str">
            <v>ERUF</v>
          </cell>
          <cell r="M12494" t="str">
            <v>F</v>
          </cell>
          <cell r="AB12494" t="str">
            <v>serum</v>
          </cell>
          <cell r="AF12494">
            <v>1</v>
          </cell>
        </row>
        <row r="12495">
          <cell r="A12495" t="str">
            <v>IS_alqt_plus</v>
          </cell>
          <cell r="K12495" t="str">
            <v>ERUF</v>
          </cell>
          <cell r="M12495" t="str">
            <v>F</v>
          </cell>
          <cell r="AB12495" t="str">
            <v>serum</v>
          </cell>
          <cell r="AF12495">
            <v>1</v>
          </cell>
        </row>
        <row r="12496">
          <cell r="A12496" t="str">
            <v>IS_alqt_plus</v>
          </cell>
          <cell r="K12496" t="str">
            <v>ERUF</v>
          </cell>
          <cell r="M12496" t="str">
            <v>F</v>
          </cell>
          <cell r="AB12496" t="str">
            <v>serum</v>
          </cell>
          <cell r="AF12496">
            <v>1</v>
          </cell>
        </row>
        <row r="12497">
          <cell r="A12497" t="str">
            <v>IS_alqt_plus</v>
          </cell>
          <cell r="K12497" t="str">
            <v>ERUF</v>
          </cell>
          <cell r="M12497" t="str">
            <v>F</v>
          </cell>
          <cell r="AB12497" t="str">
            <v>serum</v>
          </cell>
          <cell r="AF12497">
            <v>1</v>
          </cell>
        </row>
        <row r="12498">
          <cell r="A12498" t="str">
            <v>IS_alqt_plus</v>
          </cell>
          <cell r="K12498" t="str">
            <v>ERUF</v>
          </cell>
          <cell r="M12498" t="str">
            <v>F</v>
          </cell>
          <cell r="AB12498" t="str">
            <v>serum</v>
          </cell>
          <cell r="AF12498">
            <v>1</v>
          </cell>
        </row>
        <row r="12499">
          <cell r="A12499" t="str">
            <v>IS_alqt_plus</v>
          </cell>
          <cell r="K12499" t="str">
            <v>ERUF</v>
          </cell>
          <cell r="M12499" t="str">
            <v>F</v>
          </cell>
          <cell r="AB12499" t="str">
            <v>serum</v>
          </cell>
          <cell r="AF12499">
            <v>1</v>
          </cell>
        </row>
        <row r="12500">
          <cell r="A12500" t="str">
            <v>IS_alqt_plus</v>
          </cell>
          <cell r="K12500" t="str">
            <v>ERUF</v>
          </cell>
          <cell r="M12500" t="str">
            <v>F</v>
          </cell>
          <cell r="AB12500" t="str">
            <v>serum</v>
          </cell>
          <cell r="AF12500">
            <v>1</v>
          </cell>
        </row>
        <row r="12501">
          <cell r="A12501" t="str">
            <v>IS_alqt_plus</v>
          </cell>
          <cell r="K12501" t="str">
            <v>ERUF</v>
          </cell>
          <cell r="M12501" t="str">
            <v>F</v>
          </cell>
          <cell r="AB12501" t="str">
            <v>serum</v>
          </cell>
          <cell r="AF12501">
            <v>1</v>
          </cell>
        </row>
        <row r="12502">
          <cell r="A12502" t="str">
            <v>IS_alqt_plus</v>
          </cell>
          <cell r="K12502" t="str">
            <v>ERUF</v>
          </cell>
          <cell r="M12502" t="str">
            <v>F</v>
          </cell>
          <cell r="AB12502" t="str">
            <v>WB</v>
          </cell>
          <cell r="AF12502">
            <v>1</v>
          </cell>
        </row>
        <row r="12503">
          <cell r="A12503" t="str">
            <v>IS_alqt_plus</v>
          </cell>
          <cell r="K12503" t="str">
            <v>ERUF</v>
          </cell>
          <cell r="M12503" t="str">
            <v>F</v>
          </cell>
          <cell r="AB12503" t="str">
            <v>WB</v>
          </cell>
          <cell r="AF12503">
            <v>1</v>
          </cell>
        </row>
        <row r="12504">
          <cell r="A12504" t="str">
            <v>IS_alqt_plus</v>
          </cell>
          <cell r="K12504" t="str">
            <v>ERUF</v>
          </cell>
          <cell r="M12504" t="str">
            <v>F</v>
          </cell>
          <cell r="AB12504" t="str">
            <v>WB</v>
          </cell>
          <cell r="AF12504">
            <v>1</v>
          </cell>
        </row>
        <row r="12505">
          <cell r="A12505" t="str">
            <v>IS_alqt_plus</v>
          </cell>
          <cell r="K12505" t="str">
            <v>ERUF</v>
          </cell>
          <cell r="M12505" t="str">
            <v>F</v>
          </cell>
          <cell r="AB12505" t="str">
            <v>WB</v>
          </cell>
          <cell r="AF12505">
            <v>1</v>
          </cell>
        </row>
        <row r="12506">
          <cell r="A12506" t="str">
            <v>IS_alqt_plus</v>
          </cell>
          <cell r="K12506" t="str">
            <v>ERUF</v>
          </cell>
          <cell r="M12506" t="str">
            <v>F</v>
          </cell>
          <cell r="AB12506" t="str">
            <v>WB</v>
          </cell>
          <cell r="AF12506">
            <v>1</v>
          </cell>
        </row>
        <row r="12507">
          <cell r="A12507" t="str">
            <v>IS_alqt_plus</v>
          </cell>
          <cell r="K12507" t="str">
            <v>ERUF</v>
          </cell>
          <cell r="M12507" t="str">
            <v>F</v>
          </cell>
          <cell r="AB12507" t="str">
            <v>WB</v>
          </cell>
          <cell r="AF12507">
            <v>1</v>
          </cell>
        </row>
        <row r="12508">
          <cell r="A12508" t="str">
            <v>IS_alqt_plus</v>
          </cell>
          <cell r="K12508" t="str">
            <v>ERUF</v>
          </cell>
          <cell r="M12508" t="str">
            <v>F</v>
          </cell>
          <cell r="AB12508" t="str">
            <v>WB</v>
          </cell>
          <cell r="AF12508">
            <v>1</v>
          </cell>
        </row>
        <row r="12509">
          <cell r="A12509" t="str">
            <v>IS_alqt_plus</v>
          </cell>
          <cell r="K12509" t="str">
            <v>ERUF</v>
          </cell>
          <cell r="M12509" t="str">
            <v>F</v>
          </cell>
          <cell r="AB12509" t="str">
            <v>WB</v>
          </cell>
          <cell r="AF12509">
            <v>1</v>
          </cell>
        </row>
        <row r="12510">
          <cell r="A12510" t="str">
            <v>IS_alqt_plus</v>
          </cell>
          <cell r="K12510" t="str">
            <v>ERUF</v>
          </cell>
          <cell r="M12510" t="str">
            <v>F</v>
          </cell>
          <cell r="AB12510" t="str">
            <v>WB</v>
          </cell>
          <cell r="AF12510">
            <v>1</v>
          </cell>
        </row>
        <row r="12511">
          <cell r="A12511" t="str">
            <v>IS_alqt_plus</v>
          </cell>
          <cell r="K12511" t="str">
            <v>ERUF</v>
          </cell>
          <cell r="M12511" t="str">
            <v>F</v>
          </cell>
          <cell r="AB12511" t="str">
            <v>WB</v>
          </cell>
          <cell r="AF12511">
            <v>1</v>
          </cell>
        </row>
        <row r="12512">
          <cell r="A12512" t="str">
            <v>IS_alqt_plus</v>
          </cell>
          <cell r="K12512" t="str">
            <v>ERUF</v>
          </cell>
          <cell r="M12512" t="str">
            <v>F</v>
          </cell>
          <cell r="AB12512" t="str">
            <v>WB</v>
          </cell>
          <cell r="AF12512">
            <v>1</v>
          </cell>
        </row>
        <row r="12513">
          <cell r="A12513" t="str">
            <v>IS_alqt_plus</v>
          </cell>
          <cell r="K12513" t="str">
            <v>ERUF</v>
          </cell>
          <cell r="M12513" t="str">
            <v>F</v>
          </cell>
          <cell r="AB12513" t="str">
            <v>WB</v>
          </cell>
          <cell r="AF12513">
            <v>1</v>
          </cell>
        </row>
        <row r="12514">
          <cell r="A12514" t="str">
            <v>IS_alqt_plus</v>
          </cell>
          <cell r="K12514" t="str">
            <v>ERUF</v>
          </cell>
          <cell r="M12514" t="str">
            <v>F</v>
          </cell>
          <cell r="AB12514" t="str">
            <v>WB</v>
          </cell>
          <cell r="AF12514">
            <v>1</v>
          </cell>
        </row>
        <row r="12515">
          <cell r="A12515" t="str">
            <v>IS_alqt_plus</v>
          </cell>
          <cell r="K12515" t="str">
            <v>ERUF</v>
          </cell>
          <cell r="M12515" t="str">
            <v>F</v>
          </cell>
          <cell r="AB12515" t="str">
            <v>WB</v>
          </cell>
          <cell r="AF12515">
            <v>1</v>
          </cell>
        </row>
        <row r="12516">
          <cell r="A12516" t="str">
            <v>IS_alqt_plus</v>
          </cell>
          <cell r="K12516" t="str">
            <v>LCAT</v>
          </cell>
          <cell r="M12516" t="str">
            <v>F</v>
          </cell>
          <cell r="AB12516" t="str">
            <v>serum</v>
          </cell>
          <cell r="AF12516">
            <v>1</v>
          </cell>
        </row>
        <row r="12517">
          <cell r="A12517" t="str">
            <v>IS_alqt_plus</v>
          </cell>
          <cell r="K12517" t="str">
            <v>PCOQ</v>
          </cell>
          <cell r="M12517" t="str">
            <v>M</v>
          </cell>
          <cell r="AB12517" t="str">
            <v>WB</v>
          </cell>
          <cell r="AF12517">
            <v>1</v>
          </cell>
        </row>
        <row r="12518">
          <cell r="A12518" t="str">
            <v>IS_alqt_minus</v>
          </cell>
          <cell r="K12518" t="str">
            <v>MMUR</v>
          </cell>
          <cell r="M12518" t="str">
            <v>M</v>
          </cell>
          <cell r="AB12518" t="str">
            <v>plasma</v>
          </cell>
          <cell r="AF12518">
            <v>0.02</v>
          </cell>
        </row>
        <row r="12519">
          <cell r="A12519" t="str">
            <v>IS_alqt_plus</v>
          </cell>
          <cell r="K12519" t="str">
            <v>EFLA</v>
          </cell>
          <cell r="M12519" t="str">
            <v>M</v>
          </cell>
          <cell r="AB12519" t="str">
            <v>serum</v>
          </cell>
          <cell r="AF12519">
            <v>1</v>
          </cell>
        </row>
        <row r="12520">
          <cell r="A12520" t="str">
            <v>IS_alqt_plus</v>
          </cell>
          <cell r="K12520" t="str">
            <v>EFLA</v>
          </cell>
          <cell r="M12520" t="str">
            <v>M</v>
          </cell>
          <cell r="AB12520" t="str">
            <v>WB</v>
          </cell>
          <cell r="AF12520">
            <v>1</v>
          </cell>
        </row>
        <row r="12521">
          <cell r="A12521" t="str">
            <v>IS_alqt_plus</v>
          </cell>
          <cell r="K12521" t="str">
            <v>EFLA</v>
          </cell>
          <cell r="M12521" t="str">
            <v>F</v>
          </cell>
          <cell r="AB12521" t="str">
            <v>WB</v>
          </cell>
          <cell r="AF12521">
            <v>0.75</v>
          </cell>
        </row>
        <row r="12522">
          <cell r="A12522" t="str">
            <v>IS_alqt_plus</v>
          </cell>
          <cell r="K12522" t="str">
            <v>PCOQ</v>
          </cell>
          <cell r="M12522" t="str">
            <v>M</v>
          </cell>
          <cell r="AB12522" t="str">
            <v>WB</v>
          </cell>
          <cell r="AF12522">
            <v>0.75</v>
          </cell>
        </row>
        <row r="12523">
          <cell r="A12523" t="str">
            <v>IS_alqt_plus</v>
          </cell>
          <cell r="K12523" t="str">
            <v>LCAT</v>
          </cell>
          <cell r="M12523" t="str">
            <v>M</v>
          </cell>
          <cell r="AB12523" t="str">
            <v>serum</v>
          </cell>
          <cell r="AF12523">
            <v>1</v>
          </cell>
        </row>
        <row r="12524">
          <cell r="A12524" t="str">
            <v>IS_alqt_minus</v>
          </cell>
          <cell r="K12524" t="str">
            <v>MMUR</v>
          </cell>
          <cell r="M12524" t="str">
            <v>M</v>
          </cell>
          <cell r="AB12524" t="str">
            <v>WB</v>
          </cell>
          <cell r="AF12524">
            <v>0.1</v>
          </cell>
        </row>
        <row r="12525">
          <cell r="A12525" t="str">
            <v>IS_alqt_minus</v>
          </cell>
          <cell r="K12525" t="str">
            <v>MMUR</v>
          </cell>
          <cell r="M12525" t="str">
            <v>F</v>
          </cell>
          <cell r="AB12525" t="str">
            <v>WB</v>
          </cell>
          <cell r="AF12525">
            <v>0.1</v>
          </cell>
        </row>
        <row r="12526">
          <cell r="A12526" t="str">
            <v>IS_alqt_plus</v>
          </cell>
          <cell r="K12526" t="str">
            <v>MMUR</v>
          </cell>
          <cell r="M12526" t="str">
            <v>M</v>
          </cell>
          <cell r="AB12526" t="str">
            <v>WB</v>
          </cell>
          <cell r="AF12526">
            <v>1</v>
          </cell>
        </row>
        <row r="12527">
          <cell r="A12527" t="str">
            <v>gone</v>
          </cell>
          <cell r="K12527" t="str">
            <v>MMUR</v>
          </cell>
          <cell r="M12527" t="str">
            <v>M</v>
          </cell>
          <cell r="AB12527" t="str">
            <v>WB</v>
          </cell>
          <cell r="AF12527">
            <v>0</v>
          </cell>
        </row>
        <row r="12528">
          <cell r="A12528" t="str">
            <v>IS_alqt_plus</v>
          </cell>
          <cell r="K12528" t="str">
            <v>PCOQ</v>
          </cell>
          <cell r="M12528" t="str">
            <v>M</v>
          </cell>
          <cell r="AB12528" t="str">
            <v>WB</v>
          </cell>
          <cell r="AF12528">
            <v>1</v>
          </cell>
        </row>
        <row r="12529">
          <cell r="A12529" t="str">
            <v>IS_alqt_plus</v>
          </cell>
          <cell r="K12529" t="str">
            <v>PCOQ</v>
          </cell>
          <cell r="M12529" t="str">
            <v>F</v>
          </cell>
          <cell r="AB12529" t="str">
            <v>serum</v>
          </cell>
          <cell r="AF12529">
            <v>0.25</v>
          </cell>
        </row>
        <row r="12530">
          <cell r="A12530" t="str">
            <v>IS_alqt_plus</v>
          </cell>
          <cell r="K12530" t="str">
            <v>PCOQ</v>
          </cell>
          <cell r="M12530" t="str">
            <v>F</v>
          </cell>
          <cell r="AB12530" t="str">
            <v>serum</v>
          </cell>
          <cell r="AF12530" t="str">
            <v>unk amt</v>
          </cell>
        </row>
        <row r="12531">
          <cell r="A12531" t="str">
            <v>IS_alqt_plus</v>
          </cell>
          <cell r="K12531" t="str">
            <v>ECOR</v>
          </cell>
          <cell r="M12531" t="str">
            <v>M</v>
          </cell>
          <cell r="AB12531" t="str">
            <v>serum</v>
          </cell>
          <cell r="AF12531">
            <v>1.3</v>
          </cell>
        </row>
        <row r="12532">
          <cell r="A12532" t="str">
            <v>IS_alqt_plus</v>
          </cell>
          <cell r="K12532" t="str">
            <v>ECOR</v>
          </cell>
          <cell r="M12532" t="str">
            <v>M</v>
          </cell>
          <cell r="AB12532" t="str">
            <v>WB</v>
          </cell>
          <cell r="AF12532">
            <v>1</v>
          </cell>
        </row>
        <row r="12533">
          <cell r="A12533" t="str">
            <v>IS_alqt_plus</v>
          </cell>
          <cell r="K12533" t="str">
            <v>LCAT</v>
          </cell>
          <cell r="M12533" t="str">
            <v>F</v>
          </cell>
          <cell r="AB12533" t="str">
            <v>serum</v>
          </cell>
          <cell r="AF12533">
            <v>1</v>
          </cell>
        </row>
        <row r="12534">
          <cell r="A12534" t="str">
            <v>IS_alqt_plus</v>
          </cell>
          <cell r="K12534" t="str">
            <v>LCAT</v>
          </cell>
          <cell r="M12534" t="str">
            <v>F</v>
          </cell>
          <cell r="AB12534" t="str">
            <v>serum</v>
          </cell>
          <cell r="AF12534">
            <v>1</v>
          </cell>
        </row>
        <row r="12535">
          <cell r="A12535" t="str">
            <v>IS_alqt_plus</v>
          </cell>
          <cell r="K12535" t="str">
            <v>LCAT</v>
          </cell>
          <cell r="M12535" t="str">
            <v>F</v>
          </cell>
          <cell r="AB12535" t="str">
            <v>serum</v>
          </cell>
          <cell r="AF12535">
            <v>1</v>
          </cell>
        </row>
        <row r="12536">
          <cell r="A12536" t="str">
            <v>IS_alqt_plus</v>
          </cell>
          <cell r="K12536" t="str">
            <v>LCAT</v>
          </cell>
          <cell r="M12536" t="str">
            <v>F</v>
          </cell>
          <cell r="AB12536" t="str">
            <v>serum</v>
          </cell>
          <cell r="AF12536">
            <v>1</v>
          </cell>
        </row>
        <row r="12537">
          <cell r="A12537" t="str">
            <v>IS_alqt_plus</v>
          </cell>
          <cell r="K12537" t="str">
            <v>LCAT</v>
          </cell>
          <cell r="M12537" t="str">
            <v>F</v>
          </cell>
          <cell r="AB12537" t="str">
            <v>serum</v>
          </cell>
          <cell r="AF12537">
            <v>1</v>
          </cell>
        </row>
        <row r="12538">
          <cell r="A12538" t="str">
            <v>IS_alqt_plus</v>
          </cell>
          <cell r="K12538" t="str">
            <v>LCAT</v>
          </cell>
          <cell r="M12538" t="str">
            <v>F</v>
          </cell>
          <cell r="AB12538" t="str">
            <v>serum</v>
          </cell>
          <cell r="AF12538">
            <v>1</v>
          </cell>
        </row>
        <row r="12539">
          <cell r="A12539" t="str">
            <v>IS_alqt_plus</v>
          </cell>
          <cell r="K12539" t="str">
            <v>LCAT</v>
          </cell>
          <cell r="M12539" t="str">
            <v>F</v>
          </cell>
          <cell r="AB12539" t="str">
            <v>serum</v>
          </cell>
          <cell r="AF12539">
            <v>1</v>
          </cell>
        </row>
        <row r="12540">
          <cell r="A12540" t="str">
            <v>IS_alqt_plus</v>
          </cell>
          <cell r="K12540" t="str">
            <v>PCOQ</v>
          </cell>
          <cell r="M12540" t="str">
            <v>M</v>
          </cell>
          <cell r="AB12540" t="str">
            <v>WB</v>
          </cell>
          <cell r="AF12540">
            <v>0.4</v>
          </cell>
        </row>
        <row r="12541">
          <cell r="A12541" t="str">
            <v>gone</v>
          </cell>
          <cell r="K12541" t="str">
            <v>PCOQ</v>
          </cell>
          <cell r="M12541" t="str">
            <v>M</v>
          </cell>
          <cell r="AB12541" t="str">
            <v>WB</v>
          </cell>
          <cell r="AF12541">
            <v>0</v>
          </cell>
        </row>
        <row r="12542">
          <cell r="A12542" t="str">
            <v>gone</v>
          </cell>
          <cell r="K12542" t="str">
            <v>PCOQ</v>
          </cell>
          <cell r="M12542" t="str">
            <v>M</v>
          </cell>
          <cell r="AB12542" t="str">
            <v>WB</v>
          </cell>
          <cell r="AF12542">
            <v>0</v>
          </cell>
        </row>
        <row r="12543">
          <cell r="A12543" t="str">
            <v>gone</v>
          </cell>
          <cell r="K12543" t="str">
            <v>PCOQ</v>
          </cell>
          <cell r="M12543" t="str">
            <v>M</v>
          </cell>
          <cell r="AB12543" t="str">
            <v>WB</v>
          </cell>
          <cell r="AF12543">
            <v>0</v>
          </cell>
        </row>
        <row r="12544">
          <cell r="A12544" t="str">
            <v>IS_alqt_plus</v>
          </cell>
          <cell r="K12544" t="str">
            <v>PCOQ</v>
          </cell>
          <cell r="M12544" t="str">
            <v>M</v>
          </cell>
          <cell r="AB12544" t="str">
            <v>WB</v>
          </cell>
          <cell r="AF12544">
            <v>0.3</v>
          </cell>
        </row>
        <row r="12545">
          <cell r="A12545" t="str">
            <v>IS_alqt_plus</v>
          </cell>
          <cell r="K12545" t="str">
            <v>PCOQ</v>
          </cell>
          <cell r="M12545" t="str">
            <v>F</v>
          </cell>
          <cell r="AB12545" t="str">
            <v>WB</v>
          </cell>
          <cell r="AF12545">
            <v>1</v>
          </cell>
        </row>
        <row r="12546">
          <cell r="A12546" t="str">
            <v>IS_alqt_plus</v>
          </cell>
          <cell r="K12546" t="str">
            <v>PCOQ</v>
          </cell>
          <cell r="M12546" t="str">
            <v>F</v>
          </cell>
          <cell r="AB12546" t="str">
            <v>WB</v>
          </cell>
          <cell r="AF12546">
            <v>0.5</v>
          </cell>
        </row>
        <row r="12547">
          <cell r="A12547" t="str">
            <v>IS_alqt_plus</v>
          </cell>
          <cell r="K12547" t="str">
            <v>PCOQ</v>
          </cell>
          <cell r="M12547" t="str">
            <v>M</v>
          </cell>
          <cell r="AB12547" t="str">
            <v>WB</v>
          </cell>
          <cell r="AF12547">
            <v>1.5</v>
          </cell>
        </row>
        <row r="12548">
          <cell r="A12548" t="str">
            <v>IS_alqt_plus</v>
          </cell>
          <cell r="K12548" t="str">
            <v>PCOQ</v>
          </cell>
          <cell r="M12548" t="str">
            <v>M</v>
          </cell>
          <cell r="AB12548" t="str">
            <v>WB</v>
          </cell>
          <cell r="AF12548">
            <v>0.3</v>
          </cell>
        </row>
        <row r="12549">
          <cell r="A12549" t="str">
            <v>IS_alqt_plus</v>
          </cell>
          <cell r="K12549" t="str">
            <v>VVV</v>
          </cell>
          <cell r="M12549" t="str">
            <v>M</v>
          </cell>
          <cell r="AB12549" t="str">
            <v>serum</v>
          </cell>
          <cell r="AF12549">
            <v>1</v>
          </cell>
        </row>
        <row r="12550">
          <cell r="A12550" t="str">
            <v>IS_alqt_plus</v>
          </cell>
          <cell r="K12550" t="str">
            <v>VVV</v>
          </cell>
          <cell r="M12550" t="str">
            <v>M</v>
          </cell>
          <cell r="AB12550" t="str">
            <v>WB</v>
          </cell>
          <cell r="AF12550">
            <v>1</v>
          </cell>
        </row>
        <row r="12551">
          <cell r="A12551" t="str">
            <v>IS_alqt_plus</v>
          </cell>
          <cell r="K12551" t="str">
            <v>PCOQ</v>
          </cell>
          <cell r="M12551" t="str">
            <v>F</v>
          </cell>
          <cell r="AB12551" t="str">
            <v>WB</v>
          </cell>
          <cell r="AF12551">
            <v>1.2</v>
          </cell>
        </row>
        <row r="12552">
          <cell r="A12552" t="str">
            <v>IS_alqt_plus</v>
          </cell>
          <cell r="K12552" t="str">
            <v>EFLA</v>
          </cell>
          <cell r="M12552" t="str">
            <v>M</v>
          </cell>
          <cell r="AB12552" t="str">
            <v>WB</v>
          </cell>
          <cell r="AF12552">
            <v>0.35</v>
          </cell>
        </row>
        <row r="12553">
          <cell r="A12553" t="str">
            <v>gone</v>
          </cell>
          <cell r="K12553" t="str">
            <v>EFLA</v>
          </cell>
          <cell r="M12553" t="str">
            <v>M</v>
          </cell>
          <cell r="AB12553" t="str">
            <v>WB</v>
          </cell>
          <cell r="AF12553">
            <v>0</v>
          </cell>
        </row>
        <row r="12554">
          <cell r="A12554" t="str">
            <v>IS_alqt_plus</v>
          </cell>
          <cell r="K12554" t="str">
            <v>EFLA</v>
          </cell>
          <cell r="M12554" t="str">
            <v>M</v>
          </cell>
          <cell r="AB12554" t="str">
            <v>WB</v>
          </cell>
          <cell r="AF12554">
            <v>0.2</v>
          </cell>
        </row>
        <row r="12555">
          <cell r="A12555" t="str">
            <v>IS_alqt_plus</v>
          </cell>
          <cell r="K12555" t="str">
            <v>EFLA</v>
          </cell>
          <cell r="M12555" t="str">
            <v>M</v>
          </cell>
          <cell r="AB12555" t="str">
            <v>WB</v>
          </cell>
          <cell r="AF12555">
            <v>0.2</v>
          </cell>
        </row>
        <row r="12556">
          <cell r="A12556" t="str">
            <v>IS_alqt_plus</v>
          </cell>
          <cell r="K12556" t="str">
            <v>EFLA</v>
          </cell>
          <cell r="M12556" t="str">
            <v>M</v>
          </cell>
          <cell r="AB12556" t="str">
            <v>WB</v>
          </cell>
          <cell r="AF12556">
            <v>0.2</v>
          </cell>
        </row>
        <row r="12557">
          <cell r="A12557" t="str">
            <v>IS_alqt_plus</v>
          </cell>
          <cell r="K12557" t="str">
            <v>EFLA</v>
          </cell>
          <cell r="M12557" t="str">
            <v>M</v>
          </cell>
          <cell r="AB12557" t="str">
            <v>serum</v>
          </cell>
          <cell r="AF12557">
            <v>0.5</v>
          </cell>
        </row>
        <row r="12558">
          <cell r="A12558" t="str">
            <v>IS_alqt_plus</v>
          </cell>
          <cell r="K12558" t="str">
            <v>EFLA</v>
          </cell>
          <cell r="M12558" t="str">
            <v>M</v>
          </cell>
          <cell r="AB12558" t="str">
            <v>serum</v>
          </cell>
          <cell r="AF12558">
            <v>0.4</v>
          </cell>
        </row>
        <row r="12559">
          <cell r="A12559" t="str">
            <v>IS_alqt_plus</v>
          </cell>
          <cell r="K12559" t="str">
            <v>EFLA</v>
          </cell>
          <cell r="M12559" t="str">
            <v>M</v>
          </cell>
          <cell r="AB12559" t="str">
            <v>serum</v>
          </cell>
          <cell r="AF12559">
            <v>0.2</v>
          </cell>
        </row>
        <row r="12560">
          <cell r="A12560" t="str">
            <v>IS_alqt_plus</v>
          </cell>
          <cell r="K12560" t="str">
            <v>EFLA</v>
          </cell>
          <cell r="M12560" t="str">
            <v>M</v>
          </cell>
          <cell r="AB12560" t="str">
            <v>serum</v>
          </cell>
          <cell r="AF12560">
            <v>0.2</v>
          </cell>
        </row>
        <row r="12561">
          <cell r="A12561" t="str">
            <v>IS_alqt_plus</v>
          </cell>
          <cell r="K12561" t="str">
            <v>LCAT</v>
          </cell>
          <cell r="M12561" t="str">
            <v>M</v>
          </cell>
          <cell r="AB12561" t="str">
            <v>plasma</v>
          </cell>
          <cell r="AF12561">
            <v>0.2</v>
          </cell>
        </row>
        <row r="12562">
          <cell r="A12562" t="str">
            <v>IS_alqt_plus</v>
          </cell>
          <cell r="K12562" t="str">
            <v>LCAT</v>
          </cell>
          <cell r="M12562" t="str">
            <v>M</v>
          </cell>
          <cell r="AB12562" t="str">
            <v>plasma</v>
          </cell>
          <cell r="AF12562">
            <v>0.2</v>
          </cell>
        </row>
        <row r="12563">
          <cell r="A12563" t="str">
            <v>IS_alqt_plus</v>
          </cell>
          <cell r="K12563" t="str">
            <v>LCAT</v>
          </cell>
          <cell r="M12563" t="str">
            <v>M</v>
          </cell>
          <cell r="AB12563" t="str">
            <v>plasma</v>
          </cell>
          <cell r="AF12563">
            <v>0.2</v>
          </cell>
        </row>
        <row r="12564">
          <cell r="A12564" t="str">
            <v>IS_alqt_plus</v>
          </cell>
          <cell r="K12564" t="str">
            <v>LCAT</v>
          </cell>
          <cell r="M12564" t="str">
            <v>M</v>
          </cell>
          <cell r="AB12564" t="str">
            <v>plasma</v>
          </cell>
          <cell r="AF12564">
            <v>0.2</v>
          </cell>
        </row>
        <row r="12565">
          <cell r="A12565" t="str">
            <v>IS_alqt_plus</v>
          </cell>
          <cell r="K12565" t="str">
            <v>LCAT</v>
          </cell>
          <cell r="M12565" t="str">
            <v>M</v>
          </cell>
          <cell r="AB12565" t="str">
            <v>plasma</v>
          </cell>
          <cell r="AF12565">
            <v>0.2</v>
          </cell>
        </row>
        <row r="12566">
          <cell r="A12566" t="str">
            <v>IS_alqt_plus</v>
          </cell>
          <cell r="K12566" t="str">
            <v>LCAT</v>
          </cell>
          <cell r="M12566" t="str">
            <v>M</v>
          </cell>
          <cell r="AB12566" t="str">
            <v>plasma</v>
          </cell>
          <cell r="AF12566">
            <v>0.2</v>
          </cell>
        </row>
        <row r="12567">
          <cell r="A12567" t="str">
            <v>IS_alqt_plus</v>
          </cell>
          <cell r="K12567" t="str">
            <v>LCAT</v>
          </cell>
          <cell r="M12567" t="str">
            <v>M</v>
          </cell>
          <cell r="AB12567" t="str">
            <v>plasma</v>
          </cell>
          <cell r="AF12567">
            <v>0.2</v>
          </cell>
        </row>
        <row r="12568">
          <cell r="A12568" t="str">
            <v>IS_alqt_plus</v>
          </cell>
          <cell r="K12568" t="str">
            <v>LCAT</v>
          </cell>
          <cell r="M12568" t="str">
            <v>F</v>
          </cell>
          <cell r="AB12568" t="str">
            <v>plasma</v>
          </cell>
          <cell r="AF12568">
            <v>0.2</v>
          </cell>
        </row>
        <row r="12569">
          <cell r="A12569" t="str">
            <v>IS_alqt_plus</v>
          </cell>
          <cell r="K12569" t="str">
            <v>LCAT</v>
          </cell>
          <cell r="M12569" t="str">
            <v>F</v>
          </cell>
          <cell r="AB12569" t="str">
            <v>plasma</v>
          </cell>
          <cell r="AF12569">
            <v>0.2</v>
          </cell>
        </row>
        <row r="12570">
          <cell r="A12570" t="str">
            <v>IS_alqt_plus</v>
          </cell>
          <cell r="K12570" t="str">
            <v>LCAT</v>
          </cell>
          <cell r="M12570" t="str">
            <v>F</v>
          </cell>
          <cell r="AB12570" t="str">
            <v>plasma</v>
          </cell>
          <cell r="AF12570">
            <v>0.2</v>
          </cell>
        </row>
        <row r="12571">
          <cell r="A12571" t="str">
            <v>IS_alqt_plus</v>
          </cell>
          <cell r="K12571" t="str">
            <v>LCAT</v>
          </cell>
          <cell r="M12571" t="str">
            <v>F</v>
          </cell>
          <cell r="AB12571" t="str">
            <v>plasma</v>
          </cell>
          <cell r="AF12571">
            <v>0.2</v>
          </cell>
        </row>
        <row r="12572">
          <cell r="A12572" t="str">
            <v>IS_alqt_plus</v>
          </cell>
          <cell r="K12572" t="str">
            <v>LCAT</v>
          </cell>
          <cell r="M12572" t="str">
            <v>F</v>
          </cell>
          <cell r="AB12572" t="str">
            <v>plasma</v>
          </cell>
          <cell r="AF12572">
            <v>0.2</v>
          </cell>
        </row>
        <row r="12573">
          <cell r="A12573" t="str">
            <v>IS_alqt_plus</v>
          </cell>
          <cell r="K12573" t="str">
            <v>LCAT</v>
          </cell>
          <cell r="M12573" t="str">
            <v>F</v>
          </cell>
          <cell r="AB12573" t="str">
            <v>plasma</v>
          </cell>
          <cell r="AF12573">
            <v>0.2</v>
          </cell>
        </row>
        <row r="12574">
          <cell r="A12574" t="str">
            <v>IS_alqt_plus</v>
          </cell>
          <cell r="K12574" t="str">
            <v>LCAT</v>
          </cell>
          <cell r="M12574" t="str">
            <v>F</v>
          </cell>
          <cell r="AB12574" t="str">
            <v>plasma</v>
          </cell>
          <cell r="AF12574">
            <v>0.2</v>
          </cell>
        </row>
        <row r="12575">
          <cell r="A12575" t="str">
            <v>IS_alqt_plus</v>
          </cell>
          <cell r="K12575" t="str">
            <v>LCAT</v>
          </cell>
          <cell r="M12575" t="str">
            <v>M</v>
          </cell>
          <cell r="AB12575" t="str">
            <v>plasma</v>
          </cell>
          <cell r="AF12575">
            <v>0.2</v>
          </cell>
        </row>
        <row r="12576">
          <cell r="A12576" t="str">
            <v>IS_alqt_plus</v>
          </cell>
          <cell r="K12576" t="str">
            <v>LCAT</v>
          </cell>
          <cell r="M12576" t="str">
            <v>M</v>
          </cell>
          <cell r="AB12576" t="str">
            <v>plasma</v>
          </cell>
          <cell r="AF12576">
            <v>0.2</v>
          </cell>
        </row>
        <row r="12577">
          <cell r="A12577" t="str">
            <v>IS_alqt_plus</v>
          </cell>
          <cell r="K12577" t="str">
            <v>LCAT</v>
          </cell>
          <cell r="M12577" t="str">
            <v>M</v>
          </cell>
          <cell r="AB12577" t="str">
            <v>plasma</v>
          </cell>
          <cell r="AF12577">
            <v>0.2</v>
          </cell>
        </row>
        <row r="12578">
          <cell r="A12578" t="str">
            <v>IS_alqt_plus</v>
          </cell>
          <cell r="K12578" t="str">
            <v>LCAT</v>
          </cell>
          <cell r="M12578" t="str">
            <v>M</v>
          </cell>
          <cell r="AB12578" t="str">
            <v>plasma</v>
          </cell>
          <cell r="AF12578">
            <v>0.2</v>
          </cell>
        </row>
        <row r="12579">
          <cell r="A12579" t="str">
            <v>IS_alqt_plus</v>
          </cell>
          <cell r="K12579" t="str">
            <v>LCAT</v>
          </cell>
          <cell r="M12579" t="str">
            <v>M</v>
          </cell>
          <cell r="AB12579" t="str">
            <v>plasma</v>
          </cell>
          <cell r="AF12579">
            <v>0.2</v>
          </cell>
        </row>
        <row r="12580">
          <cell r="A12580" t="str">
            <v>IS_alqt_plus</v>
          </cell>
          <cell r="K12580" t="str">
            <v>LCAT</v>
          </cell>
          <cell r="M12580" t="str">
            <v>M</v>
          </cell>
          <cell r="AB12580" t="str">
            <v>plasma</v>
          </cell>
          <cell r="AF12580">
            <v>0.2</v>
          </cell>
        </row>
        <row r="12581">
          <cell r="A12581" t="str">
            <v>IS_alqt_plus</v>
          </cell>
          <cell r="K12581" t="str">
            <v>LCAT</v>
          </cell>
          <cell r="M12581" t="str">
            <v>M</v>
          </cell>
          <cell r="AB12581" t="str">
            <v>plasma</v>
          </cell>
          <cell r="AF12581">
            <v>0.2</v>
          </cell>
        </row>
        <row r="12582">
          <cell r="A12582" t="str">
            <v>IS_alqt_plus</v>
          </cell>
          <cell r="K12582" t="str">
            <v>LCAT</v>
          </cell>
          <cell r="M12582" t="str">
            <v>F</v>
          </cell>
          <cell r="AB12582" t="str">
            <v>plasma</v>
          </cell>
          <cell r="AF12582">
            <v>0.2</v>
          </cell>
        </row>
        <row r="12583">
          <cell r="A12583" t="str">
            <v>IS_alqt_plus</v>
          </cell>
          <cell r="K12583" t="str">
            <v>LCAT</v>
          </cell>
          <cell r="M12583" t="str">
            <v>F</v>
          </cell>
          <cell r="AB12583" t="str">
            <v>plasma</v>
          </cell>
          <cell r="AF12583">
            <v>0.2</v>
          </cell>
        </row>
        <row r="12584">
          <cell r="A12584" t="str">
            <v>IS_alqt_plus</v>
          </cell>
          <cell r="K12584" t="str">
            <v>LCAT</v>
          </cell>
          <cell r="M12584" t="str">
            <v>F</v>
          </cell>
          <cell r="AB12584" t="str">
            <v>plasma</v>
          </cell>
          <cell r="AF12584">
            <v>0.2</v>
          </cell>
        </row>
        <row r="12585">
          <cell r="A12585" t="str">
            <v>IS_alqt_plus</v>
          </cell>
          <cell r="K12585" t="str">
            <v>LCAT</v>
          </cell>
          <cell r="M12585" t="str">
            <v>F</v>
          </cell>
          <cell r="AB12585" t="str">
            <v>plasma</v>
          </cell>
          <cell r="AF12585">
            <v>0.2</v>
          </cell>
        </row>
        <row r="12586">
          <cell r="A12586" t="str">
            <v>IS_alqt_plus</v>
          </cell>
          <cell r="K12586" t="str">
            <v>LCAT</v>
          </cell>
          <cell r="M12586" t="str">
            <v>F</v>
          </cell>
          <cell r="AB12586" t="str">
            <v>plasma</v>
          </cell>
          <cell r="AF12586">
            <v>0.2</v>
          </cell>
        </row>
        <row r="12587">
          <cell r="A12587" t="str">
            <v>IS_alqt_plus</v>
          </cell>
          <cell r="K12587" t="str">
            <v>LCAT</v>
          </cell>
          <cell r="M12587" t="str">
            <v>M</v>
          </cell>
          <cell r="AB12587" t="str">
            <v>plasma</v>
          </cell>
          <cell r="AF12587">
            <v>0.2</v>
          </cell>
        </row>
        <row r="12588">
          <cell r="A12588" t="str">
            <v>IS_alqt_plus</v>
          </cell>
          <cell r="K12588" t="str">
            <v>LCAT</v>
          </cell>
          <cell r="M12588" t="str">
            <v>M</v>
          </cell>
          <cell r="AB12588" t="str">
            <v>plasma</v>
          </cell>
          <cell r="AF12588">
            <v>0.2</v>
          </cell>
        </row>
        <row r="12589">
          <cell r="A12589" t="str">
            <v>IS_alqt_plus</v>
          </cell>
          <cell r="K12589" t="str">
            <v>LCAT</v>
          </cell>
          <cell r="M12589" t="str">
            <v>M</v>
          </cell>
          <cell r="AB12589" t="str">
            <v>plasma</v>
          </cell>
          <cell r="AF12589">
            <v>0.2</v>
          </cell>
        </row>
        <row r="12590">
          <cell r="A12590" t="str">
            <v>IS_alqt_plus</v>
          </cell>
          <cell r="K12590" t="str">
            <v>LCAT</v>
          </cell>
          <cell r="M12590" t="str">
            <v>M</v>
          </cell>
          <cell r="AB12590" t="str">
            <v>plasma</v>
          </cell>
          <cell r="AF12590">
            <v>0.2</v>
          </cell>
        </row>
        <row r="12591">
          <cell r="A12591" t="str">
            <v>IS_alqt_plus</v>
          </cell>
          <cell r="K12591" t="str">
            <v>LCAT</v>
          </cell>
          <cell r="M12591" t="str">
            <v>M</v>
          </cell>
          <cell r="AB12591" t="str">
            <v>plasma</v>
          </cell>
          <cell r="AF12591">
            <v>0.2</v>
          </cell>
        </row>
        <row r="12592">
          <cell r="A12592" t="str">
            <v>IS_alqt_plus</v>
          </cell>
          <cell r="K12592" t="str">
            <v>LCAT</v>
          </cell>
          <cell r="M12592" t="str">
            <v>M</v>
          </cell>
          <cell r="AB12592" t="str">
            <v>plasma</v>
          </cell>
          <cell r="AF12592">
            <v>0.2</v>
          </cell>
        </row>
        <row r="12593">
          <cell r="A12593" t="str">
            <v>IS_alqt_plus</v>
          </cell>
          <cell r="K12593" t="str">
            <v>LCAT</v>
          </cell>
          <cell r="M12593" t="str">
            <v>F</v>
          </cell>
          <cell r="AB12593" t="str">
            <v>plasma</v>
          </cell>
          <cell r="AF12593">
            <v>0.35</v>
          </cell>
        </row>
        <row r="12594">
          <cell r="A12594" t="str">
            <v>IS_alqt_plus</v>
          </cell>
          <cell r="K12594" t="str">
            <v>LCAT</v>
          </cell>
          <cell r="M12594" t="str">
            <v>F</v>
          </cell>
          <cell r="AB12594" t="str">
            <v>plasma</v>
          </cell>
          <cell r="AF12594">
            <v>0.2</v>
          </cell>
        </row>
        <row r="12595">
          <cell r="A12595" t="str">
            <v>IS_alqt_plus</v>
          </cell>
          <cell r="K12595" t="str">
            <v>LCAT</v>
          </cell>
          <cell r="M12595" t="str">
            <v>F</v>
          </cell>
          <cell r="AB12595" t="str">
            <v>plasma</v>
          </cell>
          <cell r="AF12595">
            <v>0.2</v>
          </cell>
        </row>
        <row r="12596">
          <cell r="A12596" t="str">
            <v>IS_alqt_plus</v>
          </cell>
          <cell r="K12596" t="str">
            <v>LCAT</v>
          </cell>
          <cell r="M12596" t="str">
            <v>F</v>
          </cell>
          <cell r="AB12596" t="str">
            <v>plasma</v>
          </cell>
          <cell r="AF12596">
            <v>0.2</v>
          </cell>
        </row>
        <row r="12597">
          <cell r="A12597" t="str">
            <v>IS_alqt_plus</v>
          </cell>
          <cell r="K12597" t="str">
            <v>LCAT</v>
          </cell>
          <cell r="M12597" t="str">
            <v>F</v>
          </cell>
          <cell r="AB12597" t="str">
            <v>plasma</v>
          </cell>
          <cell r="AF12597">
            <v>0.2</v>
          </cell>
        </row>
        <row r="12598">
          <cell r="A12598" t="str">
            <v>IS_alqt_plus</v>
          </cell>
          <cell r="K12598" t="str">
            <v>LCAT</v>
          </cell>
          <cell r="M12598" t="str">
            <v>F</v>
          </cell>
          <cell r="AB12598" t="str">
            <v>plasma</v>
          </cell>
          <cell r="AF12598">
            <v>0.2</v>
          </cell>
        </row>
        <row r="12599">
          <cell r="A12599" t="str">
            <v>IS_alqt_plus</v>
          </cell>
          <cell r="K12599" t="str">
            <v>LCAT</v>
          </cell>
          <cell r="M12599" t="str">
            <v>F</v>
          </cell>
          <cell r="AB12599" t="str">
            <v>plasma</v>
          </cell>
          <cell r="AF12599">
            <v>0.2</v>
          </cell>
        </row>
        <row r="12600">
          <cell r="A12600" t="str">
            <v>IS_alqt_plus</v>
          </cell>
          <cell r="K12600" t="str">
            <v>LCAT</v>
          </cell>
          <cell r="M12600" t="str">
            <v>F</v>
          </cell>
          <cell r="AB12600" t="str">
            <v>plasma</v>
          </cell>
          <cell r="AF12600">
            <v>0.2</v>
          </cell>
        </row>
        <row r="12601">
          <cell r="A12601" t="str">
            <v>IS_alqt_plus</v>
          </cell>
          <cell r="K12601" t="str">
            <v>LCAT</v>
          </cell>
          <cell r="M12601" t="str">
            <v>F</v>
          </cell>
          <cell r="AB12601" t="str">
            <v>plasma</v>
          </cell>
          <cell r="AF12601">
            <v>0.2</v>
          </cell>
        </row>
        <row r="12602">
          <cell r="A12602" t="str">
            <v>IS_alqt_plus</v>
          </cell>
          <cell r="K12602" t="str">
            <v>LCAT</v>
          </cell>
          <cell r="M12602" t="str">
            <v>F</v>
          </cell>
          <cell r="AB12602" t="str">
            <v>plasma</v>
          </cell>
          <cell r="AF12602">
            <v>0.2</v>
          </cell>
        </row>
        <row r="12603">
          <cell r="A12603" t="str">
            <v>IS_alqt_plus</v>
          </cell>
          <cell r="K12603" t="str">
            <v>LCAT</v>
          </cell>
          <cell r="M12603" t="str">
            <v>F</v>
          </cell>
          <cell r="AB12603" t="str">
            <v>plasma</v>
          </cell>
          <cell r="AF12603">
            <v>0.2</v>
          </cell>
        </row>
        <row r="12604">
          <cell r="A12604" t="str">
            <v>IS_alqt_plus</v>
          </cell>
          <cell r="K12604" t="str">
            <v>LCAT</v>
          </cell>
          <cell r="M12604" t="str">
            <v>F</v>
          </cell>
          <cell r="AB12604" t="str">
            <v>plasma</v>
          </cell>
          <cell r="AF12604">
            <v>0.2</v>
          </cell>
        </row>
        <row r="12605">
          <cell r="A12605" t="str">
            <v>gone</v>
          </cell>
          <cell r="K12605" t="str">
            <v>LCAT</v>
          </cell>
          <cell r="M12605" t="str">
            <v>F</v>
          </cell>
          <cell r="AB12605" t="str">
            <v>serum</v>
          </cell>
          <cell r="AF12605">
            <v>0</v>
          </cell>
        </row>
        <row r="12606">
          <cell r="A12606" t="str">
            <v>gone</v>
          </cell>
          <cell r="K12606" t="str">
            <v>LCAT</v>
          </cell>
          <cell r="M12606" t="str">
            <v>F</v>
          </cell>
          <cell r="AB12606" t="str">
            <v>serum</v>
          </cell>
          <cell r="AF12606">
            <v>0</v>
          </cell>
        </row>
        <row r="12607">
          <cell r="A12607" t="str">
            <v>gone</v>
          </cell>
          <cell r="K12607" t="str">
            <v>PCOQ</v>
          </cell>
          <cell r="M12607" t="str">
            <v>F</v>
          </cell>
          <cell r="AB12607" t="str">
            <v>PRBC</v>
          </cell>
          <cell r="AF12607">
            <v>0</v>
          </cell>
        </row>
        <row r="12608">
          <cell r="A12608" t="str">
            <v>gone</v>
          </cell>
          <cell r="K12608" t="str">
            <v>MMUR</v>
          </cell>
          <cell r="M12608" t="str">
            <v>M</v>
          </cell>
          <cell r="AB12608" t="str">
            <v>WB</v>
          </cell>
          <cell r="AF12608">
            <v>0</v>
          </cell>
        </row>
        <row r="12609">
          <cell r="A12609" t="str">
            <v>IS_alqt_plus</v>
          </cell>
          <cell r="K12609" t="str">
            <v>MMUR</v>
          </cell>
          <cell r="M12609" t="str">
            <v>M</v>
          </cell>
          <cell r="AB12609" t="str">
            <v>WB</v>
          </cell>
          <cell r="AF12609">
            <v>0.25</v>
          </cell>
        </row>
        <row r="12610">
          <cell r="A12610" t="str">
            <v>IS_alqt_plus</v>
          </cell>
          <cell r="K12610" t="str">
            <v>GMOH</v>
          </cell>
          <cell r="M12610" t="str">
            <v>F</v>
          </cell>
          <cell r="AB12610" t="str">
            <v>WB</v>
          </cell>
          <cell r="AF12610">
            <v>0.2</v>
          </cell>
        </row>
        <row r="12611">
          <cell r="A12611" t="str">
            <v>IS_alqt_plus</v>
          </cell>
          <cell r="K12611" t="str">
            <v>GMOH</v>
          </cell>
          <cell r="M12611" t="str">
            <v>F</v>
          </cell>
          <cell r="AB12611" t="str">
            <v>WB</v>
          </cell>
          <cell r="AF12611">
            <v>0.2</v>
          </cell>
        </row>
        <row r="12612">
          <cell r="A12612" t="str">
            <v>IS_alqt_plus</v>
          </cell>
          <cell r="K12612" t="str">
            <v>GMOH</v>
          </cell>
          <cell r="M12612" t="str">
            <v>F</v>
          </cell>
          <cell r="AB12612" t="str">
            <v>WB</v>
          </cell>
          <cell r="AF12612">
            <v>0.2</v>
          </cell>
        </row>
        <row r="12613">
          <cell r="A12613" t="str">
            <v>IS_alqt_plus</v>
          </cell>
          <cell r="K12613" t="str">
            <v>GMOH</v>
          </cell>
          <cell r="M12613" t="str">
            <v>F</v>
          </cell>
          <cell r="AB12613" t="str">
            <v>WB</v>
          </cell>
          <cell r="AF12613">
            <v>0.2</v>
          </cell>
        </row>
        <row r="12614">
          <cell r="A12614" t="str">
            <v>IS_alqt_plus</v>
          </cell>
          <cell r="K12614" t="str">
            <v>GMOH</v>
          </cell>
          <cell r="M12614" t="str">
            <v>F</v>
          </cell>
          <cell r="AB12614" t="str">
            <v>WB</v>
          </cell>
          <cell r="AF12614">
            <v>0.2</v>
          </cell>
        </row>
        <row r="12615">
          <cell r="A12615" t="str">
            <v>IS_alqt_plus</v>
          </cell>
          <cell r="K12615" t="str">
            <v>GMOH</v>
          </cell>
          <cell r="M12615" t="str">
            <v>F</v>
          </cell>
          <cell r="AB12615" t="str">
            <v>WB</v>
          </cell>
          <cell r="AF12615">
            <v>0.2</v>
          </cell>
        </row>
        <row r="12616">
          <cell r="A12616" t="str">
            <v>IS_alqt_plus</v>
          </cell>
          <cell r="K12616" t="str">
            <v>GMOH</v>
          </cell>
          <cell r="M12616" t="str">
            <v>F</v>
          </cell>
          <cell r="AB12616" t="str">
            <v>WB</v>
          </cell>
          <cell r="AF12616">
            <v>0.2</v>
          </cell>
        </row>
        <row r="12617">
          <cell r="A12617" t="str">
            <v>IS_alqt_plus</v>
          </cell>
          <cell r="K12617" t="str">
            <v>GMOH</v>
          </cell>
          <cell r="M12617" t="str">
            <v>F</v>
          </cell>
          <cell r="AB12617" t="str">
            <v>WB</v>
          </cell>
          <cell r="AF12617">
            <v>0.2</v>
          </cell>
        </row>
        <row r="12618">
          <cell r="A12618" t="str">
            <v>IS_alqt_plus</v>
          </cell>
          <cell r="K12618" t="str">
            <v>GMOH</v>
          </cell>
          <cell r="M12618" t="str">
            <v>F</v>
          </cell>
          <cell r="AB12618" t="str">
            <v>WB</v>
          </cell>
          <cell r="AF12618">
            <v>0.2</v>
          </cell>
        </row>
        <row r="12619">
          <cell r="A12619" t="str">
            <v>IS_alqt_plus</v>
          </cell>
          <cell r="K12619" t="str">
            <v>GMOH</v>
          </cell>
          <cell r="M12619" t="str">
            <v>F</v>
          </cell>
          <cell r="AB12619" t="str">
            <v>WB</v>
          </cell>
          <cell r="AF12619">
            <v>0.2</v>
          </cell>
        </row>
        <row r="12620">
          <cell r="A12620" t="str">
            <v>IS_alqt_minus</v>
          </cell>
          <cell r="K12620" t="str">
            <v>GMOH</v>
          </cell>
          <cell r="M12620" t="str">
            <v>F</v>
          </cell>
          <cell r="AB12620" t="str">
            <v>WB</v>
          </cell>
          <cell r="AF12620">
            <v>0.1</v>
          </cell>
        </row>
        <row r="12621">
          <cell r="A12621" t="str">
            <v>IS_alqt_minus</v>
          </cell>
          <cell r="K12621" t="str">
            <v>GMOH</v>
          </cell>
          <cell r="M12621" t="str">
            <v>F</v>
          </cell>
          <cell r="AB12621" t="str">
            <v>WB</v>
          </cell>
          <cell r="AF12621">
            <v>0.1</v>
          </cell>
        </row>
        <row r="12622">
          <cell r="A12622" t="str">
            <v>IS_alqt_plus</v>
          </cell>
          <cell r="K12622" t="str">
            <v>GMOH</v>
          </cell>
          <cell r="M12622" t="str">
            <v>F</v>
          </cell>
          <cell r="AB12622" t="str">
            <v>serum</v>
          </cell>
          <cell r="AF12622">
            <v>0.2</v>
          </cell>
        </row>
        <row r="12623">
          <cell r="A12623" t="str">
            <v>IS_alqt_plus</v>
          </cell>
          <cell r="K12623" t="str">
            <v>GMOH</v>
          </cell>
          <cell r="M12623" t="str">
            <v>F</v>
          </cell>
          <cell r="AB12623" t="str">
            <v>serum</v>
          </cell>
          <cell r="AF12623">
            <v>0.2</v>
          </cell>
        </row>
        <row r="12624">
          <cell r="A12624" t="str">
            <v>IS_alqt_minus</v>
          </cell>
          <cell r="K12624" t="str">
            <v>GMOH</v>
          </cell>
          <cell r="M12624" t="str">
            <v>F</v>
          </cell>
          <cell r="AB12624" t="str">
            <v>serum</v>
          </cell>
          <cell r="AF12624">
            <v>0.1</v>
          </cell>
        </row>
        <row r="12625">
          <cell r="A12625" t="str">
            <v>IS_alqt_plus</v>
          </cell>
          <cell r="K12625" t="str">
            <v>LCAT</v>
          </cell>
          <cell r="M12625" t="str">
            <v>M</v>
          </cell>
          <cell r="AB12625" t="str">
            <v>serum</v>
          </cell>
          <cell r="AF12625">
            <v>0.2</v>
          </cell>
        </row>
        <row r="12626">
          <cell r="A12626" t="str">
            <v>IS_alqt_plus</v>
          </cell>
          <cell r="K12626" t="str">
            <v>LCAT</v>
          </cell>
          <cell r="M12626" t="str">
            <v>M</v>
          </cell>
          <cell r="AB12626" t="str">
            <v>serum</v>
          </cell>
          <cell r="AF12626">
            <v>0.2</v>
          </cell>
        </row>
        <row r="12627">
          <cell r="A12627" t="str">
            <v>IS_alqt_plus</v>
          </cell>
          <cell r="K12627" t="str">
            <v>LCAT</v>
          </cell>
          <cell r="M12627" t="str">
            <v>M</v>
          </cell>
          <cell r="AB12627" t="str">
            <v>serum</v>
          </cell>
          <cell r="AF12627">
            <v>0.2</v>
          </cell>
        </row>
        <row r="12628">
          <cell r="A12628" t="str">
            <v>IS_alqt_plus</v>
          </cell>
          <cell r="K12628" t="str">
            <v>LCAT</v>
          </cell>
          <cell r="M12628" t="str">
            <v>M</v>
          </cell>
          <cell r="AB12628" t="str">
            <v>serum</v>
          </cell>
          <cell r="AF12628">
            <v>0.2</v>
          </cell>
        </row>
        <row r="12629">
          <cell r="A12629" t="str">
            <v>IS_alqt_plus</v>
          </cell>
          <cell r="K12629" t="str">
            <v>LCAT</v>
          </cell>
          <cell r="M12629" t="str">
            <v>M</v>
          </cell>
          <cell r="AB12629" t="str">
            <v>serum</v>
          </cell>
          <cell r="AF12629">
            <v>0.4</v>
          </cell>
        </row>
        <row r="12630">
          <cell r="A12630" t="str">
            <v>IS_alqt_plus</v>
          </cell>
          <cell r="K12630" t="str">
            <v>LCAT</v>
          </cell>
          <cell r="M12630" t="str">
            <v>M</v>
          </cell>
          <cell r="AB12630" t="str">
            <v>WB</v>
          </cell>
          <cell r="AF12630">
            <v>0.2</v>
          </cell>
        </row>
        <row r="12631">
          <cell r="A12631" t="str">
            <v>IS_alqt_plus</v>
          </cell>
          <cell r="K12631" t="str">
            <v>LCAT</v>
          </cell>
          <cell r="M12631" t="str">
            <v>M</v>
          </cell>
          <cell r="AB12631" t="str">
            <v>WB</v>
          </cell>
          <cell r="AF12631">
            <v>0.2</v>
          </cell>
        </row>
        <row r="12632">
          <cell r="A12632" t="str">
            <v>IS_alqt_plus</v>
          </cell>
          <cell r="K12632" t="str">
            <v>LCAT</v>
          </cell>
          <cell r="M12632" t="str">
            <v>M</v>
          </cell>
          <cell r="AB12632" t="str">
            <v>WB</v>
          </cell>
          <cell r="AF12632">
            <v>0.2</v>
          </cell>
        </row>
        <row r="12633">
          <cell r="A12633" t="str">
            <v>IS_alqt_plus</v>
          </cell>
          <cell r="K12633" t="str">
            <v>LCAT</v>
          </cell>
          <cell r="M12633" t="str">
            <v>M</v>
          </cell>
          <cell r="AB12633" t="str">
            <v>WB</v>
          </cell>
          <cell r="AF12633">
            <v>0.2</v>
          </cell>
        </row>
        <row r="12634">
          <cell r="A12634" t="str">
            <v>IS_alqt_plus</v>
          </cell>
          <cell r="K12634" t="str">
            <v>LCAT</v>
          </cell>
          <cell r="M12634" t="str">
            <v>M</v>
          </cell>
          <cell r="AB12634" t="str">
            <v>WB</v>
          </cell>
          <cell r="AF12634">
            <v>0.2</v>
          </cell>
        </row>
        <row r="12635">
          <cell r="A12635" t="str">
            <v>IS_alqt_plus</v>
          </cell>
          <cell r="K12635" t="str">
            <v>LCAT</v>
          </cell>
          <cell r="M12635" t="str">
            <v>M</v>
          </cell>
          <cell r="AB12635" t="str">
            <v>WB</v>
          </cell>
          <cell r="AF12635">
            <v>0.4</v>
          </cell>
        </row>
        <row r="12636">
          <cell r="A12636" t="str">
            <v>IS_alqt_plus</v>
          </cell>
          <cell r="K12636" t="str">
            <v>EMON</v>
          </cell>
          <cell r="M12636" t="str">
            <v>M</v>
          </cell>
          <cell r="AB12636" t="str">
            <v>WB</v>
          </cell>
          <cell r="AF12636">
            <v>0.2</v>
          </cell>
        </row>
        <row r="12637">
          <cell r="A12637" t="str">
            <v>IS_alqt_plus</v>
          </cell>
          <cell r="K12637" t="str">
            <v>EMON</v>
          </cell>
          <cell r="M12637" t="str">
            <v>M</v>
          </cell>
          <cell r="AB12637" t="str">
            <v>WB</v>
          </cell>
          <cell r="AF12637">
            <v>0.2</v>
          </cell>
        </row>
        <row r="12638">
          <cell r="A12638" t="str">
            <v>IS_alqt_plus</v>
          </cell>
          <cell r="K12638" t="str">
            <v>EMON</v>
          </cell>
          <cell r="M12638" t="str">
            <v>M</v>
          </cell>
          <cell r="AB12638" t="str">
            <v>WB</v>
          </cell>
          <cell r="AF12638">
            <v>0.2</v>
          </cell>
        </row>
        <row r="12639">
          <cell r="A12639" t="str">
            <v>IS_alqt_plus</v>
          </cell>
          <cell r="K12639" t="str">
            <v>EMON</v>
          </cell>
          <cell r="M12639" t="str">
            <v>M</v>
          </cell>
          <cell r="AB12639" t="str">
            <v>WB</v>
          </cell>
          <cell r="AF12639">
            <v>0.2</v>
          </cell>
        </row>
        <row r="12640">
          <cell r="A12640" t="str">
            <v>IS_alqt_plus</v>
          </cell>
          <cell r="K12640" t="str">
            <v>EMON</v>
          </cell>
          <cell r="M12640" t="str">
            <v>M</v>
          </cell>
          <cell r="AB12640" t="str">
            <v>WB</v>
          </cell>
          <cell r="AF12640">
            <v>0.2</v>
          </cell>
        </row>
        <row r="12641">
          <cell r="A12641" t="str">
            <v>IS_alqt_plus</v>
          </cell>
          <cell r="K12641" t="str">
            <v>ECOR</v>
          </cell>
          <cell r="M12641" t="str">
            <v>M</v>
          </cell>
          <cell r="AB12641" t="str">
            <v>serum</v>
          </cell>
          <cell r="AF12641">
            <v>1</v>
          </cell>
        </row>
        <row r="12642">
          <cell r="A12642" t="str">
            <v>IS_alqt_plus</v>
          </cell>
          <cell r="K12642" t="str">
            <v>ECOR</v>
          </cell>
          <cell r="M12642" t="str">
            <v>M</v>
          </cell>
          <cell r="AB12642" t="str">
            <v>WB</v>
          </cell>
          <cell r="AF12642">
            <v>1</v>
          </cell>
        </row>
        <row r="12643">
          <cell r="A12643" t="str">
            <v>IS_alqt_plus</v>
          </cell>
          <cell r="K12643" t="str">
            <v>CMED</v>
          </cell>
          <cell r="M12643" t="str">
            <v>F</v>
          </cell>
          <cell r="AB12643" t="str">
            <v>serum</v>
          </cell>
          <cell r="AF12643">
            <v>0.2</v>
          </cell>
        </row>
        <row r="12644">
          <cell r="A12644" t="str">
            <v>IS_alqt_plus</v>
          </cell>
          <cell r="K12644" t="str">
            <v>CMED</v>
          </cell>
          <cell r="M12644" t="str">
            <v>F</v>
          </cell>
          <cell r="AB12644" t="str">
            <v>serum</v>
          </cell>
          <cell r="AF12644">
            <v>0.2</v>
          </cell>
        </row>
        <row r="12645">
          <cell r="A12645" t="str">
            <v>IS_alqt_plus</v>
          </cell>
          <cell r="K12645" t="str">
            <v>CMED</v>
          </cell>
          <cell r="M12645" t="str">
            <v>F</v>
          </cell>
          <cell r="AB12645" t="str">
            <v>serum</v>
          </cell>
          <cell r="AF12645">
            <v>0.2</v>
          </cell>
        </row>
        <row r="12646">
          <cell r="A12646" t="str">
            <v>IS_alqt_plus</v>
          </cell>
          <cell r="K12646" t="str">
            <v>CMED</v>
          </cell>
          <cell r="M12646" t="str">
            <v>F</v>
          </cell>
          <cell r="AB12646" t="str">
            <v>serum</v>
          </cell>
          <cell r="AF12646">
            <v>0.2</v>
          </cell>
        </row>
        <row r="12647">
          <cell r="A12647" t="str">
            <v>gone</v>
          </cell>
          <cell r="K12647" t="str">
            <v>PCOQ</v>
          </cell>
          <cell r="M12647" t="str">
            <v>M</v>
          </cell>
          <cell r="AB12647" t="str">
            <v>WB</v>
          </cell>
          <cell r="AF12647">
            <v>0.5</v>
          </cell>
        </row>
        <row r="12648">
          <cell r="A12648" t="str">
            <v>IS_alqt_plus</v>
          </cell>
          <cell r="K12648" t="str">
            <v>PCOQ</v>
          </cell>
          <cell r="M12648" t="str">
            <v>M</v>
          </cell>
          <cell r="AB12648" t="str">
            <v>serum</v>
          </cell>
          <cell r="AF12648">
            <v>0.6</v>
          </cell>
        </row>
        <row r="12649">
          <cell r="A12649" t="str">
            <v>IS_alqt_plus</v>
          </cell>
          <cell r="K12649" t="str">
            <v>PCOQ</v>
          </cell>
          <cell r="M12649" t="str">
            <v>M</v>
          </cell>
          <cell r="AB12649" t="str">
            <v>serum</v>
          </cell>
          <cell r="AF12649">
            <v>0.9</v>
          </cell>
        </row>
        <row r="12650">
          <cell r="A12650" t="str">
            <v>IS_alqt_plus</v>
          </cell>
          <cell r="K12650" t="str">
            <v>PCOQ</v>
          </cell>
          <cell r="M12650" t="str">
            <v>M</v>
          </cell>
          <cell r="AB12650" t="str">
            <v>WB</v>
          </cell>
          <cell r="AF12650">
            <v>1</v>
          </cell>
        </row>
        <row r="12651">
          <cell r="A12651" t="str">
            <v>IS_alqt_plus</v>
          </cell>
          <cell r="K12651" t="str">
            <v>PCOQ</v>
          </cell>
          <cell r="M12651" t="str">
            <v>M</v>
          </cell>
          <cell r="AB12651" t="str">
            <v>WB</v>
          </cell>
          <cell r="AF12651">
            <v>1</v>
          </cell>
        </row>
        <row r="12652">
          <cell r="A12652" t="str">
            <v>IS_alqt_minus</v>
          </cell>
          <cell r="K12652" t="str">
            <v>MMUR</v>
          </cell>
          <cell r="M12652" t="str">
            <v>F</v>
          </cell>
          <cell r="AB12652" t="str">
            <v>WB</v>
          </cell>
          <cell r="AF12652">
            <v>0.01</v>
          </cell>
        </row>
        <row r="12653">
          <cell r="A12653" t="str">
            <v>IS_alqt_plus</v>
          </cell>
          <cell r="K12653" t="str">
            <v>MMUR</v>
          </cell>
          <cell r="M12653" t="str">
            <v>F</v>
          </cell>
          <cell r="AB12653" t="str">
            <v>WB</v>
          </cell>
          <cell r="AF12653">
            <v>0.2</v>
          </cell>
        </row>
        <row r="12654">
          <cell r="A12654" t="str">
            <v>IS_alqt_plus</v>
          </cell>
          <cell r="K12654" t="str">
            <v>MMUR</v>
          </cell>
          <cell r="M12654" t="str">
            <v>F</v>
          </cell>
          <cell r="AB12654" t="str">
            <v>WB</v>
          </cell>
          <cell r="AF12654">
            <v>0.2</v>
          </cell>
        </row>
        <row r="12655">
          <cell r="A12655" t="str">
            <v>IS_alqt_plus</v>
          </cell>
          <cell r="K12655" t="str">
            <v>MMUR</v>
          </cell>
          <cell r="M12655" t="str">
            <v>F</v>
          </cell>
          <cell r="AB12655" t="str">
            <v>WB</v>
          </cell>
          <cell r="AF12655">
            <v>0.2</v>
          </cell>
        </row>
        <row r="12656">
          <cell r="A12656" t="str">
            <v>IS_alqt_plus</v>
          </cell>
          <cell r="K12656" t="str">
            <v>MMUR</v>
          </cell>
          <cell r="M12656" t="str">
            <v>F</v>
          </cell>
          <cell r="AB12656" t="str">
            <v>WB</v>
          </cell>
          <cell r="AF12656">
            <v>0.2</v>
          </cell>
        </row>
        <row r="12657">
          <cell r="A12657" t="str">
            <v>IS_alqt_plus</v>
          </cell>
          <cell r="K12657" t="str">
            <v>MMUR</v>
          </cell>
          <cell r="M12657" t="str">
            <v>F</v>
          </cell>
          <cell r="AB12657" t="str">
            <v>WB</v>
          </cell>
          <cell r="AF12657">
            <v>0.2</v>
          </cell>
        </row>
        <row r="12658">
          <cell r="A12658" t="str">
            <v>IS_alqt_plus</v>
          </cell>
          <cell r="K12658" t="str">
            <v>MMUR</v>
          </cell>
          <cell r="M12658" t="str">
            <v>F</v>
          </cell>
          <cell r="AB12658" t="str">
            <v>WB</v>
          </cell>
          <cell r="AF12658">
            <v>0.2</v>
          </cell>
        </row>
        <row r="12659">
          <cell r="A12659" t="str">
            <v>IS_alqt_plus</v>
          </cell>
          <cell r="K12659" t="str">
            <v>MMUR</v>
          </cell>
          <cell r="M12659" t="str">
            <v>F</v>
          </cell>
          <cell r="AB12659" t="str">
            <v>serum</v>
          </cell>
          <cell r="AF12659">
            <v>0.2</v>
          </cell>
        </row>
        <row r="12660">
          <cell r="A12660" t="str">
            <v>IS_alqt_plus</v>
          </cell>
          <cell r="K12660" t="str">
            <v>MMUR</v>
          </cell>
          <cell r="M12660" t="str">
            <v>F</v>
          </cell>
          <cell r="AB12660" t="str">
            <v>serum</v>
          </cell>
          <cell r="AF12660">
            <v>0.2</v>
          </cell>
        </row>
        <row r="12661">
          <cell r="A12661" t="str">
            <v>IS_alqt_minus</v>
          </cell>
          <cell r="K12661" t="str">
            <v>MMUR</v>
          </cell>
          <cell r="M12661" t="str">
            <v>F</v>
          </cell>
          <cell r="AB12661" t="str">
            <v>serum</v>
          </cell>
          <cell r="AF12661">
            <v>0.15</v>
          </cell>
        </row>
        <row r="12662">
          <cell r="A12662" t="str">
            <v>IS_alqt_plus</v>
          </cell>
          <cell r="K12662" t="str">
            <v>LCAT</v>
          </cell>
          <cell r="M12662" t="str">
            <v>F</v>
          </cell>
          <cell r="AB12662" t="str">
            <v>WB</v>
          </cell>
          <cell r="AF12662">
            <v>0.2</v>
          </cell>
        </row>
        <row r="12663">
          <cell r="A12663" t="str">
            <v>IS_alqt_plus</v>
          </cell>
          <cell r="K12663" t="str">
            <v>LCAT</v>
          </cell>
          <cell r="M12663" t="str">
            <v>F</v>
          </cell>
          <cell r="AB12663" t="str">
            <v>WB</v>
          </cell>
          <cell r="AF12663">
            <v>0.2</v>
          </cell>
        </row>
        <row r="12664">
          <cell r="A12664" t="str">
            <v>IS_alqt_plus</v>
          </cell>
          <cell r="K12664" t="str">
            <v>LCAT</v>
          </cell>
          <cell r="M12664" t="str">
            <v>F</v>
          </cell>
          <cell r="AB12664" t="str">
            <v>WB</v>
          </cell>
          <cell r="AF12664">
            <v>0.2</v>
          </cell>
        </row>
        <row r="12665">
          <cell r="A12665" t="str">
            <v>IS_alqt_plus</v>
          </cell>
          <cell r="K12665" t="str">
            <v>LCAT</v>
          </cell>
          <cell r="M12665" t="str">
            <v>F</v>
          </cell>
          <cell r="AB12665" t="str">
            <v>WB</v>
          </cell>
          <cell r="AF12665">
            <v>0.2</v>
          </cell>
        </row>
        <row r="12666">
          <cell r="A12666" t="str">
            <v>IS_alqt_plus</v>
          </cell>
          <cell r="K12666" t="str">
            <v>LCAT</v>
          </cell>
          <cell r="M12666" t="str">
            <v>F</v>
          </cell>
          <cell r="AB12666" t="str">
            <v>WB</v>
          </cell>
          <cell r="AF12666">
            <v>0.2</v>
          </cell>
        </row>
        <row r="12667">
          <cell r="A12667" t="str">
            <v>IS_alqt_plus</v>
          </cell>
          <cell r="K12667" t="str">
            <v>LCAT</v>
          </cell>
          <cell r="M12667" t="str">
            <v>F</v>
          </cell>
          <cell r="AB12667" t="str">
            <v>WB</v>
          </cell>
          <cell r="AF12667">
            <v>0.2</v>
          </cell>
        </row>
        <row r="12668">
          <cell r="A12668" t="str">
            <v>IS_alqt_plus</v>
          </cell>
          <cell r="K12668" t="str">
            <v>LCAT</v>
          </cell>
          <cell r="M12668" t="str">
            <v>F</v>
          </cell>
          <cell r="AB12668" t="str">
            <v>serum</v>
          </cell>
          <cell r="AF12668">
            <v>0.2</v>
          </cell>
        </row>
        <row r="12669">
          <cell r="A12669" t="str">
            <v>IS_alqt_plus</v>
          </cell>
          <cell r="K12669" t="str">
            <v>LCAT</v>
          </cell>
          <cell r="M12669" t="str">
            <v>F</v>
          </cell>
          <cell r="AB12669" t="str">
            <v>serum</v>
          </cell>
          <cell r="AF12669">
            <v>0.2</v>
          </cell>
        </row>
        <row r="12670">
          <cell r="A12670" t="str">
            <v>IS_alqt_plus</v>
          </cell>
          <cell r="K12670" t="str">
            <v>LCAT</v>
          </cell>
          <cell r="M12670" t="str">
            <v>F</v>
          </cell>
          <cell r="AB12670" t="str">
            <v>serum</v>
          </cell>
          <cell r="AF12670">
            <v>0.2</v>
          </cell>
        </row>
        <row r="12671">
          <cell r="A12671" t="str">
            <v>IS_alqt_plus</v>
          </cell>
          <cell r="K12671" t="str">
            <v>LCAT</v>
          </cell>
          <cell r="M12671" t="str">
            <v>F</v>
          </cell>
          <cell r="AB12671" t="str">
            <v>serum</v>
          </cell>
          <cell r="AF12671">
            <v>0.2</v>
          </cell>
        </row>
        <row r="12672">
          <cell r="A12672" t="str">
            <v>IS_alqt_plus</v>
          </cell>
          <cell r="K12672" t="str">
            <v>LCAT</v>
          </cell>
          <cell r="M12672" t="str">
            <v>F</v>
          </cell>
          <cell r="AB12672" t="str">
            <v>serum</v>
          </cell>
          <cell r="AF12672">
            <v>0.2</v>
          </cell>
        </row>
        <row r="12673">
          <cell r="A12673" t="str">
            <v>IS_alqt_plus</v>
          </cell>
          <cell r="K12673" t="str">
            <v>LCAT</v>
          </cell>
          <cell r="M12673" t="str">
            <v>F</v>
          </cell>
          <cell r="AB12673" t="str">
            <v>serum</v>
          </cell>
          <cell r="AF12673">
            <v>0.2</v>
          </cell>
        </row>
        <row r="12674">
          <cell r="A12674" t="str">
            <v>IS_alqt_plus</v>
          </cell>
          <cell r="K12674" t="str">
            <v>LCAT</v>
          </cell>
          <cell r="M12674" t="str">
            <v>F</v>
          </cell>
          <cell r="AB12674" t="str">
            <v>serum</v>
          </cell>
          <cell r="AF12674">
            <v>0.4</v>
          </cell>
        </row>
        <row r="12675">
          <cell r="A12675" t="str">
            <v>gone</v>
          </cell>
          <cell r="K12675" t="str">
            <v>CMED</v>
          </cell>
          <cell r="M12675" t="str">
            <v>F</v>
          </cell>
          <cell r="AB12675" t="str">
            <v>WB</v>
          </cell>
          <cell r="AF12675">
            <v>0</v>
          </cell>
        </row>
        <row r="12676">
          <cell r="A12676" t="str">
            <v>IS_alqt_plus</v>
          </cell>
          <cell r="K12676" t="str">
            <v>CMED</v>
          </cell>
          <cell r="M12676" t="str">
            <v>F</v>
          </cell>
          <cell r="AB12676" t="str">
            <v>WB</v>
          </cell>
          <cell r="AF12676">
            <v>0.2</v>
          </cell>
        </row>
        <row r="12677">
          <cell r="A12677" t="str">
            <v>IS_alqt_plus</v>
          </cell>
          <cell r="K12677" t="str">
            <v>CMED</v>
          </cell>
          <cell r="M12677" t="str">
            <v>F</v>
          </cell>
          <cell r="AB12677" t="str">
            <v>WB</v>
          </cell>
          <cell r="AF12677">
            <v>0.2</v>
          </cell>
        </row>
        <row r="12678">
          <cell r="A12678" t="str">
            <v>IS_alqt_plus</v>
          </cell>
          <cell r="K12678" t="str">
            <v>CMED</v>
          </cell>
          <cell r="M12678" t="str">
            <v>F</v>
          </cell>
          <cell r="AB12678" t="str">
            <v>WB</v>
          </cell>
          <cell r="AF12678">
            <v>0.2</v>
          </cell>
        </row>
        <row r="12679">
          <cell r="A12679" t="str">
            <v>IS_alqt_plus</v>
          </cell>
          <cell r="K12679" t="str">
            <v>CMED</v>
          </cell>
          <cell r="M12679" t="str">
            <v>F</v>
          </cell>
          <cell r="AB12679" t="str">
            <v>WB</v>
          </cell>
          <cell r="AF12679">
            <v>0.2</v>
          </cell>
        </row>
        <row r="12680">
          <cell r="A12680" t="str">
            <v>IS_alqt_plus</v>
          </cell>
          <cell r="K12680" t="str">
            <v>CMED</v>
          </cell>
          <cell r="M12680" t="str">
            <v>F</v>
          </cell>
          <cell r="AB12680" t="str">
            <v>WB</v>
          </cell>
          <cell r="AF12680">
            <v>0.3</v>
          </cell>
        </row>
        <row r="12681">
          <cell r="A12681" t="str">
            <v>IS_alqt_plus</v>
          </cell>
          <cell r="K12681" t="str">
            <v>CMED</v>
          </cell>
          <cell r="M12681" t="str">
            <v>F</v>
          </cell>
          <cell r="AB12681" t="str">
            <v>serum</v>
          </cell>
          <cell r="AF12681">
            <v>0.2</v>
          </cell>
        </row>
        <row r="12682">
          <cell r="A12682" t="str">
            <v>IS_alqt_plus</v>
          </cell>
          <cell r="K12682" t="str">
            <v>CMED</v>
          </cell>
          <cell r="M12682" t="str">
            <v>F</v>
          </cell>
          <cell r="AB12682" t="str">
            <v>serum</v>
          </cell>
          <cell r="AF12682">
            <v>0.2</v>
          </cell>
        </row>
        <row r="12683">
          <cell r="A12683" t="str">
            <v>gone</v>
          </cell>
          <cell r="K12683" t="str">
            <v>VVV</v>
          </cell>
          <cell r="M12683" t="str">
            <v>F</v>
          </cell>
          <cell r="AB12683" t="str">
            <v>WB</v>
          </cell>
          <cell r="AF12683">
            <v>0</v>
          </cell>
        </row>
        <row r="12684">
          <cell r="A12684" t="str">
            <v>IS_alqt_plus</v>
          </cell>
          <cell r="K12684" t="str">
            <v>VVV</v>
          </cell>
          <cell r="M12684" t="str">
            <v>F</v>
          </cell>
          <cell r="AB12684" t="str">
            <v>WB</v>
          </cell>
          <cell r="AF12684">
            <v>0.4</v>
          </cell>
        </row>
        <row r="12685">
          <cell r="A12685" t="str">
            <v>IS_alqt_plus</v>
          </cell>
          <cell r="K12685" t="str">
            <v>LCAT</v>
          </cell>
          <cell r="M12685" t="str">
            <v>M</v>
          </cell>
          <cell r="AB12685" t="str">
            <v>WB</v>
          </cell>
          <cell r="AF12685">
            <v>0.2</v>
          </cell>
        </row>
        <row r="12686">
          <cell r="A12686" t="str">
            <v>IS_alqt_plus</v>
          </cell>
          <cell r="K12686" t="str">
            <v>LCAT</v>
          </cell>
          <cell r="M12686" t="str">
            <v>M</v>
          </cell>
          <cell r="AB12686" t="str">
            <v>WB</v>
          </cell>
          <cell r="AF12686">
            <v>0.2</v>
          </cell>
        </row>
        <row r="12687">
          <cell r="A12687" t="str">
            <v>IS_alqt_plus</v>
          </cell>
          <cell r="K12687" t="str">
            <v>LCAT</v>
          </cell>
          <cell r="M12687" t="str">
            <v>M</v>
          </cell>
          <cell r="AB12687" t="str">
            <v>WB</v>
          </cell>
          <cell r="AF12687">
            <v>0.2</v>
          </cell>
        </row>
        <row r="12688">
          <cell r="A12688" t="str">
            <v>IS_alqt_plus</v>
          </cell>
          <cell r="K12688" t="str">
            <v>LCAT</v>
          </cell>
          <cell r="M12688" t="str">
            <v>M</v>
          </cell>
          <cell r="AB12688" t="str">
            <v>WB</v>
          </cell>
          <cell r="AF12688">
            <v>0.2</v>
          </cell>
        </row>
        <row r="12689">
          <cell r="A12689" t="str">
            <v>IS_alqt_plus</v>
          </cell>
          <cell r="K12689" t="str">
            <v>LCAT</v>
          </cell>
          <cell r="M12689" t="str">
            <v>M</v>
          </cell>
          <cell r="AB12689" t="str">
            <v>WB</v>
          </cell>
          <cell r="AF12689">
            <v>0.2</v>
          </cell>
        </row>
        <row r="12690">
          <cell r="A12690" t="str">
            <v>IS_alqt_plus</v>
          </cell>
          <cell r="K12690" t="str">
            <v>LCAT</v>
          </cell>
          <cell r="M12690" t="str">
            <v>M</v>
          </cell>
          <cell r="AB12690" t="str">
            <v>WB</v>
          </cell>
          <cell r="AF12690">
            <v>0.2</v>
          </cell>
        </row>
        <row r="12691">
          <cell r="A12691" t="str">
            <v>IS_alqt_plus</v>
          </cell>
          <cell r="K12691" t="str">
            <v>LCAT</v>
          </cell>
          <cell r="M12691" t="str">
            <v>M</v>
          </cell>
          <cell r="AB12691" t="str">
            <v>WB</v>
          </cell>
          <cell r="AF12691">
            <v>0.2</v>
          </cell>
        </row>
        <row r="12692">
          <cell r="A12692" t="str">
            <v>IS_alqt_plus</v>
          </cell>
          <cell r="K12692" t="str">
            <v>LCAT</v>
          </cell>
          <cell r="M12692" t="str">
            <v>M</v>
          </cell>
          <cell r="AB12692" t="str">
            <v>serum</v>
          </cell>
          <cell r="AF12692">
            <v>0.2</v>
          </cell>
        </row>
        <row r="12693">
          <cell r="A12693" t="str">
            <v>IS_alqt_plus</v>
          </cell>
          <cell r="K12693" t="str">
            <v>LCAT</v>
          </cell>
          <cell r="M12693" t="str">
            <v>M</v>
          </cell>
          <cell r="AB12693" t="str">
            <v>serum</v>
          </cell>
          <cell r="AF12693">
            <v>0.2</v>
          </cell>
        </row>
        <row r="12694">
          <cell r="A12694" t="str">
            <v>IS_alqt_plus</v>
          </cell>
          <cell r="K12694" t="str">
            <v>LCAT</v>
          </cell>
          <cell r="M12694" t="str">
            <v>M</v>
          </cell>
          <cell r="AB12694" t="str">
            <v>serum</v>
          </cell>
          <cell r="AF12694">
            <v>0.2</v>
          </cell>
        </row>
        <row r="12695">
          <cell r="A12695" t="str">
            <v>IS_alqt_plus</v>
          </cell>
          <cell r="K12695" t="str">
            <v>LCAT</v>
          </cell>
          <cell r="M12695" t="str">
            <v>M</v>
          </cell>
          <cell r="AB12695" t="str">
            <v>serum</v>
          </cell>
          <cell r="AF12695">
            <v>0.2</v>
          </cell>
        </row>
        <row r="12696">
          <cell r="A12696" t="str">
            <v>IS_alqt_plus</v>
          </cell>
          <cell r="K12696" t="str">
            <v>LCAT</v>
          </cell>
          <cell r="M12696" t="str">
            <v>M</v>
          </cell>
          <cell r="AB12696" t="str">
            <v>serum</v>
          </cell>
          <cell r="AF12696">
            <v>0.2</v>
          </cell>
        </row>
        <row r="12697">
          <cell r="A12697" t="str">
            <v>IS_alqt_plus</v>
          </cell>
          <cell r="K12697" t="str">
            <v>PCOQ</v>
          </cell>
          <cell r="M12697" t="str">
            <v>M</v>
          </cell>
          <cell r="AB12697" t="str">
            <v>serum</v>
          </cell>
          <cell r="AF12697">
            <v>0.2</v>
          </cell>
        </row>
        <row r="12698">
          <cell r="A12698" t="str">
            <v>IS_alqt_plus</v>
          </cell>
          <cell r="K12698" t="str">
            <v>PCOQ</v>
          </cell>
          <cell r="M12698" t="str">
            <v>M</v>
          </cell>
          <cell r="AB12698" t="str">
            <v>serum</v>
          </cell>
          <cell r="AF12698">
            <v>0.2</v>
          </cell>
        </row>
        <row r="12699">
          <cell r="A12699" t="str">
            <v>IS_alqt_plus</v>
          </cell>
          <cell r="K12699" t="str">
            <v>PCOQ</v>
          </cell>
          <cell r="M12699" t="str">
            <v>M</v>
          </cell>
          <cell r="AB12699" t="str">
            <v>serum</v>
          </cell>
          <cell r="AF12699">
            <v>0.2</v>
          </cell>
        </row>
        <row r="12700">
          <cell r="A12700" t="str">
            <v>IS_alqt_plus</v>
          </cell>
          <cell r="K12700" t="str">
            <v>PCOQ</v>
          </cell>
          <cell r="M12700" t="str">
            <v>M</v>
          </cell>
          <cell r="AB12700" t="str">
            <v>serum</v>
          </cell>
          <cell r="AF12700">
            <v>0.2</v>
          </cell>
        </row>
        <row r="12701">
          <cell r="A12701" t="str">
            <v>IS_alqt_plus</v>
          </cell>
          <cell r="K12701" t="str">
            <v>PCOQ</v>
          </cell>
          <cell r="M12701" t="str">
            <v>M</v>
          </cell>
          <cell r="AB12701" t="str">
            <v>serum</v>
          </cell>
          <cell r="AF12701">
            <v>0.2</v>
          </cell>
        </row>
        <row r="12702">
          <cell r="A12702" t="str">
            <v>IS_alqt_plus</v>
          </cell>
          <cell r="K12702" t="str">
            <v>PCOQ</v>
          </cell>
          <cell r="M12702" t="str">
            <v>M</v>
          </cell>
          <cell r="AB12702" t="str">
            <v>serum</v>
          </cell>
          <cell r="AF12702">
            <v>0.2</v>
          </cell>
        </row>
        <row r="12703">
          <cell r="A12703" t="str">
            <v>gone</v>
          </cell>
          <cell r="K12703" t="str">
            <v>PCOQ</v>
          </cell>
          <cell r="M12703" t="str">
            <v>M</v>
          </cell>
          <cell r="AB12703" t="str">
            <v>WB</v>
          </cell>
          <cell r="AF12703">
            <v>0</v>
          </cell>
        </row>
        <row r="12704">
          <cell r="A12704" t="str">
            <v>gone</v>
          </cell>
          <cell r="K12704" t="str">
            <v>PCOQ</v>
          </cell>
          <cell r="M12704" t="str">
            <v>M</v>
          </cell>
          <cell r="AB12704" t="str">
            <v>WB</v>
          </cell>
          <cell r="AF12704">
            <v>0</v>
          </cell>
        </row>
        <row r="12705">
          <cell r="A12705" t="str">
            <v>IS_alqt_plus</v>
          </cell>
          <cell r="K12705" t="str">
            <v>PCOQ</v>
          </cell>
          <cell r="M12705" t="str">
            <v>M</v>
          </cell>
          <cell r="AB12705" t="str">
            <v>WB</v>
          </cell>
          <cell r="AF12705">
            <v>0.2</v>
          </cell>
        </row>
        <row r="12706">
          <cell r="A12706" t="str">
            <v>IS_alqt_plus</v>
          </cell>
          <cell r="K12706" t="str">
            <v>PCOQ</v>
          </cell>
          <cell r="M12706" t="str">
            <v>M</v>
          </cell>
          <cell r="AB12706" t="str">
            <v>WB</v>
          </cell>
          <cell r="AF12706">
            <v>0.2</v>
          </cell>
        </row>
        <row r="12707">
          <cell r="A12707" t="str">
            <v>IS_alqt_plus</v>
          </cell>
          <cell r="K12707" t="str">
            <v>PCOQ</v>
          </cell>
          <cell r="M12707" t="str">
            <v>M</v>
          </cell>
          <cell r="AB12707" t="str">
            <v>WB</v>
          </cell>
          <cell r="AF12707">
            <v>0.2</v>
          </cell>
        </row>
        <row r="12708">
          <cell r="A12708" t="str">
            <v>IS_alqt_plus</v>
          </cell>
          <cell r="K12708" t="str">
            <v>PCOQ</v>
          </cell>
          <cell r="M12708" t="str">
            <v>M</v>
          </cell>
          <cell r="AB12708" t="str">
            <v>WB</v>
          </cell>
          <cell r="AF12708">
            <v>0.2</v>
          </cell>
        </row>
        <row r="12709">
          <cell r="A12709" t="str">
            <v>IS_alqt_plus</v>
          </cell>
          <cell r="K12709" t="str">
            <v>PCOQ</v>
          </cell>
          <cell r="M12709" t="str">
            <v>M</v>
          </cell>
          <cell r="AB12709" t="str">
            <v>WB</v>
          </cell>
          <cell r="AF12709">
            <v>0.2</v>
          </cell>
        </row>
        <row r="12710">
          <cell r="A12710" t="str">
            <v>IS_alqt_plus</v>
          </cell>
          <cell r="K12710" t="str">
            <v>PCOQ</v>
          </cell>
          <cell r="M12710" t="str">
            <v>M</v>
          </cell>
          <cell r="AB12710" t="str">
            <v>WB</v>
          </cell>
          <cell r="AF12710">
            <v>0.2</v>
          </cell>
        </row>
        <row r="12711">
          <cell r="A12711" t="str">
            <v>IS_alqt_plus</v>
          </cell>
          <cell r="K12711" t="str">
            <v>PCOQ</v>
          </cell>
          <cell r="M12711" t="str">
            <v>M</v>
          </cell>
          <cell r="AB12711" t="str">
            <v>WB</v>
          </cell>
          <cell r="AF12711">
            <v>0.5</v>
          </cell>
        </row>
        <row r="12712">
          <cell r="A12712" t="str">
            <v>gone</v>
          </cell>
          <cell r="K12712" t="str">
            <v>DMAD</v>
          </cell>
          <cell r="M12712" t="str">
            <v>F</v>
          </cell>
          <cell r="AB12712" t="str">
            <v>WB</v>
          </cell>
          <cell r="AF12712">
            <v>0</v>
          </cell>
        </row>
        <row r="12713">
          <cell r="A12713" t="str">
            <v>IS_alqt_plus</v>
          </cell>
          <cell r="K12713" t="str">
            <v>DMAD</v>
          </cell>
          <cell r="M12713" t="str">
            <v>F</v>
          </cell>
          <cell r="AB12713" t="str">
            <v>serum</v>
          </cell>
          <cell r="AF12713">
            <v>0.5</v>
          </cell>
        </row>
        <row r="12714">
          <cell r="A12714" t="str">
            <v>IS_alqt_plus</v>
          </cell>
          <cell r="K12714" t="str">
            <v>DMAD</v>
          </cell>
          <cell r="M12714" t="str">
            <v>M</v>
          </cell>
          <cell r="AB12714" t="str">
            <v>serum</v>
          </cell>
          <cell r="AF12714">
            <v>1</v>
          </cell>
        </row>
        <row r="12715">
          <cell r="A12715" t="str">
            <v>IS_alqt_plus</v>
          </cell>
          <cell r="K12715" t="str">
            <v>DMAD</v>
          </cell>
          <cell r="M12715" t="str">
            <v>M</v>
          </cell>
          <cell r="AB12715" t="str">
            <v>WB</v>
          </cell>
          <cell r="AF12715">
            <v>0.5</v>
          </cell>
        </row>
        <row r="12716">
          <cell r="A12716" t="str">
            <v>IS_alqt_plus</v>
          </cell>
          <cell r="K12716" t="str">
            <v>DMAD</v>
          </cell>
          <cell r="M12716" t="str">
            <v>M</v>
          </cell>
          <cell r="AB12716" t="str">
            <v>WB</v>
          </cell>
          <cell r="AF12716">
            <v>0.5</v>
          </cell>
        </row>
        <row r="12717">
          <cell r="A12717" t="str">
            <v>IS_alqt_plus</v>
          </cell>
          <cell r="K12717" t="str">
            <v>DMAD</v>
          </cell>
          <cell r="M12717" t="str">
            <v>M</v>
          </cell>
          <cell r="AB12717" t="str">
            <v>WB</v>
          </cell>
          <cell r="AF12717">
            <v>0.5</v>
          </cell>
        </row>
        <row r="12718">
          <cell r="A12718" t="str">
            <v>gone</v>
          </cell>
          <cell r="K12718" t="str">
            <v>LCAT</v>
          </cell>
          <cell r="M12718" t="str">
            <v>M</v>
          </cell>
          <cell r="AB12718" t="str">
            <v>WB</v>
          </cell>
          <cell r="AF12718">
            <v>0</v>
          </cell>
        </row>
        <row r="12719">
          <cell r="A12719" t="str">
            <v>IS_alqt_plus</v>
          </cell>
          <cell r="K12719" t="str">
            <v>LCAT</v>
          </cell>
          <cell r="M12719" t="str">
            <v>M</v>
          </cell>
          <cell r="AB12719" t="str">
            <v>WB</v>
          </cell>
          <cell r="AF12719">
            <v>0.5</v>
          </cell>
        </row>
        <row r="12720">
          <cell r="A12720" t="str">
            <v>IS_alqt_plus</v>
          </cell>
          <cell r="K12720" t="str">
            <v>LCAT</v>
          </cell>
          <cell r="M12720" t="str">
            <v>M</v>
          </cell>
          <cell r="AB12720" t="str">
            <v>serum</v>
          </cell>
          <cell r="AF12720">
            <v>0.75</v>
          </cell>
        </row>
        <row r="12721">
          <cell r="A12721" t="str">
            <v>gone</v>
          </cell>
          <cell r="K12721" t="str">
            <v>LCAT</v>
          </cell>
          <cell r="M12721" t="str">
            <v>F</v>
          </cell>
          <cell r="AB12721" t="str">
            <v>WB</v>
          </cell>
          <cell r="AF12721">
            <v>0</v>
          </cell>
        </row>
        <row r="12722">
          <cell r="A12722" t="str">
            <v>IS_alqt_plus</v>
          </cell>
          <cell r="K12722" t="str">
            <v>LCAT</v>
          </cell>
          <cell r="M12722" t="str">
            <v>F</v>
          </cell>
          <cell r="AB12722" t="str">
            <v>WB</v>
          </cell>
          <cell r="AF12722">
            <v>0.5</v>
          </cell>
        </row>
        <row r="12723">
          <cell r="A12723" t="str">
            <v>IS_alqt_plus</v>
          </cell>
          <cell r="K12723" t="str">
            <v>LCAT</v>
          </cell>
          <cell r="M12723" t="str">
            <v>F</v>
          </cell>
          <cell r="AB12723" t="str">
            <v>serum</v>
          </cell>
          <cell r="AF12723">
            <v>0.5</v>
          </cell>
        </row>
        <row r="12724">
          <cell r="A12724" t="str">
            <v>IS_alqt_plus</v>
          </cell>
          <cell r="K12724" t="str">
            <v>LCAT</v>
          </cell>
          <cell r="M12724" t="str">
            <v>F</v>
          </cell>
          <cell r="AB12724" t="str">
            <v>serum</v>
          </cell>
          <cell r="AF12724">
            <v>0.5</v>
          </cell>
        </row>
        <row r="12725">
          <cell r="A12725" t="str">
            <v>IS_alqt_plus</v>
          </cell>
          <cell r="K12725" t="str">
            <v>LCAT</v>
          </cell>
          <cell r="M12725" t="str">
            <v>F</v>
          </cell>
          <cell r="AB12725" t="str">
            <v>serum</v>
          </cell>
          <cell r="AF12725">
            <v>0.5</v>
          </cell>
        </row>
        <row r="12726">
          <cell r="A12726" t="str">
            <v>IS_alqt_plus</v>
          </cell>
          <cell r="K12726" t="str">
            <v>LCAT</v>
          </cell>
          <cell r="M12726" t="str">
            <v>F</v>
          </cell>
          <cell r="AB12726" t="str">
            <v>serum</v>
          </cell>
          <cell r="AF12726">
            <v>0.5</v>
          </cell>
        </row>
        <row r="12727">
          <cell r="A12727" t="str">
            <v>IS_alqt_plus</v>
          </cell>
          <cell r="K12727" t="str">
            <v>VVV</v>
          </cell>
          <cell r="M12727" t="str">
            <v>F</v>
          </cell>
          <cell r="AB12727" t="str">
            <v>serum</v>
          </cell>
          <cell r="AF12727">
            <v>1</v>
          </cell>
        </row>
        <row r="12728">
          <cell r="A12728" t="str">
            <v>gone</v>
          </cell>
          <cell r="K12728" t="str">
            <v>VVV</v>
          </cell>
          <cell r="M12728" t="str">
            <v>M</v>
          </cell>
          <cell r="AB12728" t="str">
            <v>WB</v>
          </cell>
          <cell r="AF12728">
            <v>0</v>
          </cell>
        </row>
        <row r="12729">
          <cell r="A12729" t="str">
            <v>IS_alqt_plus</v>
          </cell>
          <cell r="K12729" t="str">
            <v>VVV</v>
          </cell>
          <cell r="M12729" t="str">
            <v>M</v>
          </cell>
          <cell r="AB12729" t="str">
            <v>WB</v>
          </cell>
          <cell r="AF12729">
            <v>0.5</v>
          </cell>
        </row>
        <row r="12730">
          <cell r="A12730" t="str">
            <v>IS_alqt_plus</v>
          </cell>
          <cell r="K12730" t="str">
            <v>VVV</v>
          </cell>
          <cell r="M12730" t="str">
            <v>M</v>
          </cell>
          <cell r="AB12730" t="str">
            <v>serum</v>
          </cell>
          <cell r="AF12730">
            <v>0.5</v>
          </cell>
        </row>
        <row r="12731">
          <cell r="A12731" t="str">
            <v>IS_alqt_plus</v>
          </cell>
          <cell r="K12731" t="str">
            <v>VVV</v>
          </cell>
          <cell r="M12731" t="str">
            <v>M</v>
          </cell>
          <cell r="AB12731" t="str">
            <v>serum</v>
          </cell>
          <cell r="AF12731">
            <v>0.5</v>
          </cell>
        </row>
        <row r="12732">
          <cell r="A12732" t="str">
            <v>IS_alqt_plus</v>
          </cell>
          <cell r="K12732" t="str">
            <v>EFLA</v>
          </cell>
          <cell r="M12732" t="str">
            <v>F</v>
          </cell>
          <cell r="AB12732" t="str">
            <v>WB</v>
          </cell>
          <cell r="AF12732">
            <v>0.5</v>
          </cell>
        </row>
        <row r="12733">
          <cell r="A12733" t="str">
            <v>IS_alqt_plus</v>
          </cell>
          <cell r="K12733" t="str">
            <v>EFLA</v>
          </cell>
          <cell r="M12733" t="str">
            <v>F</v>
          </cell>
          <cell r="AB12733" t="str">
            <v>WB</v>
          </cell>
          <cell r="AF12733">
            <v>0.5</v>
          </cell>
        </row>
        <row r="12734">
          <cell r="A12734" t="str">
            <v>IS_alqt_plus</v>
          </cell>
          <cell r="K12734" t="str">
            <v>EFLA</v>
          </cell>
          <cell r="M12734" t="str">
            <v>F</v>
          </cell>
          <cell r="AB12734" t="str">
            <v>serum</v>
          </cell>
          <cell r="AF12734">
            <v>0.5</v>
          </cell>
        </row>
        <row r="12735">
          <cell r="A12735" t="str">
            <v>IS_alqt_plus</v>
          </cell>
          <cell r="K12735" t="str">
            <v>EFLA</v>
          </cell>
          <cell r="M12735" t="str">
            <v>F</v>
          </cell>
          <cell r="AB12735" t="str">
            <v>serum</v>
          </cell>
          <cell r="AF12735">
            <v>0.5</v>
          </cell>
        </row>
        <row r="12736">
          <cell r="A12736" t="str">
            <v>IS_alqt_plus</v>
          </cell>
          <cell r="K12736" t="str">
            <v>DMAD</v>
          </cell>
          <cell r="M12736" t="str">
            <v>M</v>
          </cell>
          <cell r="AB12736" t="str">
            <v>WB</v>
          </cell>
          <cell r="AF12736">
            <v>0.5</v>
          </cell>
        </row>
        <row r="12737">
          <cell r="A12737" t="str">
            <v>IS_alqt_plus</v>
          </cell>
          <cell r="K12737" t="str">
            <v>DMAD</v>
          </cell>
          <cell r="M12737" t="str">
            <v>M</v>
          </cell>
          <cell r="AB12737" t="str">
            <v>WB</v>
          </cell>
          <cell r="AF12737">
            <v>0.5</v>
          </cell>
        </row>
        <row r="12738">
          <cell r="A12738" t="str">
            <v>IS_alqt_plus</v>
          </cell>
          <cell r="K12738" t="str">
            <v>DMAD</v>
          </cell>
          <cell r="M12738" t="str">
            <v>M</v>
          </cell>
          <cell r="AB12738" t="str">
            <v>WB</v>
          </cell>
          <cell r="AF12738">
            <v>0.5</v>
          </cell>
        </row>
        <row r="12739">
          <cell r="A12739" t="str">
            <v>IS_alqt_plus</v>
          </cell>
          <cell r="K12739" t="str">
            <v>DMAD</v>
          </cell>
          <cell r="M12739" t="str">
            <v>M</v>
          </cell>
          <cell r="AB12739" t="str">
            <v>WB</v>
          </cell>
          <cell r="AF12739">
            <v>0.5</v>
          </cell>
        </row>
        <row r="12740">
          <cell r="A12740" t="str">
            <v>IS_alqt_plus</v>
          </cell>
          <cell r="K12740" t="str">
            <v>DMAD</v>
          </cell>
          <cell r="M12740" t="str">
            <v>M</v>
          </cell>
          <cell r="AB12740" t="str">
            <v>WB</v>
          </cell>
          <cell r="AF12740">
            <v>0.5</v>
          </cell>
        </row>
        <row r="12741">
          <cell r="A12741" t="str">
            <v>IS_alqt_plus</v>
          </cell>
          <cell r="K12741" t="str">
            <v>DMAD</v>
          </cell>
          <cell r="M12741" t="str">
            <v>M</v>
          </cell>
          <cell r="AB12741" t="str">
            <v>serum</v>
          </cell>
          <cell r="AF12741">
            <v>0.5</v>
          </cell>
        </row>
        <row r="12742">
          <cell r="A12742" t="str">
            <v>IS_alqt_plus</v>
          </cell>
          <cell r="K12742" t="str">
            <v>DMAD</v>
          </cell>
          <cell r="M12742" t="str">
            <v>M</v>
          </cell>
          <cell r="AB12742" t="str">
            <v>serum</v>
          </cell>
          <cell r="AF12742">
            <v>0.5</v>
          </cell>
        </row>
        <row r="12743">
          <cell r="A12743" t="str">
            <v>IS_alqt_plus</v>
          </cell>
          <cell r="K12743" t="str">
            <v>DMAD</v>
          </cell>
          <cell r="M12743" t="str">
            <v>M</v>
          </cell>
          <cell r="AB12743" t="str">
            <v>serum</v>
          </cell>
          <cell r="AF12743">
            <v>0.5</v>
          </cell>
        </row>
        <row r="12744">
          <cell r="A12744" t="str">
            <v>IS_alqt_plus</v>
          </cell>
          <cell r="K12744" t="str">
            <v>DMAD</v>
          </cell>
          <cell r="M12744" t="str">
            <v>M</v>
          </cell>
          <cell r="AB12744" t="str">
            <v>serum</v>
          </cell>
          <cell r="AF12744">
            <v>0.5</v>
          </cell>
        </row>
        <row r="12745">
          <cell r="A12745" t="str">
            <v>gone</v>
          </cell>
          <cell r="K12745" t="str">
            <v>ECOR</v>
          </cell>
          <cell r="M12745" t="str">
            <v>M</v>
          </cell>
          <cell r="AB12745" t="str">
            <v>WB</v>
          </cell>
          <cell r="AF12745">
            <v>0</v>
          </cell>
        </row>
        <row r="12746">
          <cell r="A12746" t="str">
            <v>gone</v>
          </cell>
          <cell r="K12746" t="str">
            <v>ECOR</v>
          </cell>
          <cell r="M12746" t="str">
            <v>M</v>
          </cell>
          <cell r="AB12746" t="str">
            <v>WB</v>
          </cell>
          <cell r="AF12746">
            <v>0</v>
          </cell>
        </row>
        <row r="12747">
          <cell r="A12747" t="str">
            <v>IS_alqt_plus</v>
          </cell>
          <cell r="K12747" t="str">
            <v>ECOR</v>
          </cell>
          <cell r="M12747" t="str">
            <v>M</v>
          </cell>
          <cell r="AB12747" t="str">
            <v>WB</v>
          </cell>
          <cell r="AF12747">
            <v>0.2</v>
          </cell>
        </row>
        <row r="12748">
          <cell r="A12748" t="str">
            <v>IS_alqt_plus</v>
          </cell>
          <cell r="K12748" t="str">
            <v>ECOR</v>
          </cell>
          <cell r="M12748" t="str">
            <v>M</v>
          </cell>
          <cell r="AB12748" t="str">
            <v>WB</v>
          </cell>
          <cell r="AF12748">
            <v>0.2</v>
          </cell>
        </row>
        <row r="12749">
          <cell r="A12749" t="str">
            <v>IS_alqt_plus</v>
          </cell>
          <cell r="K12749" t="str">
            <v>ECOR</v>
          </cell>
          <cell r="M12749" t="str">
            <v>M</v>
          </cell>
          <cell r="AB12749" t="str">
            <v>WB</v>
          </cell>
          <cell r="AF12749">
            <v>0.2</v>
          </cell>
        </row>
        <row r="12750">
          <cell r="A12750" t="str">
            <v>IS_alqt_plus</v>
          </cell>
          <cell r="K12750" t="str">
            <v>ECOR</v>
          </cell>
          <cell r="M12750" t="str">
            <v>M</v>
          </cell>
          <cell r="AB12750" t="str">
            <v>WB</v>
          </cell>
          <cell r="AF12750">
            <v>0.2</v>
          </cell>
        </row>
        <row r="12751">
          <cell r="A12751" t="str">
            <v>IS_alqt_plus</v>
          </cell>
          <cell r="K12751" t="str">
            <v>ECOR</v>
          </cell>
          <cell r="M12751" t="str">
            <v>M</v>
          </cell>
          <cell r="AB12751" t="str">
            <v>WB</v>
          </cell>
          <cell r="AF12751">
            <v>0.2</v>
          </cell>
        </row>
        <row r="12752">
          <cell r="A12752" t="str">
            <v>IS_alqt_plus</v>
          </cell>
          <cell r="K12752" t="str">
            <v>ECOR</v>
          </cell>
          <cell r="M12752" t="str">
            <v>M</v>
          </cell>
          <cell r="AB12752" t="str">
            <v>WB</v>
          </cell>
          <cell r="AF12752">
            <v>0.2</v>
          </cell>
        </row>
        <row r="12753">
          <cell r="A12753" t="str">
            <v>IS_alqt_plus</v>
          </cell>
          <cell r="K12753" t="str">
            <v>ECOR</v>
          </cell>
          <cell r="M12753" t="str">
            <v>M</v>
          </cell>
          <cell r="AB12753" t="str">
            <v>serum</v>
          </cell>
          <cell r="AF12753">
            <v>0.2</v>
          </cell>
        </row>
        <row r="12754">
          <cell r="A12754" t="str">
            <v>IS_alqt_plus</v>
          </cell>
          <cell r="K12754" t="str">
            <v>ECOR</v>
          </cell>
          <cell r="M12754" t="str">
            <v>M</v>
          </cell>
          <cell r="AB12754" t="str">
            <v>serum</v>
          </cell>
          <cell r="AF12754">
            <v>0.2</v>
          </cell>
        </row>
        <row r="12755">
          <cell r="A12755" t="str">
            <v>IS_alqt_plus</v>
          </cell>
          <cell r="K12755" t="str">
            <v>ECOR</v>
          </cell>
          <cell r="M12755" t="str">
            <v>M</v>
          </cell>
          <cell r="AB12755" t="str">
            <v>serum</v>
          </cell>
          <cell r="AF12755">
            <v>0.2</v>
          </cell>
        </row>
        <row r="12756">
          <cell r="A12756" t="str">
            <v>IS_alqt_plus</v>
          </cell>
          <cell r="K12756" t="str">
            <v>ECOR</v>
          </cell>
          <cell r="M12756" t="str">
            <v>M</v>
          </cell>
          <cell r="AB12756" t="str">
            <v>serum</v>
          </cell>
          <cell r="AF12756">
            <v>0.2</v>
          </cell>
        </row>
        <row r="12757">
          <cell r="A12757" t="str">
            <v>IS_alqt_plus</v>
          </cell>
          <cell r="K12757" t="str">
            <v>ECOR</v>
          </cell>
          <cell r="M12757" t="str">
            <v>M</v>
          </cell>
          <cell r="AB12757" t="str">
            <v>serum</v>
          </cell>
          <cell r="AF12757">
            <v>0.2</v>
          </cell>
        </row>
        <row r="12758">
          <cell r="A12758" t="str">
            <v>IS_alqt_plus</v>
          </cell>
          <cell r="K12758" t="str">
            <v>ECOR</v>
          </cell>
          <cell r="M12758" t="str">
            <v>M</v>
          </cell>
          <cell r="AB12758" t="str">
            <v>serum</v>
          </cell>
          <cell r="AF12758">
            <v>0.2</v>
          </cell>
        </row>
        <row r="12759">
          <cell r="A12759" t="str">
            <v>IS_alqt_plus</v>
          </cell>
          <cell r="K12759" t="str">
            <v>ECOR</v>
          </cell>
          <cell r="M12759" t="str">
            <v>M</v>
          </cell>
          <cell r="AB12759" t="str">
            <v>WB</v>
          </cell>
          <cell r="AF12759">
            <v>0.3</v>
          </cell>
        </row>
        <row r="12760">
          <cell r="A12760" t="str">
            <v>IS_alqt_plus</v>
          </cell>
          <cell r="K12760" t="str">
            <v>ECOR</v>
          </cell>
          <cell r="M12760" t="str">
            <v>M</v>
          </cell>
          <cell r="AB12760" t="str">
            <v>WB</v>
          </cell>
          <cell r="AF12760">
            <v>0.2</v>
          </cell>
        </row>
        <row r="12761">
          <cell r="A12761" t="str">
            <v>IS_alqt_plus</v>
          </cell>
          <cell r="K12761" t="str">
            <v>ECOR</v>
          </cell>
          <cell r="M12761" t="str">
            <v>M</v>
          </cell>
          <cell r="AB12761" t="str">
            <v>WB</v>
          </cell>
          <cell r="AF12761">
            <v>0.2</v>
          </cell>
        </row>
        <row r="12762">
          <cell r="A12762" t="str">
            <v>IS_alqt_plus</v>
          </cell>
          <cell r="K12762" t="str">
            <v>ECOR</v>
          </cell>
          <cell r="M12762" t="str">
            <v>M</v>
          </cell>
          <cell r="AB12762" t="str">
            <v>WB</v>
          </cell>
          <cell r="AF12762">
            <v>0.2</v>
          </cell>
        </row>
        <row r="12763">
          <cell r="A12763" t="str">
            <v>IS_alqt_plus</v>
          </cell>
          <cell r="K12763" t="str">
            <v>ECOR</v>
          </cell>
          <cell r="M12763" t="str">
            <v>M</v>
          </cell>
          <cell r="AB12763" t="str">
            <v>WB</v>
          </cell>
          <cell r="AF12763">
            <v>0.2</v>
          </cell>
        </row>
        <row r="12764">
          <cell r="A12764" t="str">
            <v>IS_alqt_plus</v>
          </cell>
          <cell r="K12764" t="str">
            <v>ECOR</v>
          </cell>
          <cell r="M12764" t="str">
            <v>M</v>
          </cell>
          <cell r="AB12764" t="str">
            <v>WB</v>
          </cell>
          <cell r="AF12764">
            <v>0.2</v>
          </cell>
        </row>
        <row r="12765">
          <cell r="A12765" t="str">
            <v>IS_alqt_plus</v>
          </cell>
          <cell r="K12765" t="str">
            <v>ECOR</v>
          </cell>
          <cell r="M12765" t="str">
            <v>M</v>
          </cell>
          <cell r="AB12765" t="str">
            <v>WB</v>
          </cell>
          <cell r="AF12765">
            <v>0.2</v>
          </cell>
        </row>
        <row r="12766">
          <cell r="A12766" t="str">
            <v>IS_alqt_plus</v>
          </cell>
          <cell r="K12766" t="str">
            <v>ECOR</v>
          </cell>
          <cell r="M12766" t="str">
            <v>M</v>
          </cell>
          <cell r="AB12766" t="str">
            <v>serum</v>
          </cell>
          <cell r="AF12766">
            <v>0.2</v>
          </cell>
        </row>
        <row r="12767">
          <cell r="A12767" t="str">
            <v>IS_alqt_plus</v>
          </cell>
          <cell r="K12767" t="str">
            <v>ECOR</v>
          </cell>
          <cell r="M12767" t="str">
            <v>M</v>
          </cell>
          <cell r="AB12767" t="str">
            <v>serum</v>
          </cell>
          <cell r="AF12767">
            <v>0.2</v>
          </cell>
        </row>
        <row r="12768">
          <cell r="A12768" t="str">
            <v>IS_alqt_plus</v>
          </cell>
          <cell r="K12768" t="str">
            <v>ECOR</v>
          </cell>
          <cell r="M12768" t="str">
            <v>M</v>
          </cell>
          <cell r="AB12768" t="str">
            <v>serum</v>
          </cell>
          <cell r="AF12768">
            <v>0.2</v>
          </cell>
        </row>
        <row r="12769">
          <cell r="A12769" t="str">
            <v>IS_alqt_plus</v>
          </cell>
          <cell r="K12769" t="str">
            <v>ECOR</v>
          </cell>
          <cell r="M12769" t="str">
            <v>M</v>
          </cell>
          <cell r="AB12769" t="str">
            <v>serum</v>
          </cell>
          <cell r="AF12769">
            <v>0.2</v>
          </cell>
        </row>
        <row r="12770">
          <cell r="A12770" t="str">
            <v>IS_alqt_plus</v>
          </cell>
          <cell r="K12770" t="str">
            <v>ECOR</v>
          </cell>
          <cell r="M12770" t="str">
            <v>M</v>
          </cell>
          <cell r="AB12770" t="str">
            <v>serum</v>
          </cell>
          <cell r="AF12770">
            <v>0.2</v>
          </cell>
        </row>
        <row r="12771">
          <cell r="A12771" t="str">
            <v>IS_alqt_plus</v>
          </cell>
          <cell r="K12771" t="str">
            <v>ECOR</v>
          </cell>
          <cell r="M12771" t="str">
            <v>M</v>
          </cell>
          <cell r="AB12771" t="str">
            <v>serum</v>
          </cell>
          <cell r="AF12771">
            <v>0.2</v>
          </cell>
        </row>
        <row r="12772">
          <cell r="A12772" t="str">
            <v>IS_alqt_plus</v>
          </cell>
          <cell r="K12772" t="str">
            <v>MMUR</v>
          </cell>
          <cell r="M12772" t="str">
            <v>F</v>
          </cell>
          <cell r="AB12772" t="str">
            <v>WB</v>
          </cell>
          <cell r="AF12772">
            <v>0.6</v>
          </cell>
        </row>
        <row r="12773">
          <cell r="A12773" t="str">
            <v>IS_alqt_plus</v>
          </cell>
          <cell r="K12773" t="str">
            <v>MMUR</v>
          </cell>
          <cell r="M12773" t="str">
            <v>F</v>
          </cell>
          <cell r="AB12773" t="str">
            <v>serum</v>
          </cell>
          <cell r="AF12773">
            <v>0.3</v>
          </cell>
        </row>
        <row r="12774">
          <cell r="A12774" t="str">
            <v>IS_alqt_plus</v>
          </cell>
          <cell r="K12774" t="str">
            <v>MMUR</v>
          </cell>
          <cell r="M12774" t="str">
            <v>F</v>
          </cell>
          <cell r="AB12774" t="str">
            <v>WB</v>
          </cell>
          <cell r="AF12774">
            <v>0.25</v>
          </cell>
        </row>
        <row r="12775">
          <cell r="A12775" t="str">
            <v>gone</v>
          </cell>
          <cell r="K12775" t="str">
            <v>LCAT</v>
          </cell>
          <cell r="M12775" t="str">
            <v>F</v>
          </cell>
          <cell r="AB12775" t="str">
            <v>WB</v>
          </cell>
          <cell r="AF12775">
            <v>0</v>
          </cell>
        </row>
        <row r="12776">
          <cell r="A12776" t="str">
            <v>IS_alqt_plus</v>
          </cell>
          <cell r="K12776" t="str">
            <v>LCAT</v>
          </cell>
          <cell r="M12776" t="str">
            <v>F</v>
          </cell>
          <cell r="AB12776" t="str">
            <v>WB</v>
          </cell>
          <cell r="AF12776">
            <v>0.5</v>
          </cell>
        </row>
        <row r="12777">
          <cell r="A12777" t="str">
            <v>IS_alqt_plus</v>
          </cell>
          <cell r="K12777" t="str">
            <v>LCAT</v>
          </cell>
          <cell r="M12777" t="str">
            <v>F</v>
          </cell>
          <cell r="AB12777" t="str">
            <v>WB</v>
          </cell>
          <cell r="AF12777">
            <v>0.5</v>
          </cell>
        </row>
        <row r="12778">
          <cell r="A12778" t="str">
            <v>IS_alqt_plus</v>
          </cell>
          <cell r="K12778" t="str">
            <v>LCAT</v>
          </cell>
          <cell r="M12778" t="str">
            <v>F</v>
          </cell>
          <cell r="AB12778" t="str">
            <v>serum</v>
          </cell>
          <cell r="AF12778">
            <v>0.5</v>
          </cell>
        </row>
        <row r="12779">
          <cell r="A12779" t="str">
            <v>IS_alqt_plus</v>
          </cell>
          <cell r="K12779" t="str">
            <v>LCAT</v>
          </cell>
          <cell r="M12779" t="str">
            <v>F</v>
          </cell>
          <cell r="AB12779" t="str">
            <v>serum</v>
          </cell>
          <cell r="AF12779">
            <v>0.5</v>
          </cell>
        </row>
        <row r="12780">
          <cell r="A12780" t="str">
            <v>IS_alqt_plus</v>
          </cell>
          <cell r="K12780" t="str">
            <v>LCAT</v>
          </cell>
          <cell r="M12780" t="str">
            <v>F</v>
          </cell>
          <cell r="AB12780" t="str">
            <v>serum</v>
          </cell>
          <cell r="AF12780">
            <v>0.5</v>
          </cell>
        </row>
        <row r="12781">
          <cell r="A12781" t="str">
            <v>IS_alqt_plus</v>
          </cell>
          <cell r="K12781" t="str">
            <v>LCAT</v>
          </cell>
          <cell r="M12781" t="str">
            <v>M</v>
          </cell>
          <cell r="AB12781" t="str">
            <v>WB</v>
          </cell>
          <cell r="AF12781">
            <v>0.8</v>
          </cell>
        </row>
        <row r="12782">
          <cell r="A12782" t="str">
            <v>IS_alqt_plus</v>
          </cell>
          <cell r="K12782" t="str">
            <v>LCAT</v>
          </cell>
          <cell r="M12782" t="str">
            <v>M</v>
          </cell>
          <cell r="AB12782" t="str">
            <v>WB</v>
          </cell>
          <cell r="AF12782">
            <v>0.8</v>
          </cell>
        </row>
        <row r="12783">
          <cell r="A12783" t="str">
            <v>IS_alqt_plus</v>
          </cell>
          <cell r="K12783" t="str">
            <v>LCAT</v>
          </cell>
          <cell r="M12783" t="str">
            <v>M</v>
          </cell>
          <cell r="AB12783" t="str">
            <v>serum</v>
          </cell>
          <cell r="AF12783">
            <v>1</v>
          </cell>
        </row>
        <row r="12784">
          <cell r="A12784" t="str">
            <v>IS_alqt_plus</v>
          </cell>
          <cell r="K12784" t="str">
            <v>LCAT</v>
          </cell>
          <cell r="M12784" t="str">
            <v>M</v>
          </cell>
          <cell r="AB12784" t="str">
            <v>serum</v>
          </cell>
          <cell r="AF12784">
            <v>0.5</v>
          </cell>
        </row>
        <row r="12785">
          <cell r="A12785" t="str">
            <v>IS_alqt_plus</v>
          </cell>
          <cell r="K12785" t="str">
            <v>PCOQ</v>
          </cell>
          <cell r="M12785" t="str">
            <v>F</v>
          </cell>
          <cell r="AB12785" t="str">
            <v>WB</v>
          </cell>
          <cell r="AF12785">
            <v>0.5</v>
          </cell>
        </row>
        <row r="12786">
          <cell r="A12786" t="str">
            <v>IS_alqt_plus</v>
          </cell>
          <cell r="K12786" t="str">
            <v>PCOQ</v>
          </cell>
          <cell r="M12786" t="str">
            <v>F</v>
          </cell>
          <cell r="AB12786" t="str">
            <v>WB</v>
          </cell>
          <cell r="AF12786">
            <v>0.5</v>
          </cell>
        </row>
        <row r="12787">
          <cell r="A12787" t="str">
            <v>IS_alqt_plus</v>
          </cell>
          <cell r="K12787" t="str">
            <v>PCOQ</v>
          </cell>
          <cell r="M12787" t="str">
            <v>F</v>
          </cell>
          <cell r="AB12787" t="str">
            <v>WB</v>
          </cell>
          <cell r="AF12787">
            <v>0.5</v>
          </cell>
        </row>
        <row r="12788">
          <cell r="A12788" t="str">
            <v>IS_alqt_plus</v>
          </cell>
          <cell r="K12788" t="str">
            <v>PCOQ</v>
          </cell>
          <cell r="M12788" t="str">
            <v>F</v>
          </cell>
          <cell r="AB12788" t="str">
            <v>serum</v>
          </cell>
          <cell r="AF12788">
            <v>0.5</v>
          </cell>
        </row>
        <row r="12789">
          <cell r="A12789" t="str">
            <v>IS_alqt_plus</v>
          </cell>
          <cell r="K12789" t="str">
            <v>PCOQ</v>
          </cell>
          <cell r="M12789" t="str">
            <v>F</v>
          </cell>
          <cell r="AB12789" t="str">
            <v>serum</v>
          </cell>
          <cell r="AF12789">
            <v>0.5</v>
          </cell>
        </row>
        <row r="12790">
          <cell r="A12790" t="str">
            <v>IS_alqt_plus</v>
          </cell>
          <cell r="K12790" t="str">
            <v>PCOQ</v>
          </cell>
          <cell r="M12790" t="str">
            <v>F</v>
          </cell>
          <cell r="AB12790" t="str">
            <v>serum</v>
          </cell>
          <cell r="AF12790">
            <v>0.5</v>
          </cell>
        </row>
        <row r="12791">
          <cell r="A12791" t="str">
            <v>gone</v>
          </cell>
          <cell r="K12791" t="str">
            <v>LCAT</v>
          </cell>
          <cell r="M12791" t="str">
            <v>M</v>
          </cell>
          <cell r="AB12791" t="str">
            <v>WB</v>
          </cell>
          <cell r="AF12791">
            <v>0</v>
          </cell>
        </row>
        <row r="12792">
          <cell r="A12792" t="str">
            <v>IS_alqt_plus</v>
          </cell>
          <cell r="K12792" t="str">
            <v>LCAT</v>
          </cell>
          <cell r="M12792" t="str">
            <v>M</v>
          </cell>
          <cell r="AB12792" t="str">
            <v>WB</v>
          </cell>
          <cell r="AF12792">
            <v>0.5</v>
          </cell>
        </row>
        <row r="12793">
          <cell r="A12793" t="str">
            <v>IS_alqt_plus</v>
          </cell>
          <cell r="K12793" t="str">
            <v>LCAT</v>
          </cell>
          <cell r="M12793" t="str">
            <v>M</v>
          </cell>
          <cell r="AB12793" t="str">
            <v>serum</v>
          </cell>
          <cell r="AF12793">
            <v>0.5</v>
          </cell>
        </row>
        <row r="12794">
          <cell r="A12794" t="str">
            <v>IS_alqt_plus</v>
          </cell>
          <cell r="K12794" t="str">
            <v>LCAT</v>
          </cell>
          <cell r="M12794" t="str">
            <v>M</v>
          </cell>
          <cell r="AB12794" t="str">
            <v>serum</v>
          </cell>
          <cell r="AF12794">
            <v>0.5</v>
          </cell>
        </row>
        <row r="12795">
          <cell r="A12795" t="str">
            <v>IS_alqt_plus</v>
          </cell>
          <cell r="K12795" t="str">
            <v>LCAT</v>
          </cell>
          <cell r="M12795" t="str">
            <v>M</v>
          </cell>
          <cell r="AB12795" t="str">
            <v>serum</v>
          </cell>
          <cell r="AF12795">
            <v>0.5</v>
          </cell>
        </row>
        <row r="12796">
          <cell r="A12796" t="str">
            <v>gone</v>
          </cell>
          <cell r="K12796" t="str">
            <v>VVV</v>
          </cell>
          <cell r="M12796" t="str">
            <v>F</v>
          </cell>
          <cell r="AB12796" t="str">
            <v>WB</v>
          </cell>
          <cell r="AF12796">
            <v>0</v>
          </cell>
        </row>
        <row r="12797">
          <cell r="A12797" t="str">
            <v>IS_alqt_plus</v>
          </cell>
          <cell r="K12797" t="str">
            <v>VVV</v>
          </cell>
          <cell r="M12797" t="str">
            <v>F</v>
          </cell>
          <cell r="AB12797" t="str">
            <v>WB</v>
          </cell>
          <cell r="AF12797">
            <v>0.5</v>
          </cell>
        </row>
        <row r="12798">
          <cell r="A12798" t="str">
            <v>IS_alqt_plus</v>
          </cell>
          <cell r="K12798" t="str">
            <v>VVV</v>
          </cell>
          <cell r="M12798" t="str">
            <v>F</v>
          </cell>
          <cell r="AB12798" t="str">
            <v>WB</v>
          </cell>
        </row>
        <row r="12799">
          <cell r="A12799" t="str">
            <v>IS_alqt_plus</v>
          </cell>
          <cell r="K12799" t="str">
            <v>VVV</v>
          </cell>
          <cell r="M12799" t="str">
            <v>M</v>
          </cell>
          <cell r="AB12799" t="str">
            <v>WB</v>
          </cell>
          <cell r="AF12799">
            <v>0.4</v>
          </cell>
        </row>
        <row r="12800">
          <cell r="A12800" t="str">
            <v>IS_alqt_plus</v>
          </cell>
          <cell r="K12800" t="str">
            <v>VVV</v>
          </cell>
          <cell r="M12800" t="str">
            <v>M</v>
          </cell>
          <cell r="AB12800" t="str">
            <v>WB</v>
          </cell>
          <cell r="AF12800">
            <v>0.4</v>
          </cell>
        </row>
        <row r="12801">
          <cell r="A12801" t="str">
            <v>IS_alqt_plus</v>
          </cell>
          <cell r="K12801" t="str">
            <v>VVV</v>
          </cell>
          <cell r="M12801" t="str">
            <v>M</v>
          </cell>
          <cell r="AB12801" t="str">
            <v>WB</v>
          </cell>
          <cell r="AF12801">
            <v>0.4</v>
          </cell>
        </row>
        <row r="12802">
          <cell r="A12802" t="str">
            <v>IS_alqt_plus</v>
          </cell>
          <cell r="K12802" t="str">
            <v>VVV</v>
          </cell>
          <cell r="M12802" t="str">
            <v>M</v>
          </cell>
          <cell r="AB12802" t="str">
            <v>WB</v>
          </cell>
          <cell r="AF12802">
            <v>0.2</v>
          </cell>
        </row>
        <row r="12803">
          <cell r="A12803" t="str">
            <v>IS_alqt_plus</v>
          </cell>
          <cell r="K12803" t="str">
            <v>VVV</v>
          </cell>
          <cell r="M12803" t="str">
            <v>M</v>
          </cell>
          <cell r="AB12803" t="str">
            <v>WB</v>
          </cell>
          <cell r="AF12803">
            <v>0.2</v>
          </cell>
        </row>
        <row r="12804">
          <cell r="A12804" t="str">
            <v>IS_alqt_plus</v>
          </cell>
          <cell r="K12804" t="str">
            <v>VVV</v>
          </cell>
          <cell r="M12804" t="str">
            <v>M</v>
          </cell>
          <cell r="AB12804" t="str">
            <v>WB</v>
          </cell>
          <cell r="AF12804">
            <v>0.2</v>
          </cell>
        </row>
        <row r="12805">
          <cell r="A12805" t="str">
            <v>IS_alqt_plus</v>
          </cell>
          <cell r="K12805" t="str">
            <v>VVV</v>
          </cell>
          <cell r="M12805" t="str">
            <v>M</v>
          </cell>
          <cell r="AB12805" t="str">
            <v>WB</v>
          </cell>
          <cell r="AF12805">
            <v>0.2</v>
          </cell>
        </row>
        <row r="12806">
          <cell r="A12806" t="str">
            <v>IS_alqt_plus</v>
          </cell>
          <cell r="K12806" t="str">
            <v>LCAT</v>
          </cell>
          <cell r="M12806" t="str">
            <v>M</v>
          </cell>
          <cell r="AB12806" t="str">
            <v>WB</v>
          </cell>
          <cell r="AF12806">
            <v>0.2</v>
          </cell>
        </row>
        <row r="12807">
          <cell r="A12807" t="str">
            <v>IS_alqt_plus</v>
          </cell>
          <cell r="K12807" t="str">
            <v>LCAT</v>
          </cell>
          <cell r="M12807" t="str">
            <v>M</v>
          </cell>
          <cell r="AB12807" t="str">
            <v>WB</v>
          </cell>
          <cell r="AF12807">
            <v>0.2</v>
          </cell>
        </row>
        <row r="12808">
          <cell r="A12808" t="str">
            <v>IS_alqt_plus</v>
          </cell>
          <cell r="K12808" t="str">
            <v>LCAT</v>
          </cell>
          <cell r="M12808" t="str">
            <v>M</v>
          </cell>
          <cell r="AB12808" t="str">
            <v>WB</v>
          </cell>
          <cell r="AF12808">
            <v>0.2</v>
          </cell>
        </row>
        <row r="12809">
          <cell r="A12809" t="str">
            <v>IS_alqt_plus</v>
          </cell>
          <cell r="K12809" t="str">
            <v>LCAT</v>
          </cell>
          <cell r="M12809" t="str">
            <v>M</v>
          </cell>
          <cell r="AB12809" t="str">
            <v>WB</v>
          </cell>
          <cell r="AF12809">
            <v>0.2</v>
          </cell>
        </row>
        <row r="12810">
          <cell r="A12810" t="str">
            <v>IS_alqt_plus</v>
          </cell>
          <cell r="K12810" t="str">
            <v>LCAT</v>
          </cell>
          <cell r="M12810" t="str">
            <v>M</v>
          </cell>
          <cell r="AB12810" t="str">
            <v>serum</v>
          </cell>
          <cell r="AF12810">
            <v>0.4</v>
          </cell>
        </row>
        <row r="12811">
          <cell r="A12811" t="str">
            <v>IS_alqt_plus</v>
          </cell>
          <cell r="K12811" t="str">
            <v>LCAT</v>
          </cell>
          <cell r="M12811" t="str">
            <v>M</v>
          </cell>
          <cell r="AB12811" t="str">
            <v>serum</v>
          </cell>
          <cell r="AF12811">
            <v>0.3</v>
          </cell>
        </row>
        <row r="12812">
          <cell r="A12812" t="str">
            <v>IS_alqt_plus</v>
          </cell>
          <cell r="K12812" t="str">
            <v>LCAT</v>
          </cell>
          <cell r="M12812" t="str">
            <v>M</v>
          </cell>
          <cell r="AB12812" t="str">
            <v>serum</v>
          </cell>
          <cell r="AF12812">
            <v>0.2</v>
          </cell>
        </row>
        <row r="12813">
          <cell r="A12813" t="str">
            <v>IS_alqt_plus</v>
          </cell>
          <cell r="K12813" t="str">
            <v>LCAT</v>
          </cell>
          <cell r="M12813" t="str">
            <v>M</v>
          </cell>
          <cell r="AB12813" t="str">
            <v>serum</v>
          </cell>
          <cell r="AF12813">
            <v>0.2</v>
          </cell>
        </row>
        <row r="12814">
          <cell r="A12814" t="str">
            <v>IS_alqt_plus</v>
          </cell>
          <cell r="K12814" t="str">
            <v>LCAT</v>
          </cell>
          <cell r="M12814" t="str">
            <v>M</v>
          </cell>
          <cell r="AB12814" t="str">
            <v>serum</v>
          </cell>
          <cell r="AF12814">
            <v>0.2</v>
          </cell>
        </row>
        <row r="12815">
          <cell r="A12815" t="str">
            <v>IS_alqt_plus</v>
          </cell>
          <cell r="K12815" t="str">
            <v>LCAT</v>
          </cell>
          <cell r="M12815" t="str">
            <v>M</v>
          </cell>
          <cell r="AB12815" t="str">
            <v>serum</v>
          </cell>
          <cell r="AF12815">
            <v>0.2</v>
          </cell>
        </row>
        <row r="12816">
          <cell r="A12816" t="str">
            <v>gone</v>
          </cell>
          <cell r="K12816" t="str">
            <v>EFLA</v>
          </cell>
          <cell r="M12816" t="str">
            <v>F</v>
          </cell>
          <cell r="AB12816" t="str">
            <v>WB</v>
          </cell>
          <cell r="AF12816">
            <v>0</v>
          </cell>
        </row>
        <row r="12817">
          <cell r="A12817" t="str">
            <v>gone</v>
          </cell>
          <cell r="K12817" t="str">
            <v>EFLA</v>
          </cell>
          <cell r="M12817" t="str">
            <v>F</v>
          </cell>
          <cell r="AB12817" t="str">
            <v>WB</v>
          </cell>
          <cell r="AF12817">
            <v>0</v>
          </cell>
        </row>
        <row r="12818">
          <cell r="A12818" t="str">
            <v>IS_alqt_plus</v>
          </cell>
          <cell r="K12818" t="str">
            <v>EFLA</v>
          </cell>
          <cell r="M12818" t="str">
            <v>F</v>
          </cell>
          <cell r="AB12818" t="str">
            <v>WB</v>
          </cell>
          <cell r="AF12818">
            <v>0.5</v>
          </cell>
        </row>
        <row r="12819">
          <cell r="A12819" t="str">
            <v>IS_alqt_plus</v>
          </cell>
          <cell r="K12819" t="str">
            <v>EFLA</v>
          </cell>
          <cell r="M12819" t="str">
            <v>F</v>
          </cell>
          <cell r="AB12819" t="str">
            <v>WB</v>
          </cell>
          <cell r="AF12819">
            <v>0.5</v>
          </cell>
        </row>
        <row r="12820">
          <cell r="A12820" t="str">
            <v>IS_alqt_plus</v>
          </cell>
          <cell r="K12820" t="str">
            <v>EFLA</v>
          </cell>
          <cell r="M12820" t="str">
            <v>F</v>
          </cell>
          <cell r="AB12820" t="str">
            <v>WB</v>
          </cell>
          <cell r="AF12820">
            <v>0.5</v>
          </cell>
        </row>
        <row r="12821">
          <cell r="A12821" t="str">
            <v>IS_alqt_plus</v>
          </cell>
          <cell r="K12821" t="str">
            <v>EFLA</v>
          </cell>
          <cell r="M12821" t="str">
            <v>F</v>
          </cell>
          <cell r="AB12821" t="str">
            <v>WB</v>
          </cell>
          <cell r="AF12821">
            <v>0.5</v>
          </cell>
        </row>
        <row r="12822">
          <cell r="A12822" t="str">
            <v>IS_alqt_plus</v>
          </cell>
          <cell r="K12822" t="str">
            <v>EFLA</v>
          </cell>
          <cell r="M12822" t="str">
            <v>F</v>
          </cell>
          <cell r="AB12822" t="str">
            <v>WB</v>
          </cell>
          <cell r="AF12822">
            <v>0.5</v>
          </cell>
        </row>
        <row r="12823">
          <cell r="A12823" t="str">
            <v>IS_alqt_plus</v>
          </cell>
          <cell r="K12823" t="str">
            <v>EFLA</v>
          </cell>
          <cell r="M12823" t="str">
            <v>F</v>
          </cell>
          <cell r="AB12823" t="str">
            <v>WB</v>
          </cell>
          <cell r="AF12823">
            <v>0.5</v>
          </cell>
        </row>
        <row r="12824">
          <cell r="A12824" t="str">
            <v>IS_alqt_plus</v>
          </cell>
          <cell r="K12824" t="str">
            <v>EFLA</v>
          </cell>
          <cell r="M12824" t="str">
            <v>F</v>
          </cell>
          <cell r="AB12824" t="str">
            <v>WB</v>
          </cell>
          <cell r="AF12824">
            <v>0.5</v>
          </cell>
        </row>
        <row r="12825">
          <cell r="A12825" t="str">
            <v>IS_alqt_plus</v>
          </cell>
          <cell r="K12825" t="str">
            <v>EFLA</v>
          </cell>
          <cell r="M12825" t="str">
            <v>F</v>
          </cell>
          <cell r="AB12825" t="str">
            <v>WB</v>
          </cell>
          <cell r="AF12825">
            <v>0.5</v>
          </cell>
        </row>
        <row r="12826">
          <cell r="A12826" t="str">
            <v>IS_alqt_plus</v>
          </cell>
          <cell r="K12826" t="str">
            <v>EFLA</v>
          </cell>
          <cell r="M12826" t="str">
            <v>F</v>
          </cell>
          <cell r="AB12826" t="str">
            <v>WB</v>
          </cell>
          <cell r="AF12826">
            <v>0.5</v>
          </cell>
        </row>
        <row r="12827">
          <cell r="A12827" t="str">
            <v>IS_alqt_plus</v>
          </cell>
          <cell r="K12827" t="str">
            <v>EFLA</v>
          </cell>
          <cell r="M12827" t="str">
            <v>F</v>
          </cell>
          <cell r="AB12827" t="str">
            <v>WB</v>
          </cell>
          <cell r="AF12827">
            <v>0.5</v>
          </cell>
        </row>
        <row r="12828">
          <cell r="A12828" t="str">
            <v>IS_alqt_plus</v>
          </cell>
          <cell r="K12828" t="str">
            <v>EFLA</v>
          </cell>
          <cell r="M12828" t="str">
            <v>F</v>
          </cell>
          <cell r="AB12828" t="str">
            <v>WB</v>
          </cell>
          <cell r="AF12828">
            <v>0.5</v>
          </cell>
        </row>
        <row r="12829">
          <cell r="A12829" t="str">
            <v>IS_alqt_plus</v>
          </cell>
          <cell r="K12829" t="str">
            <v>EFLA</v>
          </cell>
          <cell r="M12829" t="str">
            <v>F</v>
          </cell>
          <cell r="AB12829" t="str">
            <v>WB</v>
          </cell>
          <cell r="AF12829">
            <v>0.5</v>
          </cell>
        </row>
        <row r="12830">
          <cell r="A12830" t="str">
            <v>IS_alqt_plus</v>
          </cell>
          <cell r="K12830" t="str">
            <v>EFLA</v>
          </cell>
          <cell r="M12830" t="str">
            <v>F</v>
          </cell>
          <cell r="AB12830" t="str">
            <v>WB</v>
          </cell>
          <cell r="AF12830">
            <v>0.5</v>
          </cell>
        </row>
        <row r="12831">
          <cell r="A12831" t="str">
            <v>IS_alqt_plus</v>
          </cell>
          <cell r="K12831" t="str">
            <v>EFLA</v>
          </cell>
          <cell r="M12831" t="str">
            <v>F</v>
          </cell>
          <cell r="AB12831" t="str">
            <v>WB</v>
          </cell>
          <cell r="AF12831">
            <v>0.5</v>
          </cell>
        </row>
        <row r="12832">
          <cell r="A12832" t="str">
            <v>IS_alqt_plus</v>
          </cell>
          <cell r="K12832" t="str">
            <v>EFLA</v>
          </cell>
          <cell r="M12832" t="str">
            <v>F</v>
          </cell>
          <cell r="AB12832" t="str">
            <v>WB</v>
          </cell>
          <cell r="AF12832">
            <v>0.5</v>
          </cell>
        </row>
        <row r="12833">
          <cell r="A12833" t="str">
            <v>IS_alqt_plus</v>
          </cell>
          <cell r="K12833" t="str">
            <v>EFLA</v>
          </cell>
          <cell r="M12833" t="str">
            <v>F</v>
          </cell>
          <cell r="AB12833" t="str">
            <v>WB</v>
          </cell>
          <cell r="AF12833">
            <v>0.5</v>
          </cell>
        </row>
        <row r="12834">
          <cell r="A12834" t="str">
            <v>IS_alqt_plus</v>
          </cell>
          <cell r="K12834" t="str">
            <v>EFLA</v>
          </cell>
          <cell r="M12834" t="str">
            <v>F</v>
          </cell>
          <cell r="AB12834" t="str">
            <v>WB</v>
          </cell>
          <cell r="AF12834">
            <v>0.5</v>
          </cell>
        </row>
        <row r="12835">
          <cell r="A12835" t="str">
            <v>IS_alqt_plus</v>
          </cell>
          <cell r="K12835" t="str">
            <v>EFLA</v>
          </cell>
          <cell r="M12835" t="str">
            <v>F</v>
          </cell>
          <cell r="AB12835" t="str">
            <v>WB</v>
          </cell>
          <cell r="AF12835">
            <v>0.5</v>
          </cell>
        </row>
        <row r="12836">
          <cell r="A12836" t="str">
            <v>IS_alqt_plus</v>
          </cell>
          <cell r="K12836" t="str">
            <v>EFLA</v>
          </cell>
          <cell r="M12836" t="str">
            <v>F</v>
          </cell>
          <cell r="AB12836" t="str">
            <v>WB</v>
          </cell>
          <cell r="AF12836">
            <v>0.5</v>
          </cell>
        </row>
        <row r="12837">
          <cell r="A12837" t="str">
            <v>IS_alqt_plus</v>
          </cell>
          <cell r="K12837" t="str">
            <v>EFLA</v>
          </cell>
          <cell r="M12837" t="str">
            <v>F</v>
          </cell>
          <cell r="AB12837" t="str">
            <v>WB</v>
          </cell>
          <cell r="AF12837">
            <v>0.5</v>
          </cell>
        </row>
        <row r="12838">
          <cell r="A12838" t="str">
            <v>IS_alqt_plus</v>
          </cell>
          <cell r="K12838" t="str">
            <v>EFLA</v>
          </cell>
          <cell r="M12838" t="str">
            <v>F</v>
          </cell>
          <cell r="AB12838" t="str">
            <v>WB</v>
          </cell>
          <cell r="AF12838">
            <v>0.5</v>
          </cell>
        </row>
        <row r="12839">
          <cell r="A12839" t="str">
            <v>IS_alqt_plus</v>
          </cell>
          <cell r="K12839" t="str">
            <v>EFLA</v>
          </cell>
          <cell r="M12839" t="str">
            <v>F</v>
          </cell>
          <cell r="AB12839" t="str">
            <v>WB</v>
          </cell>
          <cell r="AF12839">
            <v>0.5</v>
          </cell>
        </row>
        <row r="12840">
          <cell r="A12840" t="str">
            <v>IS_alqt_plus</v>
          </cell>
          <cell r="K12840" t="str">
            <v>EFLA</v>
          </cell>
          <cell r="M12840" t="str">
            <v>F</v>
          </cell>
          <cell r="AB12840" t="str">
            <v>WB</v>
          </cell>
          <cell r="AF12840">
            <v>0.5</v>
          </cell>
        </row>
        <row r="12841">
          <cell r="A12841" t="str">
            <v>IS_alqt_plus</v>
          </cell>
          <cell r="K12841" t="str">
            <v>EFLA</v>
          </cell>
          <cell r="M12841" t="str">
            <v>F</v>
          </cell>
          <cell r="AB12841" t="str">
            <v>WB</v>
          </cell>
          <cell r="AF12841">
            <v>0.5</v>
          </cell>
        </row>
        <row r="12842">
          <cell r="A12842" t="str">
            <v>IS_alqt_plus</v>
          </cell>
          <cell r="K12842" t="str">
            <v>EFLA</v>
          </cell>
          <cell r="M12842" t="str">
            <v>F</v>
          </cell>
          <cell r="AB12842" t="str">
            <v>WB</v>
          </cell>
          <cell r="AF12842">
            <v>0.5</v>
          </cell>
        </row>
        <row r="12843">
          <cell r="A12843" t="str">
            <v>IS_alqt_plus</v>
          </cell>
          <cell r="K12843" t="str">
            <v>EFLA</v>
          </cell>
          <cell r="M12843" t="str">
            <v>F</v>
          </cell>
          <cell r="AB12843" t="str">
            <v>WB</v>
          </cell>
          <cell r="AF12843">
            <v>0.5</v>
          </cell>
        </row>
        <row r="12844">
          <cell r="A12844" t="str">
            <v>IS_alqt_plus</v>
          </cell>
          <cell r="K12844" t="str">
            <v>EFLA</v>
          </cell>
          <cell r="M12844" t="str">
            <v>F</v>
          </cell>
          <cell r="AB12844" t="str">
            <v>WB</v>
          </cell>
          <cell r="AF12844">
            <v>0.5</v>
          </cell>
        </row>
        <row r="12845">
          <cell r="A12845" t="str">
            <v>IS_alqt_plus</v>
          </cell>
          <cell r="K12845" t="str">
            <v>EFLA</v>
          </cell>
          <cell r="M12845" t="str">
            <v>F</v>
          </cell>
          <cell r="AB12845" t="str">
            <v>WB</v>
          </cell>
          <cell r="AF12845">
            <v>0.5</v>
          </cell>
        </row>
        <row r="12846">
          <cell r="A12846" t="str">
            <v>IS_alqt_plus</v>
          </cell>
          <cell r="K12846" t="str">
            <v>EFLA</v>
          </cell>
          <cell r="M12846" t="str">
            <v>F</v>
          </cell>
          <cell r="AB12846" t="str">
            <v>WB</v>
          </cell>
          <cell r="AF12846">
            <v>0.5</v>
          </cell>
        </row>
        <row r="12847">
          <cell r="A12847" t="str">
            <v>IS_alqt_plus</v>
          </cell>
          <cell r="K12847" t="str">
            <v>EFLA</v>
          </cell>
          <cell r="M12847" t="str">
            <v>F</v>
          </cell>
          <cell r="AB12847" t="str">
            <v>WB</v>
          </cell>
          <cell r="AF12847">
            <v>0.5</v>
          </cell>
        </row>
        <row r="12848">
          <cell r="A12848" t="str">
            <v>IS_alqt_plus</v>
          </cell>
          <cell r="K12848" t="str">
            <v>EFLA</v>
          </cell>
          <cell r="M12848" t="str">
            <v>F</v>
          </cell>
          <cell r="AB12848" t="str">
            <v>WB</v>
          </cell>
          <cell r="AF12848">
            <v>0.5</v>
          </cell>
        </row>
        <row r="12849">
          <cell r="A12849" t="str">
            <v>IS_alqt_plus</v>
          </cell>
          <cell r="K12849" t="str">
            <v>EFLA</v>
          </cell>
          <cell r="M12849" t="str">
            <v>F</v>
          </cell>
          <cell r="AB12849" t="str">
            <v>WB</v>
          </cell>
          <cell r="AF12849">
            <v>0.5</v>
          </cell>
        </row>
        <row r="12850">
          <cell r="A12850" t="str">
            <v>IS_alqt_plus</v>
          </cell>
          <cell r="K12850" t="str">
            <v>EFLA</v>
          </cell>
          <cell r="M12850" t="str">
            <v>F</v>
          </cell>
          <cell r="AB12850" t="str">
            <v>WB</v>
          </cell>
          <cell r="AF12850">
            <v>0.5</v>
          </cell>
        </row>
        <row r="12851">
          <cell r="A12851" t="str">
            <v>IS_alqt_plus</v>
          </cell>
          <cell r="K12851" t="str">
            <v>EFLA</v>
          </cell>
          <cell r="M12851" t="str">
            <v>F</v>
          </cell>
          <cell r="AB12851" t="str">
            <v>WB</v>
          </cell>
          <cell r="AF12851">
            <v>0.5</v>
          </cell>
        </row>
        <row r="12852">
          <cell r="A12852" t="str">
            <v>IS_alqt_plus</v>
          </cell>
          <cell r="K12852" t="str">
            <v>EFLA</v>
          </cell>
          <cell r="M12852" t="str">
            <v>F</v>
          </cell>
          <cell r="AB12852" t="str">
            <v>WB</v>
          </cell>
          <cell r="AF12852">
            <v>0.5</v>
          </cell>
        </row>
        <row r="12853">
          <cell r="A12853" t="str">
            <v>IS_alqt_plus</v>
          </cell>
          <cell r="K12853" t="str">
            <v>EFLA</v>
          </cell>
          <cell r="M12853" t="str">
            <v>F</v>
          </cell>
          <cell r="AB12853" t="str">
            <v>WB</v>
          </cell>
          <cell r="AF12853">
            <v>0.5</v>
          </cell>
        </row>
        <row r="12854">
          <cell r="A12854" t="str">
            <v>IS_alqt_plus</v>
          </cell>
          <cell r="K12854" t="str">
            <v>EFLA</v>
          </cell>
          <cell r="M12854" t="str">
            <v>F</v>
          </cell>
          <cell r="AB12854" t="str">
            <v>WB</v>
          </cell>
          <cell r="AF12854">
            <v>0.5</v>
          </cell>
        </row>
        <row r="12855">
          <cell r="A12855" t="str">
            <v>IS_alqt_plus</v>
          </cell>
          <cell r="K12855" t="str">
            <v>EFLA</v>
          </cell>
          <cell r="M12855" t="str">
            <v>F</v>
          </cell>
          <cell r="AB12855" t="str">
            <v>WB</v>
          </cell>
          <cell r="AF12855">
            <v>0.5</v>
          </cell>
        </row>
        <row r="12856">
          <cell r="A12856" t="str">
            <v>IS_alqt_plus</v>
          </cell>
          <cell r="K12856" t="str">
            <v>EFLA</v>
          </cell>
          <cell r="M12856" t="str">
            <v>F</v>
          </cell>
          <cell r="AB12856" t="str">
            <v>WB</v>
          </cell>
          <cell r="AF12856">
            <v>0.5</v>
          </cell>
        </row>
        <row r="12857">
          <cell r="A12857" t="str">
            <v>IS_alqt_plus</v>
          </cell>
          <cell r="K12857" t="str">
            <v>EFLA</v>
          </cell>
          <cell r="M12857" t="str">
            <v>F</v>
          </cell>
          <cell r="AB12857" t="str">
            <v>WB</v>
          </cell>
          <cell r="AF12857">
            <v>0.5</v>
          </cell>
        </row>
        <row r="12858">
          <cell r="A12858" t="str">
            <v>IS_alqt_plus</v>
          </cell>
          <cell r="K12858" t="str">
            <v>EFLA</v>
          </cell>
          <cell r="M12858" t="str">
            <v>F</v>
          </cell>
          <cell r="AB12858" t="str">
            <v>WB</v>
          </cell>
          <cell r="AF12858">
            <v>0.5</v>
          </cell>
        </row>
        <row r="12859">
          <cell r="A12859" t="str">
            <v>IS_alqt_plus</v>
          </cell>
          <cell r="K12859" t="str">
            <v>EFLA</v>
          </cell>
          <cell r="M12859" t="str">
            <v>F</v>
          </cell>
          <cell r="AB12859" t="str">
            <v>WB</v>
          </cell>
          <cell r="AF12859">
            <v>0.5</v>
          </cell>
        </row>
        <row r="12860">
          <cell r="A12860" t="str">
            <v>IS_alqt_plus</v>
          </cell>
          <cell r="K12860" t="str">
            <v>EFLA</v>
          </cell>
          <cell r="M12860" t="str">
            <v>F</v>
          </cell>
          <cell r="AB12860" t="str">
            <v>WB</v>
          </cell>
          <cell r="AF12860">
            <v>0.5</v>
          </cell>
        </row>
        <row r="12861">
          <cell r="A12861" t="str">
            <v>IS_alqt_plus</v>
          </cell>
          <cell r="K12861" t="str">
            <v>EFLA</v>
          </cell>
          <cell r="M12861" t="str">
            <v>F</v>
          </cell>
          <cell r="AB12861" t="str">
            <v>serum</v>
          </cell>
          <cell r="AF12861">
            <v>0.5</v>
          </cell>
        </row>
        <row r="12862">
          <cell r="A12862" t="str">
            <v>IS_alqt_plus</v>
          </cell>
          <cell r="K12862" t="str">
            <v>EFLA</v>
          </cell>
          <cell r="M12862" t="str">
            <v>F</v>
          </cell>
          <cell r="AB12862" t="str">
            <v>serum</v>
          </cell>
          <cell r="AF12862">
            <v>0.5</v>
          </cell>
        </row>
        <row r="12863">
          <cell r="A12863" t="str">
            <v>IS_alqt_plus</v>
          </cell>
          <cell r="K12863" t="str">
            <v>EFLA</v>
          </cell>
          <cell r="M12863" t="str">
            <v>F</v>
          </cell>
          <cell r="AB12863" t="str">
            <v>serum</v>
          </cell>
          <cell r="AF12863">
            <v>0.5</v>
          </cell>
        </row>
        <row r="12864">
          <cell r="A12864" t="str">
            <v>IS_alqt_plus</v>
          </cell>
          <cell r="K12864" t="str">
            <v>EFLA</v>
          </cell>
          <cell r="M12864" t="str">
            <v>F</v>
          </cell>
          <cell r="AB12864" t="str">
            <v>serum</v>
          </cell>
          <cell r="AF12864">
            <v>0.5</v>
          </cell>
        </row>
        <row r="12865">
          <cell r="A12865" t="str">
            <v>IS_alqt_plus</v>
          </cell>
          <cell r="K12865" t="str">
            <v>EFLA</v>
          </cell>
          <cell r="M12865" t="str">
            <v>F</v>
          </cell>
          <cell r="AB12865" t="str">
            <v>serum</v>
          </cell>
          <cell r="AF12865">
            <v>0.5</v>
          </cell>
        </row>
        <row r="12866">
          <cell r="A12866" t="str">
            <v>IS_alqt_plus</v>
          </cell>
          <cell r="K12866" t="str">
            <v>EFLA</v>
          </cell>
          <cell r="M12866" t="str">
            <v>F</v>
          </cell>
          <cell r="AB12866" t="str">
            <v>serum</v>
          </cell>
          <cell r="AF12866">
            <v>0.5</v>
          </cell>
        </row>
        <row r="12867">
          <cell r="A12867" t="str">
            <v>IS_alqt_plus</v>
          </cell>
          <cell r="K12867" t="str">
            <v>EFLA</v>
          </cell>
          <cell r="M12867" t="str">
            <v>F</v>
          </cell>
          <cell r="AB12867" t="str">
            <v>serum</v>
          </cell>
          <cell r="AF12867">
            <v>0.5</v>
          </cell>
        </row>
        <row r="12868">
          <cell r="A12868" t="str">
            <v>IS_alqt_plus</v>
          </cell>
          <cell r="K12868" t="str">
            <v>EFLA</v>
          </cell>
          <cell r="M12868" t="str">
            <v>F</v>
          </cell>
          <cell r="AB12868" t="str">
            <v>serum</v>
          </cell>
          <cell r="AF12868">
            <v>0.5</v>
          </cell>
        </row>
        <row r="12869">
          <cell r="A12869" t="str">
            <v>IS_alqt_plus</v>
          </cell>
          <cell r="K12869" t="str">
            <v>EFLA</v>
          </cell>
          <cell r="M12869" t="str">
            <v>F</v>
          </cell>
          <cell r="AB12869" t="str">
            <v>serum</v>
          </cell>
          <cell r="AF12869">
            <v>0.5</v>
          </cell>
        </row>
        <row r="12870">
          <cell r="A12870" t="str">
            <v>IS_alqt_plus</v>
          </cell>
          <cell r="K12870" t="str">
            <v>EFLA</v>
          </cell>
          <cell r="M12870" t="str">
            <v>F</v>
          </cell>
          <cell r="AB12870" t="str">
            <v>serum</v>
          </cell>
          <cell r="AF12870">
            <v>0.5</v>
          </cell>
        </row>
        <row r="12871">
          <cell r="A12871" t="str">
            <v>IS_alqt_plus</v>
          </cell>
          <cell r="K12871" t="str">
            <v>EFLA</v>
          </cell>
          <cell r="M12871" t="str">
            <v>F</v>
          </cell>
          <cell r="AB12871" t="str">
            <v>serum</v>
          </cell>
          <cell r="AF12871">
            <v>0.5</v>
          </cell>
        </row>
        <row r="12872">
          <cell r="A12872" t="str">
            <v>IS_alqt_plus</v>
          </cell>
          <cell r="K12872" t="str">
            <v>EFLA</v>
          </cell>
          <cell r="M12872" t="str">
            <v>F</v>
          </cell>
          <cell r="AB12872" t="str">
            <v>serum</v>
          </cell>
          <cell r="AF12872">
            <v>0.5</v>
          </cell>
        </row>
        <row r="12873">
          <cell r="A12873" t="str">
            <v>IS_alqt_plus</v>
          </cell>
          <cell r="K12873" t="str">
            <v>EFLA</v>
          </cell>
          <cell r="M12873" t="str">
            <v>F</v>
          </cell>
          <cell r="AB12873" t="str">
            <v>serum</v>
          </cell>
          <cell r="AF12873">
            <v>0.5</v>
          </cell>
        </row>
        <row r="12874">
          <cell r="A12874" t="str">
            <v>IS_alqt_plus</v>
          </cell>
          <cell r="K12874" t="str">
            <v>EFLA</v>
          </cell>
          <cell r="M12874" t="str">
            <v>F</v>
          </cell>
          <cell r="AB12874" t="str">
            <v>serum</v>
          </cell>
          <cell r="AF12874">
            <v>0.5</v>
          </cell>
        </row>
        <row r="12875">
          <cell r="A12875" t="str">
            <v>IS_alqt_plus</v>
          </cell>
          <cell r="K12875" t="str">
            <v>EFLA</v>
          </cell>
          <cell r="M12875" t="str">
            <v>F</v>
          </cell>
          <cell r="AB12875" t="str">
            <v>serum</v>
          </cell>
          <cell r="AF12875">
            <v>0.5</v>
          </cell>
        </row>
        <row r="12876">
          <cell r="A12876" t="str">
            <v>IS_alqt_plus</v>
          </cell>
          <cell r="K12876" t="str">
            <v>EFLA</v>
          </cell>
          <cell r="M12876" t="str">
            <v>F</v>
          </cell>
          <cell r="AB12876" t="str">
            <v>serum</v>
          </cell>
          <cell r="AF12876">
            <v>0.5</v>
          </cell>
        </row>
        <row r="12877">
          <cell r="A12877" t="str">
            <v>IS_alqt_plus</v>
          </cell>
          <cell r="K12877" t="str">
            <v>EFLA</v>
          </cell>
          <cell r="M12877" t="str">
            <v>F</v>
          </cell>
          <cell r="AB12877" t="str">
            <v>serum</v>
          </cell>
          <cell r="AF12877">
            <v>0.5</v>
          </cell>
        </row>
        <row r="12878">
          <cell r="A12878" t="str">
            <v>IS_alqt_plus</v>
          </cell>
          <cell r="K12878" t="str">
            <v>EFLA</v>
          </cell>
          <cell r="M12878" t="str">
            <v>F</v>
          </cell>
          <cell r="AB12878" t="str">
            <v>serum</v>
          </cell>
          <cell r="AF12878">
            <v>0.5</v>
          </cell>
        </row>
        <row r="12879">
          <cell r="A12879" t="str">
            <v>IS_alqt_plus</v>
          </cell>
          <cell r="K12879" t="str">
            <v>EFLA</v>
          </cell>
          <cell r="M12879" t="str">
            <v>F</v>
          </cell>
          <cell r="AB12879" t="str">
            <v>serum</v>
          </cell>
          <cell r="AF12879">
            <v>0.5</v>
          </cell>
        </row>
        <row r="12880">
          <cell r="A12880" t="str">
            <v>IS_alqt_plus</v>
          </cell>
          <cell r="K12880" t="str">
            <v>EFLA</v>
          </cell>
          <cell r="M12880" t="str">
            <v>F</v>
          </cell>
          <cell r="AB12880" t="str">
            <v>serum</v>
          </cell>
          <cell r="AF12880">
            <v>0.5</v>
          </cell>
        </row>
        <row r="12881">
          <cell r="A12881" t="str">
            <v>IS_alqt_plus</v>
          </cell>
          <cell r="K12881" t="str">
            <v>EFLA</v>
          </cell>
          <cell r="M12881" t="str">
            <v>F</v>
          </cell>
          <cell r="AB12881" t="str">
            <v>serum</v>
          </cell>
          <cell r="AF12881">
            <v>0.5</v>
          </cell>
        </row>
        <row r="12882">
          <cell r="A12882" t="str">
            <v>IS_alqt_plus</v>
          </cell>
          <cell r="K12882" t="str">
            <v>EFLA</v>
          </cell>
          <cell r="M12882" t="str">
            <v>F</v>
          </cell>
          <cell r="AB12882" t="str">
            <v>serum</v>
          </cell>
          <cell r="AF12882">
            <v>0.5</v>
          </cell>
        </row>
        <row r="12883">
          <cell r="A12883" t="str">
            <v>IS_alqt_plus</v>
          </cell>
          <cell r="K12883" t="str">
            <v>EFLA</v>
          </cell>
          <cell r="M12883" t="str">
            <v>F</v>
          </cell>
          <cell r="AB12883" t="str">
            <v>serum</v>
          </cell>
          <cell r="AF12883">
            <v>0.5</v>
          </cell>
        </row>
        <row r="12884">
          <cell r="A12884" t="str">
            <v>IS_alqt_plus</v>
          </cell>
          <cell r="K12884" t="str">
            <v>EFLA</v>
          </cell>
          <cell r="M12884" t="str">
            <v>F</v>
          </cell>
          <cell r="AB12884" t="str">
            <v>serum</v>
          </cell>
          <cell r="AF12884">
            <v>0.5</v>
          </cell>
        </row>
        <row r="12885">
          <cell r="A12885" t="str">
            <v>IS_alqt_plus</v>
          </cell>
          <cell r="K12885" t="str">
            <v>EFLA</v>
          </cell>
          <cell r="M12885" t="str">
            <v>F</v>
          </cell>
          <cell r="AB12885" t="str">
            <v>serum</v>
          </cell>
          <cell r="AF12885">
            <v>0.5</v>
          </cell>
        </row>
        <row r="12886">
          <cell r="A12886" t="str">
            <v>IS_alqt_plus</v>
          </cell>
          <cell r="K12886" t="str">
            <v>EFLA</v>
          </cell>
          <cell r="M12886" t="str">
            <v>F</v>
          </cell>
          <cell r="AB12886" t="str">
            <v>serum</v>
          </cell>
          <cell r="AF12886">
            <v>0.5</v>
          </cell>
        </row>
        <row r="12887">
          <cell r="A12887" t="str">
            <v>IS_alqt_plus</v>
          </cell>
          <cell r="K12887" t="str">
            <v>EFLA</v>
          </cell>
          <cell r="M12887" t="str">
            <v>F</v>
          </cell>
          <cell r="AB12887" t="str">
            <v>serum</v>
          </cell>
          <cell r="AF12887">
            <v>0.5</v>
          </cell>
        </row>
        <row r="12888">
          <cell r="A12888" t="str">
            <v>IS_alqt_plus</v>
          </cell>
          <cell r="K12888" t="str">
            <v>EFLA</v>
          </cell>
          <cell r="M12888" t="str">
            <v>F</v>
          </cell>
          <cell r="AB12888" t="str">
            <v>serum</v>
          </cell>
          <cell r="AF12888">
            <v>0.5</v>
          </cell>
        </row>
        <row r="12889">
          <cell r="A12889" t="str">
            <v>IS_alqt_plus</v>
          </cell>
          <cell r="K12889" t="str">
            <v>EFLA</v>
          </cell>
          <cell r="M12889" t="str">
            <v>F</v>
          </cell>
          <cell r="AB12889" t="str">
            <v>serum</v>
          </cell>
          <cell r="AF12889">
            <v>0.5</v>
          </cell>
        </row>
        <row r="12890">
          <cell r="A12890" t="str">
            <v>IS_alqt_plus</v>
          </cell>
          <cell r="K12890" t="str">
            <v>EFLA</v>
          </cell>
          <cell r="M12890" t="str">
            <v>F</v>
          </cell>
          <cell r="AB12890" t="str">
            <v>serum</v>
          </cell>
          <cell r="AF12890">
            <v>0.5</v>
          </cell>
        </row>
        <row r="12891">
          <cell r="A12891" t="str">
            <v>IS_alqt_plus</v>
          </cell>
          <cell r="K12891" t="str">
            <v>EFLA</v>
          </cell>
          <cell r="M12891" t="str">
            <v>F</v>
          </cell>
          <cell r="AB12891" t="str">
            <v>serum</v>
          </cell>
          <cell r="AF12891">
            <v>0.5</v>
          </cell>
        </row>
        <row r="12892">
          <cell r="A12892" t="str">
            <v>IS_alqt_plus</v>
          </cell>
          <cell r="K12892" t="str">
            <v>EFLA</v>
          </cell>
          <cell r="M12892" t="str">
            <v>F</v>
          </cell>
          <cell r="AB12892" t="str">
            <v>serum</v>
          </cell>
          <cell r="AF12892">
            <v>0.5</v>
          </cell>
        </row>
        <row r="12893">
          <cell r="A12893" t="str">
            <v>IS_alqt_plus</v>
          </cell>
          <cell r="K12893" t="str">
            <v>EFLA</v>
          </cell>
          <cell r="M12893" t="str">
            <v>F</v>
          </cell>
          <cell r="AB12893" t="str">
            <v>serum</v>
          </cell>
          <cell r="AF12893">
            <v>0.5</v>
          </cell>
        </row>
        <row r="12894">
          <cell r="A12894" t="str">
            <v>IS_alqt_plus</v>
          </cell>
          <cell r="K12894" t="str">
            <v>EFLA</v>
          </cell>
          <cell r="M12894" t="str">
            <v>F</v>
          </cell>
          <cell r="AB12894" t="str">
            <v>serum</v>
          </cell>
          <cell r="AF12894">
            <v>0.5</v>
          </cell>
        </row>
        <row r="12895">
          <cell r="A12895" t="str">
            <v>IS_alqt_plus</v>
          </cell>
          <cell r="K12895" t="str">
            <v>EFLA</v>
          </cell>
          <cell r="M12895" t="str">
            <v>F</v>
          </cell>
          <cell r="AB12895" t="str">
            <v>serum</v>
          </cell>
          <cell r="AF12895">
            <v>0.5</v>
          </cell>
        </row>
        <row r="12896">
          <cell r="A12896" t="str">
            <v>IS_alqt_plus</v>
          </cell>
          <cell r="K12896" t="str">
            <v>EFLA</v>
          </cell>
          <cell r="M12896" t="str">
            <v>F</v>
          </cell>
          <cell r="AB12896" t="str">
            <v>serum</v>
          </cell>
          <cell r="AF12896">
            <v>0.5</v>
          </cell>
        </row>
        <row r="12897">
          <cell r="A12897" t="str">
            <v>IS_alqt_plus</v>
          </cell>
          <cell r="K12897" t="str">
            <v>EFLA</v>
          </cell>
          <cell r="M12897" t="str">
            <v>F</v>
          </cell>
          <cell r="AB12897" t="str">
            <v>serum</v>
          </cell>
          <cell r="AF12897">
            <v>0.5</v>
          </cell>
        </row>
        <row r="12898">
          <cell r="A12898" t="str">
            <v>IS_alqt_plus</v>
          </cell>
          <cell r="K12898" t="str">
            <v>EFLA</v>
          </cell>
          <cell r="M12898" t="str">
            <v>F</v>
          </cell>
          <cell r="AB12898" t="str">
            <v>serum</v>
          </cell>
          <cell r="AF12898">
            <v>0.5</v>
          </cell>
        </row>
        <row r="12899">
          <cell r="A12899" t="str">
            <v>IS_alqt_plus</v>
          </cell>
          <cell r="K12899" t="str">
            <v>EFLA</v>
          </cell>
          <cell r="M12899" t="str">
            <v>F</v>
          </cell>
          <cell r="AB12899" t="str">
            <v>serum</v>
          </cell>
          <cell r="AF12899">
            <v>1</v>
          </cell>
        </row>
        <row r="12900">
          <cell r="A12900" t="str">
            <v>IS_alqt_plus</v>
          </cell>
          <cell r="K12900" t="str">
            <v>MMUR</v>
          </cell>
          <cell r="M12900" t="str">
            <v>F</v>
          </cell>
          <cell r="AB12900" t="str">
            <v>serum</v>
          </cell>
          <cell r="AF12900">
            <v>0.3</v>
          </cell>
        </row>
        <row r="12901">
          <cell r="A12901" t="str">
            <v>IS_alqt_plus</v>
          </cell>
          <cell r="K12901" t="str">
            <v>VVV</v>
          </cell>
          <cell r="M12901" t="str">
            <v>F</v>
          </cell>
          <cell r="AB12901" t="str">
            <v>serum</v>
          </cell>
          <cell r="AF12901">
            <v>0.5</v>
          </cell>
        </row>
        <row r="12902">
          <cell r="A12902" t="str">
            <v>IS_alqt_plus</v>
          </cell>
          <cell r="K12902" t="str">
            <v>VVV</v>
          </cell>
          <cell r="M12902" t="str">
            <v>F</v>
          </cell>
          <cell r="AB12902" t="str">
            <v>serum</v>
          </cell>
          <cell r="AF12902">
            <v>0.5</v>
          </cell>
        </row>
        <row r="12903">
          <cell r="A12903" t="str">
            <v>IS_alqt_plus</v>
          </cell>
          <cell r="K12903" t="str">
            <v>VVV</v>
          </cell>
          <cell r="M12903" t="str">
            <v>F</v>
          </cell>
          <cell r="AB12903" t="str">
            <v>serum</v>
          </cell>
          <cell r="AF12903">
            <v>0.5</v>
          </cell>
        </row>
        <row r="12904">
          <cell r="A12904" t="str">
            <v>gone</v>
          </cell>
          <cell r="K12904" t="str">
            <v>VRUB</v>
          </cell>
          <cell r="M12904" t="str">
            <v>M</v>
          </cell>
          <cell r="AB12904" t="str">
            <v>WB</v>
          </cell>
          <cell r="AF12904">
            <v>0</v>
          </cell>
        </row>
        <row r="12905">
          <cell r="A12905" t="str">
            <v>gone</v>
          </cell>
          <cell r="K12905" t="str">
            <v>VRUB</v>
          </cell>
          <cell r="M12905" t="str">
            <v>M</v>
          </cell>
          <cell r="AB12905" t="str">
            <v>WB</v>
          </cell>
          <cell r="AF12905">
            <v>0</v>
          </cell>
        </row>
        <row r="12906">
          <cell r="A12906" t="str">
            <v>IS_alqt_plus</v>
          </cell>
          <cell r="K12906" t="str">
            <v>VRUB</v>
          </cell>
          <cell r="M12906" t="str">
            <v>M</v>
          </cell>
          <cell r="AB12906" t="str">
            <v>serum</v>
          </cell>
          <cell r="AF12906">
            <v>0.5</v>
          </cell>
        </row>
        <row r="12907">
          <cell r="A12907" t="str">
            <v>IS_alqt_plus</v>
          </cell>
          <cell r="K12907" t="str">
            <v>VRUB</v>
          </cell>
          <cell r="M12907" t="str">
            <v>M</v>
          </cell>
          <cell r="AB12907" t="str">
            <v>serum</v>
          </cell>
          <cell r="AF12907">
            <v>0.5</v>
          </cell>
        </row>
        <row r="12908">
          <cell r="A12908" t="str">
            <v>gone</v>
          </cell>
          <cell r="K12908" t="str">
            <v>ECOR</v>
          </cell>
          <cell r="M12908" t="str">
            <v>F</v>
          </cell>
          <cell r="AB12908" t="str">
            <v>WB</v>
          </cell>
          <cell r="AF12908">
            <v>0</v>
          </cell>
        </row>
        <row r="12909">
          <cell r="A12909" t="str">
            <v>IS_alqt_plus</v>
          </cell>
          <cell r="K12909" t="str">
            <v>ECOR</v>
          </cell>
          <cell r="M12909" t="str">
            <v>F</v>
          </cell>
          <cell r="AB12909" t="str">
            <v>WB</v>
          </cell>
          <cell r="AF12909">
            <v>0.5</v>
          </cell>
        </row>
        <row r="12910">
          <cell r="A12910" t="str">
            <v>IS_alqt_plus</v>
          </cell>
          <cell r="K12910" t="str">
            <v>ECOR</v>
          </cell>
          <cell r="M12910" t="str">
            <v>F</v>
          </cell>
          <cell r="AB12910" t="str">
            <v>WB</v>
          </cell>
          <cell r="AF12910">
            <v>0.5</v>
          </cell>
        </row>
        <row r="12911">
          <cell r="A12911" t="str">
            <v>IS_alqt_plus</v>
          </cell>
          <cell r="K12911" t="str">
            <v>LCAT</v>
          </cell>
          <cell r="M12911" t="str">
            <v>F</v>
          </cell>
          <cell r="AB12911" t="str">
            <v>WB</v>
          </cell>
          <cell r="AF12911">
            <v>0.5</v>
          </cell>
        </row>
        <row r="12912">
          <cell r="A12912" t="str">
            <v>IS_alqt_plus</v>
          </cell>
          <cell r="K12912" t="str">
            <v>LCAT</v>
          </cell>
          <cell r="M12912" t="str">
            <v>F</v>
          </cell>
          <cell r="AB12912" t="str">
            <v>WB</v>
          </cell>
          <cell r="AF12912">
            <v>0.5</v>
          </cell>
        </row>
        <row r="12913">
          <cell r="A12913" t="str">
            <v>IS_alqt_plus</v>
          </cell>
          <cell r="K12913" t="str">
            <v>LCAT</v>
          </cell>
          <cell r="M12913" t="str">
            <v>F</v>
          </cell>
          <cell r="AB12913" t="str">
            <v>WB</v>
          </cell>
          <cell r="AF12913">
            <v>0.5</v>
          </cell>
        </row>
        <row r="12914">
          <cell r="A12914" t="str">
            <v>IS_alqt_plus</v>
          </cell>
          <cell r="K12914" t="str">
            <v>LCAT</v>
          </cell>
          <cell r="M12914" t="str">
            <v>F</v>
          </cell>
          <cell r="AB12914" t="str">
            <v>WB</v>
          </cell>
          <cell r="AF12914">
            <v>0.5</v>
          </cell>
        </row>
        <row r="12915">
          <cell r="A12915" t="str">
            <v>IS_alqt_plus</v>
          </cell>
          <cell r="K12915" t="str">
            <v>LCAT</v>
          </cell>
          <cell r="M12915" t="str">
            <v>F</v>
          </cell>
          <cell r="AB12915" t="str">
            <v>serum</v>
          </cell>
          <cell r="AF12915">
            <v>0.5</v>
          </cell>
        </row>
        <row r="12916">
          <cell r="A12916" t="str">
            <v>IS_alqt_plus</v>
          </cell>
          <cell r="K12916" t="str">
            <v>LCAT</v>
          </cell>
          <cell r="M12916" t="str">
            <v>F</v>
          </cell>
          <cell r="AB12916" t="str">
            <v>serum</v>
          </cell>
          <cell r="AF12916">
            <v>0.5</v>
          </cell>
        </row>
        <row r="12917">
          <cell r="A12917" t="str">
            <v>IS_alqt_plus</v>
          </cell>
          <cell r="K12917" t="str">
            <v>ERUF</v>
          </cell>
          <cell r="M12917" t="str">
            <v>M</v>
          </cell>
          <cell r="AB12917" t="str">
            <v>WB</v>
          </cell>
          <cell r="AF12917">
            <v>0.5</v>
          </cell>
        </row>
        <row r="12918">
          <cell r="A12918" t="str">
            <v>IS_alqt_plus</v>
          </cell>
          <cell r="K12918" t="str">
            <v>ERUF</v>
          </cell>
          <cell r="M12918" t="str">
            <v>M</v>
          </cell>
          <cell r="AB12918" t="str">
            <v>WB</v>
          </cell>
          <cell r="AF12918">
            <v>0.5</v>
          </cell>
        </row>
        <row r="12919">
          <cell r="A12919" t="str">
            <v>IS_alqt_plus</v>
          </cell>
          <cell r="K12919" t="str">
            <v>ERUF</v>
          </cell>
          <cell r="M12919" t="str">
            <v>M</v>
          </cell>
          <cell r="AB12919" t="str">
            <v>serum</v>
          </cell>
          <cell r="AF12919">
            <v>0.5</v>
          </cell>
        </row>
        <row r="12920">
          <cell r="A12920" t="str">
            <v>IS_alqt_plus</v>
          </cell>
          <cell r="K12920" t="str">
            <v>ERUF</v>
          </cell>
          <cell r="M12920" t="str">
            <v>M</v>
          </cell>
          <cell r="AB12920" t="str">
            <v>serum</v>
          </cell>
          <cell r="AF12920">
            <v>0.5</v>
          </cell>
        </row>
        <row r="12921">
          <cell r="A12921" t="str">
            <v>IS_alqt_plus</v>
          </cell>
          <cell r="K12921" t="str">
            <v>ERUF</v>
          </cell>
          <cell r="M12921" t="str">
            <v>M</v>
          </cell>
          <cell r="AB12921" t="str">
            <v>serum</v>
          </cell>
          <cell r="AF12921">
            <v>0.7</v>
          </cell>
        </row>
        <row r="12922">
          <cell r="A12922" t="str">
            <v>IS_alqt_plus</v>
          </cell>
          <cell r="K12922" t="str">
            <v>LCAT</v>
          </cell>
          <cell r="M12922" t="str">
            <v>F</v>
          </cell>
          <cell r="AB12922" t="str">
            <v>serum</v>
          </cell>
          <cell r="AF12922">
            <v>0.5</v>
          </cell>
        </row>
        <row r="12923">
          <cell r="A12923" t="str">
            <v>IS_alqt_plus</v>
          </cell>
          <cell r="K12923" t="str">
            <v>LCAT</v>
          </cell>
          <cell r="M12923" t="str">
            <v>F</v>
          </cell>
          <cell r="AB12923" t="str">
            <v>serum</v>
          </cell>
          <cell r="AF12923">
            <v>0.5</v>
          </cell>
        </row>
        <row r="12924">
          <cell r="A12924" t="str">
            <v>IS_alqt_plus</v>
          </cell>
          <cell r="K12924" t="str">
            <v>LCAT</v>
          </cell>
          <cell r="M12924" t="str">
            <v>F</v>
          </cell>
          <cell r="AB12924" t="str">
            <v>serum</v>
          </cell>
          <cell r="AF12924">
            <v>0.5</v>
          </cell>
        </row>
        <row r="12925">
          <cell r="A12925" t="str">
            <v>IS_alqt_plus</v>
          </cell>
          <cell r="K12925" t="str">
            <v>LCAT</v>
          </cell>
          <cell r="M12925" t="str">
            <v>F</v>
          </cell>
          <cell r="AB12925" t="str">
            <v>serum</v>
          </cell>
          <cell r="AF12925">
            <v>0.5</v>
          </cell>
        </row>
        <row r="12926">
          <cell r="A12926" t="str">
            <v>IS_alqt_plus</v>
          </cell>
          <cell r="K12926" t="str">
            <v>LCAT</v>
          </cell>
          <cell r="M12926" t="str">
            <v>F</v>
          </cell>
          <cell r="AB12926" t="str">
            <v>WB</v>
          </cell>
          <cell r="AF12926">
            <v>0.5</v>
          </cell>
        </row>
        <row r="12927">
          <cell r="A12927" t="str">
            <v>IS_alqt_plus</v>
          </cell>
          <cell r="K12927" t="str">
            <v>LCAT</v>
          </cell>
          <cell r="M12927" t="str">
            <v>F</v>
          </cell>
          <cell r="AB12927" t="str">
            <v>WB</v>
          </cell>
          <cell r="AF12927">
            <v>0.5</v>
          </cell>
        </row>
        <row r="12928">
          <cell r="A12928" t="str">
            <v>IS_alqt_plus</v>
          </cell>
          <cell r="K12928" t="str">
            <v>VVV</v>
          </cell>
          <cell r="M12928" t="str">
            <v>M</v>
          </cell>
          <cell r="AB12928" t="str">
            <v>serum</v>
          </cell>
          <cell r="AF12928">
            <v>0.2</v>
          </cell>
        </row>
        <row r="12929">
          <cell r="A12929" t="str">
            <v>IS_alqt_plus</v>
          </cell>
          <cell r="K12929" t="str">
            <v>VVV</v>
          </cell>
          <cell r="M12929" t="str">
            <v>M</v>
          </cell>
          <cell r="AB12929" t="str">
            <v>serum</v>
          </cell>
          <cell r="AF12929">
            <v>0.2</v>
          </cell>
        </row>
        <row r="12930">
          <cell r="A12930" t="str">
            <v>IS_alqt_plus</v>
          </cell>
          <cell r="K12930" t="str">
            <v>LCAT</v>
          </cell>
          <cell r="M12930" t="str">
            <v>F</v>
          </cell>
          <cell r="AB12930" t="str">
            <v>WB</v>
          </cell>
          <cell r="AF12930">
            <v>0.5</v>
          </cell>
        </row>
        <row r="12931">
          <cell r="A12931" t="str">
            <v>IS_alqt_plus</v>
          </cell>
          <cell r="K12931" t="str">
            <v>LCAT</v>
          </cell>
          <cell r="M12931" t="str">
            <v>F</v>
          </cell>
          <cell r="AB12931" t="str">
            <v>WB</v>
          </cell>
          <cell r="AF12931">
            <v>0.5</v>
          </cell>
        </row>
        <row r="12932">
          <cell r="A12932" t="str">
            <v>IS_alqt_plus</v>
          </cell>
          <cell r="K12932" t="str">
            <v>LCAT</v>
          </cell>
          <cell r="M12932" t="str">
            <v>F</v>
          </cell>
          <cell r="AB12932" t="str">
            <v>serum</v>
          </cell>
          <cell r="AF12932">
            <v>0.5</v>
          </cell>
        </row>
        <row r="12933">
          <cell r="A12933" t="str">
            <v>IS_alqt_plus</v>
          </cell>
          <cell r="K12933" t="str">
            <v>LCAT</v>
          </cell>
          <cell r="M12933" t="str">
            <v>F</v>
          </cell>
          <cell r="AB12933" t="str">
            <v>serum</v>
          </cell>
          <cell r="AF12933">
            <v>0.5</v>
          </cell>
        </row>
        <row r="12934">
          <cell r="A12934" t="str">
            <v>IS_alqt_plus</v>
          </cell>
          <cell r="K12934" t="str">
            <v>LCAT</v>
          </cell>
          <cell r="M12934" t="str">
            <v>F</v>
          </cell>
          <cell r="AB12934" t="str">
            <v>serum</v>
          </cell>
          <cell r="AF12934">
            <v>0.5</v>
          </cell>
        </row>
        <row r="12935">
          <cell r="A12935" t="str">
            <v>IS_alqt_plus</v>
          </cell>
          <cell r="K12935" t="str">
            <v>EFLA</v>
          </cell>
          <cell r="M12935" t="str">
            <v>M</v>
          </cell>
          <cell r="AB12935" t="str">
            <v>WB</v>
          </cell>
          <cell r="AF12935">
            <v>0.5</v>
          </cell>
        </row>
        <row r="12936">
          <cell r="A12936" t="str">
            <v>IS_alqt_plus</v>
          </cell>
          <cell r="K12936" t="str">
            <v>EFLA</v>
          </cell>
          <cell r="M12936" t="str">
            <v>M</v>
          </cell>
          <cell r="AB12936" t="str">
            <v>WB</v>
          </cell>
          <cell r="AF12936">
            <v>0.5</v>
          </cell>
        </row>
        <row r="12937">
          <cell r="A12937" t="str">
            <v>IS_alqt_plus</v>
          </cell>
          <cell r="K12937" t="str">
            <v>EFLA</v>
          </cell>
          <cell r="M12937" t="str">
            <v>M</v>
          </cell>
          <cell r="AB12937" t="str">
            <v>WB</v>
          </cell>
          <cell r="AF12937">
            <v>0.5</v>
          </cell>
        </row>
        <row r="12938">
          <cell r="A12938" t="str">
            <v>IS_alqt_plus</v>
          </cell>
          <cell r="K12938" t="str">
            <v>EFLA</v>
          </cell>
          <cell r="M12938" t="str">
            <v>M</v>
          </cell>
          <cell r="AB12938" t="str">
            <v>serum</v>
          </cell>
          <cell r="AF12938">
            <v>0.5</v>
          </cell>
        </row>
        <row r="12939">
          <cell r="A12939" t="str">
            <v>IS_alqt_plus</v>
          </cell>
          <cell r="K12939" t="str">
            <v>EFLA</v>
          </cell>
          <cell r="M12939" t="str">
            <v>M</v>
          </cell>
          <cell r="AB12939" t="str">
            <v>serum</v>
          </cell>
          <cell r="AF12939">
            <v>0.5</v>
          </cell>
        </row>
        <row r="12940">
          <cell r="A12940" t="str">
            <v>IS_alqt_plus</v>
          </cell>
          <cell r="K12940" t="str">
            <v>EFLA</v>
          </cell>
          <cell r="M12940" t="str">
            <v>M</v>
          </cell>
          <cell r="AB12940" t="str">
            <v>serum</v>
          </cell>
          <cell r="AF12940">
            <v>0.5</v>
          </cell>
        </row>
        <row r="12941">
          <cell r="A12941" t="str">
            <v>IS_alqt_plus</v>
          </cell>
          <cell r="K12941" t="str">
            <v>CMED</v>
          </cell>
          <cell r="M12941" t="str">
            <v>F</v>
          </cell>
          <cell r="AB12941" t="str">
            <v>WB</v>
          </cell>
          <cell r="AF12941">
            <v>0.5</v>
          </cell>
        </row>
        <row r="12942">
          <cell r="A12942" t="str">
            <v>gone</v>
          </cell>
          <cell r="K12942" t="str">
            <v>LCAT</v>
          </cell>
          <cell r="M12942" t="str">
            <v>F</v>
          </cell>
          <cell r="AB12942" t="str">
            <v>WB</v>
          </cell>
          <cell r="AF12942">
            <v>0</v>
          </cell>
        </row>
        <row r="12943">
          <cell r="A12943" t="str">
            <v>IS_alqt_plus</v>
          </cell>
          <cell r="K12943" t="str">
            <v>LCAT</v>
          </cell>
          <cell r="M12943" t="str">
            <v>F</v>
          </cell>
          <cell r="AB12943" t="str">
            <v>serum</v>
          </cell>
          <cell r="AF12943">
            <v>0.6</v>
          </cell>
        </row>
        <row r="12944">
          <cell r="A12944" t="str">
            <v>IS_alqt_plus</v>
          </cell>
          <cell r="K12944" t="str">
            <v>LCAT</v>
          </cell>
          <cell r="M12944" t="str">
            <v>F</v>
          </cell>
          <cell r="AB12944" t="str">
            <v>serum</v>
          </cell>
          <cell r="AF12944">
            <v>0.6</v>
          </cell>
        </row>
        <row r="12945">
          <cell r="A12945" t="str">
            <v>IS_alqt_plus</v>
          </cell>
          <cell r="K12945" t="str">
            <v>EMON</v>
          </cell>
          <cell r="M12945" t="str">
            <v>M</v>
          </cell>
          <cell r="AB12945" t="str">
            <v>serum</v>
          </cell>
          <cell r="AF12945">
            <v>0.5</v>
          </cell>
        </row>
        <row r="12946">
          <cell r="A12946" t="str">
            <v>IS_alqt_plus</v>
          </cell>
          <cell r="K12946" t="str">
            <v>EMON</v>
          </cell>
          <cell r="M12946" t="str">
            <v>M</v>
          </cell>
          <cell r="AB12946" t="str">
            <v>serum</v>
          </cell>
          <cell r="AF12946">
            <v>0.5</v>
          </cell>
        </row>
        <row r="12947">
          <cell r="A12947" t="str">
            <v>IS_alqt_plus</v>
          </cell>
          <cell r="K12947" t="str">
            <v>EMON</v>
          </cell>
          <cell r="M12947" t="str">
            <v>M</v>
          </cell>
          <cell r="AB12947" t="str">
            <v>serum</v>
          </cell>
          <cell r="AF12947">
            <v>0.5</v>
          </cell>
        </row>
        <row r="12948">
          <cell r="A12948" t="str">
            <v>IS_alqt_plus</v>
          </cell>
          <cell r="K12948" t="str">
            <v>EMON</v>
          </cell>
          <cell r="M12948" t="str">
            <v>M</v>
          </cell>
          <cell r="AB12948" t="str">
            <v>WB</v>
          </cell>
          <cell r="AF12948">
            <v>0.5</v>
          </cell>
        </row>
        <row r="12949">
          <cell r="A12949" t="str">
            <v>IS_alqt_plus</v>
          </cell>
          <cell r="K12949" t="str">
            <v>EMON</v>
          </cell>
          <cell r="M12949" t="str">
            <v>M</v>
          </cell>
          <cell r="AB12949" t="str">
            <v>WB</v>
          </cell>
          <cell r="AF12949">
            <v>0.5</v>
          </cell>
        </row>
        <row r="12950">
          <cell r="A12950" t="str">
            <v>IS_alqt_plus</v>
          </cell>
          <cell r="K12950" t="str">
            <v>EMON</v>
          </cell>
          <cell r="M12950" t="str">
            <v>M</v>
          </cell>
          <cell r="AB12950" t="str">
            <v>WB</v>
          </cell>
          <cell r="AF12950">
            <v>0.5</v>
          </cell>
        </row>
        <row r="12951">
          <cell r="A12951" t="str">
            <v>IS_alqt_plus</v>
          </cell>
          <cell r="K12951" t="str">
            <v>EFLA</v>
          </cell>
          <cell r="M12951" t="str">
            <v>F</v>
          </cell>
          <cell r="AB12951" t="str">
            <v>WB</v>
          </cell>
          <cell r="AF12951">
            <v>0.25</v>
          </cell>
        </row>
        <row r="12952">
          <cell r="A12952" t="str">
            <v>IS_alqt_plus</v>
          </cell>
          <cell r="K12952" t="str">
            <v>EFLA</v>
          </cell>
          <cell r="M12952" t="str">
            <v>F</v>
          </cell>
          <cell r="AB12952" t="str">
            <v>WB</v>
          </cell>
          <cell r="AF12952">
            <v>0.5</v>
          </cell>
        </row>
        <row r="12953">
          <cell r="A12953" t="str">
            <v>IS_alqt_plus</v>
          </cell>
          <cell r="K12953" t="str">
            <v>EFLA</v>
          </cell>
          <cell r="M12953" t="str">
            <v>F</v>
          </cell>
          <cell r="AB12953" t="str">
            <v>WB</v>
          </cell>
          <cell r="AF12953">
            <v>0.5</v>
          </cell>
        </row>
        <row r="12954">
          <cell r="A12954" t="str">
            <v>IS_alqt_plus</v>
          </cell>
          <cell r="K12954" t="str">
            <v>EFLA</v>
          </cell>
          <cell r="M12954" t="str">
            <v>F</v>
          </cell>
          <cell r="AB12954" t="str">
            <v>WB</v>
          </cell>
          <cell r="AF12954">
            <v>0.5</v>
          </cell>
        </row>
        <row r="12955">
          <cell r="A12955" t="str">
            <v>IS_alqt_plus</v>
          </cell>
          <cell r="K12955" t="str">
            <v>EFLA</v>
          </cell>
          <cell r="M12955" t="str">
            <v>F</v>
          </cell>
          <cell r="AB12955" t="str">
            <v>serum</v>
          </cell>
          <cell r="AF12955">
            <v>0.5</v>
          </cell>
        </row>
        <row r="12956">
          <cell r="A12956" t="str">
            <v>IS_alqt_plus</v>
          </cell>
          <cell r="K12956" t="str">
            <v>EFLA</v>
          </cell>
          <cell r="M12956" t="str">
            <v>F</v>
          </cell>
          <cell r="AB12956" t="str">
            <v>serum</v>
          </cell>
          <cell r="AF12956">
            <v>0.5</v>
          </cell>
        </row>
        <row r="12957">
          <cell r="A12957" t="str">
            <v>IS_alqt_plus</v>
          </cell>
          <cell r="K12957" t="str">
            <v>EFLA</v>
          </cell>
          <cell r="M12957" t="str">
            <v>F</v>
          </cell>
          <cell r="AB12957" t="str">
            <v>serum</v>
          </cell>
          <cell r="AF12957">
            <v>0.5</v>
          </cell>
        </row>
        <row r="12958">
          <cell r="A12958" t="str">
            <v>IS_alqt_plus</v>
          </cell>
          <cell r="K12958" t="str">
            <v>VVV</v>
          </cell>
          <cell r="M12958" t="str">
            <v>F</v>
          </cell>
          <cell r="AB12958" t="str">
            <v>WB</v>
          </cell>
          <cell r="AF12958">
            <v>1</v>
          </cell>
        </row>
        <row r="12959">
          <cell r="A12959" t="str">
            <v>IS_alqt_plus</v>
          </cell>
          <cell r="K12959" t="str">
            <v>VVV</v>
          </cell>
          <cell r="M12959" t="str">
            <v>F</v>
          </cell>
          <cell r="AB12959" t="str">
            <v>serum</v>
          </cell>
          <cell r="AF12959">
            <v>0.5</v>
          </cell>
        </row>
        <row r="12960">
          <cell r="A12960" t="str">
            <v>IS_alqt_plus</v>
          </cell>
          <cell r="K12960" t="str">
            <v>VVV</v>
          </cell>
          <cell r="M12960" t="str">
            <v>F</v>
          </cell>
          <cell r="AB12960" t="str">
            <v>serum</v>
          </cell>
          <cell r="AF12960">
            <v>1</v>
          </cell>
        </row>
        <row r="12961">
          <cell r="A12961" t="str">
            <v>IS_alqt_plus</v>
          </cell>
          <cell r="K12961" t="str">
            <v>VVV</v>
          </cell>
          <cell r="M12961" t="str">
            <v>M</v>
          </cell>
          <cell r="AB12961" t="str">
            <v>WB</v>
          </cell>
          <cell r="AF12961">
            <v>0.5</v>
          </cell>
        </row>
        <row r="12962">
          <cell r="A12962" t="str">
            <v>IS_alqt_plus</v>
          </cell>
          <cell r="K12962" t="str">
            <v>VVV</v>
          </cell>
          <cell r="M12962" t="str">
            <v>M</v>
          </cell>
          <cell r="AB12962" t="str">
            <v>serum</v>
          </cell>
          <cell r="AF12962">
            <v>0.5</v>
          </cell>
        </row>
        <row r="12963">
          <cell r="A12963" t="str">
            <v>IS_alqt_plus</v>
          </cell>
          <cell r="K12963" t="str">
            <v>LCAT</v>
          </cell>
          <cell r="M12963" t="str">
            <v>M</v>
          </cell>
          <cell r="AB12963" t="str">
            <v>WB</v>
          </cell>
          <cell r="AF12963">
            <v>0.5</v>
          </cell>
        </row>
        <row r="12964">
          <cell r="A12964" t="str">
            <v>IS_alqt_plus</v>
          </cell>
          <cell r="K12964" t="str">
            <v>LCAT</v>
          </cell>
          <cell r="M12964" t="str">
            <v>M</v>
          </cell>
          <cell r="AB12964" t="str">
            <v>WB</v>
          </cell>
          <cell r="AF12964">
            <v>0.5</v>
          </cell>
        </row>
        <row r="12965">
          <cell r="A12965" t="str">
            <v>IS_alqt_plus</v>
          </cell>
          <cell r="K12965" t="str">
            <v>LCAT</v>
          </cell>
          <cell r="M12965" t="str">
            <v>M</v>
          </cell>
          <cell r="AB12965" t="str">
            <v>serum</v>
          </cell>
          <cell r="AF12965">
            <v>0.25</v>
          </cell>
        </row>
        <row r="12966">
          <cell r="A12966" t="str">
            <v>IS_alqt_plus</v>
          </cell>
          <cell r="K12966" t="str">
            <v>EFLA</v>
          </cell>
          <cell r="M12966" t="str">
            <v>F</v>
          </cell>
          <cell r="AB12966" t="str">
            <v>WB</v>
          </cell>
          <cell r="AF12966">
            <v>0.5</v>
          </cell>
        </row>
        <row r="12967">
          <cell r="A12967" t="str">
            <v>IS_alqt_plus</v>
          </cell>
          <cell r="K12967" t="str">
            <v>EFLA</v>
          </cell>
          <cell r="M12967" t="str">
            <v>F</v>
          </cell>
          <cell r="AB12967" t="str">
            <v>WB</v>
          </cell>
          <cell r="AF12967">
            <v>0.5</v>
          </cell>
        </row>
        <row r="12968">
          <cell r="A12968" t="str">
            <v>IS_alqt_plus</v>
          </cell>
          <cell r="K12968" t="str">
            <v>EFLA</v>
          </cell>
          <cell r="M12968" t="str">
            <v>F</v>
          </cell>
          <cell r="AB12968" t="str">
            <v>WB</v>
          </cell>
          <cell r="AF12968">
            <v>0.5</v>
          </cell>
        </row>
        <row r="12969">
          <cell r="A12969" t="str">
            <v>IS_alqt_plus</v>
          </cell>
          <cell r="K12969" t="str">
            <v>EFLA</v>
          </cell>
          <cell r="M12969" t="str">
            <v>F</v>
          </cell>
          <cell r="AB12969" t="str">
            <v>WB</v>
          </cell>
          <cell r="AF12969">
            <v>0.5</v>
          </cell>
        </row>
        <row r="12970">
          <cell r="A12970" t="str">
            <v>IS_alqt_plus</v>
          </cell>
          <cell r="K12970" t="str">
            <v>EFLA</v>
          </cell>
          <cell r="M12970" t="str">
            <v>F</v>
          </cell>
          <cell r="AB12970" t="str">
            <v>serum</v>
          </cell>
          <cell r="AF12970">
            <v>0.5</v>
          </cell>
        </row>
        <row r="12971">
          <cell r="A12971" t="str">
            <v>IS_alqt_plus</v>
          </cell>
          <cell r="K12971" t="str">
            <v>EFLA</v>
          </cell>
          <cell r="M12971" t="str">
            <v>F</v>
          </cell>
          <cell r="AB12971" t="str">
            <v>serum</v>
          </cell>
          <cell r="AF12971">
            <v>0.5</v>
          </cell>
        </row>
        <row r="12972">
          <cell r="A12972" t="str">
            <v>IS_alqt_plus</v>
          </cell>
          <cell r="K12972" t="str">
            <v>EFLA</v>
          </cell>
          <cell r="M12972" t="str">
            <v>F</v>
          </cell>
          <cell r="AB12972" t="str">
            <v>serum</v>
          </cell>
          <cell r="AF12972">
            <v>0.5</v>
          </cell>
        </row>
        <row r="12973">
          <cell r="A12973" t="str">
            <v>IS_alqt_plus</v>
          </cell>
          <cell r="K12973" t="str">
            <v>EFLA</v>
          </cell>
          <cell r="M12973" t="str">
            <v>M</v>
          </cell>
          <cell r="AB12973" t="str">
            <v>serum</v>
          </cell>
          <cell r="AF12973">
            <v>0.5</v>
          </cell>
        </row>
        <row r="12974">
          <cell r="A12974" t="str">
            <v>IS_alqt_plus</v>
          </cell>
          <cell r="K12974" t="str">
            <v>EFLA</v>
          </cell>
          <cell r="M12974" t="str">
            <v>M</v>
          </cell>
          <cell r="AB12974" t="str">
            <v>serum</v>
          </cell>
          <cell r="AF12974">
            <v>0.5</v>
          </cell>
        </row>
        <row r="12975">
          <cell r="A12975" t="str">
            <v>IS_alqt_plus</v>
          </cell>
          <cell r="K12975" t="str">
            <v>EFLA</v>
          </cell>
          <cell r="M12975" t="str">
            <v>M</v>
          </cell>
          <cell r="AB12975" t="str">
            <v>serum</v>
          </cell>
          <cell r="AF12975">
            <v>0.5</v>
          </cell>
        </row>
        <row r="12976">
          <cell r="A12976" t="str">
            <v>gone</v>
          </cell>
          <cell r="K12976" t="str">
            <v>EMON</v>
          </cell>
          <cell r="M12976" t="str">
            <v>F</v>
          </cell>
          <cell r="AB12976" t="str">
            <v>WB</v>
          </cell>
          <cell r="AF12976">
            <v>0</v>
          </cell>
        </row>
        <row r="12977">
          <cell r="A12977" t="str">
            <v>IS_alqt_plus</v>
          </cell>
          <cell r="K12977" t="str">
            <v>EMON</v>
          </cell>
          <cell r="M12977" t="str">
            <v>F</v>
          </cell>
          <cell r="AB12977" t="str">
            <v>WB</v>
          </cell>
          <cell r="AF12977">
            <v>0.5</v>
          </cell>
        </row>
        <row r="12978">
          <cell r="A12978" t="str">
            <v>IS_alqt_plus</v>
          </cell>
          <cell r="K12978" t="str">
            <v>EMON</v>
          </cell>
          <cell r="M12978" t="str">
            <v>F</v>
          </cell>
          <cell r="AB12978" t="str">
            <v>WB</v>
          </cell>
          <cell r="AF12978">
            <v>0.5</v>
          </cell>
        </row>
        <row r="12979">
          <cell r="A12979" t="str">
            <v>IS_alqt_plus</v>
          </cell>
          <cell r="K12979" t="str">
            <v>EMON</v>
          </cell>
          <cell r="M12979" t="str">
            <v>F</v>
          </cell>
          <cell r="AB12979" t="str">
            <v>serum</v>
          </cell>
          <cell r="AF12979">
            <v>0.5</v>
          </cell>
        </row>
        <row r="12980">
          <cell r="A12980" t="str">
            <v>IS_alqt_plus</v>
          </cell>
          <cell r="K12980" t="str">
            <v>EMON</v>
          </cell>
          <cell r="M12980" t="str">
            <v>F</v>
          </cell>
          <cell r="AB12980" t="str">
            <v>serum</v>
          </cell>
          <cell r="AF12980">
            <v>0.5</v>
          </cell>
        </row>
        <row r="12981">
          <cell r="A12981" t="str">
            <v>IS_alqt_plus</v>
          </cell>
          <cell r="K12981" t="str">
            <v>EMON</v>
          </cell>
          <cell r="M12981" t="str">
            <v>F</v>
          </cell>
          <cell r="AB12981" t="str">
            <v>serum</v>
          </cell>
          <cell r="AF12981">
            <v>0.5</v>
          </cell>
        </row>
        <row r="12982">
          <cell r="A12982" t="str">
            <v>IS_alqt_plus</v>
          </cell>
          <cell r="K12982" t="str">
            <v>VVV</v>
          </cell>
          <cell r="M12982" t="str">
            <v>M</v>
          </cell>
          <cell r="AB12982" t="str">
            <v>serum</v>
          </cell>
          <cell r="AF12982">
            <v>0.2</v>
          </cell>
        </row>
        <row r="12983">
          <cell r="A12983" t="str">
            <v>IS_alqt_plus</v>
          </cell>
          <cell r="K12983" t="str">
            <v>VVV</v>
          </cell>
          <cell r="M12983" t="str">
            <v>M</v>
          </cell>
          <cell r="AB12983" t="str">
            <v>serum</v>
          </cell>
          <cell r="AF12983">
            <v>0.2</v>
          </cell>
        </row>
        <row r="12984">
          <cell r="A12984" t="str">
            <v>IS_alqt_plus</v>
          </cell>
          <cell r="K12984" t="str">
            <v>VVV</v>
          </cell>
          <cell r="M12984" t="str">
            <v>M</v>
          </cell>
          <cell r="AB12984" t="str">
            <v>serum</v>
          </cell>
          <cell r="AF12984">
            <v>0.2</v>
          </cell>
        </row>
        <row r="12985">
          <cell r="A12985" t="str">
            <v>IS_alqt_plus</v>
          </cell>
          <cell r="K12985" t="str">
            <v>VVV</v>
          </cell>
          <cell r="M12985" t="str">
            <v>M</v>
          </cell>
          <cell r="AB12985" t="str">
            <v>serum</v>
          </cell>
          <cell r="AF12985">
            <v>0.2</v>
          </cell>
        </row>
        <row r="12986">
          <cell r="A12986" t="str">
            <v>IS_alqt_plus</v>
          </cell>
          <cell r="K12986" t="str">
            <v>VVV</v>
          </cell>
          <cell r="M12986" t="str">
            <v>M</v>
          </cell>
          <cell r="AB12986" t="str">
            <v>serum</v>
          </cell>
          <cell r="AF12986">
            <v>0.2</v>
          </cell>
        </row>
        <row r="12987">
          <cell r="A12987" t="str">
            <v>IS_alqt_plus</v>
          </cell>
          <cell r="K12987" t="str">
            <v>VVV</v>
          </cell>
          <cell r="M12987" t="str">
            <v>F</v>
          </cell>
          <cell r="AB12987" t="str">
            <v>serum</v>
          </cell>
          <cell r="AF12987">
            <v>0.2</v>
          </cell>
        </row>
        <row r="12988">
          <cell r="A12988" t="str">
            <v>IS_alqt_plus</v>
          </cell>
          <cell r="K12988" t="str">
            <v>VVV</v>
          </cell>
          <cell r="M12988" t="str">
            <v>F</v>
          </cell>
          <cell r="AB12988" t="str">
            <v>serum</v>
          </cell>
          <cell r="AF12988">
            <v>0.2</v>
          </cell>
        </row>
        <row r="12989">
          <cell r="A12989" t="str">
            <v>IS_alqt_plus</v>
          </cell>
          <cell r="K12989" t="str">
            <v>VVV</v>
          </cell>
          <cell r="M12989" t="str">
            <v>F</v>
          </cell>
          <cell r="AB12989" t="str">
            <v>serum</v>
          </cell>
          <cell r="AF12989">
            <v>0.2</v>
          </cell>
        </row>
        <row r="12990">
          <cell r="A12990" t="str">
            <v>IS_alqt_plus</v>
          </cell>
          <cell r="K12990" t="str">
            <v>VVV</v>
          </cell>
          <cell r="M12990" t="str">
            <v>M</v>
          </cell>
          <cell r="AB12990" t="str">
            <v>serum</v>
          </cell>
          <cell r="AF12990">
            <v>0.2</v>
          </cell>
        </row>
        <row r="12991">
          <cell r="A12991" t="str">
            <v>IS_alqt_plus</v>
          </cell>
          <cell r="K12991" t="str">
            <v>VVV</v>
          </cell>
          <cell r="M12991" t="str">
            <v>M</v>
          </cell>
          <cell r="AB12991" t="str">
            <v>serum</v>
          </cell>
          <cell r="AF12991">
            <v>0.2</v>
          </cell>
        </row>
        <row r="12992">
          <cell r="A12992" t="str">
            <v>IS_alqt_plus</v>
          </cell>
          <cell r="K12992" t="str">
            <v>MMUR</v>
          </cell>
          <cell r="M12992" t="str">
            <v>F</v>
          </cell>
          <cell r="AB12992" t="str">
            <v>WB</v>
          </cell>
          <cell r="AF12992">
            <v>0.2</v>
          </cell>
        </row>
        <row r="12993">
          <cell r="A12993" t="str">
            <v>IS_alqt_plus</v>
          </cell>
          <cell r="K12993" t="str">
            <v>VVV</v>
          </cell>
          <cell r="M12993" t="str">
            <v>M</v>
          </cell>
          <cell r="AB12993" t="str">
            <v>serum</v>
          </cell>
          <cell r="AF12993">
            <v>0.2</v>
          </cell>
        </row>
        <row r="12994">
          <cell r="A12994" t="str">
            <v>IS_alqt_plus</v>
          </cell>
          <cell r="K12994" t="str">
            <v>VVV</v>
          </cell>
          <cell r="M12994" t="str">
            <v>M</v>
          </cell>
          <cell r="AB12994" t="str">
            <v>serum</v>
          </cell>
          <cell r="AF12994">
            <v>0.2</v>
          </cell>
        </row>
        <row r="12995">
          <cell r="A12995" t="str">
            <v>IS_alqt_plus</v>
          </cell>
          <cell r="K12995" t="str">
            <v>VVV</v>
          </cell>
          <cell r="M12995" t="str">
            <v>M</v>
          </cell>
          <cell r="AB12995" t="str">
            <v>serum</v>
          </cell>
          <cell r="AF12995">
            <v>0.2</v>
          </cell>
        </row>
        <row r="12996">
          <cell r="A12996" t="str">
            <v>IS_alqt_plus</v>
          </cell>
          <cell r="K12996" t="str">
            <v>VVV</v>
          </cell>
          <cell r="M12996" t="str">
            <v>M</v>
          </cell>
          <cell r="AB12996" t="str">
            <v>serum</v>
          </cell>
          <cell r="AF12996">
            <v>0.2</v>
          </cell>
        </row>
        <row r="12997">
          <cell r="A12997" t="str">
            <v>IS_alqt_plus</v>
          </cell>
          <cell r="K12997" t="str">
            <v>VVV</v>
          </cell>
          <cell r="M12997" t="str">
            <v>M</v>
          </cell>
          <cell r="AB12997" t="str">
            <v>serum</v>
          </cell>
          <cell r="AF12997">
            <v>0.2</v>
          </cell>
        </row>
        <row r="12998">
          <cell r="A12998" t="str">
            <v>IS_alqt_plus</v>
          </cell>
          <cell r="K12998" t="str">
            <v>VVV</v>
          </cell>
          <cell r="M12998" t="str">
            <v>M</v>
          </cell>
          <cell r="AB12998" t="str">
            <v>serum</v>
          </cell>
          <cell r="AF12998">
            <v>0.2</v>
          </cell>
        </row>
        <row r="12999">
          <cell r="A12999" t="str">
            <v>IS_alqt_plus</v>
          </cell>
          <cell r="K12999" t="str">
            <v>VVV</v>
          </cell>
          <cell r="M12999" t="str">
            <v>F</v>
          </cell>
          <cell r="AB12999" t="str">
            <v>serum</v>
          </cell>
          <cell r="AF12999">
            <v>0.2</v>
          </cell>
        </row>
        <row r="13000">
          <cell r="A13000" t="str">
            <v>IS_alqt_plus</v>
          </cell>
          <cell r="K13000" t="str">
            <v>VVV</v>
          </cell>
          <cell r="M13000" t="str">
            <v>F</v>
          </cell>
          <cell r="AB13000" t="str">
            <v>serum</v>
          </cell>
          <cell r="AF13000">
            <v>0.2</v>
          </cell>
        </row>
        <row r="13001">
          <cell r="A13001" t="str">
            <v>IS_alqt_plus</v>
          </cell>
          <cell r="K13001" t="str">
            <v>VVV</v>
          </cell>
          <cell r="M13001" t="str">
            <v>F</v>
          </cell>
          <cell r="AB13001" t="str">
            <v>serum</v>
          </cell>
          <cell r="AF13001">
            <v>0.2</v>
          </cell>
        </row>
        <row r="13002">
          <cell r="A13002" t="str">
            <v>IS_alqt_plus</v>
          </cell>
          <cell r="K13002" t="str">
            <v>VVV</v>
          </cell>
          <cell r="M13002" t="str">
            <v>F</v>
          </cell>
          <cell r="AB13002" t="str">
            <v>serum</v>
          </cell>
          <cell r="AF13002">
            <v>0.2</v>
          </cell>
        </row>
        <row r="13003">
          <cell r="A13003" t="str">
            <v>IS_alqt_plus</v>
          </cell>
          <cell r="K13003" t="str">
            <v>VVV</v>
          </cell>
          <cell r="M13003" t="str">
            <v>F</v>
          </cell>
          <cell r="AB13003" t="str">
            <v>serum</v>
          </cell>
          <cell r="AF13003">
            <v>0.2</v>
          </cell>
        </row>
        <row r="13004">
          <cell r="A13004" t="str">
            <v>IS_alqt_plus</v>
          </cell>
          <cell r="K13004" t="str">
            <v>VVV</v>
          </cell>
          <cell r="M13004" t="str">
            <v>F</v>
          </cell>
          <cell r="AB13004" t="str">
            <v>serum</v>
          </cell>
          <cell r="AF13004">
            <v>0.25</v>
          </cell>
        </row>
        <row r="13005">
          <cell r="A13005" t="str">
            <v>IS_alqt_plus</v>
          </cell>
          <cell r="K13005" t="str">
            <v>VVV</v>
          </cell>
          <cell r="M13005" t="str">
            <v>F</v>
          </cell>
          <cell r="AB13005" t="str">
            <v>serum</v>
          </cell>
          <cell r="AF13005">
            <v>0.2</v>
          </cell>
        </row>
        <row r="13006">
          <cell r="A13006" t="str">
            <v>IS_alqt_plus</v>
          </cell>
          <cell r="K13006" t="str">
            <v>VVV</v>
          </cell>
          <cell r="M13006" t="str">
            <v>F</v>
          </cell>
          <cell r="AB13006" t="str">
            <v>serum</v>
          </cell>
          <cell r="AF13006">
            <v>0.2</v>
          </cell>
        </row>
        <row r="13007">
          <cell r="A13007" t="str">
            <v>IS_alqt_plus</v>
          </cell>
          <cell r="K13007" t="str">
            <v>VVV</v>
          </cell>
          <cell r="M13007" t="str">
            <v>F</v>
          </cell>
          <cell r="AB13007" t="str">
            <v>serum</v>
          </cell>
          <cell r="AF13007">
            <v>0.2</v>
          </cell>
        </row>
        <row r="13008">
          <cell r="A13008" t="str">
            <v>IS_alqt_plus</v>
          </cell>
          <cell r="K13008" t="str">
            <v>VVV</v>
          </cell>
          <cell r="M13008" t="str">
            <v>F</v>
          </cell>
          <cell r="AB13008" t="str">
            <v>serum</v>
          </cell>
          <cell r="AF13008">
            <v>0.2</v>
          </cell>
        </row>
        <row r="13009">
          <cell r="A13009" t="str">
            <v>IS_alqt_plus</v>
          </cell>
          <cell r="K13009" t="str">
            <v>VVV</v>
          </cell>
          <cell r="M13009" t="str">
            <v>F</v>
          </cell>
          <cell r="AB13009" t="str">
            <v>serum</v>
          </cell>
          <cell r="AF13009">
            <v>0.2</v>
          </cell>
        </row>
        <row r="13010">
          <cell r="A13010" t="str">
            <v>IS_alqt_plus</v>
          </cell>
          <cell r="K13010" t="str">
            <v>VVV</v>
          </cell>
          <cell r="M13010" t="str">
            <v>F</v>
          </cell>
          <cell r="AB13010" t="str">
            <v>serum</v>
          </cell>
          <cell r="AF13010">
            <v>0.2</v>
          </cell>
        </row>
        <row r="13011">
          <cell r="A13011" t="str">
            <v>IS_alqt_plus</v>
          </cell>
          <cell r="K13011" t="str">
            <v>VVV</v>
          </cell>
          <cell r="M13011" t="str">
            <v>F</v>
          </cell>
          <cell r="AB13011" t="str">
            <v>serum</v>
          </cell>
          <cell r="AF13011">
            <v>0.2</v>
          </cell>
        </row>
        <row r="13012">
          <cell r="A13012" t="str">
            <v>IS_alqt_plus</v>
          </cell>
          <cell r="K13012" t="str">
            <v>VVV</v>
          </cell>
          <cell r="M13012" t="str">
            <v>F</v>
          </cell>
          <cell r="AB13012" t="str">
            <v>serum</v>
          </cell>
          <cell r="AF13012">
            <v>0.2</v>
          </cell>
        </row>
        <row r="13013">
          <cell r="A13013" t="str">
            <v>IS_alqt_plus</v>
          </cell>
          <cell r="K13013" t="str">
            <v>VVV</v>
          </cell>
          <cell r="M13013" t="str">
            <v>F</v>
          </cell>
          <cell r="AB13013" t="str">
            <v>serum</v>
          </cell>
          <cell r="AF13013">
            <v>0.2</v>
          </cell>
        </row>
        <row r="13014">
          <cell r="A13014" t="str">
            <v>IS_alqt_plus</v>
          </cell>
          <cell r="K13014" t="str">
            <v>VVV</v>
          </cell>
          <cell r="M13014" t="str">
            <v>M</v>
          </cell>
          <cell r="AB13014" t="str">
            <v>serum</v>
          </cell>
          <cell r="AF13014">
            <v>0.2</v>
          </cell>
        </row>
        <row r="13015">
          <cell r="A13015" t="str">
            <v>IS_alqt_plus</v>
          </cell>
          <cell r="K13015" t="str">
            <v>VVV</v>
          </cell>
          <cell r="M13015" t="str">
            <v>M</v>
          </cell>
          <cell r="AB13015" t="str">
            <v>serum</v>
          </cell>
          <cell r="AF13015">
            <v>0.2</v>
          </cell>
        </row>
        <row r="13016">
          <cell r="A13016" t="str">
            <v>IS_alqt_plus</v>
          </cell>
          <cell r="K13016" t="str">
            <v>VVV</v>
          </cell>
          <cell r="M13016" t="str">
            <v>M</v>
          </cell>
          <cell r="AB13016" t="str">
            <v>serum</v>
          </cell>
          <cell r="AF13016">
            <v>0.2</v>
          </cell>
        </row>
        <row r="13017">
          <cell r="A13017" t="str">
            <v>IS_alqt_plus</v>
          </cell>
          <cell r="K13017" t="str">
            <v>VVV</v>
          </cell>
          <cell r="M13017" t="str">
            <v>M</v>
          </cell>
          <cell r="AB13017" t="str">
            <v>serum</v>
          </cell>
          <cell r="AF13017">
            <v>0.2</v>
          </cell>
        </row>
        <row r="13018">
          <cell r="A13018" t="str">
            <v>IS_alqt_plus</v>
          </cell>
          <cell r="K13018" t="str">
            <v>VVV</v>
          </cell>
          <cell r="M13018" t="str">
            <v>M</v>
          </cell>
          <cell r="AB13018" t="str">
            <v>serum</v>
          </cell>
          <cell r="AF13018">
            <v>0.2</v>
          </cell>
        </row>
        <row r="13019">
          <cell r="A13019" t="str">
            <v>IS_alqt_plus</v>
          </cell>
          <cell r="K13019" t="str">
            <v>LCAT</v>
          </cell>
          <cell r="M13019" t="str">
            <v>M</v>
          </cell>
          <cell r="AB13019" t="str">
            <v>serum</v>
          </cell>
          <cell r="AF13019">
            <v>0.5</v>
          </cell>
        </row>
        <row r="13020">
          <cell r="A13020" t="str">
            <v>IS_alqt_plus</v>
          </cell>
          <cell r="K13020" t="str">
            <v>LCAT</v>
          </cell>
          <cell r="M13020" t="str">
            <v>M</v>
          </cell>
          <cell r="AB13020" t="str">
            <v>serum</v>
          </cell>
          <cell r="AF13020">
            <v>0.5</v>
          </cell>
        </row>
        <row r="13021">
          <cell r="A13021" t="str">
            <v>IS_alqt_plus</v>
          </cell>
          <cell r="K13021" t="str">
            <v>LCAT</v>
          </cell>
          <cell r="M13021" t="str">
            <v>M</v>
          </cell>
          <cell r="AB13021" t="str">
            <v>serum</v>
          </cell>
          <cell r="AF13021">
            <v>0.5</v>
          </cell>
        </row>
        <row r="13022">
          <cell r="A13022" t="str">
            <v>IS_alqt_plus</v>
          </cell>
          <cell r="K13022" t="str">
            <v>LCAT</v>
          </cell>
          <cell r="M13022" t="str">
            <v>M</v>
          </cell>
          <cell r="AB13022" t="str">
            <v>serum</v>
          </cell>
          <cell r="AF13022">
            <v>0.5</v>
          </cell>
        </row>
        <row r="13023">
          <cell r="A13023" t="str">
            <v>IS_alqt_plus</v>
          </cell>
          <cell r="K13023" t="str">
            <v>LCAT</v>
          </cell>
          <cell r="M13023" t="str">
            <v>M</v>
          </cell>
          <cell r="AB13023" t="str">
            <v>serum</v>
          </cell>
          <cell r="AF13023">
            <v>0.5</v>
          </cell>
        </row>
        <row r="13024">
          <cell r="A13024" t="str">
            <v>IS_alqt_plus</v>
          </cell>
          <cell r="K13024" t="str">
            <v>LCAT</v>
          </cell>
          <cell r="M13024" t="str">
            <v>M</v>
          </cell>
          <cell r="AB13024" t="str">
            <v>serum</v>
          </cell>
          <cell r="AF13024">
            <v>0.5</v>
          </cell>
        </row>
        <row r="13025">
          <cell r="A13025" t="str">
            <v>IS_alqt_plus</v>
          </cell>
          <cell r="K13025" t="str">
            <v>LCAT</v>
          </cell>
          <cell r="M13025" t="str">
            <v>M</v>
          </cell>
          <cell r="AB13025" t="str">
            <v>serum</v>
          </cell>
          <cell r="AF13025">
            <v>0.5</v>
          </cell>
        </row>
        <row r="13026">
          <cell r="A13026" t="str">
            <v>IS_alqt_plus</v>
          </cell>
          <cell r="K13026" t="str">
            <v>LCAT</v>
          </cell>
          <cell r="M13026" t="str">
            <v>M</v>
          </cell>
          <cell r="AB13026" t="str">
            <v>serum</v>
          </cell>
          <cell r="AF13026">
            <v>0.5</v>
          </cell>
        </row>
        <row r="13027">
          <cell r="A13027" t="str">
            <v>IS_alqt_plus</v>
          </cell>
          <cell r="K13027" t="str">
            <v>LCAT</v>
          </cell>
          <cell r="M13027" t="str">
            <v>M</v>
          </cell>
          <cell r="AB13027" t="str">
            <v>serum</v>
          </cell>
          <cell r="AF13027">
            <v>0.5</v>
          </cell>
        </row>
        <row r="13028">
          <cell r="A13028" t="str">
            <v>IS_alqt_plus</v>
          </cell>
          <cell r="K13028" t="str">
            <v>LCAT</v>
          </cell>
          <cell r="M13028" t="str">
            <v>M</v>
          </cell>
          <cell r="AB13028" t="str">
            <v>serum</v>
          </cell>
          <cell r="AF13028">
            <v>0.5</v>
          </cell>
        </row>
        <row r="13029">
          <cell r="A13029" t="str">
            <v>IS_alqt_plus</v>
          </cell>
          <cell r="K13029" t="str">
            <v>LCAT</v>
          </cell>
          <cell r="M13029" t="str">
            <v>M</v>
          </cell>
          <cell r="AB13029" t="str">
            <v>serum</v>
          </cell>
          <cell r="AF13029">
            <v>0.5</v>
          </cell>
        </row>
        <row r="13030">
          <cell r="A13030" t="str">
            <v>IS_alqt_plus</v>
          </cell>
          <cell r="K13030" t="str">
            <v>LCAT</v>
          </cell>
          <cell r="M13030" t="str">
            <v>M</v>
          </cell>
          <cell r="AB13030" t="str">
            <v>serum</v>
          </cell>
          <cell r="AF13030">
            <v>0.5</v>
          </cell>
        </row>
        <row r="13031">
          <cell r="A13031" t="str">
            <v>IS_alqt_plus</v>
          </cell>
          <cell r="K13031" t="str">
            <v>LCAT</v>
          </cell>
          <cell r="M13031" t="str">
            <v>M</v>
          </cell>
          <cell r="AB13031" t="str">
            <v>serum</v>
          </cell>
          <cell r="AF13031">
            <v>0.5</v>
          </cell>
        </row>
        <row r="13032">
          <cell r="A13032" t="str">
            <v>IS_alqt_plus</v>
          </cell>
          <cell r="K13032" t="str">
            <v>LCAT</v>
          </cell>
          <cell r="M13032" t="str">
            <v>M</v>
          </cell>
          <cell r="AB13032" t="str">
            <v>serum</v>
          </cell>
          <cell r="AF13032">
            <v>0.5</v>
          </cell>
        </row>
        <row r="13033">
          <cell r="A13033" t="str">
            <v>IS_alqt_plus</v>
          </cell>
          <cell r="K13033" t="str">
            <v>LCAT</v>
          </cell>
          <cell r="M13033" t="str">
            <v>M</v>
          </cell>
          <cell r="AB13033" t="str">
            <v>serum</v>
          </cell>
          <cell r="AF13033">
            <v>0.5</v>
          </cell>
        </row>
        <row r="13034">
          <cell r="A13034" t="str">
            <v>IS_alqt_plus</v>
          </cell>
          <cell r="K13034" t="str">
            <v>LCAT</v>
          </cell>
          <cell r="M13034" t="str">
            <v>M</v>
          </cell>
          <cell r="AB13034" t="str">
            <v>serum</v>
          </cell>
          <cell r="AF13034">
            <v>0.5</v>
          </cell>
        </row>
        <row r="13035">
          <cell r="A13035" t="str">
            <v>IS_alqt_plus</v>
          </cell>
          <cell r="K13035" t="str">
            <v>LCAT</v>
          </cell>
          <cell r="M13035" t="str">
            <v>M</v>
          </cell>
          <cell r="AB13035" t="str">
            <v>serum</v>
          </cell>
          <cell r="AF13035">
            <v>0.5</v>
          </cell>
        </row>
        <row r="13036">
          <cell r="A13036" t="str">
            <v>IS_alqt_plus</v>
          </cell>
          <cell r="K13036" t="str">
            <v>LCAT</v>
          </cell>
          <cell r="M13036" t="str">
            <v>M</v>
          </cell>
          <cell r="AB13036" t="str">
            <v>serum</v>
          </cell>
          <cell r="AF13036">
            <v>0.5</v>
          </cell>
        </row>
        <row r="13037">
          <cell r="A13037" t="str">
            <v>IS_alqt_plus</v>
          </cell>
          <cell r="K13037" t="str">
            <v>LCAT</v>
          </cell>
          <cell r="M13037" t="str">
            <v>M</v>
          </cell>
          <cell r="AB13037" t="str">
            <v>serum</v>
          </cell>
          <cell r="AF13037">
            <v>0.5</v>
          </cell>
        </row>
        <row r="13038">
          <cell r="A13038" t="str">
            <v>IS_alqt_plus</v>
          </cell>
          <cell r="K13038" t="str">
            <v>LCAT</v>
          </cell>
          <cell r="M13038" t="str">
            <v>M</v>
          </cell>
          <cell r="AB13038" t="str">
            <v>serum</v>
          </cell>
          <cell r="AF13038">
            <v>0.5</v>
          </cell>
        </row>
        <row r="13039">
          <cell r="A13039" t="str">
            <v>IS_alqt_plus</v>
          </cell>
          <cell r="K13039" t="str">
            <v>LCAT</v>
          </cell>
          <cell r="M13039" t="str">
            <v>M</v>
          </cell>
          <cell r="AB13039" t="str">
            <v>serum</v>
          </cell>
          <cell r="AF13039">
            <v>0.5</v>
          </cell>
        </row>
        <row r="13040">
          <cell r="A13040" t="str">
            <v>IS_alqt_plus</v>
          </cell>
          <cell r="K13040" t="str">
            <v>LCAT</v>
          </cell>
          <cell r="M13040" t="str">
            <v>M</v>
          </cell>
          <cell r="AB13040" t="str">
            <v>serum</v>
          </cell>
          <cell r="AF13040">
            <v>0.5</v>
          </cell>
        </row>
        <row r="13041">
          <cell r="A13041" t="str">
            <v>IS_alqt_plus</v>
          </cell>
          <cell r="K13041" t="str">
            <v>LCAT</v>
          </cell>
          <cell r="M13041" t="str">
            <v>M</v>
          </cell>
          <cell r="AB13041" t="str">
            <v>serum</v>
          </cell>
          <cell r="AF13041">
            <v>0.5</v>
          </cell>
        </row>
        <row r="13042">
          <cell r="A13042" t="str">
            <v>IS_alqt_plus</v>
          </cell>
          <cell r="K13042" t="str">
            <v>LCAT</v>
          </cell>
          <cell r="M13042" t="str">
            <v>M</v>
          </cell>
          <cell r="AB13042" t="str">
            <v>serum</v>
          </cell>
          <cell r="AF13042">
            <v>0.5</v>
          </cell>
        </row>
        <row r="13043">
          <cell r="A13043" t="str">
            <v>IS_alqt_plus</v>
          </cell>
          <cell r="K13043" t="str">
            <v>LCAT</v>
          </cell>
          <cell r="M13043" t="str">
            <v>M</v>
          </cell>
          <cell r="AB13043" t="str">
            <v>serum</v>
          </cell>
          <cell r="AF13043">
            <v>0.5</v>
          </cell>
        </row>
        <row r="13044">
          <cell r="A13044" t="str">
            <v>IS_alqt_plus</v>
          </cell>
          <cell r="K13044" t="str">
            <v>LCAT</v>
          </cell>
          <cell r="M13044" t="str">
            <v>M</v>
          </cell>
          <cell r="AB13044" t="str">
            <v>serum</v>
          </cell>
          <cell r="AF13044">
            <v>0.5</v>
          </cell>
        </row>
        <row r="13045">
          <cell r="A13045" t="str">
            <v>IS_alqt_plus</v>
          </cell>
          <cell r="K13045" t="str">
            <v>LCAT</v>
          </cell>
          <cell r="M13045" t="str">
            <v>M</v>
          </cell>
          <cell r="AB13045" t="str">
            <v>serum</v>
          </cell>
          <cell r="AF13045">
            <v>0.5</v>
          </cell>
        </row>
        <row r="13046">
          <cell r="A13046" t="str">
            <v>IS_alqt_plus</v>
          </cell>
          <cell r="K13046" t="str">
            <v>LCAT</v>
          </cell>
          <cell r="M13046" t="str">
            <v>M</v>
          </cell>
          <cell r="AB13046" t="str">
            <v>serum</v>
          </cell>
          <cell r="AF13046">
            <v>0.5</v>
          </cell>
        </row>
        <row r="13047">
          <cell r="A13047" t="str">
            <v>IS_alqt_plus</v>
          </cell>
          <cell r="K13047" t="str">
            <v>LCAT</v>
          </cell>
          <cell r="M13047" t="str">
            <v>M</v>
          </cell>
          <cell r="AB13047" t="str">
            <v>serum</v>
          </cell>
          <cell r="AF13047">
            <v>0.5</v>
          </cell>
        </row>
        <row r="13048">
          <cell r="A13048" t="str">
            <v>IS_alqt_plus</v>
          </cell>
          <cell r="K13048" t="str">
            <v>LCAT</v>
          </cell>
          <cell r="M13048" t="str">
            <v>M</v>
          </cell>
          <cell r="AB13048" t="str">
            <v>serum</v>
          </cell>
          <cell r="AF13048">
            <v>0.5</v>
          </cell>
        </row>
        <row r="13049">
          <cell r="A13049" t="str">
            <v>IS_alqt_plus</v>
          </cell>
          <cell r="K13049" t="str">
            <v>LCAT</v>
          </cell>
          <cell r="M13049" t="str">
            <v>M</v>
          </cell>
          <cell r="AB13049" t="str">
            <v>serum</v>
          </cell>
          <cell r="AF13049">
            <v>0.5</v>
          </cell>
        </row>
        <row r="13050">
          <cell r="A13050" t="str">
            <v>IS_alqt_plus</v>
          </cell>
          <cell r="K13050" t="str">
            <v>LCAT</v>
          </cell>
          <cell r="M13050" t="str">
            <v>M</v>
          </cell>
          <cell r="AB13050" t="str">
            <v>serum</v>
          </cell>
          <cell r="AF13050">
            <v>0.5</v>
          </cell>
        </row>
        <row r="13051">
          <cell r="A13051" t="str">
            <v>IS_alqt_plus</v>
          </cell>
          <cell r="K13051" t="str">
            <v>LCAT</v>
          </cell>
          <cell r="M13051" t="str">
            <v>M</v>
          </cell>
          <cell r="AB13051" t="str">
            <v>serum</v>
          </cell>
          <cell r="AF13051">
            <v>0.5</v>
          </cell>
        </row>
        <row r="13052">
          <cell r="A13052" t="str">
            <v>IS_alqt_plus</v>
          </cell>
          <cell r="K13052" t="str">
            <v>LCAT</v>
          </cell>
          <cell r="M13052" t="str">
            <v>M</v>
          </cell>
          <cell r="AB13052" t="str">
            <v>serum</v>
          </cell>
          <cell r="AF13052">
            <v>0.5</v>
          </cell>
        </row>
        <row r="13053">
          <cell r="A13053" t="str">
            <v>IS_alqt_plus</v>
          </cell>
          <cell r="K13053" t="str">
            <v>LCAT</v>
          </cell>
          <cell r="M13053" t="str">
            <v>M</v>
          </cell>
          <cell r="AB13053" t="str">
            <v>serum</v>
          </cell>
          <cell r="AF13053">
            <v>0.5</v>
          </cell>
        </row>
        <row r="13054">
          <cell r="A13054" t="str">
            <v>IS_alqt_plus</v>
          </cell>
          <cell r="K13054" t="str">
            <v>LCAT</v>
          </cell>
          <cell r="M13054" t="str">
            <v>M</v>
          </cell>
          <cell r="AB13054" t="str">
            <v>serum</v>
          </cell>
          <cell r="AF13054">
            <v>0.5</v>
          </cell>
        </row>
        <row r="13055">
          <cell r="A13055" t="str">
            <v>IS_alqt_plus</v>
          </cell>
          <cell r="K13055" t="str">
            <v>LCAT</v>
          </cell>
          <cell r="M13055" t="str">
            <v>M</v>
          </cell>
          <cell r="AB13055" t="str">
            <v>serum</v>
          </cell>
          <cell r="AF13055">
            <v>0.5</v>
          </cell>
        </row>
        <row r="13056">
          <cell r="A13056" t="str">
            <v>IS_alqt_plus</v>
          </cell>
          <cell r="K13056" t="str">
            <v>LCAT</v>
          </cell>
          <cell r="M13056" t="str">
            <v>M</v>
          </cell>
          <cell r="AB13056" t="str">
            <v>serum</v>
          </cell>
          <cell r="AF13056">
            <v>0.5</v>
          </cell>
        </row>
        <row r="13057">
          <cell r="A13057" t="str">
            <v>IS_alqt_plus</v>
          </cell>
          <cell r="K13057" t="str">
            <v>LCAT</v>
          </cell>
          <cell r="M13057" t="str">
            <v>M</v>
          </cell>
          <cell r="AB13057" t="str">
            <v>serum</v>
          </cell>
          <cell r="AF13057">
            <v>0.5</v>
          </cell>
        </row>
        <row r="13058">
          <cell r="A13058" t="str">
            <v>IS_alqt_plus</v>
          </cell>
          <cell r="K13058" t="str">
            <v>LCAT</v>
          </cell>
          <cell r="M13058" t="str">
            <v>M</v>
          </cell>
          <cell r="AB13058" t="str">
            <v>serum</v>
          </cell>
          <cell r="AF13058">
            <v>0.5</v>
          </cell>
        </row>
        <row r="13059">
          <cell r="A13059" t="str">
            <v>IS_alqt_plus</v>
          </cell>
          <cell r="K13059" t="str">
            <v>LCAT</v>
          </cell>
          <cell r="M13059" t="str">
            <v>M</v>
          </cell>
          <cell r="AB13059" t="str">
            <v>serum</v>
          </cell>
          <cell r="AF13059">
            <v>0.5</v>
          </cell>
        </row>
        <row r="13060">
          <cell r="A13060" t="str">
            <v>IS_alqt_plus</v>
          </cell>
          <cell r="K13060" t="str">
            <v>LCAT</v>
          </cell>
          <cell r="M13060" t="str">
            <v>M</v>
          </cell>
          <cell r="AB13060" t="str">
            <v>serum</v>
          </cell>
          <cell r="AF13060">
            <v>0.5</v>
          </cell>
        </row>
        <row r="13061">
          <cell r="A13061" t="str">
            <v>IS_alqt_plus</v>
          </cell>
          <cell r="K13061" t="str">
            <v>LCAT</v>
          </cell>
          <cell r="M13061" t="str">
            <v>M</v>
          </cell>
          <cell r="AB13061" t="str">
            <v>serum</v>
          </cell>
          <cell r="AF13061">
            <v>0.5</v>
          </cell>
        </row>
        <row r="13062">
          <cell r="A13062" t="str">
            <v>IS_alqt_plus</v>
          </cell>
          <cell r="K13062" t="str">
            <v>LCAT</v>
          </cell>
          <cell r="M13062" t="str">
            <v>M</v>
          </cell>
          <cell r="AB13062" t="str">
            <v>serum</v>
          </cell>
          <cell r="AF13062">
            <v>0.5</v>
          </cell>
        </row>
        <row r="13063">
          <cell r="A13063" t="str">
            <v>IS_alqt_plus</v>
          </cell>
          <cell r="K13063" t="str">
            <v>LCAT</v>
          </cell>
          <cell r="M13063" t="str">
            <v>M</v>
          </cell>
          <cell r="AB13063" t="str">
            <v>serum</v>
          </cell>
          <cell r="AF13063">
            <v>0.5</v>
          </cell>
        </row>
        <row r="13064">
          <cell r="A13064" t="str">
            <v>IS_alqt_plus</v>
          </cell>
          <cell r="K13064" t="str">
            <v>LCAT</v>
          </cell>
          <cell r="M13064" t="str">
            <v>M</v>
          </cell>
          <cell r="AB13064" t="str">
            <v>serum</v>
          </cell>
          <cell r="AF13064">
            <v>0.5</v>
          </cell>
        </row>
        <row r="13065">
          <cell r="A13065" t="str">
            <v>IS_alqt_plus</v>
          </cell>
          <cell r="K13065" t="str">
            <v>LCAT</v>
          </cell>
          <cell r="M13065" t="str">
            <v>M</v>
          </cell>
          <cell r="AB13065" t="str">
            <v>serum</v>
          </cell>
          <cell r="AF13065">
            <v>0.5</v>
          </cell>
        </row>
        <row r="13066">
          <cell r="A13066" t="str">
            <v>IS_alqt_plus</v>
          </cell>
          <cell r="K13066" t="str">
            <v>LCAT</v>
          </cell>
          <cell r="M13066" t="str">
            <v>M</v>
          </cell>
          <cell r="AB13066" t="str">
            <v>serum</v>
          </cell>
          <cell r="AF13066">
            <v>0.5</v>
          </cell>
        </row>
        <row r="13067">
          <cell r="A13067" t="str">
            <v>IS_alqt_plus</v>
          </cell>
          <cell r="K13067" t="str">
            <v>LCAT</v>
          </cell>
          <cell r="M13067" t="str">
            <v>M</v>
          </cell>
          <cell r="AB13067" t="str">
            <v>serum</v>
          </cell>
          <cell r="AF13067">
            <v>0.5</v>
          </cell>
        </row>
        <row r="13068">
          <cell r="A13068" t="str">
            <v>IS_alqt_plus</v>
          </cell>
          <cell r="K13068" t="str">
            <v>LCAT</v>
          </cell>
          <cell r="M13068" t="str">
            <v>M</v>
          </cell>
          <cell r="AB13068" t="str">
            <v>serum</v>
          </cell>
          <cell r="AF13068">
            <v>0.5</v>
          </cell>
        </row>
        <row r="13069">
          <cell r="A13069" t="str">
            <v>IS_alqt_plus</v>
          </cell>
          <cell r="K13069" t="str">
            <v>LCAT</v>
          </cell>
          <cell r="M13069" t="str">
            <v>M</v>
          </cell>
          <cell r="AB13069" t="str">
            <v>serum</v>
          </cell>
          <cell r="AF13069">
            <v>0.5</v>
          </cell>
        </row>
        <row r="13070">
          <cell r="A13070" t="str">
            <v>gone</v>
          </cell>
          <cell r="K13070" t="str">
            <v>LCAT</v>
          </cell>
          <cell r="M13070" t="str">
            <v>M</v>
          </cell>
          <cell r="AB13070" t="str">
            <v>WB</v>
          </cell>
          <cell r="AF13070">
            <v>0</v>
          </cell>
        </row>
        <row r="13071">
          <cell r="A13071" t="str">
            <v>IS_alqt_plus</v>
          </cell>
          <cell r="K13071" t="str">
            <v>LCAT</v>
          </cell>
          <cell r="M13071" t="str">
            <v>M</v>
          </cell>
          <cell r="AB13071" t="str">
            <v>WB</v>
          </cell>
          <cell r="AF13071">
            <v>0.5</v>
          </cell>
        </row>
        <row r="13072">
          <cell r="A13072" t="str">
            <v>IS_alqt_plus</v>
          </cell>
          <cell r="K13072" t="str">
            <v>LCAT</v>
          </cell>
          <cell r="M13072" t="str">
            <v>M</v>
          </cell>
          <cell r="AB13072" t="str">
            <v>WB</v>
          </cell>
          <cell r="AF13072">
            <v>0.5</v>
          </cell>
        </row>
        <row r="13073">
          <cell r="A13073" t="str">
            <v>IS_alqt_plus</v>
          </cell>
          <cell r="K13073" t="str">
            <v>LCAT</v>
          </cell>
          <cell r="M13073" t="str">
            <v>M</v>
          </cell>
          <cell r="AB13073" t="str">
            <v>WB</v>
          </cell>
          <cell r="AF13073">
            <v>0.5</v>
          </cell>
        </row>
        <row r="13074">
          <cell r="A13074" t="str">
            <v>IS_alqt_plus</v>
          </cell>
          <cell r="K13074" t="str">
            <v>LCAT</v>
          </cell>
          <cell r="M13074" t="str">
            <v>M</v>
          </cell>
          <cell r="AB13074" t="str">
            <v>WB</v>
          </cell>
          <cell r="AF13074">
            <v>0.5</v>
          </cell>
        </row>
        <row r="13075">
          <cell r="A13075" t="str">
            <v>IS_alqt_plus</v>
          </cell>
          <cell r="K13075" t="str">
            <v>LCAT</v>
          </cell>
          <cell r="M13075" t="str">
            <v>M</v>
          </cell>
          <cell r="AB13075" t="str">
            <v>WB</v>
          </cell>
          <cell r="AF13075">
            <v>0.5</v>
          </cell>
        </row>
        <row r="13076">
          <cell r="A13076" t="str">
            <v>IS_alqt_plus</v>
          </cell>
          <cell r="K13076" t="str">
            <v>LCAT</v>
          </cell>
          <cell r="M13076" t="str">
            <v>M</v>
          </cell>
          <cell r="AB13076" t="str">
            <v>WB</v>
          </cell>
          <cell r="AF13076">
            <v>0.5</v>
          </cell>
        </row>
        <row r="13077">
          <cell r="A13077" t="str">
            <v>IS_alqt_plus</v>
          </cell>
          <cell r="K13077" t="str">
            <v>LCAT</v>
          </cell>
          <cell r="M13077" t="str">
            <v>M</v>
          </cell>
          <cell r="AB13077" t="str">
            <v>WB</v>
          </cell>
          <cell r="AF13077">
            <v>0.5</v>
          </cell>
        </row>
        <row r="13078">
          <cell r="A13078" t="str">
            <v>IS_alqt_plus</v>
          </cell>
          <cell r="K13078" t="str">
            <v>LCAT</v>
          </cell>
          <cell r="M13078" t="str">
            <v>M</v>
          </cell>
          <cell r="AB13078" t="str">
            <v>WB</v>
          </cell>
          <cell r="AF13078">
            <v>0.5</v>
          </cell>
        </row>
        <row r="13079">
          <cell r="A13079" t="str">
            <v>IS_alqt_plus</v>
          </cell>
          <cell r="K13079" t="str">
            <v>LCAT</v>
          </cell>
          <cell r="M13079" t="str">
            <v>M</v>
          </cell>
          <cell r="AB13079" t="str">
            <v>WB</v>
          </cell>
          <cell r="AF13079">
            <v>0.5</v>
          </cell>
        </row>
        <row r="13080">
          <cell r="A13080" t="str">
            <v>IS_alqt_plus</v>
          </cell>
          <cell r="K13080" t="str">
            <v>LCAT</v>
          </cell>
          <cell r="M13080" t="str">
            <v>M</v>
          </cell>
          <cell r="AB13080" t="str">
            <v>WB</v>
          </cell>
          <cell r="AF13080">
            <v>0.5</v>
          </cell>
        </row>
        <row r="13081">
          <cell r="A13081" t="str">
            <v>IS_alqt_plus</v>
          </cell>
          <cell r="K13081" t="str">
            <v>LCAT</v>
          </cell>
          <cell r="M13081" t="str">
            <v>M</v>
          </cell>
          <cell r="AB13081" t="str">
            <v>WB</v>
          </cell>
          <cell r="AF13081">
            <v>0.5</v>
          </cell>
        </row>
        <row r="13082">
          <cell r="A13082" t="str">
            <v>IS_alqt_plus</v>
          </cell>
          <cell r="K13082" t="str">
            <v>LCAT</v>
          </cell>
          <cell r="M13082" t="str">
            <v>M</v>
          </cell>
          <cell r="AB13082" t="str">
            <v>WB</v>
          </cell>
          <cell r="AF13082">
            <v>0.5</v>
          </cell>
        </row>
        <row r="13083">
          <cell r="A13083" t="str">
            <v>IS_alqt_plus</v>
          </cell>
          <cell r="K13083" t="str">
            <v>LCAT</v>
          </cell>
          <cell r="M13083" t="str">
            <v>M</v>
          </cell>
          <cell r="AB13083" t="str">
            <v>WB</v>
          </cell>
          <cell r="AF13083">
            <v>0.5</v>
          </cell>
        </row>
        <row r="13084">
          <cell r="A13084" t="str">
            <v>IS_alqt_plus</v>
          </cell>
          <cell r="K13084" t="str">
            <v>LCAT</v>
          </cell>
          <cell r="M13084" t="str">
            <v>M</v>
          </cell>
          <cell r="AB13084" t="str">
            <v>WB</v>
          </cell>
          <cell r="AF13084">
            <v>0.5</v>
          </cell>
        </row>
        <row r="13085">
          <cell r="A13085" t="str">
            <v>IS_alqt_plus</v>
          </cell>
          <cell r="K13085" t="str">
            <v>LCAT</v>
          </cell>
          <cell r="M13085" t="str">
            <v>M</v>
          </cell>
          <cell r="AB13085" t="str">
            <v>WB</v>
          </cell>
          <cell r="AF13085">
            <v>0.5</v>
          </cell>
        </row>
        <row r="13086">
          <cell r="A13086" t="str">
            <v>IS_alqt_plus</v>
          </cell>
          <cell r="K13086" t="str">
            <v>LCAT</v>
          </cell>
          <cell r="M13086" t="str">
            <v>M</v>
          </cell>
          <cell r="AB13086" t="str">
            <v>WB</v>
          </cell>
          <cell r="AF13086">
            <v>0.5</v>
          </cell>
        </row>
        <row r="13087">
          <cell r="A13087" t="str">
            <v>IS_alqt_plus</v>
          </cell>
          <cell r="K13087" t="str">
            <v>LCAT</v>
          </cell>
          <cell r="M13087" t="str">
            <v>M</v>
          </cell>
          <cell r="AB13087" t="str">
            <v>WB</v>
          </cell>
          <cell r="AF13087">
            <v>0.5</v>
          </cell>
        </row>
        <row r="13088">
          <cell r="A13088" t="str">
            <v>IS_alqt_plus</v>
          </cell>
          <cell r="K13088" t="str">
            <v>LCAT</v>
          </cell>
          <cell r="M13088" t="str">
            <v>M</v>
          </cell>
          <cell r="AB13088" t="str">
            <v>WB</v>
          </cell>
          <cell r="AF13088">
            <v>0.5</v>
          </cell>
        </row>
        <row r="13089">
          <cell r="A13089" t="str">
            <v>IS_alqt_plus</v>
          </cell>
          <cell r="K13089" t="str">
            <v>LCAT</v>
          </cell>
          <cell r="M13089" t="str">
            <v>M</v>
          </cell>
          <cell r="AB13089" t="str">
            <v>WB</v>
          </cell>
          <cell r="AF13089">
            <v>0.5</v>
          </cell>
        </row>
        <row r="13090">
          <cell r="A13090" t="str">
            <v>IS_alqt_plus</v>
          </cell>
          <cell r="K13090" t="str">
            <v>LCAT</v>
          </cell>
          <cell r="M13090" t="str">
            <v>M</v>
          </cell>
          <cell r="AB13090" t="str">
            <v>WB</v>
          </cell>
          <cell r="AF13090">
            <v>0.5</v>
          </cell>
        </row>
        <row r="13091">
          <cell r="A13091" t="str">
            <v>IS_alqt_plus</v>
          </cell>
          <cell r="K13091" t="str">
            <v>LCAT</v>
          </cell>
          <cell r="M13091" t="str">
            <v>M</v>
          </cell>
          <cell r="AB13091" t="str">
            <v>WB</v>
          </cell>
          <cell r="AF13091">
            <v>0.5</v>
          </cell>
        </row>
        <row r="13092">
          <cell r="A13092" t="str">
            <v>IS_alqt_plus</v>
          </cell>
          <cell r="K13092" t="str">
            <v>LCAT</v>
          </cell>
          <cell r="M13092" t="str">
            <v>M</v>
          </cell>
          <cell r="AB13092" t="str">
            <v>WB</v>
          </cell>
          <cell r="AF13092">
            <v>0.5</v>
          </cell>
        </row>
        <row r="13093">
          <cell r="A13093" t="str">
            <v>IS_alqt_plus</v>
          </cell>
          <cell r="K13093" t="str">
            <v>LCAT</v>
          </cell>
          <cell r="M13093" t="str">
            <v>M</v>
          </cell>
          <cell r="AB13093" t="str">
            <v>WB</v>
          </cell>
          <cell r="AF13093">
            <v>0.5</v>
          </cell>
        </row>
        <row r="13094">
          <cell r="A13094" t="str">
            <v>IS_alqt_plus</v>
          </cell>
          <cell r="K13094" t="str">
            <v>LCAT</v>
          </cell>
          <cell r="M13094" t="str">
            <v>M</v>
          </cell>
          <cell r="AB13094" t="str">
            <v>WB</v>
          </cell>
          <cell r="AF13094">
            <v>0.5</v>
          </cell>
        </row>
        <row r="13095">
          <cell r="A13095" t="str">
            <v>IS_alqt_plus</v>
          </cell>
          <cell r="K13095" t="str">
            <v>LCAT</v>
          </cell>
          <cell r="M13095" t="str">
            <v>M</v>
          </cell>
          <cell r="AB13095" t="str">
            <v>WB</v>
          </cell>
          <cell r="AF13095">
            <v>0.5</v>
          </cell>
        </row>
        <row r="13096">
          <cell r="A13096" t="str">
            <v>IS_alqt_plus</v>
          </cell>
          <cell r="K13096" t="str">
            <v>LCAT</v>
          </cell>
          <cell r="M13096" t="str">
            <v>M</v>
          </cell>
          <cell r="AB13096" t="str">
            <v>WB</v>
          </cell>
          <cell r="AF13096">
            <v>0.5</v>
          </cell>
        </row>
        <row r="13097">
          <cell r="A13097" t="str">
            <v>IS_alqt_plus</v>
          </cell>
          <cell r="K13097" t="str">
            <v>LCAT</v>
          </cell>
          <cell r="M13097" t="str">
            <v>M</v>
          </cell>
          <cell r="AB13097" t="str">
            <v>WB</v>
          </cell>
          <cell r="AF13097">
            <v>0.5</v>
          </cell>
        </row>
        <row r="13098">
          <cell r="A13098" t="str">
            <v>IS_alqt_plus</v>
          </cell>
          <cell r="K13098" t="str">
            <v>LCAT</v>
          </cell>
          <cell r="M13098" t="str">
            <v>M</v>
          </cell>
          <cell r="AB13098" t="str">
            <v>WB</v>
          </cell>
          <cell r="AF13098">
            <v>0.5</v>
          </cell>
        </row>
        <row r="13099">
          <cell r="A13099" t="str">
            <v>IS_alqt_plus</v>
          </cell>
          <cell r="K13099" t="str">
            <v>LCAT</v>
          </cell>
          <cell r="M13099" t="str">
            <v>M</v>
          </cell>
          <cell r="AB13099" t="str">
            <v>WB</v>
          </cell>
          <cell r="AF13099">
            <v>0.5</v>
          </cell>
        </row>
        <row r="13100">
          <cell r="A13100" t="str">
            <v>IS_alqt_plus</v>
          </cell>
          <cell r="K13100" t="str">
            <v>LCAT</v>
          </cell>
          <cell r="M13100" t="str">
            <v>M</v>
          </cell>
          <cell r="AB13100" t="str">
            <v>WB</v>
          </cell>
          <cell r="AF13100">
            <v>0.5</v>
          </cell>
        </row>
        <row r="13101">
          <cell r="A13101" t="str">
            <v>IS_alqt_plus</v>
          </cell>
          <cell r="K13101" t="str">
            <v>LCAT</v>
          </cell>
          <cell r="M13101" t="str">
            <v>M</v>
          </cell>
          <cell r="AB13101" t="str">
            <v>WB</v>
          </cell>
          <cell r="AF13101">
            <v>0.5</v>
          </cell>
        </row>
        <row r="13102">
          <cell r="A13102" t="str">
            <v>IS_alqt_plus</v>
          </cell>
          <cell r="K13102" t="str">
            <v>LCAT</v>
          </cell>
          <cell r="M13102" t="str">
            <v>M</v>
          </cell>
          <cell r="AB13102" t="str">
            <v>WB</v>
          </cell>
          <cell r="AF13102">
            <v>0.5</v>
          </cell>
        </row>
        <row r="13103">
          <cell r="A13103" t="str">
            <v>IS_alqt_plus</v>
          </cell>
          <cell r="K13103" t="str">
            <v>LCAT</v>
          </cell>
          <cell r="M13103" t="str">
            <v>M</v>
          </cell>
          <cell r="AB13103" t="str">
            <v>WB</v>
          </cell>
          <cell r="AF13103">
            <v>0.5</v>
          </cell>
        </row>
        <row r="13104">
          <cell r="A13104" t="str">
            <v>IS_alqt_plus</v>
          </cell>
          <cell r="K13104" t="str">
            <v>LCAT</v>
          </cell>
          <cell r="M13104" t="str">
            <v>M</v>
          </cell>
          <cell r="AB13104" t="str">
            <v>WB</v>
          </cell>
          <cell r="AF13104">
            <v>0.5</v>
          </cell>
        </row>
        <row r="13105">
          <cell r="A13105" t="str">
            <v>IS_alqt_plus</v>
          </cell>
          <cell r="K13105" t="str">
            <v>LCAT</v>
          </cell>
          <cell r="M13105" t="str">
            <v>M</v>
          </cell>
          <cell r="AB13105" t="str">
            <v>WB</v>
          </cell>
          <cell r="AF13105">
            <v>0.5</v>
          </cell>
        </row>
        <row r="13106">
          <cell r="A13106" t="str">
            <v>IS_alqt_plus</v>
          </cell>
          <cell r="K13106" t="str">
            <v>LCAT</v>
          </cell>
          <cell r="M13106" t="str">
            <v>M</v>
          </cell>
          <cell r="AB13106" t="str">
            <v>WB</v>
          </cell>
          <cell r="AF13106">
            <v>0.5</v>
          </cell>
        </row>
        <row r="13107">
          <cell r="A13107" t="str">
            <v>IS_alqt_plus</v>
          </cell>
          <cell r="K13107" t="str">
            <v>EMON</v>
          </cell>
          <cell r="M13107" t="str">
            <v>M</v>
          </cell>
          <cell r="AB13107" t="str">
            <v>WB</v>
          </cell>
          <cell r="AF13107">
            <v>0.5</v>
          </cell>
        </row>
        <row r="13108">
          <cell r="A13108" t="str">
            <v>IS_alqt_plus</v>
          </cell>
          <cell r="K13108" t="str">
            <v>EMON</v>
          </cell>
          <cell r="M13108" t="str">
            <v>M</v>
          </cell>
          <cell r="AB13108" t="str">
            <v>WB</v>
          </cell>
          <cell r="AF13108">
            <v>0.5</v>
          </cell>
        </row>
        <row r="13109">
          <cell r="A13109" t="str">
            <v>IS_alqt_plus</v>
          </cell>
          <cell r="K13109" t="str">
            <v>EMON</v>
          </cell>
          <cell r="M13109" t="str">
            <v>M</v>
          </cell>
          <cell r="AB13109" t="str">
            <v>serum</v>
          </cell>
          <cell r="AF13109">
            <v>0.5</v>
          </cell>
        </row>
        <row r="13110">
          <cell r="A13110" t="str">
            <v>IS_alqt_plus</v>
          </cell>
          <cell r="K13110" t="str">
            <v>EMON</v>
          </cell>
          <cell r="M13110" t="str">
            <v>M</v>
          </cell>
          <cell r="AB13110" t="str">
            <v>serum</v>
          </cell>
          <cell r="AF13110">
            <v>0.5</v>
          </cell>
        </row>
        <row r="13111">
          <cell r="A13111" t="str">
            <v>IS_alqt_plus</v>
          </cell>
          <cell r="K13111" t="str">
            <v>EMON</v>
          </cell>
          <cell r="M13111" t="str">
            <v>M</v>
          </cell>
          <cell r="AB13111" t="str">
            <v>serum</v>
          </cell>
          <cell r="AF13111">
            <v>0.25</v>
          </cell>
        </row>
        <row r="13112">
          <cell r="A13112" t="str">
            <v>IS_alqt_plus</v>
          </cell>
          <cell r="K13112" t="str">
            <v>DMAD</v>
          </cell>
          <cell r="M13112" t="str">
            <v>F</v>
          </cell>
          <cell r="AB13112" t="str">
            <v>WB</v>
          </cell>
          <cell r="AF13112">
            <v>0.5</v>
          </cell>
        </row>
        <row r="13113">
          <cell r="A13113" t="str">
            <v>IS_alqt_plus</v>
          </cell>
          <cell r="K13113" t="str">
            <v>DMAD</v>
          </cell>
          <cell r="M13113" t="str">
            <v>F</v>
          </cell>
          <cell r="AB13113" t="str">
            <v>WB</v>
          </cell>
          <cell r="AF13113">
            <v>0.5</v>
          </cell>
        </row>
        <row r="13114">
          <cell r="A13114" t="str">
            <v>IS_alqt_plus</v>
          </cell>
          <cell r="K13114" t="str">
            <v>DMAD</v>
          </cell>
          <cell r="M13114" t="str">
            <v>F</v>
          </cell>
          <cell r="AB13114" t="str">
            <v>serum</v>
          </cell>
          <cell r="AF13114">
            <v>0.5</v>
          </cell>
        </row>
        <row r="13115">
          <cell r="A13115" t="str">
            <v>IS_alqt_plus</v>
          </cell>
          <cell r="K13115" t="str">
            <v>DMAD</v>
          </cell>
          <cell r="M13115" t="str">
            <v>F</v>
          </cell>
          <cell r="AB13115" t="str">
            <v>serum</v>
          </cell>
          <cell r="AF13115">
            <v>0.5</v>
          </cell>
        </row>
        <row r="13116">
          <cell r="A13116" t="str">
            <v>IS_alqt_plus</v>
          </cell>
          <cell r="K13116" t="str">
            <v>DMAD</v>
          </cell>
          <cell r="M13116" t="str">
            <v>F</v>
          </cell>
          <cell r="AB13116" t="str">
            <v>serum</v>
          </cell>
          <cell r="AF13116">
            <v>0.5</v>
          </cell>
        </row>
        <row r="13117">
          <cell r="A13117" t="str">
            <v>IS_alqt_plus</v>
          </cell>
          <cell r="K13117" t="str">
            <v>LCAT</v>
          </cell>
          <cell r="M13117" t="str">
            <v>F</v>
          </cell>
          <cell r="AB13117" t="str">
            <v>WB</v>
          </cell>
          <cell r="AF13117">
            <v>0.5</v>
          </cell>
        </row>
        <row r="13118">
          <cell r="A13118" t="str">
            <v>IS_alqt_plus</v>
          </cell>
          <cell r="K13118" t="str">
            <v>LCAT</v>
          </cell>
          <cell r="M13118" t="str">
            <v>F</v>
          </cell>
          <cell r="AB13118" t="str">
            <v>WB</v>
          </cell>
          <cell r="AF13118">
            <v>0.5</v>
          </cell>
        </row>
        <row r="13119">
          <cell r="A13119" t="str">
            <v>IS_alqt_plus</v>
          </cell>
          <cell r="K13119" t="str">
            <v>LCAT</v>
          </cell>
          <cell r="M13119" t="str">
            <v>F</v>
          </cell>
          <cell r="AB13119" t="str">
            <v>WB</v>
          </cell>
          <cell r="AF13119">
            <v>0.2</v>
          </cell>
        </row>
        <row r="13120">
          <cell r="A13120" t="str">
            <v>IS_alqt_plus</v>
          </cell>
          <cell r="K13120" t="str">
            <v>LCAT</v>
          </cell>
          <cell r="M13120" t="str">
            <v>F</v>
          </cell>
          <cell r="AB13120" t="str">
            <v>serum</v>
          </cell>
          <cell r="AF13120">
            <v>0.5</v>
          </cell>
        </row>
        <row r="13121">
          <cell r="A13121" t="str">
            <v>IS_alqt_plus</v>
          </cell>
          <cell r="K13121" t="str">
            <v>LCAT</v>
          </cell>
          <cell r="M13121" t="str">
            <v>F</v>
          </cell>
          <cell r="AB13121" t="str">
            <v>serum</v>
          </cell>
          <cell r="AF13121">
            <v>0.5</v>
          </cell>
        </row>
        <row r="13122">
          <cell r="A13122" t="str">
            <v>IS_alqt_plus</v>
          </cell>
          <cell r="K13122" t="str">
            <v>LCAT</v>
          </cell>
          <cell r="M13122" t="str">
            <v>F</v>
          </cell>
          <cell r="AB13122" t="str">
            <v>serum</v>
          </cell>
          <cell r="AF13122">
            <v>0.5</v>
          </cell>
        </row>
        <row r="13123">
          <cell r="A13123" t="str">
            <v>IS_alqt_plus</v>
          </cell>
          <cell r="K13123" t="str">
            <v>PCOQ</v>
          </cell>
          <cell r="M13123" t="str">
            <v>M</v>
          </cell>
          <cell r="AB13123" t="str">
            <v>WB</v>
          </cell>
          <cell r="AF13123">
            <v>0.5</v>
          </cell>
        </row>
        <row r="13124">
          <cell r="A13124" t="str">
            <v>IS_alqt_plus</v>
          </cell>
          <cell r="K13124" t="str">
            <v>PCOQ</v>
          </cell>
          <cell r="M13124" t="str">
            <v>M</v>
          </cell>
          <cell r="AB13124" t="str">
            <v>WB</v>
          </cell>
          <cell r="AF13124">
            <v>0.4</v>
          </cell>
        </row>
        <row r="13125">
          <cell r="A13125" t="str">
            <v>IS_alqt_plus</v>
          </cell>
          <cell r="K13125" t="str">
            <v>PCOQ</v>
          </cell>
          <cell r="M13125" t="str">
            <v>M</v>
          </cell>
          <cell r="AB13125" t="str">
            <v>WB</v>
          </cell>
          <cell r="AF13125">
            <v>0.75</v>
          </cell>
        </row>
        <row r="13126">
          <cell r="A13126" t="str">
            <v>IS_alqt_plus</v>
          </cell>
          <cell r="K13126" t="str">
            <v>PCOQ</v>
          </cell>
          <cell r="M13126" t="str">
            <v>F</v>
          </cell>
          <cell r="AB13126" t="str">
            <v>WB</v>
          </cell>
          <cell r="AF13126">
            <v>0.5</v>
          </cell>
        </row>
        <row r="13127">
          <cell r="A13127" t="str">
            <v>IS_alqt_plus</v>
          </cell>
          <cell r="K13127" t="str">
            <v>PCOQ</v>
          </cell>
          <cell r="M13127" t="str">
            <v>F</v>
          </cell>
          <cell r="AB13127" t="str">
            <v>WB</v>
          </cell>
          <cell r="AF13127">
            <v>0.5</v>
          </cell>
        </row>
        <row r="13128">
          <cell r="A13128" t="str">
            <v>IS_alqt_plus</v>
          </cell>
          <cell r="K13128" t="str">
            <v>PCOQ</v>
          </cell>
          <cell r="M13128" t="str">
            <v>F</v>
          </cell>
          <cell r="AB13128" t="str">
            <v>serum</v>
          </cell>
          <cell r="AF13128">
            <v>0.5</v>
          </cell>
        </row>
        <row r="13129">
          <cell r="A13129" t="str">
            <v>IS_alqt_plus</v>
          </cell>
          <cell r="K13129" t="str">
            <v>PCOQ</v>
          </cell>
          <cell r="M13129" t="str">
            <v>F</v>
          </cell>
          <cell r="AB13129" t="str">
            <v>serum</v>
          </cell>
          <cell r="AF13129">
            <v>0.5</v>
          </cell>
        </row>
        <row r="13130">
          <cell r="A13130" t="str">
            <v>IS_alqt_plus</v>
          </cell>
          <cell r="K13130" t="str">
            <v>PCOQ</v>
          </cell>
          <cell r="M13130" t="str">
            <v>F</v>
          </cell>
          <cell r="AB13130" t="str">
            <v>WB</v>
          </cell>
          <cell r="AF13130">
            <v>0.5</v>
          </cell>
        </row>
        <row r="13131">
          <cell r="A13131" t="str">
            <v>IS_alqt_plus</v>
          </cell>
          <cell r="K13131" t="str">
            <v>PCOQ</v>
          </cell>
          <cell r="M13131" t="str">
            <v>F</v>
          </cell>
          <cell r="AB13131" t="str">
            <v>WB</v>
          </cell>
          <cell r="AF13131">
            <v>0.5</v>
          </cell>
        </row>
        <row r="13132">
          <cell r="A13132" t="str">
            <v>IS_alqt_plus</v>
          </cell>
          <cell r="K13132" t="str">
            <v>PCOQ</v>
          </cell>
          <cell r="M13132" t="str">
            <v>F</v>
          </cell>
          <cell r="AB13132" t="str">
            <v>serum</v>
          </cell>
          <cell r="AF13132">
            <v>0.5</v>
          </cell>
        </row>
        <row r="13133">
          <cell r="A13133" t="str">
            <v>IS_alqt_plus</v>
          </cell>
          <cell r="K13133" t="str">
            <v>PCOQ</v>
          </cell>
          <cell r="M13133" t="str">
            <v>M</v>
          </cell>
          <cell r="AB13133" t="str">
            <v>WB</v>
          </cell>
          <cell r="AF13133">
            <v>0.5</v>
          </cell>
        </row>
        <row r="13134">
          <cell r="A13134" t="str">
            <v>IS_alqt_plus</v>
          </cell>
          <cell r="K13134" t="str">
            <v>PCOQ</v>
          </cell>
          <cell r="M13134" t="str">
            <v>M</v>
          </cell>
          <cell r="AB13134" t="str">
            <v>WB</v>
          </cell>
          <cell r="AF13134">
            <v>0.5</v>
          </cell>
        </row>
        <row r="13135">
          <cell r="A13135" t="str">
            <v>IS_alqt_plus</v>
          </cell>
          <cell r="K13135" t="str">
            <v>PCOQ</v>
          </cell>
          <cell r="M13135" t="str">
            <v>F</v>
          </cell>
          <cell r="AB13135" t="str">
            <v>WB</v>
          </cell>
          <cell r="AF13135">
            <v>0.5</v>
          </cell>
        </row>
        <row r="13136">
          <cell r="A13136" t="str">
            <v>IS_alqt_plus</v>
          </cell>
          <cell r="K13136" t="str">
            <v>PCOQ</v>
          </cell>
          <cell r="M13136" t="str">
            <v>F</v>
          </cell>
          <cell r="AB13136" t="str">
            <v>WB</v>
          </cell>
          <cell r="AF13136">
            <v>0.5</v>
          </cell>
        </row>
        <row r="13137">
          <cell r="A13137" t="str">
            <v>IS_alqt_plus</v>
          </cell>
          <cell r="K13137" t="str">
            <v>PCOQ</v>
          </cell>
          <cell r="M13137" t="str">
            <v>F</v>
          </cell>
          <cell r="AB13137" t="str">
            <v>serum</v>
          </cell>
          <cell r="AF13137">
            <v>0.5</v>
          </cell>
        </row>
        <row r="13138">
          <cell r="A13138" t="str">
            <v>IS_alqt_plus</v>
          </cell>
          <cell r="K13138" t="str">
            <v>PCOQ</v>
          </cell>
          <cell r="M13138" t="str">
            <v>F</v>
          </cell>
          <cell r="AB13138" t="str">
            <v>serum</v>
          </cell>
          <cell r="AF13138">
            <v>0.5</v>
          </cell>
        </row>
        <row r="13139">
          <cell r="A13139" t="str">
            <v>IS_alqt_plus</v>
          </cell>
          <cell r="K13139" t="str">
            <v>PCOQ</v>
          </cell>
          <cell r="M13139" t="str">
            <v>F</v>
          </cell>
          <cell r="AB13139" t="str">
            <v>serum</v>
          </cell>
          <cell r="AF13139">
            <v>0.5</v>
          </cell>
        </row>
        <row r="13140">
          <cell r="A13140" t="str">
            <v>IS_alqt_plus</v>
          </cell>
          <cell r="K13140" t="str">
            <v>LCAT</v>
          </cell>
          <cell r="M13140" t="str">
            <v>M</v>
          </cell>
          <cell r="AB13140" t="str">
            <v>WB</v>
          </cell>
          <cell r="AF13140">
            <v>0.5</v>
          </cell>
        </row>
        <row r="13141">
          <cell r="A13141" t="str">
            <v>IS_alqt_plus</v>
          </cell>
          <cell r="K13141" t="str">
            <v>LCAT</v>
          </cell>
          <cell r="M13141" t="str">
            <v>M</v>
          </cell>
          <cell r="AB13141" t="str">
            <v>WB</v>
          </cell>
          <cell r="AF13141">
            <v>0.5</v>
          </cell>
        </row>
        <row r="13142">
          <cell r="A13142" t="str">
            <v>IS_alqt_plus</v>
          </cell>
          <cell r="K13142" t="str">
            <v>LCAT</v>
          </cell>
          <cell r="M13142" t="str">
            <v>M</v>
          </cell>
          <cell r="AB13142" t="str">
            <v>WB</v>
          </cell>
          <cell r="AF13142">
            <v>0.5</v>
          </cell>
        </row>
        <row r="13143">
          <cell r="A13143" t="str">
            <v>IS_alqt_plus</v>
          </cell>
          <cell r="K13143" t="str">
            <v>LCAT</v>
          </cell>
          <cell r="M13143" t="str">
            <v>M</v>
          </cell>
          <cell r="AB13143" t="str">
            <v>WB</v>
          </cell>
          <cell r="AF13143">
            <v>0.25</v>
          </cell>
        </row>
        <row r="13144">
          <cell r="A13144" t="str">
            <v>gone</v>
          </cell>
          <cell r="K13144" t="str">
            <v>PCOQ</v>
          </cell>
          <cell r="M13144" t="str">
            <v>F</v>
          </cell>
          <cell r="AB13144" t="str">
            <v>WB</v>
          </cell>
          <cell r="AF13144">
            <v>0</v>
          </cell>
        </row>
        <row r="13145">
          <cell r="A13145" t="str">
            <v>IS_alqt_plus</v>
          </cell>
          <cell r="K13145" t="str">
            <v>PCOQ</v>
          </cell>
          <cell r="M13145" t="str">
            <v>F</v>
          </cell>
          <cell r="AB13145" t="str">
            <v>WB</v>
          </cell>
          <cell r="AF13145">
            <v>0.4</v>
          </cell>
        </row>
        <row r="13146">
          <cell r="A13146" t="str">
            <v>IS_alqt_plus</v>
          </cell>
          <cell r="K13146" t="str">
            <v>PCOQ</v>
          </cell>
          <cell r="M13146" t="str">
            <v>M</v>
          </cell>
          <cell r="AB13146" t="str">
            <v>serum</v>
          </cell>
          <cell r="AF13146">
            <v>0.25</v>
          </cell>
        </row>
        <row r="13147">
          <cell r="A13147" t="str">
            <v>IS_alqt_plus</v>
          </cell>
          <cell r="K13147" t="str">
            <v>VRUB</v>
          </cell>
          <cell r="M13147" t="str">
            <v>F</v>
          </cell>
          <cell r="AB13147" t="str">
            <v>WB</v>
          </cell>
          <cell r="AF13147">
            <v>0.5</v>
          </cell>
        </row>
        <row r="13148">
          <cell r="A13148" t="str">
            <v>IS_alqt_plus</v>
          </cell>
          <cell r="K13148" t="str">
            <v>VRUB</v>
          </cell>
          <cell r="M13148" t="str">
            <v>F</v>
          </cell>
          <cell r="AB13148" t="str">
            <v>WB</v>
          </cell>
          <cell r="AF13148">
            <v>0.5</v>
          </cell>
        </row>
        <row r="13149">
          <cell r="A13149" t="str">
            <v>IS_alqt_plus</v>
          </cell>
          <cell r="K13149" t="str">
            <v>VRUB</v>
          </cell>
          <cell r="M13149" t="str">
            <v>F</v>
          </cell>
          <cell r="AB13149" t="str">
            <v>WB</v>
          </cell>
          <cell r="AF13149">
            <v>0.5</v>
          </cell>
        </row>
        <row r="13150">
          <cell r="A13150" t="str">
            <v>IS_alqt_plus</v>
          </cell>
          <cell r="K13150" t="str">
            <v>VRUB</v>
          </cell>
          <cell r="M13150" t="str">
            <v>F</v>
          </cell>
          <cell r="AB13150" t="str">
            <v>serum</v>
          </cell>
          <cell r="AF13150">
            <v>0.5</v>
          </cell>
        </row>
        <row r="13151">
          <cell r="A13151" t="str">
            <v>IS_alqt_plus</v>
          </cell>
          <cell r="K13151" t="str">
            <v>VRUB</v>
          </cell>
          <cell r="M13151" t="str">
            <v>F</v>
          </cell>
          <cell r="AB13151" t="str">
            <v>serum</v>
          </cell>
          <cell r="AF13151">
            <v>0.5</v>
          </cell>
        </row>
        <row r="13152">
          <cell r="A13152" t="str">
            <v>IS_alqt_plus</v>
          </cell>
          <cell r="K13152" t="str">
            <v>LCAT</v>
          </cell>
          <cell r="M13152" t="str">
            <v>M</v>
          </cell>
          <cell r="AB13152" t="str">
            <v>WB</v>
          </cell>
          <cell r="AF13152">
            <v>0.5</v>
          </cell>
        </row>
        <row r="13153">
          <cell r="A13153" t="str">
            <v>IS_alqt_plus</v>
          </cell>
          <cell r="K13153" t="str">
            <v>LCAT</v>
          </cell>
          <cell r="M13153" t="str">
            <v>M</v>
          </cell>
          <cell r="AB13153" t="str">
            <v>WB</v>
          </cell>
          <cell r="AF13153">
            <v>0.5</v>
          </cell>
        </row>
        <row r="13154">
          <cell r="A13154" t="str">
            <v>IS_alqt_plus</v>
          </cell>
          <cell r="K13154" t="str">
            <v>LCAT</v>
          </cell>
          <cell r="M13154" t="str">
            <v>M</v>
          </cell>
          <cell r="AB13154" t="str">
            <v>WB</v>
          </cell>
          <cell r="AF13154">
            <v>0.5</v>
          </cell>
        </row>
        <row r="13155">
          <cell r="A13155" t="str">
            <v>IS_alqt_plus</v>
          </cell>
          <cell r="K13155" t="str">
            <v>LCAT</v>
          </cell>
          <cell r="M13155" t="str">
            <v>M</v>
          </cell>
          <cell r="AB13155" t="str">
            <v>serum</v>
          </cell>
          <cell r="AF13155">
            <v>0.5</v>
          </cell>
        </row>
        <row r="13156">
          <cell r="A13156" t="str">
            <v>IS_alqt_plus</v>
          </cell>
          <cell r="K13156" t="str">
            <v>LCAT</v>
          </cell>
          <cell r="M13156" t="str">
            <v>M</v>
          </cell>
          <cell r="AB13156" t="str">
            <v>serum</v>
          </cell>
          <cell r="AF13156">
            <v>0.5</v>
          </cell>
        </row>
        <row r="13157">
          <cell r="A13157" t="str">
            <v>IS_alqt_plus</v>
          </cell>
          <cell r="K13157" t="str">
            <v>LCAT</v>
          </cell>
          <cell r="M13157" t="str">
            <v>M</v>
          </cell>
          <cell r="AB13157" t="str">
            <v>serum</v>
          </cell>
          <cell r="AF13157">
            <v>0.5</v>
          </cell>
        </row>
        <row r="13158">
          <cell r="A13158" t="str">
            <v>IS_alqt_plus</v>
          </cell>
          <cell r="K13158" t="str">
            <v>MMUR</v>
          </cell>
          <cell r="M13158" t="str">
            <v>F</v>
          </cell>
          <cell r="AB13158" t="str">
            <v>WB</v>
          </cell>
          <cell r="AF13158">
            <v>0.2</v>
          </cell>
        </row>
        <row r="13159">
          <cell r="A13159" t="str">
            <v>IS_alqt_plus</v>
          </cell>
          <cell r="K13159" t="str">
            <v>EFLA</v>
          </cell>
          <cell r="M13159" t="str">
            <v>F</v>
          </cell>
          <cell r="AB13159" t="str">
            <v>WB</v>
          </cell>
          <cell r="AF13159">
            <v>0.25</v>
          </cell>
        </row>
        <row r="13160">
          <cell r="A13160" t="str">
            <v>IS_alqt_plus</v>
          </cell>
          <cell r="K13160" t="str">
            <v>EFLA</v>
          </cell>
          <cell r="M13160" t="str">
            <v>F</v>
          </cell>
          <cell r="AB13160" t="str">
            <v>WB</v>
          </cell>
          <cell r="AF13160">
            <v>0.25</v>
          </cell>
        </row>
        <row r="13161">
          <cell r="A13161" t="str">
            <v>IS_alqt_plus</v>
          </cell>
          <cell r="K13161" t="str">
            <v>EFLA</v>
          </cell>
          <cell r="M13161" t="str">
            <v>F</v>
          </cell>
          <cell r="AB13161" t="str">
            <v>WB</v>
          </cell>
          <cell r="AF13161">
            <v>0.25</v>
          </cell>
        </row>
        <row r="13162">
          <cell r="A13162" t="str">
            <v>IS_alqt_plus</v>
          </cell>
          <cell r="K13162" t="str">
            <v>EFLA</v>
          </cell>
          <cell r="M13162" t="str">
            <v>F</v>
          </cell>
          <cell r="AB13162" t="str">
            <v>WB</v>
          </cell>
          <cell r="AF13162">
            <v>0.25</v>
          </cell>
        </row>
        <row r="13163">
          <cell r="A13163" t="str">
            <v>IS_alqt_plus</v>
          </cell>
          <cell r="K13163" t="str">
            <v>EFLA</v>
          </cell>
          <cell r="M13163" t="str">
            <v>F</v>
          </cell>
          <cell r="AB13163" t="str">
            <v>WB</v>
          </cell>
          <cell r="AF13163">
            <v>0.25</v>
          </cell>
        </row>
        <row r="13164">
          <cell r="A13164" t="str">
            <v>IS_alqt_plus</v>
          </cell>
          <cell r="K13164" t="str">
            <v>EFLA</v>
          </cell>
          <cell r="M13164" t="str">
            <v>F</v>
          </cell>
          <cell r="AB13164" t="str">
            <v>WB</v>
          </cell>
          <cell r="AF13164">
            <v>0.25</v>
          </cell>
        </row>
        <row r="13165">
          <cell r="A13165" t="str">
            <v>IS_alqt_plus</v>
          </cell>
          <cell r="K13165" t="str">
            <v>EFLA</v>
          </cell>
          <cell r="M13165" t="str">
            <v>F</v>
          </cell>
          <cell r="AB13165" t="str">
            <v>serum</v>
          </cell>
          <cell r="AF13165">
            <v>0.25</v>
          </cell>
        </row>
        <row r="13166">
          <cell r="A13166" t="str">
            <v>IS_alqt_plus</v>
          </cell>
          <cell r="K13166" t="str">
            <v>EFLA</v>
          </cell>
          <cell r="M13166" t="str">
            <v>F</v>
          </cell>
          <cell r="AB13166" t="str">
            <v>serum</v>
          </cell>
          <cell r="AF13166">
            <v>0.25</v>
          </cell>
        </row>
        <row r="13167">
          <cell r="A13167" t="str">
            <v>IS_alqt_plus</v>
          </cell>
          <cell r="K13167" t="str">
            <v>EFLA</v>
          </cell>
          <cell r="M13167" t="str">
            <v>F</v>
          </cell>
          <cell r="AB13167" t="str">
            <v>serum</v>
          </cell>
          <cell r="AF13167">
            <v>0.25</v>
          </cell>
        </row>
        <row r="13168">
          <cell r="A13168" t="str">
            <v>IS_alqt_plus</v>
          </cell>
          <cell r="K13168" t="str">
            <v>DMAD</v>
          </cell>
          <cell r="M13168" t="str">
            <v>F</v>
          </cell>
          <cell r="AB13168" t="str">
            <v>WB</v>
          </cell>
          <cell r="AF13168">
            <v>0.5</v>
          </cell>
        </row>
        <row r="13169">
          <cell r="A13169" t="str">
            <v>IS_alqt_plus</v>
          </cell>
          <cell r="K13169" t="str">
            <v>DMAD</v>
          </cell>
          <cell r="M13169" t="str">
            <v>F</v>
          </cell>
          <cell r="AB13169" t="str">
            <v>WB</v>
          </cell>
          <cell r="AF13169">
            <v>0.5</v>
          </cell>
        </row>
        <row r="13170">
          <cell r="A13170" t="str">
            <v>IS_alqt_plus</v>
          </cell>
          <cell r="K13170" t="str">
            <v>DMAD</v>
          </cell>
          <cell r="M13170" t="str">
            <v>F</v>
          </cell>
          <cell r="AB13170" t="str">
            <v>WB</v>
          </cell>
          <cell r="AF13170">
            <v>0.5</v>
          </cell>
        </row>
        <row r="13171">
          <cell r="A13171" t="str">
            <v>IS_alqt_plus</v>
          </cell>
          <cell r="K13171" t="str">
            <v>DMAD</v>
          </cell>
          <cell r="M13171" t="str">
            <v>F</v>
          </cell>
          <cell r="AB13171" t="str">
            <v>serum</v>
          </cell>
          <cell r="AF13171">
            <v>0.5</v>
          </cell>
        </row>
        <row r="13172">
          <cell r="A13172" t="str">
            <v>IS_alqt_plus</v>
          </cell>
          <cell r="K13172" t="str">
            <v>DMAD</v>
          </cell>
          <cell r="M13172" t="str">
            <v>F</v>
          </cell>
          <cell r="AB13172" t="str">
            <v>serum</v>
          </cell>
          <cell r="AF13172">
            <v>0.5</v>
          </cell>
        </row>
        <row r="13173">
          <cell r="A13173" t="str">
            <v>IS_alqt_plus</v>
          </cell>
          <cell r="K13173" t="str">
            <v>DMAD</v>
          </cell>
          <cell r="M13173" t="str">
            <v>F</v>
          </cell>
          <cell r="AB13173" t="str">
            <v>serum</v>
          </cell>
          <cell r="AF13173">
            <v>0.5</v>
          </cell>
        </row>
        <row r="13174">
          <cell r="A13174" t="str">
            <v>IS_alqt_plus</v>
          </cell>
          <cell r="K13174" t="str">
            <v>PCOQ</v>
          </cell>
          <cell r="M13174" t="str">
            <v>M</v>
          </cell>
          <cell r="AB13174" t="str">
            <v>WB</v>
          </cell>
          <cell r="AF13174">
            <v>0.5</v>
          </cell>
        </row>
        <row r="13175">
          <cell r="A13175" t="str">
            <v>IS_alqt_plus</v>
          </cell>
          <cell r="K13175" t="str">
            <v>PCOQ</v>
          </cell>
          <cell r="M13175" t="str">
            <v>M</v>
          </cell>
          <cell r="AB13175" t="str">
            <v>WB</v>
          </cell>
          <cell r="AF13175">
            <v>0.5</v>
          </cell>
        </row>
        <row r="13176">
          <cell r="A13176" t="str">
            <v>IS_alqt_plus</v>
          </cell>
          <cell r="K13176" t="str">
            <v>PCOQ</v>
          </cell>
          <cell r="M13176" t="str">
            <v>M</v>
          </cell>
          <cell r="AB13176" t="str">
            <v>WB</v>
          </cell>
          <cell r="AF13176">
            <v>0.5</v>
          </cell>
        </row>
        <row r="13177">
          <cell r="A13177" t="str">
            <v>IS_alqt_plus</v>
          </cell>
          <cell r="K13177" t="str">
            <v>PCOQ</v>
          </cell>
          <cell r="M13177" t="str">
            <v>M</v>
          </cell>
          <cell r="AB13177" t="str">
            <v>serum</v>
          </cell>
          <cell r="AF13177">
            <v>0.5</v>
          </cell>
        </row>
        <row r="13178">
          <cell r="A13178" t="str">
            <v>IS_alqt_plus</v>
          </cell>
          <cell r="K13178" t="str">
            <v>PCOQ</v>
          </cell>
          <cell r="M13178" t="str">
            <v>M</v>
          </cell>
          <cell r="AB13178" t="str">
            <v>serum</v>
          </cell>
          <cell r="AF13178">
            <v>0.5</v>
          </cell>
        </row>
        <row r="13179">
          <cell r="A13179" t="str">
            <v>IS_alqt_plus</v>
          </cell>
          <cell r="K13179" t="str">
            <v>PCOQ</v>
          </cell>
          <cell r="M13179" t="str">
            <v>M</v>
          </cell>
          <cell r="AB13179" t="str">
            <v>serum</v>
          </cell>
          <cell r="AF13179">
            <v>0.5</v>
          </cell>
        </row>
        <row r="13180">
          <cell r="A13180" t="str">
            <v>IS_alqt_plus</v>
          </cell>
          <cell r="K13180" t="str">
            <v>PCOQ</v>
          </cell>
          <cell r="M13180" t="str">
            <v>M</v>
          </cell>
          <cell r="AB13180" t="str">
            <v>serum</v>
          </cell>
          <cell r="AF13180">
            <v>0.5</v>
          </cell>
        </row>
        <row r="13181">
          <cell r="A13181" t="str">
            <v>IS_alqt_plus</v>
          </cell>
          <cell r="K13181" t="str">
            <v>PCOQ</v>
          </cell>
          <cell r="M13181" t="str">
            <v>M</v>
          </cell>
          <cell r="AB13181" t="str">
            <v>serum</v>
          </cell>
          <cell r="AF13181">
            <v>0.5</v>
          </cell>
        </row>
        <row r="13182">
          <cell r="A13182" t="str">
            <v>IS_alqt_plus</v>
          </cell>
          <cell r="K13182" t="str">
            <v>PCOQ</v>
          </cell>
          <cell r="M13182" t="str">
            <v>F</v>
          </cell>
          <cell r="AB13182" t="str">
            <v>WB</v>
          </cell>
          <cell r="AF13182">
            <v>0.5</v>
          </cell>
        </row>
        <row r="13183">
          <cell r="A13183" t="str">
            <v>IS_alqt_plus</v>
          </cell>
          <cell r="K13183" t="str">
            <v>PCOQ</v>
          </cell>
          <cell r="M13183" t="str">
            <v>F</v>
          </cell>
          <cell r="AB13183" t="str">
            <v>serum</v>
          </cell>
          <cell r="AF13183">
            <v>0.5</v>
          </cell>
        </row>
        <row r="13184">
          <cell r="A13184" t="str">
            <v>IS_alqt_plus</v>
          </cell>
          <cell r="K13184" t="str">
            <v>PCOQ</v>
          </cell>
          <cell r="M13184" t="str">
            <v>F</v>
          </cell>
          <cell r="AB13184" t="str">
            <v>serum</v>
          </cell>
          <cell r="AF13184">
            <v>0.5</v>
          </cell>
        </row>
        <row r="13185">
          <cell r="A13185" t="str">
            <v>IS_alqt_plus</v>
          </cell>
          <cell r="K13185" t="str">
            <v>PCOQ</v>
          </cell>
          <cell r="M13185" t="str">
            <v>F</v>
          </cell>
          <cell r="AB13185" t="str">
            <v>serum</v>
          </cell>
          <cell r="AF13185">
            <v>0.5</v>
          </cell>
        </row>
        <row r="13186">
          <cell r="A13186" t="str">
            <v>gone</v>
          </cell>
          <cell r="K13186" t="str">
            <v>DMAD</v>
          </cell>
          <cell r="M13186" t="str">
            <v>F</v>
          </cell>
          <cell r="AB13186" t="str">
            <v>WB</v>
          </cell>
          <cell r="AF13186">
            <v>0</v>
          </cell>
        </row>
        <row r="13187">
          <cell r="A13187" t="str">
            <v>IS_alqt_plus</v>
          </cell>
          <cell r="K13187" t="str">
            <v>MMUR</v>
          </cell>
          <cell r="M13187" t="str">
            <v>M</v>
          </cell>
          <cell r="AB13187" t="str">
            <v>WB</v>
          </cell>
          <cell r="AF13187">
            <v>0.2</v>
          </cell>
        </row>
        <row r="13188">
          <cell r="A13188" t="str">
            <v>IS_alqt_plus</v>
          </cell>
          <cell r="K13188" t="str">
            <v>MMUR</v>
          </cell>
          <cell r="M13188" t="str">
            <v>M</v>
          </cell>
          <cell r="AB13188" t="str">
            <v>WB</v>
          </cell>
          <cell r="AF13188">
            <v>0.2</v>
          </cell>
        </row>
        <row r="13189">
          <cell r="A13189" t="str">
            <v>IS_alqt_plus</v>
          </cell>
          <cell r="K13189" t="str">
            <v>MMUR</v>
          </cell>
          <cell r="M13189" t="str">
            <v>M</v>
          </cell>
          <cell r="AB13189" t="str">
            <v>WB</v>
          </cell>
          <cell r="AF13189">
            <v>0.2</v>
          </cell>
        </row>
        <row r="13190">
          <cell r="A13190" t="str">
            <v>IS_alqt_plus</v>
          </cell>
          <cell r="K13190" t="str">
            <v>MMUR</v>
          </cell>
          <cell r="M13190" t="str">
            <v>M</v>
          </cell>
          <cell r="AB13190" t="str">
            <v>WB</v>
          </cell>
          <cell r="AF13190">
            <v>0.3</v>
          </cell>
        </row>
        <row r="13191">
          <cell r="A13191" t="str">
            <v>IS_alqt_plus</v>
          </cell>
          <cell r="K13191" t="str">
            <v>PCOQ</v>
          </cell>
          <cell r="M13191" t="str">
            <v>F</v>
          </cell>
          <cell r="AB13191" t="str">
            <v>serum</v>
          </cell>
          <cell r="AF13191">
            <v>0.5</v>
          </cell>
        </row>
        <row r="13192">
          <cell r="A13192" t="str">
            <v>IS_alqt_plus</v>
          </cell>
          <cell r="K13192" t="str">
            <v>PCOQ</v>
          </cell>
          <cell r="M13192" t="str">
            <v>F</v>
          </cell>
          <cell r="AB13192" t="str">
            <v>serum</v>
          </cell>
          <cell r="AF13192">
            <v>0.5</v>
          </cell>
        </row>
        <row r="13193">
          <cell r="A13193" t="str">
            <v>IS_alqt_plus</v>
          </cell>
          <cell r="K13193" t="str">
            <v>PCOQ</v>
          </cell>
          <cell r="M13193" t="str">
            <v>F</v>
          </cell>
          <cell r="AB13193" t="str">
            <v>serum</v>
          </cell>
          <cell r="AF13193">
            <v>0.2</v>
          </cell>
        </row>
        <row r="13194">
          <cell r="A13194" t="str">
            <v>IS_alqt_plus</v>
          </cell>
          <cell r="K13194" t="str">
            <v>PCOQ</v>
          </cell>
          <cell r="M13194" t="str">
            <v>F</v>
          </cell>
          <cell r="AB13194" t="str">
            <v>serum</v>
          </cell>
          <cell r="AF13194">
            <v>0.2</v>
          </cell>
        </row>
        <row r="13195">
          <cell r="A13195" t="str">
            <v>IS_alqt_plus</v>
          </cell>
          <cell r="K13195" t="str">
            <v>PCOQ</v>
          </cell>
          <cell r="M13195" t="str">
            <v>F</v>
          </cell>
          <cell r="AB13195" t="str">
            <v>serum</v>
          </cell>
          <cell r="AF13195">
            <v>0.2</v>
          </cell>
        </row>
        <row r="13196">
          <cell r="A13196" t="str">
            <v>IS_alqt_plus</v>
          </cell>
          <cell r="K13196" t="str">
            <v>PCOQ</v>
          </cell>
          <cell r="M13196" t="str">
            <v>F</v>
          </cell>
          <cell r="AB13196" t="str">
            <v>serum</v>
          </cell>
          <cell r="AF13196">
            <v>0.2</v>
          </cell>
        </row>
        <row r="13197">
          <cell r="A13197" t="str">
            <v>IS_alqt_plus</v>
          </cell>
          <cell r="K13197" t="str">
            <v>PCOQ</v>
          </cell>
          <cell r="M13197" t="str">
            <v>F</v>
          </cell>
          <cell r="AB13197" t="str">
            <v>serum</v>
          </cell>
          <cell r="AF13197">
            <v>0.2</v>
          </cell>
        </row>
        <row r="13198">
          <cell r="A13198" t="str">
            <v>IS_alqt_plus</v>
          </cell>
          <cell r="K13198" t="str">
            <v>PCOQ</v>
          </cell>
          <cell r="M13198" t="str">
            <v>F</v>
          </cell>
          <cell r="AB13198" t="str">
            <v>WB</v>
          </cell>
          <cell r="AF13198">
            <v>0.2</v>
          </cell>
        </row>
        <row r="13199">
          <cell r="A13199" t="str">
            <v>IS_alqt_plus</v>
          </cell>
          <cell r="K13199" t="str">
            <v>PCOQ</v>
          </cell>
          <cell r="M13199" t="str">
            <v>F</v>
          </cell>
          <cell r="AB13199" t="str">
            <v>WB</v>
          </cell>
          <cell r="AF13199">
            <v>0.2</v>
          </cell>
        </row>
        <row r="13200">
          <cell r="A13200" t="str">
            <v>IS_alqt_plus</v>
          </cell>
          <cell r="K13200" t="str">
            <v>PCOQ</v>
          </cell>
          <cell r="M13200" t="str">
            <v>F</v>
          </cell>
          <cell r="AB13200" t="str">
            <v>WB</v>
          </cell>
          <cell r="AF13200">
            <v>0.2</v>
          </cell>
        </row>
        <row r="13201">
          <cell r="A13201" t="str">
            <v>IS_alqt_plus</v>
          </cell>
          <cell r="K13201" t="str">
            <v>PCOQ</v>
          </cell>
          <cell r="M13201" t="str">
            <v>F</v>
          </cell>
          <cell r="AB13201" t="str">
            <v>WB</v>
          </cell>
          <cell r="AF13201">
            <v>0.2</v>
          </cell>
        </row>
        <row r="13202">
          <cell r="A13202" t="str">
            <v>IS_alqt_plus</v>
          </cell>
          <cell r="K13202" t="str">
            <v>PCOQ</v>
          </cell>
          <cell r="M13202" t="str">
            <v>F</v>
          </cell>
          <cell r="AB13202" t="str">
            <v>WB</v>
          </cell>
          <cell r="AF13202">
            <v>0.2</v>
          </cell>
        </row>
        <row r="13203">
          <cell r="A13203" t="str">
            <v>IS_alqt_plus</v>
          </cell>
          <cell r="K13203" t="str">
            <v>PCOQ</v>
          </cell>
          <cell r="M13203" t="str">
            <v>F</v>
          </cell>
          <cell r="AB13203" t="str">
            <v>WB</v>
          </cell>
          <cell r="AF13203">
            <v>0.5</v>
          </cell>
        </row>
        <row r="13204">
          <cell r="A13204" t="str">
            <v>IS_alqt_plus</v>
          </cell>
          <cell r="K13204" t="str">
            <v>PCOQ</v>
          </cell>
          <cell r="M13204" t="str">
            <v>F</v>
          </cell>
          <cell r="AB13204" t="str">
            <v>WB</v>
          </cell>
          <cell r="AF13204">
            <v>0.5</v>
          </cell>
        </row>
        <row r="13205">
          <cell r="A13205" t="str">
            <v>IS_alqt_plus</v>
          </cell>
          <cell r="K13205" t="str">
            <v>PCOQ</v>
          </cell>
          <cell r="M13205" t="str">
            <v>F</v>
          </cell>
          <cell r="AB13205" t="str">
            <v>WB</v>
          </cell>
          <cell r="AF13205">
            <v>0.5</v>
          </cell>
        </row>
        <row r="13206">
          <cell r="A13206" t="str">
            <v>IS_alqt_plus</v>
          </cell>
          <cell r="K13206" t="str">
            <v>PCOQ</v>
          </cell>
          <cell r="M13206" t="str">
            <v>F</v>
          </cell>
          <cell r="AB13206" t="str">
            <v>WB</v>
          </cell>
          <cell r="AF13206">
            <v>0.5</v>
          </cell>
        </row>
        <row r="13207">
          <cell r="A13207" t="str">
            <v>IS_alqt_plus</v>
          </cell>
          <cell r="K13207" t="str">
            <v>DMAD</v>
          </cell>
          <cell r="M13207" t="str">
            <v>F</v>
          </cell>
          <cell r="AB13207" t="str">
            <v>WB</v>
          </cell>
          <cell r="AF13207">
            <v>0.5</v>
          </cell>
        </row>
        <row r="13208">
          <cell r="A13208" t="str">
            <v>IS_alqt_plus</v>
          </cell>
          <cell r="K13208" t="str">
            <v>DMAD</v>
          </cell>
          <cell r="M13208" t="str">
            <v>F</v>
          </cell>
          <cell r="AB13208" t="str">
            <v>WB</v>
          </cell>
          <cell r="AF13208">
            <v>0.5</v>
          </cell>
        </row>
        <row r="13209">
          <cell r="A13209" t="str">
            <v>IS_alqt_plus</v>
          </cell>
          <cell r="K13209" t="str">
            <v>DMAD</v>
          </cell>
          <cell r="M13209" t="str">
            <v>F</v>
          </cell>
          <cell r="AB13209" t="str">
            <v>serum</v>
          </cell>
          <cell r="AF13209">
            <v>0.5</v>
          </cell>
        </row>
        <row r="13210">
          <cell r="A13210" t="str">
            <v>gone</v>
          </cell>
          <cell r="K13210" t="str">
            <v>ECOR</v>
          </cell>
          <cell r="M13210" t="str">
            <v>M</v>
          </cell>
          <cell r="AB13210" t="str">
            <v>WB</v>
          </cell>
          <cell r="AF13210">
            <v>0</v>
          </cell>
        </row>
        <row r="13211">
          <cell r="A13211" t="str">
            <v>IS_alqt_plus</v>
          </cell>
          <cell r="K13211" t="str">
            <v>ECOR</v>
          </cell>
          <cell r="M13211" t="str">
            <v>M</v>
          </cell>
          <cell r="AB13211" t="str">
            <v>WB</v>
          </cell>
          <cell r="AF13211">
            <v>0.25</v>
          </cell>
        </row>
        <row r="13212">
          <cell r="A13212" t="str">
            <v>IS_alqt_plus</v>
          </cell>
          <cell r="K13212" t="str">
            <v>ECOR</v>
          </cell>
          <cell r="M13212" t="str">
            <v>M</v>
          </cell>
          <cell r="AB13212" t="str">
            <v>serum</v>
          </cell>
          <cell r="AF13212">
            <v>0.5</v>
          </cell>
        </row>
        <row r="13213">
          <cell r="A13213" t="str">
            <v>IS_alqt_plus</v>
          </cell>
          <cell r="K13213" t="str">
            <v>ECOR</v>
          </cell>
          <cell r="M13213" t="str">
            <v>M</v>
          </cell>
          <cell r="AB13213" t="str">
            <v>serum</v>
          </cell>
          <cell r="AF13213">
            <v>0.5</v>
          </cell>
        </row>
        <row r="13214">
          <cell r="A13214" t="str">
            <v>IS_alqt_plus</v>
          </cell>
          <cell r="K13214" t="str">
            <v>ECOR</v>
          </cell>
          <cell r="M13214" t="str">
            <v>M</v>
          </cell>
          <cell r="AB13214" t="str">
            <v>serum</v>
          </cell>
          <cell r="AF13214">
            <v>0.5</v>
          </cell>
        </row>
        <row r="13215">
          <cell r="A13215" t="str">
            <v>IS_alqt_plus</v>
          </cell>
          <cell r="K13215" t="str">
            <v>DMAD</v>
          </cell>
          <cell r="M13215" t="str">
            <v>F</v>
          </cell>
          <cell r="AB13215" t="str">
            <v>WB</v>
          </cell>
          <cell r="AF13215">
            <v>0.5</v>
          </cell>
        </row>
        <row r="13216">
          <cell r="A13216" t="str">
            <v>IS_alqt_plus</v>
          </cell>
          <cell r="K13216" t="str">
            <v>DMAD</v>
          </cell>
          <cell r="M13216" t="str">
            <v>F</v>
          </cell>
          <cell r="AB13216" t="str">
            <v>WB</v>
          </cell>
          <cell r="AF13216">
            <v>0.5</v>
          </cell>
        </row>
        <row r="13217">
          <cell r="A13217" t="str">
            <v>IS_alqt_plus</v>
          </cell>
          <cell r="K13217" t="str">
            <v>DMAD</v>
          </cell>
          <cell r="M13217" t="str">
            <v>F</v>
          </cell>
          <cell r="AB13217" t="str">
            <v>WB</v>
          </cell>
          <cell r="AF13217">
            <v>0.5</v>
          </cell>
        </row>
        <row r="13218">
          <cell r="A13218" t="str">
            <v>IS_alqt_plus</v>
          </cell>
          <cell r="K13218" t="str">
            <v>DMAD</v>
          </cell>
          <cell r="M13218" t="str">
            <v>F</v>
          </cell>
          <cell r="AB13218" t="str">
            <v>serum</v>
          </cell>
          <cell r="AF13218">
            <v>0.5</v>
          </cell>
        </row>
        <row r="13219">
          <cell r="A13219" t="str">
            <v>IS_alqt_plus</v>
          </cell>
          <cell r="K13219" t="str">
            <v>DMAD</v>
          </cell>
          <cell r="M13219" t="str">
            <v>F</v>
          </cell>
          <cell r="AB13219" t="str">
            <v>serum</v>
          </cell>
          <cell r="AF13219">
            <v>0.5</v>
          </cell>
        </row>
        <row r="13220">
          <cell r="A13220" t="str">
            <v>IS_alqt_minus</v>
          </cell>
          <cell r="K13220" t="str">
            <v>CMED</v>
          </cell>
          <cell r="M13220" t="str">
            <v>M</v>
          </cell>
          <cell r="AB13220" t="str">
            <v>WB</v>
          </cell>
          <cell r="AF13220">
            <v>0.1</v>
          </cell>
        </row>
        <row r="13221">
          <cell r="A13221" t="str">
            <v>IS_alqt_plus</v>
          </cell>
          <cell r="K13221" t="str">
            <v>LCAT</v>
          </cell>
          <cell r="M13221" t="str">
            <v>M</v>
          </cell>
          <cell r="AB13221" t="str">
            <v>WB</v>
          </cell>
          <cell r="AF13221">
            <v>0.5</v>
          </cell>
        </row>
        <row r="13222">
          <cell r="A13222" t="str">
            <v>IS_alqt_plus</v>
          </cell>
          <cell r="K13222" t="str">
            <v>LCAT</v>
          </cell>
          <cell r="M13222" t="str">
            <v>M</v>
          </cell>
          <cell r="AB13222" t="str">
            <v>WB</v>
          </cell>
          <cell r="AF13222">
            <v>0.5</v>
          </cell>
        </row>
        <row r="13223">
          <cell r="A13223" t="str">
            <v>IS_alqt_plus</v>
          </cell>
          <cell r="K13223" t="str">
            <v>LCAT</v>
          </cell>
          <cell r="M13223" t="str">
            <v>M</v>
          </cell>
          <cell r="AB13223" t="str">
            <v>WB</v>
          </cell>
          <cell r="AF13223">
            <v>0.25</v>
          </cell>
        </row>
        <row r="13224">
          <cell r="A13224" t="str">
            <v>IS_alqt_plus</v>
          </cell>
          <cell r="K13224" t="str">
            <v>LCAT</v>
          </cell>
          <cell r="M13224" t="str">
            <v>M</v>
          </cell>
          <cell r="AB13224" t="str">
            <v>serum</v>
          </cell>
          <cell r="AF13224">
            <v>0.5</v>
          </cell>
        </row>
        <row r="13225">
          <cell r="A13225" t="str">
            <v>IS_alqt_plus</v>
          </cell>
          <cell r="K13225" t="str">
            <v>LCAT</v>
          </cell>
          <cell r="M13225" t="str">
            <v>M</v>
          </cell>
          <cell r="AB13225" t="str">
            <v>serum</v>
          </cell>
          <cell r="AF13225">
            <v>0.5</v>
          </cell>
        </row>
        <row r="13226">
          <cell r="A13226" t="str">
            <v>IS_alqt_plus</v>
          </cell>
          <cell r="K13226" t="str">
            <v>LCAT</v>
          </cell>
          <cell r="M13226" t="str">
            <v>M</v>
          </cell>
          <cell r="AB13226" t="str">
            <v>serum</v>
          </cell>
          <cell r="AF13226">
            <v>0.5</v>
          </cell>
        </row>
        <row r="13227">
          <cell r="A13227" t="str">
            <v>IS_alqt_plus</v>
          </cell>
          <cell r="K13227" t="str">
            <v>LCAT</v>
          </cell>
          <cell r="M13227" t="str">
            <v>M</v>
          </cell>
          <cell r="AB13227" t="str">
            <v>serum</v>
          </cell>
          <cell r="AF13227">
            <v>0.25</v>
          </cell>
        </row>
        <row r="13228">
          <cell r="A13228" t="str">
            <v>IS_alqt_plus</v>
          </cell>
          <cell r="K13228" t="str">
            <v>PCOQ</v>
          </cell>
          <cell r="M13228" t="str">
            <v>M</v>
          </cell>
          <cell r="AB13228" t="str">
            <v>WB</v>
          </cell>
          <cell r="AF13228">
            <v>0.25</v>
          </cell>
        </row>
        <row r="13229">
          <cell r="A13229" t="str">
            <v>IS_alqt_plus</v>
          </cell>
          <cell r="K13229" t="str">
            <v>PCOQ</v>
          </cell>
          <cell r="M13229" t="str">
            <v>M</v>
          </cell>
          <cell r="AB13229" t="str">
            <v>WB</v>
          </cell>
          <cell r="AF13229">
            <v>0.25</v>
          </cell>
        </row>
        <row r="13230">
          <cell r="A13230" t="str">
            <v>IS_alqt_plus</v>
          </cell>
          <cell r="K13230" t="str">
            <v>PCOQ</v>
          </cell>
          <cell r="M13230" t="str">
            <v>M</v>
          </cell>
          <cell r="AB13230" t="str">
            <v>WB</v>
          </cell>
          <cell r="AF13230">
            <v>0.25</v>
          </cell>
        </row>
        <row r="13231">
          <cell r="A13231" t="str">
            <v>IS_alqt_plus</v>
          </cell>
          <cell r="K13231" t="str">
            <v>PCOQ</v>
          </cell>
          <cell r="M13231" t="str">
            <v>M</v>
          </cell>
          <cell r="AB13231" t="str">
            <v>WB</v>
          </cell>
          <cell r="AF13231">
            <v>0.25</v>
          </cell>
        </row>
        <row r="13232">
          <cell r="A13232" t="str">
            <v>IS_alqt_plus</v>
          </cell>
          <cell r="K13232" t="str">
            <v>PCOQ</v>
          </cell>
          <cell r="M13232" t="str">
            <v>M</v>
          </cell>
          <cell r="AB13232" t="str">
            <v>serum</v>
          </cell>
          <cell r="AF13232">
            <v>0.25</v>
          </cell>
        </row>
        <row r="13233">
          <cell r="A13233" t="str">
            <v>IS_alqt_plus</v>
          </cell>
          <cell r="K13233" t="str">
            <v>PCOQ</v>
          </cell>
          <cell r="M13233" t="str">
            <v>M</v>
          </cell>
          <cell r="AB13233" t="str">
            <v>serum</v>
          </cell>
          <cell r="AF13233">
            <v>0.25</v>
          </cell>
        </row>
        <row r="13234">
          <cell r="A13234" t="str">
            <v>IS_alqt_plus</v>
          </cell>
          <cell r="K13234" t="str">
            <v>PCOQ</v>
          </cell>
          <cell r="M13234" t="str">
            <v>M</v>
          </cell>
          <cell r="AB13234" t="str">
            <v>serum</v>
          </cell>
          <cell r="AF13234">
            <v>0.25</v>
          </cell>
        </row>
        <row r="13235">
          <cell r="A13235" t="str">
            <v>IS_alqt_plus</v>
          </cell>
          <cell r="K13235" t="str">
            <v>PCOQ</v>
          </cell>
          <cell r="M13235" t="str">
            <v>M</v>
          </cell>
          <cell r="AB13235" t="str">
            <v>serum</v>
          </cell>
          <cell r="AF13235">
            <v>0.25</v>
          </cell>
        </row>
        <row r="13236">
          <cell r="A13236" t="str">
            <v>IS_alqt_plus</v>
          </cell>
          <cell r="K13236" t="str">
            <v>PCOQ</v>
          </cell>
          <cell r="M13236" t="str">
            <v>M</v>
          </cell>
          <cell r="AB13236" t="str">
            <v>serum</v>
          </cell>
          <cell r="AF13236">
            <v>0.25</v>
          </cell>
        </row>
        <row r="13237">
          <cell r="A13237" t="str">
            <v>IS_alqt_plus</v>
          </cell>
          <cell r="K13237" t="str">
            <v>MMUR</v>
          </cell>
          <cell r="M13237" t="str">
            <v>F</v>
          </cell>
          <cell r="AB13237" t="str">
            <v>WB</v>
          </cell>
          <cell r="AF13237">
            <v>0.2</v>
          </cell>
        </row>
        <row r="13238">
          <cell r="A13238" t="str">
            <v>IS_alqt_plus</v>
          </cell>
          <cell r="K13238" t="str">
            <v>MMUR</v>
          </cell>
          <cell r="M13238" t="str">
            <v>F</v>
          </cell>
          <cell r="AB13238" t="str">
            <v>WB</v>
          </cell>
          <cell r="AF13238">
            <v>0.2</v>
          </cell>
        </row>
        <row r="13239">
          <cell r="A13239" t="str">
            <v>IS_alqt_plus</v>
          </cell>
          <cell r="K13239" t="str">
            <v>MMUR</v>
          </cell>
          <cell r="M13239" t="str">
            <v>F</v>
          </cell>
          <cell r="AB13239" t="str">
            <v>WB</v>
          </cell>
          <cell r="AF13239">
            <v>0.2</v>
          </cell>
        </row>
        <row r="13240">
          <cell r="A13240" t="str">
            <v>IS_alqt_plus</v>
          </cell>
          <cell r="K13240" t="str">
            <v>MMUR</v>
          </cell>
          <cell r="M13240" t="str">
            <v>F</v>
          </cell>
          <cell r="AB13240" t="str">
            <v>WB</v>
          </cell>
          <cell r="AF13240">
            <v>0.2</v>
          </cell>
        </row>
        <row r="13241">
          <cell r="A13241" t="str">
            <v>IS_alqt_plus</v>
          </cell>
          <cell r="K13241" t="str">
            <v>MMUR</v>
          </cell>
          <cell r="M13241" t="str">
            <v>F</v>
          </cell>
          <cell r="AB13241" t="str">
            <v>WB</v>
          </cell>
          <cell r="AF13241">
            <v>0.2</v>
          </cell>
        </row>
        <row r="13242">
          <cell r="A13242" t="str">
            <v>IS_alqt_plus</v>
          </cell>
          <cell r="K13242" t="str">
            <v>MMUR</v>
          </cell>
          <cell r="M13242" t="str">
            <v>F</v>
          </cell>
          <cell r="AB13242" t="str">
            <v>WB</v>
          </cell>
          <cell r="AF13242">
            <v>0.2</v>
          </cell>
        </row>
        <row r="13243">
          <cell r="A13243" t="str">
            <v>IS_alqt_plus</v>
          </cell>
          <cell r="K13243" t="str">
            <v>MMUR</v>
          </cell>
          <cell r="M13243" t="str">
            <v>F</v>
          </cell>
          <cell r="AB13243" t="str">
            <v>WB</v>
          </cell>
          <cell r="AF13243">
            <v>0.2</v>
          </cell>
        </row>
        <row r="13244">
          <cell r="A13244" t="str">
            <v>IS_alqt_plus</v>
          </cell>
          <cell r="K13244" t="str">
            <v>MMUR</v>
          </cell>
          <cell r="M13244" t="str">
            <v>F</v>
          </cell>
          <cell r="AB13244" t="str">
            <v>WB</v>
          </cell>
          <cell r="AF13244">
            <v>0.2</v>
          </cell>
        </row>
        <row r="13245">
          <cell r="A13245" t="str">
            <v>IS_alqt_plus</v>
          </cell>
          <cell r="K13245" t="str">
            <v>MMUR</v>
          </cell>
          <cell r="M13245" t="str">
            <v>F</v>
          </cell>
          <cell r="AB13245" t="str">
            <v>WB</v>
          </cell>
          <cell r="AF13245">
            <v>0.2</v>
          </cell>
        </row>
        <row r="13246">
          <cell r="A13246" t="str">
            <v>IS_alqt_plus</v>
          </cell>
          <cell r="K13246" t="str">
            <v>MMUR</v>
          </cell>
          <cell r="M13246" t="str">
            <v>F</v>
          </cell>
          <cell r="AB13246" t="str">
            <v>WB</v>
          </cell>
          <cell r="AF13246">
            <v>0.2</v>
          </cell>
        </row>
        <row r="13247">
          <cell r="A13247" t="str">
            <v>IS_alqt_plus</v>
          </cell>
          <cell r="K13247" t="str">
            <v>MMUR</v>
          </cell>
          <cell r="M13247" t="str">
            <v>F</v>
          </cell>
          <cell r="AB13247" t="str">
            <v>WB</v>
          </cell>
          <cell r="AF13247">
            <v>0.2</v>
          </cell>
        </row>
        <row r="13248">
          <cell r="A13248" t="str">
            <v>IS_alqt_plus</v>
          </cell>
          <cell r="K13248" t="str">
            <v>MMUR</v>
          </cell>
          <cell r="M13248" t="str">
            <v>F</v>
          </cell>
          <cell r="AB13248" t="str">
            <v>WB</v>
          </cell>
          <cell r="AF13248">
            <v>0.2</v>
          </cell>
        </row>
        <row r="13249">
          <cell r="A13249" t="str">
            <v>IS_alqt_plus</v>
          </cell>
          <cell r="K13249" t="str">
            <v>MMUR</v>
          </cell>
          <cell r="M13249" t="str">
            <v>F</v>
          </cell>
          <cell r="AB13249" t="str">
            <v>WB</v>
          </cell>
          <cell r="AF13249">
            <v>0.2</v>
          </cell>
        </row>
        <row r="13250">
          <cell r="A13250" t="str">
            <v>IS_alqt_plus</v>
          </cell>
          <cell r="K13250" t="str">
            <v>MMUR</v>
          </cell>
          <cell r="M13250" t="str">
            <v>F</v>
          </cell>
          <cell r="AB13250" t="str">
            <v>WB</v>
          </cell>
          <cell r="AF13250">
            <v>0.2</v>
          </cell>
        </row>
        <row r="13251">
          <cell r="A13251" t="str">
            <v>IS_alqt_plus</v>
          </cell>
          <cell r="K13251" t="str">
            <v>MMUR</v>
          </cell>
          <cell r="M13251" t="str">
            <v>F</v>
          </cell>
          <cell r="AB13251" t="str">
            <v>WB</v>
          </cell>
          <cell r="AF13251">
            <v>0.2</v>
          </cell>
        </row>
        <row r="13252">
          <cell r="A13252" t="str">
            <v>IS_alqt_plus</v>
          </cell>
          <cell r="K13252" t="str">
            <v>PCOQ</v>
          </cell>
          <cell r="M13252" t="str">
            <v>M</v>
          </cell>
          <cell r="AB13252" t="str">
            <v>WB</v>
          </cell>
          <cell r="AF13252">
            <v>0.5</v>
          </cell>
        </row>
        <row r="13253">
          <cell r="A13253" t="str">
            <v>IS_alqt_plus</v>
          </cell>
          <cell r="K13253" t="str">
            <v>PCOQ</v>
          </cell>
          <cell r="M13253" t="str">
            <v>M</v>
          </cell>
          <cell r="AB13253" t="str">
            <v>WB</v>
          </cell>
          <cell r="AF13253">
            <v>0.5</v>
          </cell>
        </row>
        <row r="13254">
          <cell r="A13254" t="str">
            <v>IS_alqt_plus</v>
          </cell>
          <cell r="K13254" t="str">
            <v>PCOQ</v>
          </cell>
          <cell r="M13254" t="str">
            <v>M</v>
          </cell>
          <cell r="AB13254" t="str">
            <v>serum</v>
          </cell>
          <cell r="AF13254">
            <v>0.5</v>
          </cell>
        </row>
        <row r="13255">
          <cell r="A13255" t="str">
            <v>IS_alqt_plus</v>
          </cell>
          <cell r="K13255" t="str">
            <v>PCOQ</v>
          </cell>
          <cell r="M13255" t="str">
            <v>M</v>
          </cell>
          <cell r="AB13255" t="str">
            <v>serum</v>
          </cell>
          <cell r="AF13255">
            <v>0.5</v>
          </cell>
        </row>
        <row r="13256">
          <cell r="A13256" t="str">
            <v>IS_alqt_plus</v>
          </cell>
          <cell r="K13256" t="str">
            <v>PCOQ</v>
          </cell>
          <cell r="M13256" t="str">
            <v>M</v>
          </cell>
          <cell r="AB13256" t="str">
            <v>serum</v>
          </cell>
          <cell r="AF13256">
            <v>0.2</v>
          </cell>
        </row>
        <row r="13257">
          <cell r="A13257" t="str">
            <v>gone</v>
          </cell>
          <cell r="K13257" t="str">
            <v>CMED</v>
          </cell>
          <cell r="M13257" t="str">
            <v>F</v>
          </cell>
          <cell r="AB13257" t="str">
            <v>WB</v>
          </cell>
          <cell r="AF13257">
            <v>0</v>
          </cell>
        </row>
        <row r="13258">
          <cell r="A13258" t="str">
            <v>IS_alqt_plus</v>
          </cell>
          <cell r="K13258" t="str">
            <v>LCAT</v>
          </cell>
          <cell r="M13258" t="str">
            <v>F</v>
          </cell>
          <cell r="AB13258" t="str">
            <v>WB</v>
          </cell>
          <cell r="AF13258">
            <v>0.2</v>
          </cell>
        </row>
        <row r="13259">
          <cell r="A13259" t="str">
            <v>IS_alqt_plus</v>
          </cell>
          <cell r="K13259" t="str">
            <v>LCAT</v>
          </cell>
          <cell r="M13259" t="str">
            <v>F</v>
          </cell>
          <cell r="AB13259" t="str">
            <v>WB</v>
          </cell>
          <cell r="AF13259">
            <v>0.2</v>
          </cell>
        </row>
        <row r="13260">
          <cell r="A13260" t="str">
            <v>IS_alqt_plus</v>
          </cell>
          <cell r="K13260" t="str">
            <v>LCAT</v>
          </cell>
          <cell r="M13260" t="str">
            <v>F</v>
          </cell>
          <cell r="AB13260" t="str">
            <v>WB</v>
          </cell>
          <cell r="AF13260">
            <v>0.2</v>
          </cell>
        </row>
        <row r="13261">
          <cell r="A13261" t="str">
            <v>IS_alqt_plus</v>
          </cell>
          <cell r="K13261" t="str">
            <v>LCAT</v>
          </cell>
          <cell r="M13261" t="str">
            <v>F</v>
          </cell>
          <cell r="AB13261" t="str">
            <v>WB</v>
          </cell>
          <cell r="AF13261">
            <v>0.2</v>
          </cell>
        </row>
        <row r="13262">
          <cell r="A13262" t="str">
            <v>IS_alqt_plus</v>
          </cell>
          <cell r="K13262" t="str">
            <v>LCAT</v>
          </cell>
          <cell r="M13262" t="str">
            <v>F</v>
          </cell>
          <cell r="AB13262" t="str">
            <v>WB</v>
          </cell>
          <cell r="AF13262">
            <v>0.2</v>
          </cell>
        </row>
        <row r="13263">
          <cell r="A13263" t="str">
            <v>IS_alqt_plus</v>
          </cell>
          <cell r="K13263" t="str">
            <v>LCAT</v>
          </cell>
          <cell r="M13263" t="str">
            <v>F</v>
          </cell>
          <cell r="AB13263" t="str">
            <v>serum</v>
          </cell>
          <cell r="AF13263">
            <v>0.2</v>
          </cell>
        </row>
        <row r="13264">
          <cell r="A13264" t="str">
            <v>IS_alqt_plus</v>
          </cell>
          <cell r="K13264" t="str">
            <v>LCAT</v>
          </cell>
          <cell r="M13264" t="str">
            <v>F</v>
          </cell>
          <cell r="AB13264" t="str">
            <v>serum</v>
          </cell>
          <cell r="AF13264">
            <v>0.2</v>
          </cell>
        </row>
        <row r="13265">
          <cell r="A13265" t="str">
            <v>IS_alqt_plus</v>
          </cell>
          <cell r="K13265" t="str">
            <v>LCAT</v>
          </cell>
          <cell r="M13265" t="str">
            <v>F</v>
          </cell>
          <cell r="AB13265" t="str">
            <v>serum</v>
          </cell>
          <cell r="AF13265">
            <v>0.2</v>
          </cell>
        </row>
        <row r="13266">
          <cell r="A13266" t="str">
            <v>IS_alqt_plus</v>
          </cell>
          <cell r="K13266" t="str">
            <v>LCAT</v>
          </cell>
          <cell r="M13266" t="str">
            <v>F</v>
          </cell>
          <cell r="AB13266" t="str">
            <v>serum</v>
          </cell>
          <cell r="AF13266">
            <v>0.2</v>
          </cell>
        </row>
        <row r="13267">
          <cell r="A13267" t="str">
            <v>IS_alqt_plus</v>
          </cell>
          <cell r="K13267" t="str">
            <v>LCAT</v>
          </cell>
          <cell r="M13267" t="str">
            <v>F</v>
          </cell>
          <cell r="AB13267" t="str">
            <v>serum</v>
          </cell>
          <cell r="AF13267">
            <v>0.2</v>
          </cell>
        </row>
        <row r="13268">
          <cell r="A13268" t="str">
            <v>gone</v>
          </cell>
          <cell r="K13268" t="str">
            <v>EFLA</v>
          </cell>
          <cell r="M13268" t="str">
            <v>F</v>
          </cell>
          <cell r="AB13268" t="str">
            <v>WB</v>
          </cell>
          <cell r="AF13268">
            <v>0</v>
          </cell>
        </row>
        <row r="13269">
          <cell r="A13269" t="str">
            <v>IS_alqt_plus</v>
          </cell>
          <cell r="K13269" t="str">
            <v>EFLA</v>
          </cell>
          <cell r="M13269" t="str">
            <v>F</v>
          </cell>
          <cell r="AB13269" t="str">
            <v>WB</v>
          </cell>
          <cell r="AF13269">
            <v>0.5</v>
          </cell>
        </row>
        <row r="13270">
          <cell r="A13270" t="str">
            <v>IS_alqt_plus</v>
          </cell>
          <cell r="K13270" t="str">
            <v>EFLA</v>
          </cell>
          <cell r="M13270" t="str">
            <v>F</v>
          </cell>
          <cell r="AB13270" t="str">
            <v>WB</v>
          </cell>
          <cell r="AF13270">
            <v>0.5</v>
          </cell>
        </row>
        <row r="13271">
          <cell r="A13271" t="str">
            <v>IS_alqt_plus</v>
          </cell>
          <cell r="K13271" t="str">
            <v>EFLA</v>
          </cell>
          <cell r="M13271" t="str">
            <v>F</v>
          </cell>
          <cell r="AB13271" t="str">
            <v>serum</v>
          </cell>
          <cell r="AF13271">
            <v>0.5</v>
          </cell>
        </row>
        <row r="13272">
          <cell r="A13272" t="str">
            <v>IS_alqt_plus</v>
          </cell>
          <cell r="K13272" t="str">
            <v>EFLA</v>
          </cell>
          <cell r="M13272" t="str">
            <v>F</v>
          </cell>
          <cell r="AB13272" t="str">
            <v>serum</v>
          </cell>
          <cell r="AF13272">
            <v>0.5</v>
          </cell>
        </row>
        <row r="13273">
          <cell r="A13273" t="str">
            <v>gone</v>
          </cell>
          <cell r="K13273" t="str">
            <v>EFLA</v>
          </cell>
          <cell r="M13273" t="str">
            <v>M</v>
          </cell>
          <cell r="AB13273" t="str">
            <v>WB</v>
          </cell>
          <cell r="AF13273">
            <v>0</v>
          </cell>
        </row>
        <row r="13274">
          <cell r="A13274" t="str">
            <v>gone</v>
          </cell>
          <cell r="K13274" t="str">
            <v>EFLA</v>
          </cell>
          <cell r="M13274" t="str">
            <v>M</v>
          </cell>
          <cell r="AB13274" t="str">
            <v>WB</v>
          </cell>
          <cell r="AF13274">
            <v>0</v>
          </cell>
        </row>
        <row r="13275">
          <cell r="A13275" t="str">
            <v>IS_alqt_plus</v>
          </cell>
          <cell r="K13275" t="str">
            <v>EFLA</v>
          </cell>
          <cell r="M13275" t="str">
            <v>M</v>
          </cell>
          <cell r="AB13275" t="str">
            <v>serum</v>
          </cell>
          <cell r="AF13275">
            <v>0.5</v>
          </cell>
        </row>
        <row r="13276">
          <cell r="A13276" t="str">
            <v>IS_alqt_plus</v>
          </cell>
          <cell r="K13276" t="str">
            <v>EFLA</v>
          </cell>
          <cell r="M13276" t="str">
            <v>M</v>
          </cell>
          <cell r="AB13276" t="str">
            <v>serum</v>
          </cell>
          <cell r="AF13276">
            <v>0.5</v>
          </cell>
        </row>
        <row r="13277">
          <cell r="A13277" t="str">
            <v>IS_alqt_plus</v>
          </cell>
          <cell r="K13277" t="str">
            <v>EMON</v>
          </cell>
          <cell r="M13277" t="str">
            <v>M</v>
          </cell>
          <cell r="AB13277" t="str">
            <v>WB</v>
          </cell>
          <cell r="AF13277">
            <v>0.2</v>
          </cell>
        </row>
        <row r="13278">
          <cell r="A13278" t="str">
            <v>IS_alqt_plus</v>
          </cell>
          <cell r="K13278" t="str">
            <v>EMON</v>
          </cell>
          <cell r="M13278" t="str">
            <v>M</v>
          </cell>
          <cell r="AB13278" t="str">
            <v>WB</v>
          </cell>
          <cell r="AF13278">
            <v>0.2</v>
          </cell>
        </row>
        <row r="13279">
          <cell r="A13279" t="str">
            <v>IS_alqt_plus</v>
          </cell>
          <cell r="K13279" t="str">
            <v>EMON</v>
          </cell>
          <cell r="M13279" t="str">
            <v>M</v>
          </cell>
          <cell r="AB13279" t="str">
            <v>WB</v>
          </cell>
          <cell r="AF13279">
            <v>0.2</v>
          </cell>
        </row>
        <row r="13280">
          <cell r="A13280" t="str">
            <v>IS_alqt_plus</v>
          </cell>
          <cell r="K13280" t="str">
            <v>EMON</v>
          </cell>
          <cell r="M13280" t="str">
            <v>M</v>
          </cell>
          <cell r="AB13280" t="str">
            <v>WB</v>
          </cell>
          <cell r="AF13280">
            <v>0.2</v>
          </cell>
        </row>
        <row r="13281">
          <cell r="A13281" t="str">
            <v>IS_alqt_plus</v>
          </cell>
          <cell r="K13281" t="str">
            <v>EMON</v>
          </cell>
          <cell r="M13281" t="str">
            <v>M</v>
          </cell>
          <cell r="AB13281" t="str">
            <v>WB</v>
          </cell>
          <cell r="AF13281">
            <v>0.2</v>
          </cell>
        </row>
        <row r="13282">
          <cell r="A13282" t="str">
            <v>IS_alqt_plus</v>
          </cell>
          <cell r="K13282" t="str">
            <v>EMON</v>
          </cell>
          <cell r="M13282" t="str">
            <v>M</v>
          </cell>
          <cell r="AB13282" t="str">
            <v>serum</v>
          </cell>
          <cell r="AF13282">
            <v>0.2</v>
          </cell>
        </row>
        <row r="13283">
          <cell r="A13283" t="str">
            <v>IS_alqt_plus</v>
          </cell>
          <cell r="K13283" t="str">
            <v>EMON</v>
          </cell>
          <cell r="M13283" t="str">
            <v>M</v>
          </cell>
          <cell r="AB13283" t="str">
            <v>serum</v>
          </cell>
          <cell r="AF13283">
            <v>0.2</v>
          </cell>
        </row>
        <row r="13284">
          <cell r="A13284" t="str">
            <v>IS_alqt_plus</v>
          </cell>
          <cell r="K13284" t="str">
            <v>EMON</v>
          </cell>
          <cell r="M13284" t="str">
            <v>M</v>
          </cell>
          <cell r="AB13284" t="str">
            <v>serum</v>
          </cell>
          <cell r="AF13284">
            <v>0.2</v>
          </cell>
        </row>
        <row r="13285">
          <cell r="A13285" t="str">
            <v>IS_alqt_plus</v>
          </cell>
          <cell r="K13285" t="str">
            <v>EMON</v>
          </cell>
          <cell r="M13285" t="str">
            <v>M</v>
          </cell>
          <cell r="AB13285" t="str">
            <v>serum</v>
          </cell>
          <cell r="AF13285">
            <v>0.2</v>
          </cell>
        </row>
        <row r="13286">
          <cell r="A13286" t="str">
            <v>IS_alqt_plus</v>
          </cell>
          <cell r="K13286" t="str">
            <v>EMON</v>
          </cell>
          <cell r="M13286" t="str">
            <v>M</v>
          </cell>
          <cell r="AB13286" t="str">
            <v>serum</v>
          </cell>
          <cell r="AF13286">
            <v>0.2</v>
          </cell>
        </row>
        <row r="13287">
          <cell r="A13287" t="str">
            <v>IS_alqt_plus</v>
          </cell>
          <cell r="K13287" t="str">
            <v>EMON</v>
          </cell>
          <cell r="M13287" t="str">
            <v>M</v>
          </cell>
          <cell r="AB13287" t="str">
            <v>serum</v>
          </cell>
          <cell r="AF13287">
            <v>0.2</v>
          </cell>
        </row>
        <row r="13288">
          <cell r="A13288" t="str">
            <v>IS_alqt_plus</v>
          </cell>
          <cell r="K13288" t="str">
            <v>MMUR</v>
          </cell>
          <cell r="M13288" t="str">
            <v>F</v>
          </cell>
          <cell r="AB13288" t="str">
            <v>plasma</v>
          </cell>
          <cell r="AF13288">
            <v>0.25</v>
          </cell>
        </row>
        <row r="13289">
          <cell r="A13289" t="str">
            <v>IS_alqt_minus</v>
          </cell>
          <cell r="K13289" t="str">
            <v>MMUR</v>
          </cell>
          <cell r="M13289" t="str">
            <v>F</v>
          </cell>
          <cell r="AB13289" t="str">
            <v>plasma</v>
          </cell>
          <cell r="AF13289">
            <v>8.7999999999999995E-2</v>
          </cell>
        </row>
        <row r="13290">
          <cell r="K13290" t="str">
            <v>MMUR</v>
          </cell>
          <cell r="M13290" t="str">
            <v>F</v>
          </cell>
          <cell r="AB13290" t="str">
            <v>PRBC</v>
          </cell>
        </row>
        <row r="13291">
          <cell r="K13291" t="str">
            <v>MMUR</v>
          </cell>
          <cell r="M13291" t="str">
            <v>F</v>
          </cell>
          <cell r="AB13291" t="str">
            <v>PRBC</v>
          </cell>
        </row>
        <row r="13292">
          <cell r="A13292" t="str">
            <v>IS_alqt_minus</v>
          </cell>
          <cell r="K13292" t="str">
            <v>MMUR</v>
          </cell>
          <cell r="M13292" t="str">
            <v>F</v>
          </cell>
          <cell r="AB13292" t="str">
            <v>WB</v>
          </cell>
          <cell r="AF13292">
            <v>0.4</v>
          </cell>
        </row>
        <row r="13293">
          <cell r="A13293" t="str">
            <v>IS_alqt_plus</v>
          </cell>
          <cell r="K13293" t="str">
            <v>PCOQ</v>
          </cell>
          <cell r="M13293" t="str">
            <v>M</v>
          </cell>
          <cell r="AB13293" t="str">
            <v>WB</v>
          </cell>
          <cell r="AF13293">
            <v>0.2</v>
          </cell>
        </row>
        <row r="13294">
          <cell r="A13294" t="str">
            <v>IS_alqt_plus</v>
          </cell>
          <cell r="K13294" t="str">
            <v>PCOQ</v>
          </cell>
          <cell r="M13294" t="str">
            <v>M</v>
          </cell>
          <cell r="AB13294" t="str">
            <v>WB</v>
          </cell>
          <cell r="AF13294">
            <v>0.2</v>
          </cell>
        </row>
        <row r="13295">
          <cell r="A13295" t="str">
            <v>IS_alqt_plus</v>
          </cell>
          <cell r="K13295" t="str">
            <v>PCOQ</v>
          </cell>
          <cell r="M13295" t="str">
            <v>M</v>
          </cell>
          <cell r="AB13295" t="str">
            <v>WB</v>
          </cell>
          <cell r="AF13295">
            <v>0.2</v>
          </cell>
        </row>
        <row r="13296">
          <cell r="A13296" t="str">
            <v>IS_alqt_plus</v>
          </cell>
          <cell r="K13296" t="str">
            <v>PCOQ</v>
          </cell>
          <cell r="M13296" t="str">
            <v>M</v>
          </cell>
          <cell r="AB13296" t="str">
            <v>WB</v>
          </cell>
          <cell r="AF13296">
            <v>0.2</v>
          </cell>
        </row>
        <row r="13297">
          <cell r="A13297" t="str">
            <v>IS_alqt_plus</v>
          </cell>
          <cell r="K13297" t="str">
            <v>PCOQ</v>
          </cell>
          <cell r="M13297" t="str">
            <v>M</v>
          </cell>
          <cell r="AB13297" t="str">
            <v>WB</v>
          </cell>
          <cell r="AF13297">
            <v>0.2</v>
          </cell>
        </row>
        <row r="13298">
          <cell r="A13298" t="str">
            <v>IS_alqt_plus</v>
          </cell>
          <cell r="K13298" t="str">
            <v>PCOQ</v>
          </cell>
          <cell r="M13298" t="str">
            <v>M</v>
          </cell>
          <cell r="AB13298" t="str">
            <v>WB</v>
          </cell>
          <cell r="AF13298">
            <v>0.2</v>
          </cell>
        </row>
        <row r="13299">
          <cell r="A13299" t="str">
            <v>IS_alqt_plus</v>
          </cell>
          <cell r="K13299" t="str">
            <v>PCOQ</v>
          </cell>
          <cell r="M13299" t="str">
            <v>M</v>
          </cell>
          <cell r="AB13299" t="str">
            <v>WB</v>
          </cell>
          <cell r="AF13299">
            <v>0.2</v>
          </cell>
        </row>
        <row r="13300">
          <cell r="A13300" t="str">
            <v>IS_alqt_plus</v>
          </cell>
          <cell r="K13300" t="str">
            <v>PCOQ</v>
          </cell>
          <cell r="M13300" t="str">
            <v>M</v>
          </cell>
          <cell r="AB13300" t="str">
            <v>WB</v>
          </cell>
          <cell r="AF13300">
            <v>0.2</v>
          </cell>
        </row>
        <row r="13301">
          <cell r="A13301" t="str">
            <v>IS_alqt_plus</v>
          </cell>
          <cell r="K13301" t="str">
            <v>PCOQ</v>
          </cell>
          <cell r="M13301" t="str">
            <v>M</v>
          </cell>
          <cell r="AB13301" t="str">
            <v>serum</v>
          </cell>
          <cell r="AF13301">
            <v>0.2</v>
          </cell>
        </row>
        <row r="13302">
          <cell r="A13302" t="str">
            <v>IS_alqt_plus</v>
          </cell>
          <cell r="K13302" t="str">
            <v>PCOQ</v>
          </cell>
          <cell r="M13302" t="str">
            <v>M</v>
          </cell>
          <cell r="AB13302" t="str">
            <v>serum</v>
          </cell>
          <cell r="AF13302">
            <v>0.2</v>
          </cell>
        </row>
        <row r="13303">
          <cell r="A13303" t="str">
            <v>IS_alqt_plus</v>
          </cell>
          <cell r="K13303" t="str">
            <v>PCOQ</v>
          </cell>
          <cell r="M13303" t="str">
            <v>M</v>
          </cell>
          <cell r="AB13303" t="str">
            <v>serum</v>
          </cell>
          <cell r="AF13303">
            <v>0.2</v>
          </cell>
        </row>
        <row r="13304">
          <cell r="A13304" t="str">
            <v>IS_alqt_plus</v>
          </cell>
          <cell r="K13304" t="str">
            <v>PCOQ</v>
          </cell>
          <cell r="M13304" t="str">
            <v>M</v>
          </cell>
          <cell r="AB13304" t="str">
            <v>serum</v>
          </cell>
          <cell r="AF13304">
            <v>0.2</v>
          </cell>
        </row>
        <row r="13305">
          <cell r="A13305" t="str">
            <v>IS_alqt_plus</v>
          </cell>
          <cell r="K13305" t="str">
            <v>PCOQ</v>
          </cell>
          <cell r="M13305" t="str">
            <v>M</v>
          </cell>
          <cell r="AB13305" t="str">
            <v>serum</v>
          </cell>
          <cell r="AF13305">
            <v>0.2</v>
          </cell>
        </row>
        <row r="13306">
          <cell r="A13306" t="str">
            <v>IS_alqt_plus</v>
          </cell>
          <cell r="K13306" t="str">
            <v>PCOQ</v>
          </cell>
          <cell r="M13306" t="str">
            <v>M</v>
          </cell>
          <cell r="AB13306" t="str">
            <v>serum</v>
          </cell>
          <cell r="AF13306">
            <v>0.2</v>
          </cell>
        </row>
        <row r="13307">
          <cell r="A13307" t="str">
            <v>gone</v>
          </cell>
          <cell r="K13307" t="str">
            <v>PCOQ</v>
          </cell>
          <cell r="M13307" t="str">
            <v>M</v>
          </cell>
          <cell r="AB13307" t="str">
            <v>WB</v>
          </cell>
          <cell r="AF13307">
            <v>0</v>
          </cell>
        </row>
        <row r="13308">
          <cell r="A13308" t="str">
            <v>gone</v>
          </cell>
          <cell r="K13308" t="str">
            <v>PCOQ</v>
          </cell>
          <cell r="M13308" t="str">
            <v>M</v>
          </cell>
          <cell r="AB13308" t="str">
            <v>WB</v>
          </cell>
          <cell r="AF13308">
            <v>0</v>
          </cell>
        </row>
        <row r="13309">
          <cell r="A13309" t="str">
            <v>IS_alqt_plus</v>
          </cell>
          <cell r="K13309" t="str">
            <v>PCOQ</v>
          </cell>
          <cell r="M13309" t="str">
            <v>M</v>
          </cell>
          <cell r="AB13309" t="str">
            <v>WB</v>
          </cell>
          <cell r="AF13309">
            <v>0.2</v>
          </cell>
        </row>
        <row r="13310">
          <cell r="A13310" t="str">
            <v>IS_alqt_plus</v>
          </cell>
          <cell r="K13310" t="str">
            <v>PCOQ</v>
          </cell>
          <cell r="M13310" t="str">
            <v>M</v>
          </cell>
          <cell r="AB13310" t="str">
            <v>WB</v>
          </cell>
          <cell r="AF13310">
            <v>0.2</v>
          </cell>
        </row>
        <row r="13311">
          <cell r="A13311" t="str">
            <v>gone</v>
          </cell>
          <cell r="K13311" t="str">
            <v>PCOQ</v>
          </cell>
          <cell r="M13311" t="str">
            <v>M</v>
          </cell>
          <cell r="AB13311" t="str">
            <v>WB</v>
          </cell>
          <cell r="AF13311">
            <v>0</v>
          </cell>
        </row>
        <row r="13312">
          <cell r="A13312" t="str">
            <v>gone</v>
          </cell>
          <cell r="K13312" t="str">
            <v>PCOQ</v>
          </cell>
          <cell r="M13312" t="str">
            <v>M</v>
          </cell>
          <cell r="AB13312" t="str">
            <v>WB</v>
          </cell>
          <cell r="AF13312">
            <v>0</v>
          </cell>
        </row>
        <row r="13313">
          <cell r="A13313" t="str">
            <v>IS_alqt_plus</v>
          </cell>
          <cell r="K13313" t="str">
            <v>PCOQ</v>
          </cell>
          <cell r="M13313" t="str">
            <v>M</v>
          </cell>
          <cell r="AB13313" t="str">
            <v>serum</v>
          </cell>
          <cell r="AF13313">
            <v>0.2</v>
          </cell>
        </row>
        <row r="13314">
          <cell r="A13314" t="str">
            <v>IS_alqt_plus</v>
          </cell>
          <cell r="K13314" t="str">
            <v>PCOQ</v>
          </cell>
          <cell r="M13314" t="str">
            <v>M</v>
          </cell>
          <cell r="AB13314" t="str">
            <v>serum</v>
          </cell>
          <cell r="AF13314">
            <v>0.2</v>
          </cell>
        </row>
        <row r="13315">
          <cell r="A13315" t="str">
            <v>IS_alqt_plus</v>
          </cell>
          <cell r="K13315" t="str">
            <v>PCOQ</v>
          </cell>
          <cell r="M13315" t="str">
            <v>M</v>
          </cell>
          <cell r="AB13315" t="str">
            <v>serum</v>
          </cell>
          <cell r="AF13315">
            <v>0.2</v>
          </cell>
        </row>
        <row r="13316">
          <cell r="A13316" t="str">
            <v>IS_alqt_plus</v>
          </cell>
          <cell r="K13316" t="str">
            <v>PCOQ</v>
          </cell>
          <cell r="M13316" t="str">
            <v>M</v>
          </cell>
          <cell r="AB13316" t="str">
            <v>serum</v>
          </cell>
          <cell r="AF13316">
            <v>0.2</v>
          </cell>
        </row>
        <row r="13317">
          <cell r="A13317" t="str">
            <v>IS_alqt_plus</v>
          </cell>
          <cell r="K13317" t="str">
            <v>PCOQ</v>
          </cell>
          <cell r="M13317" t="str">
            <v>M</v>
          </cell>
          <cell r="AB13317" t="str">
            <v>serum</v>
          </cell>
          <cell r="AF13317">
            <v>0.2</v>
          </cell>
        </row>
        <row r="13318">
          <cell r="A13318" t="str">
            <v>IS_alqt_plus</v>
          </cell>
          <cell r="K13318" t="str">
            <v>PCOQ</v>
          </cell>
          <cell r="M13318" t="str">
            <v>M</v>
          </cell>
          <cell r="AB13318" t="str">
            <v>serum</v>
          </cell>
          <cell r="AF13318">
            <v>0.2</v>
          </cell>
        </row>
        <row r="13319">
          <cell r="A13319" t="str">
            <v>IS_alqt_plus</v>
          </cell>
          <cell r="K13319" t="str">
            <v>PCOQ</v>
          </cell>
          <cell r="M13319" t="str">
            <v>M</v>
          </cell>
          <cell r="AB13319" t="str">
            <v>serum</v>
          </cell>
          <cell r="AF13319">
            <v>0.2</v>
          </cell>
        </row>
        <row r="13320">
          <cell r="A13320" t="str">
            <v>IS_alqt_plus</v>
          </cell>
          <cell r="K13320" t="str">
            <v>DMAD</v>
          </cell>
          <cell r="M13320" t="str">
            <v>F</v>
          </cell>
          <cell r="AB13320" t="str">
            <v>serum</v>
          </cell>
          <cell r="AF13320">
            <v>0.2</v>
          </cell>
        </row>
        <row r="13321">
          <cell r="A13321" t="str">
            <v>IS_alqt_plus</v>
          </cell>
          <cell r="K13321" t="str">
            <v>DMAD</v>
          </cell>
          <cell r="M13321" t="str">
            <v>F</v>
          </cell>
          <cell r="AB13321" t="str">
            <v>serum</v>
          </cell>
          <cell r="AF13321">
            <v>0.2</v>
          </cell>
        </row>
        <row r="13322">
          <cell r="A13322" t="str">
            <v>IS_alqt_plus</v>
          </cell>
          <cell r="K13322" t="str">
            <v>MMUR</v>
          </cell>
          <cell r="M13322" t="str">
            <v>F</v>
          </cell>
          <cell r="AB13322" t="str">
            <v>WB</v>
          </cell>
          <cell r="AF13322">
            <v>0.2</v>
          </cell>
        </row>
        <row r="13323">
          <cell r="A13323" t="str">
            <v>IS_alqt_plus</v>
          </cell>
          <cell r="K13323" t="str">
            <v>MMUR</v>
          </cell>
          <cell r="M13323" t="str">
            <v>F</v>
          </cell>
          <cell r="AB13323" t="str">
            <v>WB</v>
          </cell>
          <cell r="AF13323">
            <v>0.2</v>
          </cell>
        </row>
        <row r="13324">
          <cell r="A13324" t="str">
            <v>IS_alqt_plus</v>
          </cell>
          <cell r="K13324" t="str">
            <v>MMUR</v>
          </cell>
          <cell r="M13324" t="str">
            <v>F</v>
          </cell>
          <cell r="AB13324" t="str">
            <v>WB</v>
          </cell>
          <cell r="AF13324">
            <v>0.2</v>
          </cell>
        </row>
        <row r="13325">
          <cell r="A13325" t="str">
            <v>IS_alqt_plus</v>
          </cell>
          <cell r="K13325" t="str">
            <v>MMUR</v>
          </cell>
          <cell r="M13325" t="str">
            <v>F</v>
          </cell>
          <cell r="AB13325" t="str">
            <v>WB</v>
          </cell>
          <cell r="AF13325">
            <v>0.2</v>
          </cell>
        </row>
        <row r="13326">
          <cell r="A13326" t="str">
            <v>IS_alqt_plus</v>
          </cell>
          <cell r="K13326" t="str">
            <v>MMUR</v>
          </cell>
          <cell r="M13326" t="str">
            <v>F</v>
          </cell>
          <cell r="AB13326" t="str">
            <v>WB</v>
          </cell>
          <cell r="AF13326">
            <v>0.2</v>
          </cell>
        </row>
        <row r="13327">
          <cell r="A13327" t="str">
            <v>IS_alqt_plus</v>
          </cell>
          <cell r="K13327" t="str">
            <v>MMUR</v>
          </cell>
          <cell r="M13327" t="str">
            <v>F</v>
          </cell>
          <cell r="AB13327" t="str">
            <v>WB</v>
          </cell>
          <cell r="AF13327">
            <v>0.2</v>
          </cell>
        </row>
        <row r="13328">
          <cell r="A13328" t="str">
            <v>IS_alqt_plus</v>
          </cell>
          <cell r="K13328" t="str">
            <v>MMUR</v>
          </cell>
          <cell r="M13328" t="str">
            <v>F</v>
          </cell>
          <cell r="AB13328" t="str">
            <v>WB</v>
          </cell>
          <cell r="AF13328">
            <v>0.2</v>
          </cell>
        </row>
        <row r="13329">
          <cell r="A13329" t="str">
            <v>IS_alqt_plus</v>
          </cell>
          <cell r="K13329" t="str">
            <v>MMUR</v>
          </cell>
          <cell r="M13329" t="str">
            <v>F</v>
          </cell>
          <cell r="AB13329" t="str">
            <v>WB</v>
          </cell>
          <cell r="AF13329">
            <v>0.2</v>
          </cell>
        </row>
        <row r="13330">
          <cell r="A13330" t="str">
            <v>IS_alqt_plus</v>
          </cell>
          <cell r="K13330" t="str">
            <v>MMUR</v>
          </cell>
          <cell r="M13330" t="str">
            <v>F</v>
          </cell>
          <cell r="AB13330" t="str">
            <v>WB</v>
          </cell>
          <cell r="AF13330">
            <v>0.2</v>
          </cell>
        </row>
        <row r="13331">
          <cell r="A13331" t="str">
            <v>IS_alqt_plus</v>
          </cell>
          <cell r="K13331" t="str">
            <v>MMUR</v>
          </cell>
          <cell r="M13331" t="str">
            <v>F</v>
          </cell>
          <cell r="AB13331" t="str">
            <v>WB</v>
          </cell>
          <cell r="AF13331">
            <v>0.2</v>
          </cell>
        </row>
        <row r="13332">
          <cell r="A13332" t="str">
            <v>IS_alqt_plus</v>
          </cell>
          <cell r="K13332" t="str">
            <v>DMAD</v>
          </cell>
          <cell r="M13332" t="str">
            <v>F</v>
          </cell>
          <cell r="AB13332" t="str">
            <v>WB</v>
          </cell>
          <cell r="AF13332">
            <v>0.2</v>
          </cell>
        </row>
        <row r="13333">
          <cell r="A13333" t="str">
            <v>IS_alqt_plus</v>
          </cell>
          <cell r="K13333" t="str">
            <v>DMAD</v>
          </cell>
          <cell r="M13333" t="str">
            <v>F</v>
          </cell>
          <cell r="AB13333" t="str">
            <v>WB</v>
          </cell>
          <cell r="AF13333">
            <v>0.2</v>
          </cell>
        </row>
        <row r="13334">
          <cell r="A13334" t="str">
            <v>IS_alqt_plus</v>
          </cell>
          <cell r="K13334" t="str">
            <v>DMAD</v>
          </cell>
          <cell r="M13334" t="str">
            <v>F</v>
          </cell>
          <cell r="AB13334" t="str">
            <v>WB</v>
          </cell>
          <cell r="AF13334">
            <v>0.2</v>
          </cell>
        </row>
        <row r="13335">
          <cell r="A13335" t="str">
            <v>IS_alqt_plus</v>
          </cell>
          <cell r="K13335" t="str">
            <v>DMAD</v>
          </cell>
          <cell r="M13335" t="str">
            <v>F</v>
          </cell>
          <cell r="AB13335" t="str">
            <v>WB</v>
          </cell>
          <cell r="AF13335">
            <v>0.2</v>
          </cell>
        </row>
        <row r="13336">
          <cell r="A13336" t="str">
            <v>IS_alqt_plus</v>
          </cell>
          <cell r="K13336" t="str">
            <v>DMAD</v>
          </cell>
          <cell r="M13336" t="str">
            <v>F</v>
          </cell>
          <cell r="AB13336" t="str">
            <v>serum</v>
          </cell>
          <cell r="AF13336">
            <v>0.2</v>
          </cell>
        </row>
        <row r="13337">
          <cell r="A13337" t="str">
            <v>IS_alqt_plus</v>
          </cell>
          <cell r="K13337" t="str">
            <v>DMAD</v>
          </cell>
          <cell r="M13337" t="str">
            <v>F</v>
          </cell>
          <cell r="AB13337" t="str">
            <v>serum</v>
          </cell>
          <cell r="AF13337">
            <v>0.2</v>
          </cell>
        </row>
        <row r="13338">
          <cell r="A13338" t="str">
            <v>IS_alqt_plus</v>
          </cell>
          <cell r="K13338" t="str">
            <v>DMAD</v>
          </cell>
          <cell r="M13338" t="str">
            <v>F</v>
          </cell>
          <cell r="AB13338" t="str">
            <v>serum</v>
          </cell>
          <cell r="AF13338">
            <v>0.2</v>
          </cell>
        </row>
        <row r="13339">
          <cell r="A13339" t="str">
            <v>IS_alqt_plus</v>
          </cell>
          <cell r="K13339" t="str">
            <v>DMAD</v>
          </cell>
          <cell r="M13339" t="str">
            <v>F</v>
          </cell>
          <cell r="AB13339" t="str">
            <v>WB</v>
          </cell>
          <cell r="AF13339">
            <v>0.2</v>
          </cell>
        </row>
        <row r="13340">
          <cell r="A13340" t="str">
            <v>IS_alqt_plus</v>
          </cell>
          <cell r="K13340" t="str">
            <v>DMAD</v>
          </cell>
          <cell r="M13340" t="str">
            <v>F</v>
          </cell>
          <cell r="AB13340" t="str">
            <v>WB</v>
          </cell>
          <cell r="AF13340">
            <v>0.2</v>
          </cell>
        </row>
        <row r="13341">
          <cell r="A13341" t="str">
            <v>IS_alqt_plus</v>
          </cell>
          <cell r="K13341" t="str">
            <v>DMAD</v>
          </cell>
          <cell r="M13341" t="str">
            <v>F</v>
          </cell>
          <cell r="AB13341" t="str">
            <v>WB</v>
          </cell>
          <cell r="AF13341">
            <v>0.2</v>
          </cell>
        </row>
        <row r="13342">
          <cell r="A13342" t="str">
            <v>IS_alqt_plus</v>
          </cell>
          <cell r="K13342" t="str">
            <v>DMAD</v>
          </cell>
          <cell r="M13342" t="str">
            <v>F</v>
          </cell>
          <cell r="AB13342" t="str">
            <v>WB</v>
          </cell>
          <cell r="AF13342">
            <v>0.2</v>
          </cell>
        </row>
        <row r="13343">
          <cell r="A13343" t="str">
            <v>IS_alqt_plus</v>
          </cell>
          <cell r="K13343" t="str">
            <v>DMAD</v>
          </cell>
          <cell r="M13343" t="str">
            <v>F</v>
          </cell>
          <cell r="AB13343" t="str">
            <v>WB</v>
          </cell>
          <cell r="AF13343">
            <v>0.2</v>
          </cell>
        </row>
        <row r="13344">
          <cell r="A13344" t="str">
            <v>IS_alqt_plus</v>
          </cell>
          <cell r="K13344" t="str">
            <v>DMAD</v>
          </cell>
          <cell r="M13344" t="str">
            <v>F</v>
          </cell>
          <cell r="AB13344" t="str">
            <v>WB</v>
          </cell>
          <cell r="AF13344">
            <v>0.2</v>
          </cell>
        </row>
        <row r="13345">
          <cell r="A13345" t="str">
            <v>IS_alqt_plus</v>
          </cell>
          <cell r="K13345" t="str">
            <v>DMAD</v>
          </cell>
          <cell r="M13345" t="str">
            <v>F</v>
          </cell>
          <cell r="AB13345" t="str">
            <v>serum</v>
          </cell>
          <cell r="AF13345">
            <v>0.2</v>
          </cell>
        </row>
        <row r="13346">
          <cell r="A13346" t="str">
            <v>IS_alqt_plus</v>
          </cell>
          <cell r="K13346" t="str">
            <v>DMAD</v>
          </cell>
          <cell r="M13346" t="str">
            <v>F</v>
          </cell>
          <cell r="AB13346" t="str">
            <v>serum</v>
          </cell>
          <cell r="AF13346">
            <v>0.2</v>
          </cell>
        </row>
        <row r="13347">
          <cell r="A13347" t="str">
            <v>IS_alqt_plus</v>
          </cell>
          <cell r="K13347" t="str">
            <v>DMAD</v>
          </cell>
          <cell r="M13347" t="str">
            <v>F</v>
          </cell>
          <cell r="AB13347" t="str">
            <v>serum</v>
          </cell>
          <cell r="AF13347">
            <v>0.2</v>
          </cell>
        </row>
        <row r="13348">
          <cell r="A13348" t="str">
            <v>IS_alqt_plus</v>
          </cell>
          <cell r="K13348" t="str">
            <v>PCOQ</v>
          </cell>
          <cell r="M13348" t="str">
            <v>M</v>
          </cell>
          <cell r="AB13348" t="str">
            <v>WB</v>
          </cell>
          <cell r="AF13348">
            <v>0.2</v>
          </cell>
        </row>
        <row r="13349">
          <cell r="A13349" t="str">
            <v>IS_alqt_plus</v>
          </cell>
          <cell r="K13349" t="str">
            <v>PCOQ</v>
          </cell>
          <cell r="M13349" t="str">
            <v>M</v>
          </cell>
          <cell r="AB13349" t="str">
            <v>WB</v>
          </cell>
          <cell r="AF13349">
            <v>0.2</v>
          </cell>
        </row>
        <row r="13350">
          <cell r="A13350" t="str">
            <v>IS_alqt_plus</v>
          </cell>
          <cell r="K13350" t="str">
            <v>PCOQ</v>
          </cell>
          <cell r="M13350" t="str">
            <v>M</v>
          </cell>
          <cell r="AB13350" t="str">
            <v>WB</v>
          </cell>
          <cell r="AF13350">
            <v>0.2</v>
          </cell>
        </row>
        <row r="13351">
          <cell r="A13351" t="str">
            <v>IS_alqt_plus</v>
          </cell>
          <cell r="K13351" t="str">
            <v>PCOQ</v>
          </cell>
          <cell r="M13351" t="str">
            <v>M</v>
          </cell>
          <cell r="AB13351" t="str">
            <v>WB</v>
          </cell>
          <cell r="AF13351">
            <v>0.2</v>
          </cell>
        </row>
        <row r="13352">
          <cell r="A13352" t="str">
            <v>gone</v>
          </cell>
          <cell r="K13352" t="str">
            <v>PCOQ</v>
          </cell>
          <cell r="M13352" t="str">
            <v>M</v>
          </cell>
          <cell r="AB13352" t="str">
            <v>WB</v>
          </cell>
          <cell r="AF13352">
            <v>0</v>
          </cell>
        </row>
        <row r="13353">
          <cell r="A13353" t="str">
            <v>gone</v>
          </cell>
          <cell r="K13353" t="str">
            <v>PCOQ</v>
          </cell>
          <cell r="M13353" t="str">
            <v>M</v>
          </cell>
          <cell r="AB13353" t="str">
            <v>WB</v>
          </cell>
          <cell r="AF13353">
            <v>0</v>
          </cell>
        </row>
        <row r="13354">
          <cell r="A13354" t="str">
            <v>IS_alqt_plus</v>
          </cell>
          <cell r="K13354" t="str">
            <v>PCOQ</v>
          </cell>
          <cell r="M13354" t="str">
            <v>M</v>
          </cell>
          <cell r="AB13354" t="str">
            <v>serum</v>
          </cell>
          <cell r="AF13354">
            <v>0.2</v>
          </cell>
        </row>
        <row r="13355">
          <cell r="A13355" t="str">
            <v>IS_alqt_plus</v>
          </cell>
          <cell r="K13355" t="str">
            <v>PCOQ</v>
          </cell>
          <cell r="M13355" t="str">
            <v>M</v>
          </cell>
          <cell r="AB13355" t="str">
            <v>serum</v>
          </cell>
          <cell r="AF13355">
            <v>0.2</v>
          </cell>
        </row>
        <row r="13356">
          <cell r="A13356" t="str">
            <v>IS_alqt_plus</v>
          </cell>
          <cell r="K13356" t="str">
            <v>PCOQ</v>
          </cell>
          <cell r="M13356" t="str">
            <v>M</v>
          </cell>
          <cell r="AB13356" t="str">
            <v>serum</v>
          </cell>
          <cell r="AF13356">
            <v>0.2</v>
          </cell>
        </row>
        <row r="13357">
          <cell r="A13357" t="str">
            <v>IS_alqt_plus</v>
          </cell>
          <cell r="K13357" t="str">
            <v>PCOQ</v>
          </cell>
          <cell r="M13357" t="str">
            <v>M</v>
          </cell>
          <cell r="AB13357" t="str">
            <v>serum</v>
          </cell>
          <cell r="AF13357">
            <v>0.2</v>
          </cell>
        </row>
        <row r="13358">
          <cell r="A13358" t="str">
            <v>IS_alqt_plus</v>
          </cell>
          <cell r="K13358" t="str">
            <v>PCOQ</v>
          </cell>
          <cell r="M13358" t="str">
            <v>M</v>
          </cell>
          <cell r="AB13358" t="str">
            <v>serum</v>
          </cell>
          <cell r="AF13358">
            <v>0.2</v>
          </cell>
        </row>
        <row r="13359">
          <cell r="A13359" t="str">
            <v>IS_alqt_plus</v>
          </cell>
          <cell r="K13359" t="str">
            <v>PCOQ</v>
          </cell>
          <cell r="M13359" t="str">
            <v>M</v>
          </cell>
          <cell r="AB13359" t="str">
            <v>serum</v>
          </cell>
          <cell r="AF13359">
            <v>0.2</v>
          </cell>
        </row>
        <row r="13360">
          <cell r="A13360" t="str">
            <v>IS_alqt_plus</v>
          </cell>
          <cell r="K13360" t="str">
            <v>PCOQ</v>
          </cell>
          <cell r="M13360" t="str">
            <v>F</v>
          </cell>
          <cell r="AB13360" t="str">
            <v>serum</v>
          </cell>
          <cell r="AF13360">
            <v>0.2</v>
          </cell>
        </row>
        <row r="13361">
          <cell r="A13361" t="str">
            <v>gone</v>
          </cell>
          <cell r="K13361" t="str">
            <v>PCOQ</v>
          </cell>
          <cell r="M13361" t="str">
            <v>F</v>
          </cell>
          <cell r="AB13361" t="str">
            <v>WB</v>
          </cell>
          <cell r="AF13361">
            <v>0</v>
          </cell>
        </row>
        <row r="13362">
          <cell r="A13362" t="str">
            <v>gone</v>
          </cell>
          <cell r="K13362" t="str">
            <v>PCOQ</v>
          </cell>
          <cell r="M13362" t="str">
            <v>F</v>
          </cell>
          <cell r="AB13362" t="str">
            <v>WB</v>
          </cell>
          <cell r="AF13362">
            <v>0</v>
          </cell>
        </row>
        <row r="13363">
          <cell r="A13363" t="str">
            <v>IS_alqt_plus</v>
          </cell>
          <cell r="K13363" t="str">
            <v>PCOQ</v>
          </cell>
          <cell r="M13363" t="str">
            <v>F</v>
          </cell>
          <cell r="AB13363" t="str">
            <v>WB</v>
          </cell>
          <cell r="AF13363">
            <v>0.2</v>
          </cell>
        </row>
        <row r="13364">
          <cell r="A13364" t="str">
            <v>IS_alqt_plus</v>
          </cell>
          <cell r="K13364" t="str">
            <v>PCOQ</v>
          </cell>
          <cell r="M13364" t="str">
            <v>F</v>
          </cell>
          <cell r="AB13364" t="str">
            <v>WB</v>
          </cell>
          <cell r="AF13364">
            <v>0.2</v>
          </cell>
        </row>
        <row r="13365">
          <cell r="A13365" t="str">
            <v>IS_alqt_plus</v>
          </cell>
          <cell r="K13365" t="str">
            <v>PCOQ</v>
          </cell>
          <cell r="M13365" t="str">
            <v>F</v>
          </cell>
          <cell r="AB13365" t="str">
            <v>WB</v>
          </cell>
          <cell r="AF13365">
            <v>0.2</v>
          </cell>
        </row>
        <row r="13366">
          <cell r="A13366" t="str">
            <v>IS_alqt_plus</v>
          </cell>
          <cell r="K13366" t="str">
            <v>PCOQ</v>
          </cell>
          <cell r="M13366" t="str">
            <v>F</v>
          </cell>
          <cell r="AB13366" t="str">
            <v>WB</v>
          </cell>
          <cell r="AF13366">
            <v>0.2</v>
          </cell>
        </row>
        <row r="13367">
          <cell r="A13367" t="str">
            <v>IS_alqt_plus</v>
          </cell>
          <cell r="K13367" t="str">
            <v>PCOQ</v>
          </cell>
          <cell r="M13367" t="str">
            <v>F</v>
          </cell>
          <cell r="AB13367" t="str">
            <v>serum</v>
          </cell>
          <cell r="AF13367">
            <v>0.2</v>
          </cell>
        </row>
        <row r="13368">
          <cell r="A13368" t="str">
            <v>IS_alqt_plus</v>
          </cell>
          <cell r="K13368" t="str">
            <v>PCOQ</v>
          </cell>
          <cell r="M13368" t="str">
            <v>F</v>
          </cell>
          <cell r="AB13368" t="str">
            <v>serum</v>
          </cell>
          <cell r="AF13368">
            <v>0.2</v>
          </cell>
        </row>
        <row r="13369">
          <cell r="A13369" t="str">
            <v>IS_alqt_plus</v>
          </cell>
          <cell r="K13369" t="str">
            <v>PCOQ</v>
          </cell>
          <cell r="M13369" t="str">
            <v>F</v>
          </cell>
          <cell r="AB13369" t="str">
            <v>serum</v>
          </cell>
          <cell r="AF13369">
            <v>0.2</v>
          </cell>
        </row>
        <row r="13370">
          <cell r="A13370" t="str">
            <v>IS_alqt_plus</v>
          </cell>
          <cell r="K13370" t="str">
            <v>PCOQ</v>
          </cell>
          <cell r="M13370" t="str">
            <v>F</v>
          </cell>
          <cell r="AB13370" t="str">
            <v>serum</v>
          </cell>
          <cell r="AF13370">
            <v>0.2</v>
          </cell>
        </row>
        <row r="13371">
          <cell r="A13371" t="str">
            <v>IS_alqt_plus</v>
          </cell>
          <cell r="K13371" t="str">
            <v>PCOQ</v>
          </cell>
          <cell r="M13371" t="str">
            <v>F</v>
          </cell>
          <cell r="AB13371" t="str">
            <v>serum</v>
          </cell>
          <cell r="AF13371">
            <v>0.2</v>
          </cell>
        </row>
        <row r="13372">
          <cell r="A13372" t="str">
            <v>IS_alqt_plus</v>
          </cell>
          <cell r="K13372" t="str">
            <v>PCOQ</v>
          </cell>
          <cell r="M13372" t="str">
            <v>F</v>
          </cell>
          <cell r="AB13372" t="str">
            <v>serum</v>
          </cell>
          <cell r="AF13372">
            <v>0.2</v>
          </cell>
        </row>
        <row r="13373">
          <cell r="A13373" t="str">
            <v>IS_alqt_plus</v>
          </cell>
          <cell r="K13373" t="str">
            <v>PCOQ</v>
          </cell>
          <cell r="M13373" t="str">
            <v>F</v>
          </cell>
          <cell r="AB13373" t="str">
            <v>WB</v>
          </cell>
          <cell r="AF13373">
            <v>0.2</v>
          </cell>
        </row>
        <row r="13374">
          <cell r="A13374" t="str">
            <v>IS_alqt_plus</v>
          </cell>
          <cell r="K13374" t="str">
            <v>LCAT</v>
          </cell>
          <cell r="M13374" t="str">
            <v>M</v>
          </cell>
          <cell r="AB13374" t="str">
            <v>serum</v>
          </cell>
          <cell r="AF13374">
            <v>1</v>
          </cell>
        </row>
        <row r="13375">
          <cell r="A13375" t="str">
            <v>IS_alqt_plus</v>
          </cell>
          <cell r="K13375" t="str">
            <v>MMUR</v>
          </cell>
          <cell r="M13375" t="str">
            <v>F</v>
          </cell>
          <cell r="AB13375" t="str">
            <v>PRBC</v>
          </cell>
          <cell r="AF13375">
            <v>0.2</v>
          </cell>
        </row>
        <row r="13376">
          <cell r="A13376" t="str">
            <v>IS_alqt_plus</v>
          </cell>
          <cell r="K13376" t="str">
            <v>MMUR</v>
          </cell>
          <cell r="M13376" t="str">
            <v>F</v>
          </cell>
          <cell r="AB13376" t="str">
            <v>PRBC</v>
          </cell>
          <cell r="AF13376">
            <v>0.23</v>
          </cell>
        </row>
        <row r="13377">
          <cell r="A13377" t="str">
            <v>IS_alqt_minus</v>
          </cell>
          <cell r="K13377" t="str">
            <v>MMUR</v>
          </cell>
          <cell r="M13377" t="str">
            <v>F</v>
          </cell>
          <cell r="AB13377" t="str">
            <v>Plasma</v>
          </cell>
          <cell r="AF13377">
            <v>0.08</v>
          </cell>
        </row>
        <row r="13378">
          <cell r="A13378" t="str">
            <v>IS_alqt_plus</v>
          </cell>
          <cell r="K13378" t="str">
            <v>MMUR</v>
          </cell>
          <cell r="M13378" t="str">
            <v>F</v>
          </cell>
          <cell r="AB13378" t="str">
            <v>WB</v>
          </cell>
          <cell r="AF13378">
            <v>0.45</v>
          </cell>
        </row>
        <row r="13379">
          <cell r="A13379" t="str">
            <v>IS_alqt_plus</v>
          </cell>
          <cell r="K13379" t="str">
            <v>MMUR</v>
          </cell>
          <cell r="M13379" t="str">
            <v>F</v>
          </cell>
          <cell r="AB13379" t="str">
            <v>WB</v>
          </cell>
          <cell r="AF13379">
            <v>0.3</v>
          </cell>
        </row>
        <row r="13380">
          <cell r="A13380" t="str">
            <v>IS_alqt_minus</v>
          </cell>
          <cell r="K13380" t="str">
            <v>MMUR</v>
          </cell>
          <cell r="M13380" t="str">
            <v>M</v>
          </cell>
          <cell r="AB13380" t="str">
            <v>WB</v>
          </cell>
          <cell r="AF13380">
            <v>0.1</v>
          </cell>
        </row>
        <row r="13381">
          <cell r="A13381" t="str">
            <v>IS_alqt_plus</v>
          </cell>
          <cell r="K13381" t="str">
            <v>MMUR</v>
          </cell>
          <cell r="M13381" t="str">
            <v>F</v>
          </cell>
          <cell r="AB13381" t="str">
            <v>WB</v>
          </cell>
          <cell r="AF13381">
            <v>0.55000000000000004</v>
          </cell>
        </row>
        <row r="13382">
          <cell r="A13382" t="str">
            <v>IS_alqt_plus</v>
          </cell>
          <cell r="K13382" t="str">
            <v>MMUR</v>
          </cell>
          <cell r="M13382" t="str">
            <v>F</v>
          </cell>
          <cell r="AB13382" t="str">
            <v>WB</v>
          </cell>
          <cell r="AF13382">
            <v>0.48</v>
          </cell>
        </row>
        <row r="13383">
          <cell r="A13383" t="str">
            <v>IS_alqt_plus</v>
          </cell>
          <cell r="K13383" t="str">
            <v>LCAT</v>
          </cell>
          <cell r="M13383" t="str">
            <v>F</v>
          </cell>
          <cell r="AB13383" t="str">
            <v>WB</v>
          </cell>
          <cell r="AF13383">
            <v>0.4</v>
          </cell>
        </row>
        <row r="13384">
          <cell r="A13384" t="str">
            <v>IS_alqt_plus</v>
          </cell>
          <cell r="K13384" t="str">
            <v>LCAT</v>
          </cell>
          <cell r="M13384" t="str">
            <v>F</v>
          </cell>
          <cell r="AB13384" t="str">
            <v>WB</v>
          </cell>
          <cell r="AF13384">
            <v>0.4</v>
          </cell>
        </row>
        <row r="13385">
          <cell r="A13385" t="str">
            <v>IS_alqt_plus</v>
          </cell>
          <cell r="K13385" t="str">
            <v>LCAT</v>
          </cell>
          <cell r="M13385" t="str">
            <v>F</v>
          </cell>
          <cell r="AB13385" t="str">
            <v>WB</v>
          </cell>
          <cell r="AF13385">
            <v>0.2</v>
          </cell>
        </row>
        <row r="13386">
          <cell r="A13386" t="str">
            <v>IS_alqt_plus</v>
          </cell>
          <cell r="K13386" t="str">
            <v>LCAT</v>
          </cell>
          <cell r="M13386" t="str">
            <v>F</v>
          </cell>
          <cell r="AB13386" t="str">
            <v>WB</v>
          </cell>
          <cell r="AF13386">
            <v>0.2</v>
          </cell>
        </row>
        <row r="13387">
          <cell r="A13387" t="str">
            <v>IS_alqt_plus</v>
          </cell>
          <cell r="K13387" t="str">
            <v>LCAT</v>
          </cell>
          <cell r="M13387" t="str">
            <v>F</v>
          </cell>
          <cell r="AB13387" t="str">
            <v>serum</v>
          </cell>
          <cell r="AF13387">
            <v>0.2</v>
          </cell>
        </row>
        <row r="13388">
          <cell r="A13388" t="str">
            <v>IS_alqt_plus</v>
          </cell>
          <cell r="K13388" t="str">
            <v>LCAT</v>
          </cell>
          <cell r="M13388" t="str">
            <v>F</v>
          </cell>
          <cell r="AB13388" t="str">
            <v>serum</v>
          </cell>
          <cell r="AF13388">
            <v>0.2</v>
          </cell>
        </row>
        <row r="13389">
          <cell r="A13389" t="str">
            <v>IS_alqt_plus</v>
          </cell>
          <cell r="K13389" t="str">
            <v>LCAT</v>
          </cell>
          <cell r="M13389" t="str">
            <v>F</v>
          </cell>
          <cell r="AB13389" t="str">
            <v>serum</v>
          </cell>
          <cell r="AF13389">
            <v>0.2</v>
          </cell>
        </row>
        <row r="13390">
          <cell r="A13390" t="str">
            <v>IS_alqt_plus</v>
          </cell>
          <cell r="K13390" t="str">
            <v>MMUR</v>
          </cell>
          <cell r="M13390" t="str">
            <v>F</v>
          </cell>
          <cell r="AB13390" t="str">
            <v>WB</v>
          </cell>
          <cell r="AF13390">
            <v>0.3</v>
          </cell>
        </row>
        <row r="13391">
          <cell r="A13391" t="str">
            <v>gone</v>
          </cell>
          <cell r="K13391" t="str">
            <v>DMAD</v>
          </cell>
          <cell r="M13391" t="str">
            <v>M</v>
          </cell>
          <cell r="AB13391" t="str">
            <v>WB</v>
          </cell>
          <cell r="AF13391">
            <v>0</v>
          </cell>
        </row>
        <row r="13392">
          <cell r="A13392" t="str">
            <v>gone</v>
          </cell>
          <cell r="K13392" t="str">
            <v>DMAD</v>
          </cell>
          <cell r="M13392" t="str">
            <v>M</v>
          </cell>
          <cell r="AB13392" t="str">
            <v>WB</v>
          </cell>
          <cell r="AF13392">
            <v>0</v>
          </cell>
        </row>
        <row r="13393">
          <cell r="A13393" t="str">
            <v>IS_alqt_plus</v>
          </cell>
          <cell r="K13393" t="str">
            <v>DMAD</v>
          </cell>
          <cell r="M13393" t="str">
            <v>M</v>
          </cell>
          <cell r="AB13393" t="str">
            <v>WB</v>
          </cell>
          <cell r="AF13393">
            <v>0.2</v>
          </cell>
        </row>
        <row r="13394">
          <cell r="A13394" t="str">
            <v>IS_alqt_plus</v>
          </cell>
          <cell r="K13394" t="str">
            <v>DMAD</v>
          </cell>
          <cell r="M13394" t="str">
            <v>M</v>
          </cell>
          <cell r="AB13394" t="str">
            <v>WB</v>
          </cell>
          <cell r="AF13394">
            <v>0.2</v>
          </cell>
        </row>
        <row r="13395">
          <cell r="A13395" t="str">
            <v>IS_alqt_plus</v>
          </cell>
          <cell r="K13395" t="str">
            <v>DMAD</v>
          </cell>
          <cell r="M13395" t="str">
            <v>M</v>
          </cell>
          <cell r="AB13395" t="str">
            <v>WB</v>
          </cell>
          <cell r="AF13395">
            <v>0.2</v>
          </cell>
        </row>
        <row r="13396">
          <cell r="A13396" t="str">
            <v>gone</v>
          </cell>
          <cell r="K13396" t="str">
            <v>DMAD</v>
          </cell>
          <cell r="M13396" t="str">
            <v>M</v>
          </cell>
          <cell r="AB13396" t="str">
            <v>WB</v>
          </cell>
          <cell r="AF13396">
            <v>0</v>
          </cell>
        </row>
        <row r="13397">
          <cell r="A13397" t="str">
            <v>gone</v>
          </cell>
          <cell r="K13397" t="str">
            <v>DMAD</v>
          </cell>
          <cell r="M13397" t="str">
            <v>M</v>
          </cell>
          <cell r="AB13397" t="str">
            <v>WB</v>
          </cell>
          <cell r="AF13397">
            <v>0</v>
          </cell>
        </row>
        <row r="13398">
          <cell r="A13398" t="str">
            <v>gone</v>
          </cell>
          <cell r="K13398" t="str">
            <v>DMAD</v>
          </cell>
          <cell r="M13398" t="str">
            <v>M</v>
          </cell>
          <cell r="AB13398" t="str">
            <v>WB</v>
          </cell>
          <cell r="AF13398">
            <v>0</v>
          </cell>
        </row>
        <row r="13399">
          <cell r="A13399" t="str">
            <v>gone</v>
          </cell>
          <cell r="K13399" t="str">
            <v>DMAD</v>
          </cell>
          <cell r="M13399" t="str">
            <v>M</v>
          </cell>
          <cell r="AB13399" t="str">
            <v>WB</v>
          </cell>
          <cell r="AF13399">
            <v>0</v>
          </cell>
        </row>
        <row r="13400">
          <cell r="A13400" t="str">
            <v>IS_alqt_plus</v>
          </cell>
          <cell r="K13400" t="str">
            <v>PCOQ</v>
          </cell>
          <cell r="M13400" t="str">
            <v>M</v>
          </cell>
          <cell r="AB13400" t="str">
            <v>serum</v>
          </cell>
          <cell r="AF13400">
            <v>0.2</v>
          </cell>
        </row>
        <row r="13401">
          <cell r="A13401" t="str">
            <v>IS_alqt_plus</v>
          </cell>
          <cell r="K13401" t="str">
            <v>PCOQ</v>
          </cell>
          <cell r="M13401" t="str">
            <v>M</v>
          </cell>
          <cell r="AB13401" t="str">
            <v>serum</v>
          </cell>
          <cell r="AF13401">
            <v>0.2</v>
          </cell>
        </row>
        <row r="13402">
          <cell r="A13402" t="str">
            <v>IS_alqt_plus</v>
          </cell>
          <cell r="K13402" t="str">
            <v>PCOQ</v>
          </cell>
          <cell r="M13402" t="str">
            <v>M</v>
          </cell>
          <cell r="AB13402" t="str">
            <v>serum</v>
          </cell>
          <cell r="AF13402">
            <v>0.2</v>
          </cell>
        </row>
        <row r="13403">
          <cell r="A13403" t="str">
            <v>IS_alqt_plus</v>
          </cell>
          <cell r="K13403" t="str">
            <v>PCOQ</v>
          </cell>
          <cell r="M13403" t="str">
            <v>M</v>
          </cell>
          <cell r="AB13403" t="str">
            <v>serum</v>
          </cell>
          <cell r="AF13403">
            <v>0.2</v>
          </cell>
        </row>
        <row r="13404">
          <cell r="A13404" t="str">
            <v>IS_alqt_plus</v>
          </cell>
          <cell r="K13404" t="str">
            <v>PCOQ</v>
          </cell>
          <cell r="M13404" t="str">
            <v>M</v>
          </cell>
          <cell r="AB13404" t="str">
            <v>serum</v>
          </cell>
          <cell r="AF13404">
            <v>0.2</v>
          </cell>
        </row>
        <row r="13405">
          <cell r="A13405" t="str">
            <v>IS_alqt_plus</v>
          </cell>
          <cell r="K13405" t="str">
            <v>PCOQ</v>
          </cell>
          <cell r="M13405" t="str">
            <v>M</v>
          </cell>
          <cell r="AB13405" t="str">
            <v>serum</v>
          </cell>
          <cell r="AF13405">
            <v>0.4</v>
          </cell>
        </row>
        <row r="13406">
          <cell r="A13406" t="str">
            <v>IS_alqt_plus</v>
          </cell>
          <cell r="K13406" t="str">
            <v>PCOQ</v>
          </cell>
          <cell r="M13406" t="str">
            <v>M</v>
          </cell>
          <cell r="AB13406" t="str">
            <v>WB</v>
          </cell>
          <cell r="AF13406">
            <v>0.2</v>
          </cell>
        </row>
        <row r="13407">
          <cell r="A13407" t="str">
            <v>IS_alqt_plus</v>
          </cell>
          <cell r="K13407" t="str">
            <v>PCOQ</v>
          </cell>
          <cell r="M13407" t="str">
            <v>M</v>
          </cell>
          <cell r="AB13407" t="str">
            <v>WB</v>
          </cell>
          <cell r="AF13407">
            <v>0.2</v>
          </cell>
        </row>
        <row r="13408">
          <cell r="A13408" t="str">
            <v>IS_alqt_plus</v>
          </cell>
          <cell r="K13408" t="str">
            <v>PCOQ</v>
          </cell>
          <cell r="M13408" t="str">
            <v>M</v>
          </cell>
          <cell r="AB13408" t="str">
            <v>WB</v>
          </cell>
          <cell r="AF13408">
            <v>0.2</v>
          </cell>
        </row>
        <row r="13409">
          <cell r="A13409" t="str">
            <v>IS_alqt_plus</v>
          </cell>
          <cell r="K13409" t="str">
            <v>PCOQ</v>
          </cell>
          <cell r="M13409" t="str">
            <v>M</v>
          </cell>
          <cell r="AB13409" t="str">
            <v>WB</v>
          </cell>
          <cell r="AF13409">
            <v>0.4</v>
          </cell>
        </row>
        <row r="13410">
          <cell r="A13410" t="str">
            <v>IS_alqt_plus</v>
          </cell>
          <cell r="K13410" t="str">
            <v>PCOQ</v>
          </cell>
          <cell r="M13410" t="str">
            <v>F</v>
          </cell>
          <cell r="AB13410" t="str">
            <v>serum</v>
          </cell>
          <cell r="AF13410">
            <v>0.2</v>
          </cell>
        </row>
        <row r="13411">
          <cell r="A13411" t="str">
            <v>IS_alqt_plus</v>
          </cell>
          <cell r="K13411" t="str">
            <v>PCOQ</v>
          </cell>
          <cell r="M13411" t="str">
            <v>F</v>
          </cell>
          <cell r="AB13411" t="str">
            <v>serum</v>
          </cell>
          <cell r="AF13411">
            <v>0.2</v>
          </cell>
        </row>
        <row r="13412">
          <cell r="A13412" t="str">
            <v>IS_alqt_plus</v>
          </cell>
          <cell r="K13412" t="str">
            <v>PCOQ</v>
          </cell>
          <cell r="M13412" t="str">
            <v>F</v>
          </cell>
          <cell r="AB13412" t="str">
            <v>serum</v>
          </cell>
          <cell r="AF13412">
            <v>0.4</v>
          </cell>
        </row>
        <row r="13413">
          <cell r="A13413" t="str">
            <v>IS_alqt_plus</v>
          </cell>
          <cell r="K13413" t="str">
            <v>PCOQ</v>
          </cell>
          <cell r="M13413" t="str">
            <v>F</v>
          </cell>
          <cell r="AB13413" t="str">
            <v>serum</v>
          </cell>
          <cell r="AF13413">
            <v>0.4</v>
          </cell>
        </row>
        <row r="13414">
          <cell r="A13414" t="str">
            <v>IS_alqt_plus</v>
          </cell>
          <cell r="K13414" t="str">
            <v>PCOQ</v>
          </cell>
          <cell r="M13414" t="str">
            <v>F</v>
          </cell>
          <cell r="AB13414" t="str">
            <v>serum</v>
          </cell>
          <cell r="AF13414">
            <v>0.4</v>
          </cell>
        </row>
        <row r="13415">
          <cell r="A13415" t="str">
            <v>IS_alqt_plus</v>
          </cell>
          <cell r="K13415" t="str">
            <v>PCOQ</v>
          </cell>
          <cell r="M13415" t="str">
            <v>F</v>
          </cell>
          <cell r="AB13415" t="str">
            <v>serum</v>
          </cell>
          <cell r="AF13415">
            <v>0.4</v>
          </cell>
        </row>
        <row r="13416">
          <cell r="A13416" t="str">
            <v>IS_alqt_plus</v>
          </cell>
          <cell r="K13416" t="str">
            <v>PCOQ</v>
          </cell>
          <cell r="M13416" t="str">
            <v>F</v>
          </cell>
          <cell r="AB13416" t="str">
            <v>WB</v>
          </cell>
          <cell r="AF13416">
            <v>0.2</v>
          </cell>
        </row>
        <row r="13417">
          <cell r="A13417" t="str">
            <v>IS_alqt_plus</v>
          </cell>
          <cell r="K13417" t="str">
            <v>PCOQ</v>
          </cell>
          <cell r="M13417" t="str">
            <v>F</v>
          </cell>
          <cell r="AB13417" t="str">
            <v>WB</v>
          </cell>
          <cell r="AF13417">
            <v>0.2</v>
          </cell>
        </row>
        <row r="13418">
          <cell r="A13418" t="str">
            <v>IS_alqt_plus</v>
          </cell>
          <cell r="K13418" t="str">
            <v>PCOQ</v>
          </cell>
          <cell r="M13418" t="str">
            <v>F</v>
          </cell>
          <cell r="AB13418" t="str">
            <v>WB</v>
          </cell>
          <cell r="AF13418">
            <v>0.2</v>
          </cell>
        </row>
        <row r="13419">
          <cell r="A13419" t="str">
            <v>IS_alqt_plus</v>
          </cell>
          <cell r="K13419" t="str">
            <v>PCOQ</v>
          </cell>
          <cell r="M13419" t="str">
            <v>F</v>
          </cell>
          <cell r="AB13419" t="str">
            <v>WB</v>
          </cell>
          <cell r="AF13419">
            <v>0.2</v>
          </cell>
        </row>
        <row r="13420">
          <cell r="A13420" t="str">
            <v>IS_alqt_plus</v>
          </cell>
          <cell r="K13420" t="str">
            <v>PCOQ</v>
          </cell>
          <cell r="M13420" t="str">
            <v>F</v>
          </cell>
          <cell r="AB13420" t="str">
            <v>WB</v>
          </cell>
          <cell r="AF13420">
            <v>0.4</v>
          </cell>
        </row>
        <row r="13421">
          <cell r="A13421" t="str">
            <v>IS_alqt_plus</v>
          </cell>
          <cell r="K13421" t="str">
            <v>PCOQ</v>
          </cell>
          <cell r="M13421" t="str">
            <v>F</v>
          </cell>
          <cell r="AB13421" t="str">
            <v>WB</v>
          </cell>
          <cell r="AF13421">
            <v>0.4</v>
          </cell>
        </row>
        <row r="13422">
          <cell r="A13422" t="str">
            <v>IS_alqt_plus</v>
          </cell>
          <cell r="K13422" t="str">
            <v>PCOQ</v>
          </cell>
          <cell r="M13422" t="str">
            <v>F</v>
          </cell>
          <cell r="AB13422" t="str">
            <v>WB</v>
          </cell>
          <cell r="AF13422">
            <v>0.6</v>
          </cell>
        </row>
        <row r="13423">
          <cell r="A13423" t="str">
            <v>IS_alqt_plus</v>
          </cell>
          <cell r="K13423" t="str">
            <v>PCOQ</v>
          </cell>
          <cell r="M13423" t="str">
            <v>F</v>
          </cell>
          <cell r="AB13423" t="str">
            <v>WB</v>
          </cell>
          <cell r="AF13423">
            <v>0.6</v>
          </cell>
        </row>
        <row r="13424">
          <cell r="A13424" t="str">
            <v>IS_alqt_plus</v>
          </cell>
          <cell r="K13424" t="str">
            <v>DMAD</v>
          </cell>
          <cell r="M13424" t="str">
            <v>M</v>
          </cell>
          <cell r="AB13424" t="str">
            <v>WB</v>
          </cell>
          <cell r="AF13424">
            <v>0.2</v>
          </cell>
        </row>
        <row r="13425">
          <cell r="A13425" t="str">
            <v>IS_alqt_plus</v>
          </cell>
          <cell r="K13425" t="str">
            <v>DMAD</v>
          </cell>
          <cell r="M13425" t="str">
            <v>M</v>
          </cell>
          <cell r="AB13425" t="str">
            <v>WB</v>
          </cell>
          <cell r="AF13425">
            <v>0.5</v>
          </cell>
        </row>
        <row r="13426">
          <cell r="A13426" t="str">
            <v>IS_alqt_plus</v>
          </cell>
          <cell r="K13426" t="str">
            <v>DMAD</v>
          </cell>
          <cell r="M13426" t="str">
            <v>M</v>
          </cell>
          <cell r="AB13426" t="str">
            <v>WB</v>
          </cell>
          <cell r="AF13426">
            <v>0.4</v>
          </cell>
        </row>
        <row r="13427">
          <cell r="A13427" t="str">
            <v>IS_alqt_plus</v>
          </cell>
          <cell r="K13427" t="str">
            <v>DMAD</v>
          </cell>
          <cell r="M13427" t="str">
            <v>M</v>
          </cell>
          <cell r="AB13427" t="str">
            <v>WB</v>
          </cell>
          <cell r="AF13427">
            <v>0.4</v>
          </cell>
        </row>
        <row r="13428">
          <cell r="A13428" t="str">
            <v>IS_alqt_plus</v>
          </cell>
          <cell r="K13428" t="str">
            <v>DMAD</v>
          </cell>
          <cell r="M13428" t="str">
            <v>M</v>
          </cell>
          <cell r="AB13428" t="str">
            <v>WB</v>
          </cell>
          <cell r="AF13428">
            <v>0.2</v>
          </cell>
        </row>
        <row r="13429">
          <cell r="A13429" t="str">
            <v>IS_alqt_plus</v>
          </cell>
          <cell r="K13429" t="str">
            <v>DMAD</v>
          </cell>
          <cell r="M13429" t="str">
            <v>M</v>
          </cell>
          <cell r="AB13429" t="str">
            <v>serum</v>
          </cell>
          <cell r="AF13429">
            <v>0.2</v>
          </cell>
        </row>
        <row r="13430">
          <cell r="A13430" t="str">
            <v>IS_alqt_plus</v>
          </cell>
          <cell r="K13430" t="str">
            <v>DMAD</v>
          </cell>
          <cell r="M13430" t="str">
            <v>M</v>
          </cell>
          <cell r="AB13430" t="str">
            <v>serum</v>
          </cell>
          <cell r="AF13430">
            <v>0.2</v>
          </cell>
        </row>
        <row r="13431">
          <cell r="A13431" t="str">
            <v>IS_alqt_plus</v>
          </cell>
          <cell r="K13431" t="str">
            <v>DMAD</v>
          </cell>
          <cell r="M13431" t="str">
            <v>M</v>
          </cell>
          <cell r="AB13431" t="str">
            <v>serum</v>
          </cell>
          <cell r="AF13431">
            <v>0.4</v>
          </cell>
        </row>
        <row r="13432">
          <cell r="A13432" t="str">
            <v>gone</v>
          </cell>
          <cell r="K13432" t="str">
            <v>EFLA</v>
          </cell>
          <cell r="M13432" t="str">
            <v>F</v>
          </cell>
          <cell r="AB13432" t="str">
            <v>WB</v>
          </cell>
          <cell r="AF13432">
            <v>0</v>
          </cell>
        </row>
        <row r="13433">
          <cell r="A13433" t="str">
            <v>IS_alqt_plus</v>
          </cell>
          <cell r="K13433" t="str">
            <v>EFLA</v>
          </cell>
          <cell r="M13433" t="str">
            <v>F</v>
          </cell>
          <cell r="AB13433" t="str">
            <v>WB</v>
          </cell>
          <cell r="AF13433">
            <v>0.2</v>
          </cell>
        </row>
        <row r="13434">
          <cell r="A13434" t="str">
            <v>IS_alqt_plus</v>
          </cell>
          <cell r="K13434" t="str">
            <v>EFLA</v>
          </cell>
          <cell r="M13434" t="str">
            <v>F</v>
          </cell>
          <cell r="AB13434" t="str">
            <v>WB</v>
          </cell>
          <cell r="AF13434">
            <v>0.4</v>
          </cell>
        </row>
        <row r="13435">
          <cell r="A13435" t="str">
            <v>IS_alqt_plus</v>
          </cell>
          <cell r="K13435" t="str">
            <v>EFLA</v>
          </cell>
          <cell r="M13435" t="str">
            <v>F</v>
          </cell>
          <cell r="AB13435" t="str">
            <v>WB</v>
          </cell>
          <cell r="AF13435">
            <v>0.4</v>
          </cell>
        </row>
        <row r="13436">
          <cell r="A13436" t="str">
            <v>IS_alqt_plus</v>
          </cell>
          <cell r="K13436" t="str">
            <v>EFLA</v>
          </cell>
          <cell r="M13436" t="str">
            <v>F</v>
          </cell>
          <cell r="AB13436" t="str">
            <v>WB</v>
          </cell>
          <cell r="AF13436">
            <v>0.6</v>
          </cell>
        </row>
        <row r="13437">
          <cell r="A13437" t="str">
            <v>IS_alqt_plus</v>
          </cell>
          <cell r="K13437" t="str">
            <v>EFLA</v>
          </cell>
          <cell r="M13437" t="str">
            <v>F</v>
          </cell>
          <cell r="AB13437" t="str">
            <v>WB</v>
          </cell>
          <cell r="AF13437">
            <v>0.6</v>
          </cell>
        </row>
        <row r="13438">
          <cell r="A13438" t="str">
            <v>IS_alqt_plus</v>
          </cell>
          <cell r="K13438" t="str">
            <v>EFLA</v>
          </cell>
          <cell r="M13438" t="str">
            <v>F</v>
          </cell>
          <cell r="AB13438" t="str">
            <v>plasma</v>
          </cell>
          <cell r="AF13438">
            <v>0.2</v>
          </cell>
        </row>
        <row r="13439">
          <cell r="A13439" t="str">
            <v>IS_alqt_plus</v>
          </cell>
          <cell r="K13439" t="str">
            <v>EFLA</v>
          </cell>
          <cell r="M13439" t="str">
            <v>F</v>
          </cell>
          <cell r="AB13439" t="str">
            <v>plasma</v>
          </cell>
          <cell r="AF13439">
            <v>0.2</v>
          </cell>
        </row>
        <row r="13440">
          <cell r="A13440" t="str">
            <v>IS_alqt_plus</v>
          </cell>
          <cell r="K13440" t="str">
            <v>EFLA</v>
          </cell>
          <cell r="M13440" t="str">
            <v>F</v>
          </cell>
          <cell r="AB13440" t="str">
            <v>plasma</v>
          </cell>
          <cell r="AF13440">
            <v>0.2</v>
          </cell>
        </row>
        <row r="13441">
          <cell r="A13441" t="str">
            <v>IS_alqt_plus</v>
          </cell>
          <cell r="K13441" t="str">
            <v>EFLA</v>
          </cell>
          <cell r="M13441" t="str">
            <v>F</v>
          </cell>
          <cell r="AB13441" t="str">
            <v>plasma</v>
          </cell>
          <cell r="AF13441">
            <v>0.4</v>
          </cell>
        </row>
        <row r="13442">
          <cell r="A13442" t="str">
            <v>IS_alqt_plus</v>
          </cell>
          <cell r="K13442" t="str">
            <v>EFLA</v>
          </cell>
          <cell r="M13442" t="str">
            <v>F</v>
          </cell>
          <cell r="AB13442" t="str">
            <v>plasma</v>
          </cell>
          <cell r="AF13442">
            <v>0.4</v>
          </cell>
        </row>
        <row r="13443">
          <cell r="A13443" t="str">
            <v>IS_alqt_plus</v>
          </cell>
          <cell r="K13443" t="str">
            <v>EFLA</v>
          </cell>
          <cell r="M13443" t="str">
            <v>F</v>
          </cell>
          <cell r="AB13443" t="str">
            <v>plasma</v>
          </cell>
          <cell r="AF13443">
            <v>0.6</v>
          </cell>
        </row>
        <row r="13444">
          <cell r="A13444" t="str">
            <v>IS_alqt_plus</v>
          </cell>
          <cell r="K13444" t="str">
            <v>EFLA</v>
          </cell>
          <cell r="M13444" t="str">
            <v>F</v>
          </cell>
          <cell r="AB13444" t="str">
            <v>plasma</v>
          </cell>
          <cell r="AF13444">
            <v>0.6</v>
          </cell>
        </row>
        <row r="13445">
          <cell r="A13445" t="str">
            <v>IS_alqt_plus</v>
          </cell>
          <cell r="K13445" t="str">
            <v>EFLA</v>
          </cell>
          <cell r="M13445" t="str">
            <v>F</v>
          </cell>
          <cell r="AB13445" t="str">
            <v>plasma</v>
          </cell>
          <cell r="AF13445">
            <v>0.6</v>
          </cell>
        </row>
        <row r="13446">
          <cell r="A13446" t="str">
            <v>IS_alqt_plus</v>
          </cell>
          <cell r="K13446" t="str">
            <v>EFLA</v>
          </cell>
          <cell r="M13446" t="str">
            <v>F</v>
          </cell>
          <cell r="AB13446" t="str">
            <v>plasma</v>
          </cell>
          <cell r="AF13446">
            <v>0.8</v>
          </cell>
        </row>
        <row r="13447">
          <cell r="A13447" t="str">
            <v>IS_alqt_plus</v>
          </cell>
          <cell r="K13447" t="str">
            <v>EFLA</v>
          </cell>
          <cell r="M13447" t="str">
            <v>F</v>
          </cell>
          <cell r="AB13447" t="str">
            <v>plasma</v>
          </cell>
          <cell r="AF13447">
            <v>0.8</v>
          </cell>
        </row>
        <row r="13448">
          <cell r="A13448" t="str">
            <v>IS_alqt_plus</v>
          </cell>
          <cell r="K13448" t="str">
            <v>EFLA</v>
          </cell>
          <cell r="M13448" t="str">
            <v>F</v>
          </cell>
          <cell r="AB13448" t="str">
            <v>plasma</v>
          </cell>
          <cell r="AF13448">
            <v>1</v>
          </cell>
        </row>
        <row r="13449">
          <cell r="A13449" t="str">
            <v>IS_alqt_plus</v>
          </cell>
          <cell r="K13449" t="str">
            <v>EFLA</v>
          </cell>
          <cell r="M13449" t="str">
            <v>F</v>
          </cell>
          <cell r="AB13449" t="str">
            <v>plasma</v>
          </cell>
          <cell r="AF13449">
            <v>1</v>
          </cell>
        </row>
        <row r="13450">
          <cell r="A13450" t="str">
            <v>IS_alqt_plus</v>
          </cell>
          <cell r="K13450" t="str">
            <v>EFLA</v>
          </cell>
          <cell r="M13450" t="str">
            <v>F</v>
          </cell>
          <cell r="AB13450" t="str">
            <v>Serum</v>
          </cell>
          <cell r="AF13450">
            <v>0.2</v>
          </cell>
        </row>
        <row r="13451">
          <cell r="A13451" t="str">
            <v>IS_alqt_plus</v>
          </cell>
          <cell r="K13451" t="str">
            <v>EFLA</v>
          </cell>
          <cell r="M13451" t="str">
            <v>F</v>
          </cell>
          <cell r="AB13451" t="str">
            <v>Serum</v>
          </cell>
          <cell r="AF13451">
            <v>0.2</v>
          </cell>
        </row>
        <row r="13452">
          <cell r="A13452" t="str">
            <v>IS_alqt_plus</v>
          </cell>
          <cell r="K13452" t="str">
            <v>EFLA</v>
          </cell>
          <cell r="M13452" t="str">
            <v>F</v>
          </cell>
          <cell r="AB13452" t="str">
            <v>Serum</v>
          </cell>
          <cell r="AF13452">
            <v>0.2</v>
          </cell>
        </row>
        <row r="13453">
          <cell r="A13453" t="str">
            <v>IS_alqt_plus</v>
          </cell>
          <cell r="K13453" t="str">
            <v>EFLA</v>
          </cell>
          <cell r="M13453" t="str">
            <v>F</v>
          </cell>
          <cell r="AB13453" t="str">
            <v>Serum</v>
          </cell>
          <cell r="AF13453">
            <v>0.2</v>
          </cell>
        </row>
        <row r="13454">
          <cell r="A13454" t="str">
            <v>IS_alqt_plus</v>
          </cell>
          <cell r="K13454" t="str">
            <v>EFLA</v>
          </cell>
          <cell r="M13454" t="str">
            <v>F</v>
          </cell>
          <cell r="AB13454" t="str">
            <v>Serum</v>
          </cell>
          <cell r="AF13454">
            <v>0.2</v>
          </cell>
        </row>
        <row r="13455">
          <cell r="A13455" t="str">
            <v>IS_alqt_plus</v>
          </cell>
          <cell r="K13455" t="str">
            <v>EFLA</v>
          </cell>
          <cell r="M13455" t="str">
            <v>F</v>
          </cell>
          <cell r="AB13455" t="str">
            <v>Serum</v>
          </cell>
          <cell r="AF13455">
            <v>0.4</v>
          </cell>
        </row>
        <row r="13456">
          <cell r="A13456" t="str">
            <v>IS_alqt_plus</v>
          </cell>
          <cell r="K13456" t="str">
            <v>EFLA</v>
          </cell>
          <cell r="M13456" t="str">
            <v>F</v>
          </cell>
          <cell r="AB13456" t="str">
            <v>Serum</v>
          </cell>
          <cell r="AF13456">
            <v>0.4</v>
          </cell>
        </row>
        <row r="13457">
          <cell r="A13457" t="str">
            <v>IS_alqt_plus</v>
          </cell>
          <cell r="K13457" t="str">
            <v>EFLA</v>
          </cell>
          <cell r="M13457" t="str">
            <v>F</v>
          </cell>
          <cell r="AB13457" t="str">
            <v>Serum</v>
          </cell>
          <cell r="AF13457">
            <v>0.4</v>
          </cell>
        </row>
        <row r="13458">
          <cell r="A13458" t="str">
            <v>IS_alqt_plus</v>
          </cell>
          <cell r="K13458" t="str">
            <v>EFLA</v>
          </cell>
          <cell r="M13458" t="str">
            <v>F</v>
          </cell>
          <cell r="AB13458" t="str">
            <v>Serum</v>
          </cell>
          <cell r="AF13458">
            <v>0.4</v>
          </cell>
        </row>
        <row r="13459">
          <cell r="A13459" t="str">
            <v>IS_alqt_plus</v>
          </cell>
          <cell r="K13459" t="str">
            <v>EFLA</v>
          </cell>
          <cell r="M13459" t="str">
            <v>F</v>
          </cell>
          <cell r="AB13459" t="str">
            <v>Serum</v>
          </cell>
          <cell r="AF13459">
            <v>0.4</v>
          </cell>
        </row>
        <row r="13460">
          <cell r="A13460" t="str">
            <v>IS_alqt_plus</v>
          </cell>
          <cell r="K13460" t="str">
            <v>EFLA</v>
          </cell>
          <cell r="M13460" t="str">
            <v>F</v>
          </cell>
          <cell r="AB13460" t="str">
            <v>Serum</v>
          </cell>
          <cell r="AF13460">
            <v>0.6</v>
          </cell>
        </row>
        <row r="13461">
          <cell r="A13461" t="str">
            <v>IS_alqt_plus</v>
          </cell>
          <cell r="K13461" t="str">
            <v>EFLA</v>
          </cell>
          <cell r="M13461" t="str">
            <v>F</v>
          </cell>
          <cell r="AB13461" t="str">
            <v>Serum</v>
          </cell>
          <cell r="AF13461">
            <v>0.6</v>
          </cell>
        </row>
        <row r="13462">
          <cell r="A13462" t="str">
            <v>IS_alqt_plus</v>
          </cell>
          <cell r="K13462" t="str">
            <v>EFLA</v>
          </cell>
          <cell r="M13462" t="str">
            <v>F</v>
          </cell>
          <cell r="AB13462" t="str">
            <v>Serum</v>
          </cell>
          <cell r="AF13462">
            <v>0.6</v>
          </cell>
        </row>
        <row r="13463">
          <cell r="A13463" t="str">
            <v>IS_alqt_plus</v>
          </cell>
          <cell r="K13463" t="str">
            <v>EFLA</v>
          </cell>
          <cell r="M13463" t="str">
            <v>F</v>
          </cell>
          <cell r="AB13463" t="str">
            <v>Serum</v>
          </cell>
          <cell r="AF13463">
            <v>0.6</v>
          </cell>
        </row>
        <row r="13464">
          <cell r="A13464" t="str">
            <v>IS_alqt_plus</v>
          </cell>
          <cell r="K13464" t="str">
            <v>EFLA</v>
          </cell>
          <cell r="M13464" t="str">
            <v>F</v>
          </cell>
          <cell r="AB13464" t="str">
            <v>Serum</v>
          </cell>
          <cell r="AF13464">
            <v>0.6</v>
          </cell>
        </row>
        <row r="13465">
          <cell r="A13465" t="str">
            <v>IS_alqt_plus</v>
          </cell>
          <cell r="K13465" t="str">
            <v>EFLA</v>
          </cell>
          <cell r="M13465" t="str">
            <v>F</v>
          </cell>
          <cell r="AB13465" t="str">
            <v>Serum</v>
          </cell>
          <cell r="AF13465">
            <v>0.8</v>
          </cell>
        </row>
        <row r="13466">
          <cell r="A13466" t="str">
            <v>IS_alqt_plus</v>
          </cell>
          <cell r="K13466" t="str">
            <v>EFLA</v>
          </cell>
          <cell r="M13466" t="str">
            <v>F</v>
          </cell>
          <cell r="AB13466" t="str">
            <v>Serum</v>
          </cell>
          <cell r="AF13466">
            <v>0.8</v>
          </cell>
        </row>
        <row r="13467">
          <cell r="A13467" t="str">
            <v>IS_alqt_plus</v>
          </cell>
          <cell r="K13467" t="str">
            <v>EFLA</v>
          </cell>
          <cell r="M13467" t="str">
            <v>F</v>
          </cell>
          <cell r="AB13467" t="str">
            <v>Serum</v>
          </cell>
          <cell r="AF13467">
            <v>0.8</v>
          </cell>
        </row>
        <row r="13468">
          <cell r="A13468" t="str">
            <v>IS_alqt_plus</v>
          </cell>
          <cell r="K13468" t="str">
            <v>EFLA</v>
          </cell>
          <cell r="M13468" t="str">
            <v>F</v>
          </cell>
          <cell r="AB13468" t="str">
            <v>Serum</v>
          </cell>
          <cell r="AF13468">
            <v>0.8</v>
          </cell>
        </row>
        <row r="13469">
          <cell r="A13469" t="str">
            <v>IS_alqt_plus</v>
          </cell>
          <cell r="K13469" t="str">
            <v>EFLA</v>
          </cell>
          <cell r="M13469" t="str">
            <v>F</v>
          </cell>
          <cell r="AB13469" t="str">
            <v>Serum</v>
          </cell>
          <cell r="AF13469">
            <v>0.8</v>
          </cell>
        </row>
        <row r="13470">
          <cell r="A13470" t="str">
            <v>IS_alqt_plus</v>
          </cell>
          <cell r="K13470" t="str">
            <v>EFLA</v>
          </cell>
          <cell r="M13470" t="str">
            <v>F</v>
          </cell>
          <cell r="AB13470" t="str">
            <v>Serum</v>
          </cell>
          <cell r="AF13470">
            <v>1</v>
          </cell>
        </row>
        <row r="13471">
          <cell r="A13471" t="str">
            <v>IS_alqt_plus</v>
          </cell>
          <cell r="K13471" t="str">
            <v>EFLA</v>
          </cell>
          <cell r="M13471" t="str">
            <v>F</v>
          </cell>
          <cell r="AB13471" t="str">
            <v>Serum</v>
          </cell>
          <cell r="AF13471">
            <v>1</v>
          </cell>
        </row>
        <row r="13472">
          <cell r="A13472" t="str">
            <v>IS_alqt_plus</v>
          </cell>
          <cell r="K13472" t="str">
            <v>EFLA</v>
          </cell>
          <cell r="M13472" t="str">
            <v>F</v>
          </cell>
          <cell r="AB13472" t="str">
            <v>Serum</v>
          </cell>
          <cell r="AF13472">
            <v>1</v>
          </cell>
        </row>
        <row r="13473">
          <cell r="A13473" t="str">
            <v>IS_alqt_plus</v>
          </cell>
          <cell r="K13473" t="str">
            <v>EFLA</v>
          </cell>
          <cell r="M13473" t="str">
            <v>F</v>
          </cell>
          <cell r="AB13473" t="str">
            <v>Serum</v>
          </cell>
          <cell r="AF13473">
            <v>1</v>
          </cell>
        </row>
        <row r="13474">
          <cell r="A13474" t="str">
            <v>IS_alqt_plus</v>
          </cell>
          <cell r="K13474" t="str">
            <v>EFLA</v>
          </cell>
          <cell r="M13474" t="str">
            <v>F</v>
          </cell>
          <cell r="AB13474" t="str">
            <v>Serum</v>
          </cell>
          <cell r="AF13474">
            <v>1</v>
          </cell>
        </row>
        <row r="13475">
          <cell r="A13475" t="str">
            <v>IS_alqt_plus</v>
          </cell>
          <cell r="K13475" t="str">
            <v>EFLA</v>
          </cell>
          <cell r="M13475" t="str">
            <v>F</v>
          </cell>
          <cell r="AB13475" t="str">
            <v>Serum</v>
          </cell>
          <cell r="AF13475">
            <v>1</v>
          </cell>
        </row>
        <row r="13476">
          <cell r="A13476" t="str">
            <v>IS_alqt_plus</v>
          </cell>
          <cell r="K13476" t="str">
            <v>EFLA</v>
          </cell>
          <cell r="M13476" t="str">
            <v>F</v>
          </cell>
          <cell r="AB13476" t="str">
            <v>Serum</v>
          </cell>
          <cell r="AF13476">
            <v>1</v>
          </cell>
        </row>
        <row r="13477">
          <cell r="A13477" t="str">
            <v>IS_alqt_plus</v>
          </cell>
          <cell r="K13477" t="str">
            <v>EFLA</v>
          </cell>
          <cell r="M13477" t="str">
            <v>F</v>
          </cell>
          <cell r="AB13477" t="str">
            <v>Serum</v>
          </cell>
          <cell r="AF13477">
            <v>1</v>
          </cell>
        </row>
        <row r="13478">
          <cell r="A13478" t="str">
            <v>IS_alqt_plus</v>
          </cell>
          <cell r="K13478" t="str">
            <v>EFLA</v>
          </cell>
          <cell r="M13478" t="str">
            <v>F</v>
          </cell>
          <cell r="AB13478" t="str">
            <v>Serum</v>
          </cell>
          <cell r="AF13478">
            <v>1</v>
          </cell>
        </row>
        <row r="13479">
          <cell r="A13479" t="str">
            <v>IS_alqt_plus</v>
          </cell>
          <cell r="K13479" t="str">
            <v>EFLA</v>
          </cell>
          <cell r="M13479" t="str">
            <v>F</v>
          </cell>
          <cell r="AB13479" t="str">
            <v>Serum</v>
          </cell>
          <cell r="AF13479">
            <v>1</v>
          </cell>
        </row>
        <row r="13480">
          <cell r="A13480" t="str">
            <v>IS_alqt_plus</v>
          </cell>
          <cell r="K13480" t="str">
            <v>EFLA</v>
          </cell>
          <cell r="M13480" t="str">
            <v>F</v>
          </cell>
          <cell r="AB13480" t="str">
            <v>Serum</v>
          </cell>
          <cell r="AF13480">
            <v>1</v>
          </cell>
        </row>
        <row r="13481">
          <cell r="A13481" t="str">
            <v>IS_alqt_plus</v>
          </cell>
          <cell r="K13481" t="str">
            <v>EFLA</v>
          </cell>
          <cell r="M13481" t="str">
            <v>F</v>
          </cell>
          <cell r="AB13481" t="str">
            <v>Serum</v>
          </cell>
          <cell r="AF13481">
            <v>1</v>
          </cell>
        </row>
        <row r="13482">
          <cell r="A13482" t="str">
            <v>IS_alqt_plus</v>
          </cell>
          <cell r="K13482" t="str">
            <v>EFLA</v>
          </cell>
          <cell r="M13482" t="str">
            <v>F</v>
          </cell>
          <cell r="AB13482" t="str">
            <v>Serum</v>
          </cell>
          <cell r="AF13482">
            <v>1</v>
          </cell>
        </row>
        <row r="13483">
          <cell r="A13483" t="str">
            <v>IS_alqt_plus</v>
          </cell>
          <cell r="K13483" t="str">
            <v>EFLA</v>
          </cell>
          <cell r="M13483" t="str">
            <v>F</v>
          </cell>
          <cell r="AB13483" t="str">
            <v>Serum</v>
          </cell>
          <cell r="AF13483">
            <v>1.2</v>
          </cell>
        </row>
        <row r="13484">
          <cell r="A13484" t="str">
            <v>gone</v>
          </cell>
          <cell r="K13484" t="str">
            <v>EFLA</v>
          </cell>
          <cell r="M13484" t="str">
            <v>F</v>
          </cell>
          <cell r="AB13484" t="str">
            <v>WB</v>
          </cell>
          <cell r="AF13484">
            <v>0</v>
          </cell>
        </row>
        <row r="13485">
          <cell r="A13485" t="str">
            <v>IS_alqt_plus</v>
          </cell>
          <cell r="K13485" t="str">
            <v>EFLA</v>
          </cell>
          <cell r="M13485" t="str">
            <v>F</v>
          </cell>
          <cell r="AB13485" t="str">
            <v>WB</v>
          </cell>
          <cell r="AF13485">
            <v>0.2</v>
          </cell>
        </row>
        <row r="13486">
          <cell r="A13486" t="str">
            <v>IS_alqt_plus</v>
          </cell>
          <cell r="K13486" t="str">
            <v>EFLA</v>
          </cell>
          <cell r="M13486" t="str">
            <v>F</v>
          </cell>
          <cell r="AB13486" t="str">
            <v>WB</v>
          </cell>
          <cell r="AF13486">
            <v>0.2</v>
          </cell>
        </row>
        <row r="13487">
          <cell r="A13487" t="str">
            <v>IS_alqt_plus</v>
          </cell>
          <cell r="K13487" t="str">
            <v>EFLA</v>
          </cell>
          <cell r="M13487" t="str">
            <v>F</v>
          </cell>
          <cell r="AB13487" t="str">
            <v>WB</v>
          </cell>
          <cell r="AF13487">
            <v>0.2</v>
          </cell>
        </row>
        <row r="13488">
          <cell r="A13488" t="str">
            <v>IS_alqt_plus</v>
          </cell>
          <cell r="K13488" t="str">
            <v>EFLA</v>
          </cell>
          <cell r="M13488" t="str">
            <v>F</v>
          </cell>
          <cell r="AB13488" t="str">
            <v>WB</v>
          </cell>
          <cell r="AF13488">
            <v>0.2</v>
          </cell>
        </row>
        <row r="13489">
          <cell r="A13489" t="str">
            <v>IS_alqt_plus</v>
          </cell>
          <cell r="K13489" t="str">
            <v>EFLA</v>
          </cell>
          <cell r="M13489" t="str">
            <v>F</v>
          </cell>
          <cell r="AB13489" t="str">
            <v>WB</v>
          </cell>
          <cell r="AF13489">
            <v>0.4</v>
          </cell>
        </row>
        <row r="13490">
          <cell r="A13490" t="str">
            <v>IS_alqt_plus</v>
          </cell>
          <cell r="K13490" t="str">
            <v>EFLA</v>
          </cell>
          <cell r="M13490" t="str">
            <v>F</v>
          </cell>
          <cell r="AB13490" t="str">
            <v>WB</v>
          </cell>
          <cell r="AF13490">
            <v>0.4</v>
          </cell>
        </row>
        <row r="13491">
          <cell r="A13491" t="str">
            <v>IS_alqt_plus</v>
          </cell>
          <cell r="K13491" t="str">
            <v>EFLA</v>
          </cell>
          <cell r="M13491" t="str">
            <v>F</v>
          </cell>
          <cell r="AB13491" t="str">
            <v>WB</v>
          </cell>
          <cell r="AF13491">
            <v>0.4</v>
          </cell>
        </row>
        <row r="13492">
          <cell r="A13492" t="str">
            <v>IS_alqt_plus</v>
          </cell>
          <cell r="K13492" t="str">
            <v>EFLA</v>
          </cell>
          <cell r="M13492" t="str">
            <v>F</v>
          </cell>
          <cell r="AB13492" t="str">
            <v>WB</v>
          </cell>
          <cell r="AF13492">
            <v>0.4</v>
          </cell>
        </row>
        <row r="13493">
          <cell r="A13493" t="str">
            <v>IS_alqt_plus</v>
          </cell>
          <cell r="K13493" t="str">
            <v>EFLA</v>
          </cell>
          <cell r="M13493" t="str">
            <v>F</v>
          </cell>
          <cell r="AB13493" t="str">
            <v>WB</v>
          </cell>
          <cell r="AF13493">
            <v>0.4</v>
          </cell>
        </row>
        <row r="13494">
          <cell r="A13494" t="str">
            <v>IS_alqt_plus</v>
          </cell>
          <cell r="K13494" t="str">
            <v>EFLA</v>
          </cell>
          <cell r="M13494" t="str">
            <v>F</v>
          </cell>
          <cell r="AB13494" t="str">
            <v>WB</v>
          </cell>
          <cell r="AF13494">
            <v>0.6</v>
          </cell>
        </row>
        <row r="13495">
          <cell r="A13495" t="str">
            <v>IS_alqt_plus</v>
          </cell>
          <cell r="K13495" t="str">
            <v>EFLA</v>
          </cell>
          <cell r="M13495" t="str">
            <v>F</v>
          </cell>
          <cell r="AB13495" t="str">
            <v>WB</v>
          </cell>
          <cell r="AF13495">
            <v>0.6</v>
          </cell>
        </row>
        <row r="13496">
          <cell r="A13496" t="str">
            <v>IS_alqt_plus</v>
          </cell>
          <cell r="K13496" t="str">
            <v>EFLA</v>
          </cell>
          <cell r="M13496" t="str">
            <v>F</v>
          </cell>
          <cell r="AB13496" t="str">
            <v>WB</v>
          </cell>
          <cell r="AF13496">
            <v>0.6</v>
          </cell>
        </row>
        <row r="13497">
          <cell r="A13497" t="str">
            <v>IS_alqt_plus</v>
          </cell>
          <cell r="K13497" t="str">
            <v>EFLA</v>
          </cell>
          <cell r="M13497" t="str">
            <v>F</v>
          </cell>
          <cell r="AB13497" t="str">
            <v>WB</v>
          </cell>
          <cell r="AF13497">
            <v>0.6</v>
          </cell>
        </row>
        <row r="13498">
          <cell r="A13498" t="str">
            <v>IS_alqt_plus</v>
          </cell>
          <cell r="K13498" t="str">
            <v>EFLA</v>
          </cell>
          <cell r="M13498" t="str">
            <v>F</v>
          </cell>
          <cell r="AB13498" t="str">
            <v>WB</v>
          </cell>
          <cell r="AF13498">
            <v>0.6</v>
          </cell>
        </row>
        <row r="13499">
          <cell r="A13499" t="str">
            <v>IS_alqt_plus</v>
          </cell>
          <cell r="K13499" t="str">
            <v>EFLA</v>
          </cell>
          <cell r="M13499" t="str">
            <v>F</v>
          </cell>
          <cell r="AB13499" t="str">
            <v>WB</v>
          </cell>
          <cell r="AF13499">
            <v>0.8</v>
          </cell>
        </row>
        <row r="13500">
          <cell r="A13500" t="str">
            <v>IS_alqt_plus</v>
          </cell>
          <cell r="K13500" t="str">
            <v>EFLA</v>
          </cell>
          <cell r="M13500" t="str">
            <v>F</v>
          </cell>
          <cell r="AB13500" t="str">
            <v>WB</v>
          </cell>
          <cell r="AF13500">
            <v>0.8</v>
          </cell>
        </row>
        <row r="13501">
          <cell r="A13501" t="str">
            <v>IS_alqt_plus</v>
          </cell>
          <cell r="K13501" t="str">
            <v>EFLA</v>
          </cell>
          <cell r="M13501" t="str">
            <v>F</v>
          </cell>
          <cell r="AB13501" t="str">
            <v>WB</v>
          </cell>
          <cell r="AF13501">
            <v>0.8</v>
          </cell>
        </row>
        <row r="13502">
          <cell r="A13502" t="str">
            <v>IS_alqt_plus</v>
          </cell>
          <cell r="K13502" t="str">
            <v>EFLA</v>
          </cell>
          <cell r="M13502" t="str">
            <v>F</v>
          </cell>
          <cell r="AB13502" t="str">
            <v>WB</v>
          </cell>
          <cell r="AF13502">
            <v>0.8</v>
          </cell>
        </row>
        <row r="13503">
          <cell r="A13503" t="str">
            <v>IS_alqt_plus</v>
          </cell>
          <cell r="K13503" t="str">
            <v>EFLA</v>
          </cell>
          <cell r="M13503" t="str">
            <v>F</v>
          </cell>
          <cell r="AB13503" t="str">
            <v>WB</v>
          </cell>
          <cell r="AF13503">
            <v>0.8</v>
          </cell>
        </row>
        <row r="13504">
          <cell r="A13504" t="str">
            <v>IS_alqt_plus</v>
          </cell>
          <cell r="K13504" t="str">
            <v>EFLA</v>
          </cell>
          <cell r="M13504" t="str">
            <v>F</v>
          </cell>
          <cell r="AB13504" t="str">
            <v>WB</v>
          </cell>
          <cell r="AF13504">
            <v>1</v>
          </cell>
        </row>
        <row r="13505">
          <cell r="A13505" t="str">
            <v>IS_alqt_plus</v>
          </cell>
          <cell r="K13505" t="str">
            <v>EFLA</v>
          </cell>
          <cell r="M13505" t="str">
            <v>F</v>
          </cell>
          <cell r="AB13505" t="str">
            <v>WB</v>
          </cell>
          <cell r="AF13505">
            <v>1</v>
          </cell>
        </row>
        <row r="13506">
          <cell r="A13506" t="str">
            <v>IS_alqt_plus</v>
          </cell>
          <cell r="K13506" t="str">
            <v>EFLA</v>
          </cell>
          <cell r="M13506" t="str">
            <v>F</v>
          </cell>
          <cell r="AB13506" t="str">
            <v>WB</v>
          </cell>
          <cell r="AF13506">
            <v>1</v>
          </cell>
        </row>
        <row r="13507">
          <cell r="A13507" t="str">
            <v>IS_alqt_plus</v>
          </cell>
          <cell r="K13507" t="str">
            <v>EFLA</v>
          </cell>
          <cell r="M13507" t="str">
            <v>F</v>
          </cell>
          <cell r="AB13507" t="str">
            <v>WB</v>
          </cell>
          <cell r="AF13507">
            <v>1</v>
          </cell>
        </row>
        <row r="13508">
          <cell r="A13508" t="str">
            <v>IS_alqt_plus</v>
          </cell>
          <cell r="K13508" t="str">
            <v>EFLA</v>
          </cell>
          <cell r="M13508" t="str">
            <v>F</v>
          </cell>
          <cell r="AB13508" t="str">
            <v>WB</v>
          </cell>
          <cell r="AF13508">
            <v>1</v>
          </cell>
        </row>
        <row r="13509">
          <cell r="A13509" t="str">
            <v>IS_alqt_plus</v>
          </cell>
          <cell r="K13509" t="str">
            <v>EFLA</v>
          </cell>
          <cell r="M13509" t="str">
            <v>F</v>
          </cell>
          <cell r="AB13509" t="str">
            <v>WB</v>
          </cell>
          <cell r="AF13509">
            <v>1</v>
          </cell>
        </row>
        <row r="13510">
          <cell r="A13510" t="str">
            <v>IS_alqt_plus</v>
          </cell>
          <cell r="K13510" t="str">
            <v>EFLA</v>
          </cell>
          <cell r="M13510" t="str">
            <v>F</v>
          </cell>
          <cell r="AB13510" t="str">
            <v>WB</v>
          </cell>
          <cell r="AF13510">
            <v>1</v>
          </cell>
        </row>
        <row r="13511">
          <cell r="A13511" t="str">
            <v>IS_alqt_plus</v>
          </cell>
          <cell r="K13511" t="str">
            <v>EFLA</v>
          </cell>
          <cell r="M13511" t="str">
            <v>F</v>
          </cell>
          <cell r="AB13511" t="str">
            <v>WB</v>
          </cell>
          <cell r="AF13511">
            <v>1.2</v>
          </cell>
        </row>
        <row r="13512">
          <cell r="A13512" t="str">
            <v>IS_alqt_plus</v>
          </cell>
          <cell r="K13512" t="str">
            <v>LCAT</v>
          </cell>
          <cell r="M13512" t="str">
            <v>F</v>
          </cell>
          <cell r="AB13512" t="str">
            <v>serum</v>
          </cell>
          <cell r="AF13512">
            <v>0.2</v>
          </cell>
        </row>
        <row r="13513">
          <cell r="A13513" t="str">
            <v>IS_alqt_plus</v>
          </cell>
          <cell r="K13513" t="str">
            <v>LCAT</v>
          </cell>
          <cell r="M13513" t="str">
            <v>F</v>
          </cell>
          <cell r="AB13513" t="str">
            <v>serum</v>
          </cell>
          <cell r="AF13513">
            <v>0.4</v>
          </cell>
        </row>
        <row r="13514">
          <cell r="A13514" t="str">
            <v>IS_alqt_plus</v>
          </cell>
          <cell r="K13514" t="str">
            <v>LCAT</v>
          </cell>
          <cell r="M13514" t="str">
            <v>F</v>
          </cell>
          <cell r="AB13514" t="str">
            <v>serum</v>
          </cell>
          <cell r="AF13514">
            <v>0.6</v>
          </cell>
        </row>
        <row r="13515">
          <cell r="A13515" t="str">
            <v>IS_alqt_plus</v>
          </cell>
          <cell r="K13515" t="str">
            <v>LCAT</v>
          </cell>
          <cell r="M13515" t="str">
            <v>F</v>
          </cell>
          <cell r="AB13515" t="str">
            <v>WB</v>
          </cell>
          <cell r="AF13515">
            <v>0.2</v>
          </cell>
        </row>
        <row r="13516">
          <cell r="A13516" t="str">
            <v>IS_alqt_plus</v>
          </cell>
          <cell r="K13516" t="str">
            <v>LCAT</v>
          </cell>
          <cell r="M13516" t="str">
            <v>F</v>
          </cell>
          <cell r="AB13516" t="str">
            <v>WB</v>
          </cell>
          <cell r="AF13516">
            <v>0.4</v>
          </cell>
        </row>
        <row r="13517">
          <cell r="A13517" t="str">
            <v>IS_alqt_plus</v>
          </cell>
          <cell r="K13517" t="str">
            <v>LCAT</v>
          </cell>
          <cell r="M13517" t="str">
            <v>F</v>
          </cell>
          <cell r="AB13517" t="str">
            <v>WB</v>
          </cell>
          <cell r="AF13517">
            <v>0.4</v>
          </cell>
        </row>
        <row r="13518">
          <cell r="A13518" t="str">
            <v>gone</v>
          </cell>
          <cell r="K13518" t="str">
            <v>PCOQ</v>
          </cell>
          <cell r="M13518" t="str">
            <v>F</v>
          </cell>
          <cell r="AB13518" t="str">
            <v>WB</v>
          </cell>
          <cell r="AF13518">
            <v>0</v>
          </cell>
        </row>
        <row r="13519">
          <cell r="A13519" t="str">
            <v>gone</v>
          </cell>
          <cell r="K13519" t="str">
            <v>PCOQ</v>
          </cell>
          <cell r="M13519" t="str">
            <v>F</v>
          </cell>
          <cell r="AB13519" t="str">
            <v>WB</v>
          </cell>
          <cell r="AF13519">
            <v>0</v>
          </cell>
        </row>
        <row r="13520">
          <cell r="A13520" t="str">
            <v>IS_alqt_plus</v>
          </cell>
          <cell r="K13520" t="str">
            <v>PCOQ</v>
          </cell>
          <cell r="M13520" t="str">
            <v>F</v>
          </cell>
          <cell r="AB13520" t="str">
            <v>WB</v>
          </cell>
          <cell r="AF13520">
            <v>0.2</v>
          </cell>
        </row>
        <row r="13521">
          <cell r="A13521" t="str">
            <v>IS_alqt_plus</v>
          </cell>
          <cell r="K13521" t="str">
            <v>PCOQ</v>
          </cell>
          <cell r="M13521" t="str">
            <v>F</v>
          </cell>
          <cell r="AB13521" t="str">
            <v>WB</v>
          </cell>
          <cell r="AF13521">
            <v>0.2</v>
          </cell>
        </row>
        <row r="13522">
          <cell r="A13522" t="str">
            <v>IS_alqt_plus</v>
          </cell>
          <cell r="K13522" t="str">
            <v>PCOQ</v>
          </cell>
          <cell r="M13522" t="str">
            <v>F</v>
          </cell>
          <cell r="AB13522" t="str">
            <v>WB</v>
          </cell>
          <cell r="AF13522">
            <v>0.2</v>
          </cell>
        </row>
        <row r="13523">
          <cell r="A13523" t="str">
            <v>IS_alqt_plus</v>
          </cell>
          <cell r="K13523" t="str">
            <v>PCOQ</v>
          </cell>
          <cell r="M13523" t="str">
            <v>F</v>
          </cell>
          <cell r="AB13523" t="str">
            <v>WB</v>
          </cell>
          <cell r="AF13523">
            <v>0.2</v>
          </cell>
        </row>
        <row r="13524">
          <cell r="A13524" t="str">
            <v>IS_alqt_plus</v>
          </cell>
          <cell r="K13524" t="str">
            <v>PCOQ</v>
          </cell>
          <cell r="M13524" t="str">
            <v>F</v>
          </cell>
          <cell r="AB13524" t="str">
            <v>WB</v>
          </cell>
          <cell r="AF13524">
            <v>0.2</v>
          </cell>
        </row>
        <row r="13525">
          <cell r="A13525" t="str">
            <v>IS_alqt_plus</v>
          </cell>
          <cell r="K13525" t="str">
            <v>PCOQ</v>
          </cell>
          <cell r="M13525" t="str">
            <v>F</v>
          </cell>
          <cell r="AB13525" t="str">
            <v>WB</v>
          </cell>
          <cell r="AF13525">
            <v>0.2</v>
          </cell>
        </row>
        <row r="13526">
          <cell r="A13526" t="str">
            <v>IS_alqt_plus</v>
          </cell>
          <cell r="K13526" t="str">
            <v>PCOQ</v>
          </cell>
          <cell r="M13526" t="str">
            <v>F</v>
          </cell>
          <cell r="AB13526" t="str">
            <v>WB</v>
          </cell>
          <cell r="AF13526">
            <v>0.2</v>
          </cell>
        </row>
        <row r="13527">
          <cell r="A13527" t="str">
            <v>IS_alqt_plus</v>
          </cell>
          <cell r="K13527" t="str">
            <v>PCOQ</v>
          </cell>
          <cell r="M13527" t="str">
            <v>F</v>
          </cell>
          <cell r="AB13527" t="str">
            <v>WB</v>
          </cell>
          <cell r="AF13527">
            <v>0.2</v>
          </cell>
        </row>
        <row r="13528">
          <cell r="A13528" t="str">
            <v>IS_alqt_plus</v>
          </cell>
          <cell r="K13528" t="str">
            <v>PCOQ</v>
          </cell>
          <cell r="M13528" t="str">
            <v>F</v>
          </cell>
          <cell r="AB13528" t="str">
            <v>WB</v>
          </cell>
          <cell r="AF13528">
            <v>0.2</v>
          </cell>
        </row>
        <row r="13529">
          <cell r="A13529" t="str">
            <v>IS_alqt_plus</v>
          </cell>
          <cell r="K13529" t="str">
            <v>PCOQ</v>
          </cell>
          <cell r="M13529" t="str">
            <v>F</v>
          </cell>
          <cell r="AB13529" t="str">
            <v>serum</v>
          </cell>
          <cell r="AF13529">
            <v>0.2</v>
          </cell>
        </row>
        <row r="13530">
          <cell r="A13530" t="str">
            <v>IS_alqt_plus</v>
          </cell>
          <cell r="K13530" t="str">
            <v>PCOQ</v>
          </cell>
          <cell r="M13530" t="str">
            <v>F</v>
          </cell>
          <cell r="AB13530" t="str">
            <v>serum</v>
          </cell>
          <cell r="AF13530">
            <v>0.2</v>
          </cell>
        </row>
        <row r="13531">
          <cell r="A13531" t="str">
            <v>IS_alqt_plus</v>
          </cell>
          <cell r="K13531" t="str">
            <v>PCOQ</v>
          </cell>
          <cell r="M13531" t="str">
            <v>F</v>
          </cell>
          <cell r="AB13531" t="str">
            <v>serum</v>
          </cell>
          <cell r="AF13531">
            <v>0.2</v>
          </cell>
        </row>
        <row r="13532">
          <cell r="A13532" t="str">
            <v>IS_alqt_plus</v>
          </cell>
          <cell r="K13532" t="str">
            <v>PCOQ</v>
          </cell>
          <cell r="M13532" t="str">
            <v>F</v>
          </cell>
          <cell r="AB13532" t="str">
            <v>serum</v>
          </cell>
          <cell r="AF13532">
            <v>0.2</v>
          </cell>
        </row>
        <row r="13533">
          <cell r="A13533" t="str">
            <v>IS_alqt_plus</v>
          </cell>
          <cell r="K13533" t="str">
            <v>PCOQ</v>
          </cell>
          <cell r="M13533" t="str">
            <v>F</v>
          </cell>
          <cell r="AB13533" t="str">
            <v>serum</v>
          </cell>
          <cell r="AF13533">
            <v>0.2</v>
          </cell>
        </row>
        <row r="13534">
          <cell r="A13534" t="str">
            <v>IS_alqt_plus</v>
          </cell>
          <cell r="K13534" t="str">
            <v>PCOQ</v>
          </cell>
          <cell r="M13534" t="str">
            <v>F</v>
          </cell>
          <cell r="AB13534" t="str">
            <v>serum</v>
          </cell>
          <cell r="AF13534">
            <v>0.2</v>
          </cell>
        </row>
        <row r="13535">
          <cell r="A13535" t="str">
            <v>IS_alqt_plus</v>
          </cell>
          <cell r="K13535" t="str">
            <v>PCOQ</v>
          </cell>
          <cell r="M13535" t="str">
            <v>F</v>
          </cell>
          <cell r="AB13535" t="str">
            <v>serum</v>
          </cell>
          <cell r="AF13535">
            <v>0.2</v>
          </cell>
        </row>
        <row r="13536">
          <cell r="A13536" t="str">
            <v>IS_alqt_plus</v>
          </cell>
          <cell r="K13536" t="str">
            <v>PCOQ</v>
          </cell>
          <cell r="M13536" t="str">
            <v>F</v>
          </cell>
          <cell r="AB13536" t="str">
            <v>serum</v>
          </cell>
          <cell r="AF13536">
            <v>0.2</v>
          </cell>
        </row>
        <row r="13537">
          <cell r="A13537" t="str">
            <v>IS_alqt_plus</v>
          </cell>
          <cell r="K13537" t="str">
            <v>PCOQ</v>
          </cell>
          <cell r="M13537" t="str">
            <v>F</v>
          </cell>
          <cell r="AB13537" t="str">
            <v>serum</v>
          </cell>
          <cell r="AF13537">
            <v>0.2</v>
          </cell>
        </row>
        <row r="13538">
          <cell r="A13538" t="str">
            <v>IS_alqt_plus</v>
          </cell>
          <cell r="K13538" t="str">
            <v>PCOQ</v>
          </cell>
          <cell r="M13538" t="str">
            <v>F</v>
          </cell>
          <cell r="AB13538" t="str">
            <v>serum</v>
          </cell>
          <cell r="AF13538">
            <v>0.2</v>
          </cell>
        </row>
        <row r="13539">
          <cell r="A13539" t="str">
            <v>IS_alqt_plus</v>
          </cell>
          <cell r="K13539" t="str">
            <v>PCOQ</v>
          </cell>
          <cell r="M13539" t="str">
            <v>F</v>
          </cell>
          <cell r="AB13539" t="str">
            <v>serum</v>
          </cell>
          <cell r="AF13539">
            <v>0.2</v>
          </cell>
        </row>
        <row r="13540">
          <cell r="A13540" t="str">
            <v>IS_alqt_plus</v>
          </cell>
          <cell r="K13540" t="str">
            <v>PCOQ</v>
          </cell>
          <cell r="M13540" t="str">
            <v>F</v>
          </cell>
          <cell r="AB13540" t="str">
            <v>serum</v>
          </cell>
          <cell r="AF13540">
            <v>0.2</v>
          </cell>
        </row>
        <row r="13541">
          <cell r="A13541" t="str">
            <v>IS_alqt_plus</v>
          </cell>
          <cell r="K13541" t="str">
            <v>PCOQ</v>
          </cell>
          <cell r="M13541" t="str">
            <v>F</v>
          </cell>
          <cell r="AB13541" t="str">
            <v>serum</v>
          </cell>
          <cell r="AF13541">
            <v>0.2</v>
          </cell>
        </row>
        <row r="13542">
          <cell r="A13542" t="str">
            <v>IS_alqt_plus</v>
          </cell>
          <cell r="K13542" t="str">
            <v>ECOR</v>
          </cell>
          <cell r="M13542" t="str">
            <v>F</v>
          </cell>
          <cell r="AB13542" t="str">
            <v>WB</v>
          </cell>
          <cell r="AF13542">
            <v>0.2</v>
          </cell>
        </row>
        <row r="13543">
          <cell r="A13543" t="str">
            <v>IS_alqt_plus</v>
          </cell>
          <cell r="K13543" t="str">
            <v>ECOR</v>
          </cell>
          <cell r="M13543" t="str">
            <v>F</v>
          </cell>
          <cell r="AB13543" t="str">
            <v>WB</v>
          </cell>
          <cell r="AF13543">
            <v>0.2</v>
          </cell>
        </row>
        <row r="13544">
          <cell r="A13544" t="str">
            <v>IS_alqt_plus</v>
          </cell>
          <cell r="K13544" t="str">
            <v>ECOR</v>
          </cell>
          <cell r="M13544" t="str">
            <v>F</v>
          </cell>
          <cell r="AB13544" t="str">
            <v>WB</v>
          </cell>
          <cell r="AF13544">
            <v>0.2</v>
          </cell>
        </row>
        <row r="13545">
          <cell r="A13545" t="str">
            <v>IS_alqt_plus</v>
          </cell>
          <cell r="K13545" t="str">
            <v>ECOR</v>
          </cell>
          <cell r="M13545" t="str">
            <v>F</v>
          </cell>
          <cell r="AB13545" t="str">
            <v>WB</v>
          </cell>
          <cell r="AF13545">
            <v>0.2</v>
          </cell>
        </row>
        <row r="13546">
          <cell r="A13546" t="str">
            <v>IS_alqt_plus</v>
          </cell>
          <cell r="K13546" t="str">
            <v>ECOR</v>
          </cell>
          <cell r="M13546" t="str">
            <v>F</v>
          </cell>
          <cell r="AB13546" t="str">
            <v>WB</v>
          </cell>
          <cell r="AF13546">
            <v>0.2</v>
          </cell>
        </row>
        <row r="13547">
          <cell r="A13547" t="str">
            <v>IS_alqt_plus</v>
          </cell>
          <cell r="K13547" t="str">
            <v>ECOR</v>
          </cell>
          <cell r="M13547" t="str">
            <v>F</v>
          </cell>
          <cell r="AB13547" t="str">
            <v>serum</v>
          </cell>
          <cell r="AF13547">
            <v>0.2</v>
          </cell>
        </row>
        <row r="13548">
          <cell r="A13548" t="str">
            <v>IS_alqt_plus</v>
          </cell>
          <cell r="K13548" t="str">
            <v>ECOR</v>
          </cell>
          <cell r="M13548" t="str">
            <v>F</v>
          </cell>
          <cell r="AB13548" t="str">
            <v>serum</v>
          </cell>
          <cell r="AF13548">
            <v>0.2</v>
          </cell>
        </row>
        <row r="13549">
          <cell r="A13549" t="str">
            <v>IS_alqt_plus</v>
          </cell>
          <cell r="K13549" t="str">
            <v>ECOR</v>
          </cell>
          <cell r="M13549" t="str">
            <v>F</v>
          </cell>
          <cell r="AB13549" t="str">
            <v>serum</v>
          </cell>
          <cell r="AF13549">
            <v>0.2</v>
          </cell>
        </row>
        <row r="13550">
          <cell r="A13550" t="str">
            <v>IS_alqt_plus</v>
          </cell>
          <cell r="K13550" t="str">
            <v>LCAT</v>
          </cell>
          <cell r="M13550" t="str">
            <v>F</v>
          </cell>
          <cell r="AB13550" t="str">
            <v>WB</v>
          </cell>
          <cell r="AF13550">
            <v>0.2</v>
          </cell>
        </row>
        <row r="13551">
          <cell r="A13551" t="str">
            <v>IS_alqt_plus</v>
          </cell>
          <cell r="K13551" t="str">
            <v>LCAT</v>
          </cell>
          <cell r="M13551" t="str">
            <v>F</v>
          </cell>
          <cell r="AB13551" t="str">
            <v>WB</v>
          </cell>
          <cell r="AF13551">
            <v>0.2</v>
          </cell>
        </row>
        <row r="13552">
          <cell r="A13552" t="str">
            <v>IS_alqt_plus</v>
          </cell>
          <cell r="K13552" t="str">
            <v>LCAT</v>
          </cell>
          <cell r="M13552" t="str">
            <v>F</v>
          </cell>
          <cell r="AB13552" t="str">
            <v>WB</v>
          </cell>
          <cell r="AF13552">
            <v>0.2</v>
          </cell>
        </row>
        <row r="13553">
          <cell r="A13553" t="str">
            <v>IS_alqt_plus</v>
          </cell>
          <cell r="K13553" t="str">
            <v>LCAT</v>
          </cell>
          <cell r="M13553" t="str">
            <v>F</v>
          </cell>
          <cell r="AB13553" t="str">
            <v>WB</v>
          </cell>
          <cell r="AF13553">
            <v>0.2</v>
          </cell>
        </row>
        <row r="13554">
          <cell r="A13554" t="str">
            <v>IS_alqt_plus</v>
          </cell>
          <cell r="K13554" t="str">
            <v>LCAT</v>
          </cell>
          <cell r="M13554" t="str">
            <v>F</v>
          </cell>
          <cell r="AB13554" t="str">
            <v>serum</v>
          </cell>
          <cell r="AF13554">
            <v>0.2</v>
          </cell>
        </row>
        <row r="13555">
          <cell r="A13555" t="str">
            <v>IS_alqt_plus</v>
          </cell>
          <cell r="K13555" t="str">
            <v>LCAT</v>
          </cell>
          <cell r="M13555" t="str">
            <v>F</v>
          </cell>
          <cell r="AB13555" t="str">
            <v>serum</v>
          </cell>
          <cell r="AF13555">
            <v>0.2</v>
          </cell>
        </row>
        <row r="13556">
          <cell r="A13556" t="str">
            <v>IS_alqt_plus</v>
          </cell>
          <cell r="K13556" t="str">
            <v>LCAT</v>
          </cell>
          <cell r="M13556" t="str">
            <v>F</v>
          </cell>
          <cell r="AB13556" t="str">
            <v>serum</v>
          </cell>
          <cell r="AF13556">
            <v>0.2</v>
          </cell>
        </row>
        <row r="13557">
          <cell r="A13557" t="str">
            <v>IS_alqt_plus</v>
          </cell>
          <cell r="K13557" t="str">
            <v>LCAT</v>
          </cell>
          <cell r="M13557" t="str">
            <v>F</v>
          </cell>
          <cell r="AB13557" t="str">
            <v>serum</v>
          </cell>
          <cell r="AF13557">
            <v>0.2</v>
          </cell>
        </row>
        <row r="13558">
          <cell r="A13558" t="str">
            <v>IS_alqt_plus</v>
          </cell>
          <cell r="K13558" t="str">
            <v>EFLA</v>
          </cell>
          <cell r="M13558" t="str">
            <v>F</v>
          </cell>
          <cell r="AB13558" t="str">
            <v>WB</v>
          </cell>
          <cell r="AF13558">
            <v>0.2</v>
          </cell>
        </row>
        <row r="13559">
          <cell r="A13559" t="str">
            <v>IS_alqt_plus</v>
          </cell>
          <cell r="K13559" t="str">
            <v>EFLA</v>
          </cell>
          <cell r="M13559" t="str">
            <v>F</v>
          </cell>
          <cell r="AB13559" t="str">
            <v>WB</v>
          </cell>
          <cell r="AF13559">
            <v>0.2</v>
          </cell>
        </row>
        <row r="13560">
          <cell r="A13560" t="str">
            <v>IS_alqt_plus</v>
          </cell>
          <cell r="K13560" t="str">
            <v>EFLA</v>
          </cell>
          <cell r="M13560" t="str">
            <v>F</v>
          </cell>
          <cell r="AB13560" t="str">
            <v>WB</v>
          </cell>
          <cell r="AF13560">
            <v>0.2</v>
          </cell>
        </row>
        <row r="13561">
          <cell r="A13561" t="str">
            <v>IS_alqt_plus</v>
          </cell>
          <cell r="K13561" t="str">
            <v>EFLA</v>
          </cell>
          <cell r="M13561" t="str">
            <v>F</v>
          </cell>
          <cell r="AB13561" t="str">
            <v>WB</v>
          </cell>
          <cell r="AF13561">
            <v>0.2</v>
          </cell>
        </row>
        <row r="13562">
          <cell r="A13562" t="str">
            <v>IS_alqt_plus</v>
          </cell>
          <cell r="K13562" t="str">
            <v>EFLA</v>
          </cell>
          <cell r="M13562" t="str">
            <v>F</v>
          </cell>
          <cell r="AB13562" t="str">
            <v>WB</v>
          </cell>
          <cell r="AF13562">
            <v>0.2</v>
          </cell>
        </row>
        <row r="13563">
          <cell r="A13563" t="str">
            <v>IS_alqt_plus</v>
          </cell>
          <cell r="K13563" t="str">
            <v>EFLA</v>
          </cell>
          <cell r="M13563" t="str">
            <v>F</v>
          </cell>
          <cell r="AB13563" t="str">
            <v>WB</v>
          </cell>
          <cell r="AF13563">
            <v>0.2</v>
          </cell>
        </row>
        <row r="13564">
          <cell r="A13564" t="str">
            <v>IS_alqt_plus</v>
          </cell>
          <cell r="K13564" t="str">
            <v>EFLA</v>
          </cell>
          <cell r="M13564" t="str">
            <v>F</v>
          </cell>
          <cell r="AB13564" t="str">
            <v>serum</v>
          </cell>
          <cell r="AF13564">
            <v>0.2</v>
          </cell>
        </row>
        <row r="13565">
          <cell r="A13565" t="str">
            <v>IS_alqt_plus</v>
          </cell>
          <cell r="K13565" t="str">
            <v>EFLA</v>
          </cell>
          <cell r="M13565" t="str">
            <v>F</v>
          </cell>
          <cell r="AB13565" t="str">
            <v>serum</v>
          </cell>
          <cell r="AF13565">
            <v>0.2</v>
          </cell>
        </row>
        <row r="13566">
          <cell r="A13566" t="str">
            <v>IS_alqt_plus</v>
          </cell>
          <cell r="K13566" t="str">
            <v>EFLA</v>
          </cell>
          <cell r="M13566" t="str">
            <v>F</v>
          </cell>
          <cell r="AB13566" t="str">
            <v>serum</v>
          </cell>
          <cell r="AF13566">
            <v>0.2</v>
          </cell>
        </row>
        <row r="13567">
          <cell r="A13567" t="str">
            <v>IS_alqt_plus</v>
          </cell>
          <cell r="K13567" t="str">
            <v>EFLA</v>
          </cell>
          <cell r="M13567" t="str">
            <v>F</v>
          </cell>
          <cell r="AB13567" t="str">
            <v>serum</v>
          </cell>
          <cell r="AF13567">
            <v>0.2</v>
          </cell>
        </row>
        <row r="13568">
          <cell r="A13568" t="str">
            <v>IS_alqt_plus</v>
          </cell>
          <cell r="K13568" t="str">
            <v>EFLA</v>
          </cell>
          <cell r="M13568" t="str">
            <v>F</v>
          </cell>
          <cell r="AB13568" t="str">
            <v>serum</v>
          </cell>
          <cell r="AF13568">
            <v>0.2</v>
          </cell>
        </row>
        <row r="13569">
          <cell r="A13569" t="str">
            <v>IS_alqt_minus</v>
          </cell>
          <cell r="K13569" t="str">
            <v>MMUR</v>
          </cell>
          <cell r="M13569" t="str">
            <v>F</v>
          </cell>
          <cell r="AB13569" t="str">
            <v>WB</v>
          </cell>
          <cell r="AF13569">
            <v>0.1</v>
          </cell>
        </row>
        <row r="13570">
          <cell r="A13570" t="str">
            <v>IS_alqt_plus</v>
          </cell>
          <cell r="K13570" t="str">
            <v>PCOQ</v>
          </cell>
          <cell r="M13570" t="str">
            <v>F</v>
          </cell>
          <cell r="AB13570" t="str">
            <v>plasma</v>
          </cell>
          <cell r="AF13570">
            <v>0.2</v>
          </cell>
        </row>
        <row r="13571">
          <cell r="A13571" t="str">
            <v>IS_alqt_plus</v>
          </cell>
          <cell r="K13571" t="str">
            <v>PCOQ</v>
          </cell>
          <cell r="M13571" t="str">
            <v>F</v>
          </cell>
          <cell r="AB13571" t="str">
            <v>plasma</v>
          </cell>
          <cell r="AF13571">
            <v>0.2</v>
          </cell>
        </row>
        <row r="13572">
          <cell r="A13572" t="str">
            <v>IS_alqt_plus</v>
          </cell>
          <cell r="K13572" t="str">
            <v>PCOQ</v>
          </cell>
          <cell r="M13572" t="str">
            <v>F</v>
          </cell>
          <cell r="AB13572" t="str">
            <v>plasma</v>
          </cell>
          <cell r="AF13572">
            <v>0.2</v>
          </cell>
        </row>
        <row r="13573">
          <cell r="A13573" t="str">
            <v>gone</v>
          </cell>
          <cell r="K13573" t="str">
            <v>PCOQ</v>
          </cell>
          <cell r="M13573" t="str">
            <v>F</v>
          </cell>
          <cell r="AB13573" t="str">
            <v>plasma</v>
          </cell>
          <cell r="AF13573">
            <v>0</v>
          </cell>
        </row>
        <row r="13574">
          <cell r="A13574" t="str">
            <v>gone</v>
          </cell>
          <cell r="K13574" t="str">
            <v>PCOQ</v>
          </cell>
          <cell r="M13574" t="str">
            <v>F</v>
          </cell>
          <cell r="AB13574" t="str">
            <v>serum</v>
          </cell>
          <cell r="AF13574">
            <v>0</v>
          </cell>
        </row>
        <row r="13575">
          <cell r="A13575" t="str">
            <v>IS_alqt_plus</v>
          </cell>
          <cell r="K13575" t="str">
            <v>PCOQ</v>
          </cell>
          <cell r="M13575" t="str">
            <v>F</v>
          </cell>
          <cell r="AB13575" t="str">
            <v>serum</v>
          </cell>
          <cell r="AF13575">
            <v>0.2</v>
          </cell>
        </row>
        <row r="13576">
          <cell r="A13576" t="str">
            <v>IS_alqt_plus</v>
          </cell>
          <cell r="K13576" t="str">
            <v>PCOQ</v>
          </cell>
          <cell r="M13576" t="str">
            <v>F</v>
          </cell>
          <cell r="AB13576" t="str">
            <v>serum</v>
          </cell>
          <cell r="AF13576">
            <v>0.2</v>
          </cell>
        </row>
        <row r="13577">
          <cell r="A13577" t="str">
            <v>IS_alqt_plus</v>
          </cell>
          <cell r="K13577" t="str">
            <v>PCOQ</v>
          </cell>
          <cell r="M13577" t="str">
            <v>F</v>
          </cell>
          <cell r="AB13577" t="str">
            <v>serum</v>
          </cell>
          <cell r="AF13577">
            <v>0.2</v>
          </cell>
        </row>
        <row r="13578">
          <cell r="A13578" t="str">
            <v>IS_alqt_plus</v>
          </cell>
          <cell r="K13578" t="str">
            <v>PCOQ</v>
          </cell>
          <cell r="M13578" t="str">
            <v>F</v>
          </cell>
          <cell r="AB13578" t="str">
            <v>serum</v>
          </cell>
          <cell r="AF13578">
            <v>0.2</v>
          </cell>
        </row>
        <row r="13579">
          <cell r="A13579" t="str">
            <v>IS_alqt_plus</v>
          </cell>
          <cell r="K13579" t="str">
            <v>VRUB</v>
          </cell>
          <cell r="M13579" t="str">
            <v>M</v>
          </cell>
          <cell r="AB13579" t="str">
            <v>WB</v>
          </cell>
          <cell r="AF13579">
            <v>0.2</v>
          </cell>
        </row>
        <row r="13580">
          <cell r="A13580" t="str">
            <v>IS_alqt_plus</v>
          </cell>
          <cell r="K13580" t="str">
            <v>VRUB</v>
          </cell>
          <cell r="M13580" t="str">
            <v>M</v>
          </cell>
          <cell r="AB13580" t="str">
            <v>WB</v>
          </cell>
          <cell r="AF13580">
            <v>0.2</v>
          </cell>
        </row>
        <row r="13581">
          <cell r="A13581" t="str">
            <v>IS_alqt_plus</v>
          </cell>
          <cell r="K13581" t="str">
            <v>VRUB</v>
          </cell>
          <cell r="M13581" t="str">
            <v>M</v>
          </cell>
          <cell r="AB13581" t="str">
            <v>WB</v>
          </cell>
          <cell r="AF13581">
            <v>0.2</v>
          </cell>
        </row>
        <row r="13582">
          <cell r="A13582" t="str">
            <v>IS_alqt_plus</v>
          </cell>
          <cell r="K13582" t="str">
            <v>VRUB</v>
          </cell>
          <cell r="M13582" t="str">
            <v>M</v>
          </cell>
          <cell r="AB13582" t="str">
            <v>WB</v>
          </cell>
          <cell r="AF13582">
            <v>0.2</v>
          </cell>
        </row>
        <row r="13583">
          <cell r="A13583" t="str">
            <v>IS_alqt_plus</v>
          </cell>
          <cell r="K13583" t="str">
            <v>VRUB</v>
          </cell>
          <cell r="M13583" t="str">
            <v>M</v>
          </cell>
          <cell r="AB13583" t="str">
            <v>WB</v>
          </cell>
          <cell r="AF13583">
            <v>0.2</v>
          </cell>
        </row>
        <row r="13584">
          <cell r="A13584" t="str">
            <v>IS_alqt_plus</v>
          </cell>
          <cell r="K13584" t="str">
            <v>VRUB</v>
          </cell>
          <cell r="M13584" t="str">
            <v>M</v>
          </cell>
          <cell r="AB13584" t="str">
            <v>WB</v>
          </cell>
          <cell r="AF13584">
            <v>0.2</v>
          </cell>
        </row>
        <row r="13585">
          <cell r="A13585" t="str">
            <v>IS_alqt_plus</v>
          </cell>
          <cell r="K13585" t="str">
            <v>VRUB</v>
          </cell>
          <cell r="M13585" t="str">
            <v>M</v>
          </cell>
          <cell r="AB13585" t="str">
            <v>WB</v>
          </cell>
          <cell r="AF13585">
            <v>0.2</v>
          </cell>
        </row>
        <row r="13586">
          <cell r="A13586" t="str">
            <v>IS_alqt_plus</v>
          </cell>
          <cell r="K13586" t="str">
            <v>VRUB</v>
          </cell>
          <cell r="M13586" t="str">
            <v>M</v>
          </cell>
          <cell r="AB13586" t="str">
            <v>WB</v>
          </cell>
          <cell r="AF13586">
            <v>0.2</v>
          </cell>
        </row>
        <row r="13587">
          <cell r="A13587" t="str">
            <v>IS_alqt_plus</v>
          </cell>
          <cell r="K13587" t="str">
            <v>VRUB</v>
          </cell>
          <cell r="M13587" t="str">
            <v>M</v>
          </cell>
          <cell r="AB13587" t="str">
            <v>WB</v>
          </cell>
          <cell r="AF13587">
            <v>0.2</v>
          </cell>
        </row>
        <row r="13588">
          <cell r="A13588" t="str">
            <v>IS_alqt_plus</v>
          </cell>
          <cell r="K13588" t="str">
            <v>VRUB</v>
          </cell>
          <cell r="M13588" t="str">
            <v>M</v>
          </cell>
          <cell r="AB13588" t="str">
            <v>WB</v>
          </cell>
          <cell r="AF13588">
            <v>0.2</v>
          </cell>
        </row>
        <row r="13589">
          <cell r="A13589" t="str">
            <v>IS_alqt_plus</v>
          </cell>
          <cell r="K13589" t="str">
            <v>VRUB</v>
          </cell>
          <cell r="M13589" t="str">
            <v>M</v>
          </cell>
          <cell r="AB13589" t="str">
            <v>WB</v>
          </cell>
          <cell r="AF13589">
            <v>0.2</v>
          </cell>
        </row>
        <row r="13590">
          <cell r="A13590" t="str">
            <v>IS_alqt_plus</v>
          </cell>
          <cell r="K13590" t="str">
            <v>VRUB</v>
          </cell>
          <cell r="M13590" t="str">
            <v>M</v>
          </cell>
          <cell r="AB13590" t="str">
            <v>WB</v>
          </cell>
          <cell r="AF13590">
            <v>0.2</v>
          </cell>
        </row>
        <row r="13591">
          <cell r="A13591" t="str">
            <v>IS_alqt_plus</v>
          </cell>
          <cell r="K13591" t="str">
            <v>VRUB</v>
          </cell>
          <cell r="M13591" t="str">
            <v>M</v>
          </cell>
          <cell r="AB13591" t="str">
            <v>serum</v>
          </cell>
          <cell r="AF13591">
            <v>0.2</v>
          </cell>
        </row>
        <row r="13592">
          <cell r="A13592" t="str">
            <v>IS_alqt_plus</v>
          </cell>
          <cell r="K13592" t="str">
            <v>VRUB</v>
          </cell>
          <cell r="M13592" t="str">
            <v>M</v>
          </cell>
          <cell r="AB13592" t="str">
            <v>serum</v>
          </cell>
          <cell r="AF13592">
            <v>0.2</v>
          </cell>
        </row>
        <row r="13593">
          <cell r="A13593" t="str">
            <v>IS_alqt_plus</v>
          </cell>
          <cell r="K13593" t="str">
            <v>VRUB</v>
          </cell>
          <cell r="M13593" t="str">
            <v>M</v>
          </cell>
          <cell r="AB13593" t="str">
            <v>serum</v>
          </cell>
          <cell r="AF13593">
            <v>0.2</v>
          </cell>
        </row>
        <row r="13594">
          <cell r="A13594" t="str">
            <v>IS_alqt_plus</v>
          </cell>
          <cell r="K13594" t="str">
            <v>VRUB</v>
          </cell>
          <cell r="M13594" t="str">
            <v>M</v>
          </cell>
          <cell r="AB13594" t="str">
            <v>serum</v>
          </cell>
          <cell r="AF13594">
            <v>0.2</v>
          </cell>
        </row>
        <row r="13595">
          <cell r="A13595" t="str">
            <v>IS_alqt_plus</v>
          </cell>
          <cell r="K13595" t="str">
            <v>PCOQ</v>
          </cell>
          <cell r="M13595" t="str">
            <v>F</v>
          </cell>
          <cell r="AB13595" t="str">
            <v>WB</v>
          </cell>
          <cell r="AF13595">
            <v>0.2</v>
          </cell>
        </row>
        <row r="13596">
          <cell r="A13596" t="str">
            <v>IS_alqt_plus</v>
          </cell>
          <cell r="K13596" t="str">
            <v>PCOQ</v>
          </cell>
          <cell r="M13596" t="str">
            <v>F</v>
          </cell>
          <cell r="AB13596" t="str">
            <v>WB</v>
          </cell>
          <cell r="AF13596">
            <v>0.2</v>
          </cell>
        </row>
        <row r="13597">
          <cell r="A13597" t="str">
            <v>IS_alqt_plus</v>
          </cell>
          <cell r="K13597" t="str">
            <v>PCOQ</v>
          </cell>
          <cell r="M13597" t="str">
            <v>F</v>
          </cell>
          <cell r="AB13597" t="str">
            <v>WB</v>
          </cell>
          <cell r="AF13597">
            <v>0.2</v>
          </cell>
        </row>
        <row r="13598">
          <cell r="A13598" t="str">
            <v>IS_alqt_plus</v>
          </cell>
          <cell r="K13598" t="str">
            <v>PCOQ</v>
          </cell>
          <cell r="M13598" t="str">
            <v>F</v>
          </cell>
          <cell r="AB13598" t="str">
            <v>WB</v>
          </cell>
          <cell r="AF13598">
            <v>0.2</v>
          </cell>
        </row>
        <row r="13599">
          <cell r="A13599" t="str">
            <v>IS_alqt_plus</v>
          </cell>
          <cell r="K13599" t="str">
            <v>VVV</v>
          </cell>
          <cell r="M13599" t="str">
            <v>F</v>
          </cell>
          <cell r="AB13599" t="str">
            <v>WB</v>
          </cell>
          <cell r="AF13599">
            <v>0.4</v>
          </cell>
        </row>
        <row r="13600">
          <cell r="A13600" t="str">
            <v>IS_alqt_plus</v>
          </cell>
          <cell r="K13600" t="str">
            <v>VVV</v>
          </cell>
          <cell r="M13600" t="str">
            <v>F</v>
          </cell>
          <cell r="AB13600" t="str">
            <v>WB</v>
          </cell>
          <cell r="AF13600">
            <v>0.4</v>
          </cell>
        </row>
        <row r="13601">
          <cell r="A13601" t="str">
            <v>IS_alqt_plus</v>
          </cell>
          <cell r="K13601" t="str">
            <v>VVV</v>
          </cell>
          <cell r="M13601" t="str">
            <v>F</v>
          </cell>
          <cell r="AB13601" t="str">
            <v>WB</v>
          </cell>
          <cell r="AF13601">
            <v>0.6</v>
          </cell>
        </row>
        <row r="13602">
          <cell r="A13602" t="str">
            <v>IS_alqt_plus</v>
          </cell>
          <cell r="K13602" t="str">
            <v>VVV</v>
          </cell>
          <cell r="M13602" t="str">
            <v>F</v>
          </cell>
          <cell r="AB13602" t="str">
            <v>serum</v>
          </cell>
          <cell r="AF13602">
            <v>0.2</v>
          </cell>
        </row>
        <row r="13603">
          <cell r="A13603" t="str">
            <v>IS_alqt_plus</v>
          </cell>
          <cell r="K13603" t="str">
            <v>VVV</v>
          </cell>
          <cell r="M13603" t="str">
            <v>F</v>
          </cell>
          <cell r="AB13603" t="str">
            <v>serum</v>
          </cell>
          <cell r="AF13603">
            <v>0.4</v>
          </cell>
        </row>
        <row r="13604">
          <cell r="A13604" t="str">
            <v>IS_alqt_plus</v>
          </cell>
          <cell r="K13604" t="str">
            <v>VVV</v>
          </cell>
          <cell r="M13604" t="str">
            <v>F</v>
          </cell>
          <cell r="AB13604" t="str">
            <v>serum</v>
          </cell>
          <cell r="AF13604">
            <v>0.6</v>
          </cell>
        </row>
        <row r="13605">
          <cell r="A13605" t="str">
            <v>IS_alqt_plus</v>
          </cell>
          <cell r="K13605" t="str">
            <v>DMAD</v>
          </cell>
          <cell r="M13605" t="str">
            <v>M</v>
          </cell>
          <cell r="AB13605" t="str">
            <v>WB</v>
          </cell>
          <cell r="AF13605">
            <v>0.4</v>
          </cell>
        </row>
        <row r="13606">
          <cell r="A13606" t="str">
            <v>IS_alqt_plus</v>
          </cell>
          <cell r="K13606" t="str">
            <v>DMAD</v>
          </cell>
          <cell r="M13606" t="str">
            <v>M</v>
          </cell>
          <cell r="AB13606" t="str">
            <v>WB</v>
          </cell>
          <cell r="AF13606">
            <v>0.4</v>
          </cell>
        </row>
        <row r="13607">
          <cell r="A13607" t="str">
            <v>IS_alqt_plus</v>
          </cell>
          <cell r="K13607" t="str">
            <v>DMAD</v>
          </cell>
          <cell r="M13607" t="str">
            <v>M</v>
          </cell>
          <cell r="AB13607" t="str">
            <v>WB</v>
          </cell>
          <cell r="AF13607">
            <v>0.4</v>
          </cell>
        </row>
        <row r="13608">
          <cell r="A13608" t="str">
            <v>IS_alqt_plus</v>
          </cell>
          <cell r="K13608" t="str">
            <v>DMAD</v>
          </cell>
          <cell r="M13608" t="str">
            <v>M</v>
          </cell>
          <cell r="AB13608" t="str">
            <v>WB</v>
          </cell>
          <cell r="AF13608">
            <v>0.4</v>
          </cell>
        </row>
        <row r="13609">
          <cell r="A13609" t="str">
            <v>IS_alqt_plus</v>
          </cell>
          <cell r="K13609" t="str">
            <v>EFLA</v>
          </cell>
          <cell r="M13609" t="str">
            <v>F</v>
          </cell>
          <cell r="AB13609" t="str">
            <v>WB</v>
          </cell>
          <cell r="AF13609">
            <v>0.6</v>
          </cell>
        </row>
        <row r="13610">
          <cell r="A13610" t="str">
            <v>gone</v>
          </cell>
          <cell r="K13610" t="str">
            <v>EFLA</v>
          </cell>
          <cell r="M13610" t="str">
            <v>F</v>
          </cell>
          <cell r="AB13610" t="str">
            <v>WB</v>
          </cell>
          <cell r="AF13610">
            <v>0</v>
          </cell>
        </row>
        <row r="13611">
          <cell r="A13611" t="str">
            <v>IS_alqt_plus</v>
          </cell>
          <cell r="K13611" t="str">
            <v>EFLA</v>
          </cell>
          <cell r="M13611" t="str">
            <v>F</v>
          </cell>
          <cell r="AB13611" t="str">
            <v>WB</v>
          </cell>
          <cell r="AF13611">
            <v>0.4</v>
          </cell>
        </row>
        <row r="13612">
          <cell r="A13612" t="str">
            <v>IS_alqt_plus</v>
          </cell>
          <cell r="K13612" t="str">
            <v>EFLA</v>
          </cell>
          <cell r="M13612" t="str">
            <v>F</v>
          </cell>
          <cell r="AB13612" t="str">
            <v>serum</v>
          </cell>
          <cell r="AF13612">
            <v>0.4</v>
          </cell>
        </row>
        <row r="13613">
          <cell r="A13613" t="str">
            <v>IS_alqt_minus</v>
          </cell>
          <cell r="K13613" t="str">
            <v>CMED</v>
          </cell>
          <cell r="M13613" t="str">
            <v>F</v>
          </cell>
          <cell r="AB13613" t="str">
            <v>WB</v>
          </cell>
          <cell r="AF13613">
            <v>0.2</v>
          </cell>
        </row>
        <row r="13614">
          <cell r="A13614" t="str">
            <v>IS_alqt_plus</v>
          </cell>
          <cell r="K13614" t="str">
            <v>EMON</v>
          </cell>
          <cell r="M13614" t="str">
            <v>M</v>
          </cell>
          <cell r="AB13614" t="str">
            <v>WB</v>
          </cell>
          <cell r="AF13614">
            <v>0.2</v>
          </cell>
        </row>
        <row r="13615">
          <cell r="A13615" t="str">
            <v>IS_alqt_plus</v>
          </cell>
          <cell r="K13615" t="str">
            <v>EMON</v>
          </cell>
          <cell r="M13615" t="str">
            <v>M</v>
          </cell>
          <cell r="AB13615" t="str">
            <v>WB</v>
          </cell>
          <cell r="AF13615">
            <v>0.4</v>
          </cell>
        </row>
        <row r="13616">
          <cell r="A13616" t="str">
            <v>IS_alqt_plus</v>
          </cell>
          <cell r="K13616" t="str">
            <v>EMON</v>
          </cell>
          <cell r="M13616" t="str">
            <v>M</v>
          </cell>
          <cell r="AB13616" t="str">
            <v>WB</v>
          </cell>
          <cell r="AF13616">
            <v>0.6</v>
          </cell>
        </row>
        <row r="13617">
          <cell r="A13617" t="str">
            <v>IS_alqt_plus</v>
          </cell>
          <cell r="K13617" t="str">
            <v>EMON</v>
          </cell>
          <cell r="M13617" t="str">
            <v>M</v>
          </cell>
          <cell r="AB13617" t="str">
            <v>serum</v>
          </cell>
          <cell r="AF13617">
            <v>0.2</v>
          </cell>
        </row>
        <row r="13618">
          <cell r="A13618" t="str">
            <v>IS_alqt_plus</v>
          </cell>
          <cell r="K13618" t="str">
            <v>EMON</v>
          </cell>
          <cell r="M13618" t="str">
            <v>M</v>
          </cell>
          <cell r="AB13618" t="str">
            <v>serum</v>
          </cell>
          <cell r="AF13618">
            <v>0.2</v>
          </cell>
        </row>
        <row r="13619">
          <cell r="A13619" t="str">
            <v>IS_alqt_plus</v>
          </cell>
          <cell r="K13619" t="str">
            <v>EMON</v>
          </cell>
          <cell r="M13619" t="str">
            <v>M</v>
          </cell>
          <cell r="AB13619" t="str">
            <v>serum</v>
          </cell>
          <cell r="AF13619">
            <v>0.4</v>
          </cell>
        </row>
        <row r="13620">
          <cell r="A13620" t="str">
            <v>IS_alqt_plus</v>
          </cell>
          <cell r="K13620" t="str">
            <v>EMON</v>
          </cell>
          <cell r="M13620" t="str">
            <v>M</v>
          </cell>
          <cell r="AB13620" t="str">
            <v>serum</v>
          </cell>
          <cell r="AF13620">
            <v>0.6</v>
          </cell>
        </row>
        <row r="13621">
          <cell r="A13621" t="str">
            <v>IS_alqt_plus</v>
          </cell>
          <cell r="K13621" t="str">
            <v>MMUR</v>
          </cell>
          <cell r="M13621" t="str">
            <v>F</v>
          </cell>
          <cell r="AB13621" t="str">
            <v>serum</v>
          </cell>
          <cell r="AF13621">
            <v>0.06</v>
          </cell>
        </row>
        <row r="13622">
          <cell r="A13622" t="str">
            <v>IS_alqt_plus</v>
          </cell>
          <cell r="K13622" t="str">
            <v>PCOQ</v>
          </cell>
          <cell r="M13622" t="str">
            <v>F</v>
          </cell>
          <cell r="AB13622" t="str">
            <v>WB</v>
          </cell>
          <cell r="AF13622">
            <v>0.6</v>
          </cell>
        </row>
        <row r="13623">
          <cell r="A13623" t="str">
            <v>IS_alqt_plus</v>
          </cell>
          <cell r="K13623" t="str">
            <v>PCOQ</v>
          </cell>
          <cell r="M13623" t="str">
            <v>F</v>
          </cell>
          <cell r="AB13623" t="str">
            <v>WB</v>
          </cell>
          <cell r="AF13623">
            <v>0.4</v>
          </cell>
        </row>
        <row r="13624">
          <cell r="A13624" t="str">
            <v>IS_alqt_plus</v>
          </cell>
          <cell r="K13624" t="str">
            <v>PCOQ</v>
          </cell>
          <cell r="M13624" t="str">
            <v>F</v>
          </cell>
          <cell r="AB13624" t="str">
            <v>WB</v>
          </cell>
          <cell r="AF13624">
            <v>0.2</v>
          </cell>
        </row>
        <row r="13625">
          <cell r="A13625" t="str">
            <v>IS_alqt_plus</v>
          </cell>
          <cell r="K13625" t="str">
            <v>PCOQ</v>
          </cell>
          <cell r="M13625" t="str">
            <v>F</v>
          </cell>
          <cell r="AB13625" t="str">
            <v>WB</v>
          </cell>
          <cell r="AF13625">
            <v>0.2</v>
          </cell>
        </row>
        <row r="13626">
          <cell r="A13626" t="str">
            <v>IS_alqt_plus</v>
          </cell>
          <cell r="K13626" t="str">
            <v>PCOQ</v>
          </cell>
          <cell r="M13626" t="str">
            <v>F</v>
          </cell>
          <cell r="AB13626" t="str">
            <v>serum</v>
          </cell>
          <cell r="AF13626">
            <v>0.6</v>
          </cell>
        </row>
        <row r="13627">
          <cell r="A13627" t="str">
            <v>IS_alqt_plus</v>
          </cell>
          <cell r="K13627" t="str">
            <v>PCOQ</v>
          </cell>
          <cell r="M13627" t="str">
            <v>F</v>
          </cell>
          <cell r="AB13627" t="str">
            <v>serum</v>
          </cell>
          <cell r="AF13627">
            <v>0.4</v>
          </cell>
        </row>
        <row r="13628">
          <cell r="A13628" t="str">
            <v>IS_alqt_plus</v>
          </cell>
          <cell r="K13628" t="str">
            <v>PCOQ</v>
          </cell>
          <cell r="M13628" t="str">
            <v>F</v>
          </cell>
          <cell r="AB13628" t="str">
            <v>serum</v>
          </cell>
          <cell r="AF13628">
            <v>0.4</v>
          </cell>
        </row>
        <row r="13629">
          <cell r="A13629" t="str">
            <v>IS_alqt_plus</v>
          </cell>
          <cell r="K13629" t="str">
            <v>PCOQ</v>
          </cell>
          <cell r="M13629" t="str">
            <v>F</v>
          </cell>
          <cell r="AB13629" t="str">
            <v>serum</v>
          </cell>
          <cell r="AF13629">
            <v>0.2</v>
          </cell>
        </row>
        <row r="13630">
          <cell r="A13630" t="str">
            <v>IS_alqt_minus</v>
          </cell>
          <cell r="K13630" t="str">
            <v>MMUR</v>
          </cell>
          <cell r="M13630" t="str">
            <v>F</v>
          </cell>
          <cell r="AB13630" t="str">
            <v>plasma</v>
          </cell>
          <cell r="AF13630">
            <v>1.4999999999999999E-2</v>
          </cell>
        </row>
        <row r="13631">
          <cell r="A13631" t="str">
            <v>IS_alqt_plus</v>
          </cell>
          <cell r="K13631" t="str">
            <v>DMAD</v>
          </cell>
          <cell r="M13631" t="str">
            <v>F</v>
          </cell>
          <cell r="AB13631" t="str">
            <v>serum</v>
          </cell>
          <cell r="AF13631">
            <v>0.2</v>
          </cell>
        </row>
        <row r="13632">
          <cell r="A13632" t="str">
            <v>IS_alqt_plus</v>
          </cell>
          <cell r="K13632" t="str">
            <v>DMAD</v>
          </cell>
          <cell r="M13632" t="str">
            <v>F</v>
          </cell>
          <cell r="AB13632" t="str">
            <v>serum</v>
          </cell>
          <cell r="AF13632">
            <v>0.2</v>
          </cell>
        </row>
        <row r="13633">
          <cell r="A13633" t="str">
            <v>IS_alqt_plus</v>
          </cell>
          <cell r="K13633" t="str">
            <v>DMAD</v>
          </cell>
          <cell r="M13633" t="str">
            <v>F</v>
          </cell>
          <cell r="AB13633" t="str">
            <v>serum</v>
          </cell>
          <cell r="AF13633">
            <v>0.2</v>
          </cell>
        </row>
        <row r="13634">
          <cell r="A13634" t="str">
            <v>IS_alqt_plus</v>
          </cell>
          <cell r="K13634" t="str">
            <v>DMAD</v>
          </cell>
          <cell r="M13634" t="str">
            <v>F</v>
          </cell>
          <cell r="AB13634" t="str">
            <v>serum</v>
          </cell>
          <cell r="AF13634">
            <v>0.2</v>
          </cell>
        </row>
        <row r="13635">
          <cell r="A13635" t="str">
            <v>IS_alqt_plus</v>
          </cell>
          <cell r="K13635" t="str">
            <v>DMAD</v>
          </cell>
          <cell r="M13635" t="str">
            <v>F</v>
          </cell>
          <cell r="AB13635" t="str">
            <v>WB</v>
          </cell>
          <cell r="AF13635">
            <v>0.2</v>
          </cell>
        </row>
        <row r="13636">
          <cell r="A13636" t="str">
            <v>IS_alqt_plus</v>
          </cell>
          <cell r="K13636" t="str">
            <v>DMAD</v>
          </cell>
          <cell r="M13636" t="str">
            <v>F</v>
          </cell>
          <cell r="AB13636" t="str">
            <v>WB</v>
          </cell>
          <cell r="AF13636">
            <v>0.2</v>
          </cell>
        </row>
        <row r="13637">
          <cell r="A13637" t="str">
            <v>IS_alqt_plus</v>
          </cell>
          <cell r="K13637" t="str">
            <v>DMAD</v>
          </cell>
          <cell r="M13637" t="str">
            <v>F</v>
          </cell>
          <cell r="AB13637" t="str">
            <v>WB</v>
          </cell>
          <cell r="AF13637">
            <v>0.2</v>
          </cell>
        </row>
        <row r="13638">
          <cell r="A13638" t="str">
            <v>IS_alqt_plus</v>
          </cell>
          <cell r="K13638" t="str">
            <v>DMAD</v>
          </cell>
          <cell r="M13638" t="str">
            <v>F</v>
          </cell>
          <cell r="AB13638" t="str">
            <v>WB</v>
          </cell>
          <cell r="AF13638">
            <v>0.2</v>
          </cell>
        </row>
        <row r="13639">
          <cell r="A13639" t="str">
            <v>IS_alqt_plus</v>
          </cell>
          <cell r="K13639" t="str">
            <v>DMAD</v>
          </cell>
          <cell r="M13639" t="str">
            <v>F</v>
          </cell>
          <cell r="AB13639" t="str">
            <v>WB</v>
          </cell>
          <cell r="AF13639">
            <v>0.2</v>
          </cell>
        </row>
        <row r="13640">
          <cell r="A13640" t="str">
            <v>IS_alqt_plus</v>
          </cell>
          <cell r="K13640" t="str">
            <v>DMAD</v>
          </cell>
          <cell r="M13640" t="str">
            <v>F</v>
          </cell>
          <cell r="AB13640" t="str">
            <v>WB</v>
          </cell>
          <cell r="AF13640">
            <v>0.2</v>
          </cell>
        </row>
        <row r="13641">
          <cell r="A13641" t="str">
            <v>IS_alqt_plus</v>
          </cell>
          <cell r="K13641" t="str">
            <v>DMAD</v>
          </cell>
          <cell r="M13641" t="str">
            <v>F</v>
          </cell>
          <cell r="AB13641" t="str">
            <v>WB</v>
          </cell>
          <cell r="AF13641">
            <v>0.2</v>
          </cell>
        </row>
        <row r="13642">
          <cell r="A13642" t="str">
            <v>IS_alqt_plus</v>
          </cell>
          <cell r="K13642" t="str">
            <v>EMON</v>
          </cell>
          <cell r="M13642" t="str">
            <v>M</v>
          </cell>
          <cell r="AB13642" t="str">
            <v>serum</v>
          </cell>
          <cell r="AF13642">
            <v>0.2</v>
          </cell>
        </row>
        <row r="13643">
          <cell r="A13643" t="str">
            <v>IS_alqt_plus</v>
          </cell>
          <cell r="K13643" t="str">
            <v>EMON</v>
          </cell>
          <cell r="M13643" t="str">
            <v>M</v>
          </cell>
          <cell r="AB13643" t="str">
            <v>serum</v>
          </cell>
          <cell r="AF13643">
            <v>0.4</v>
          </cell>
        </row>
        <row r="13644">
          <cell r="A13644" t="str">
            <v>IS_alqt_plus</v>
          </cell>
          <cell r="K13644" t="str">
            <v>EMON</v>
          </cell>
          <cell r="M13644" t="str">
            <v>M</v>
          </cell>
          <cell r="AB13644" t="str">
            <v>serum</v>
          </cell>
          <cell r="AF13644">
            <v>0.6</v>
          </cell>
        </row>
        <row r="13645">
          <cell r="A13645" t="str">
            <v>IS_alqt_plus</v>
          </cell>
          <cell r="K13645" t="str">
            <v>EMON</v>
          </cell>
          <cell r="M13645" t="str">
            <v>M</v>
          </cell>
          <cell r="AB13645" t="str">
            <v>WB</v>
          </cell>
          <cell r="AF13645">
            <v>0.4</v>
          </cell>
        </row>
        <row r="13646">
          <cell r="A13646" t="str">
            <v>IS_alqt_plus</v>
          </cell>
          <cell r="K13646" t="str">
            <v>EMON</v>
          </cell>
          <cell r="M13646" t="str">
            <v>M</v>
          </cell>
          <cell r="AB13646" t="str">
            <v>WB</v>
          </cell>
          <cell r="AF13646">
            <v>0.5</v>
          </cell>
        </row>
        <row r="13647">
          <cell r="A13647" t="str">
            <v>IS_alqt_plus</v>
          </cell>
          <cell r="K13647" t="str">
            <v>EMON</v>
          </cell>
          <cell r="M13647" t="str">
            <v>M</v>
          </cell>
          <cell r="AB13647" t="str">
            <v>WB</v>
          </cell>
          <cell r="AF13647">
            <v>0.6</v>
          </cell>
        </row>
        <row r="13648">
          <cell r="A13648" t="str">
            <v>IS_alqt_plus</v>
          </cell>
          <cell r="K13648" t="str">
            <v>LCAT</v>
          </cell>
          <cell r="M13648" t="str">
            <v>F</v>
          </cell>
          <cell r="AB13648" t="str">
            <v>WB</v>
          </cell>
          <cell r="AF13648">
            <v>0.2</v>
          </cell>
        </row>
        <row r="13649">
          <cell r="A13649" t="str">
            <v>IS_alqt_plus</v>
          </cell>
          <cell r="K13649" t="str">
            <v>LCAT</v>
          </cell>
          <cell r="M13649" t="str">
            <v>F</v>
          </cell>
          <cell r="AB13649" t="str">
            <v>WB</v>
          </cell>
          <cell r="AF13649">
            <v>0.2</v>
          </cell>
        </row>
        <row r="13650">
          <cell r="A13650" t="str">
            <v>IS_alqt_plus</v>
          </cell>
          <cell r="K13650" t="str">
            <v>LCAT</v>
          </cell>
          <cell r="M13650" t="str">
            <v>F</v>
          </cell>
          <cell r="AB13650" t="str">
            <v>WB</v>
          </cell>
          <cell r="AF13650">
            <v>0.4</v>
          </cell>
        </row>
        <row r="13651">
          <cell r="A13651" t="str">
            <v>IS_alqt_plus</v>
          </cell>
          <cell r="K13651" t="str">
            <v>LCAT</v>
          </cell>
          <cell r="M13651" t="str">
            <v>F</v>
          </cell>
          <cell r="AB13651" t="str">
            <v>WB</v>
          </cell>
          <cell r="AF13651">
            <v>0.4</v>
          </cell>
        </row>
        <row r="13652">
          <cell r="A13652" t="str">
            <v>IS_alqt_plus</v>
          </cell>
          <cell r="K13652" t="str">
            <v>LCAT</v>
          </cell>
          <cell r="M13652" t="str">
            <v>F</v>
          </cell>
          <cell r="AB13652" t="str">
            <v>serum</v>
          </cell>
          <cell r="AF13652">
            <v>0.2</v>
          </cell>
        </row>
        <row r="13653">
          <cell r="A13653" t="str">
            <v>IS_alqt_plus</v>
          </cell>
          <cell r="K13653" t="str">
            <v>LCAT</v>
          </cell>
          <cell r="M13653" t="str">
            <v>F</v>
          </cell>
          <cell r="AB13653" t="str">
            <v>serum</v>
          </cell>
          <cell r="AF13653">
            <v>0.2</v>
          </cell>
        </row>
        <row r="13654">
          <cell r="A13654" t="str">
            <v>IS_alqt_plus</v>
          </cell>
          <cell r="K13654" t="str">
            <v>LCAT</v>
          </cell>
          <cell r="M13654" t="str">
            <v>F</v>
          </cell>
          <cell r="AB13654" t="str">
            <v>serum</v>
          </cell>
          <cell r="AF13654">
            <v>0.4</v>
          </cell>
        </row>
        <row r="13655">
          <cell r="A13655" t="str">
            <v>IS_alqt_plus</v>
          </cell>
          <cell r="K13655" t="str">
            <v>LCAT</v>
          </cell>
          <cell r="M13655" t="str">
            <v>F</v>
          </cell>
          <cell r="AB13655" t="str">
            <v>serum</v>
          </cell>
          <cell r="AF13655">
            <v>0.4</v>
          </cell>
        </row>
        <row r="13656">
          <cell r="A13656" t="str">
            <v>gone</v>
          </cell>
          <cell r="K13656" t="str">
            <v>MMUR</v>
          </cell>
          <cell r="M13656" t="str">
            <v>M</v>
          </cell>
          <cell r="AB13656" t="str">
            <v>WB</v>
          </cell>
          <cell r="AF13656">
            <v>0</v>
          </cell>
        </row>
        <row r="13657">
          <cell r="A13657" t="str">
            <v>IS_alqt_plus</v>
          </cell>
          <cell r="K13657" t="str">
            <v>MMUR</v>
          </cell>
          <cell r="M13657" t="str">
            <v>M</v>
          </cell>
          <cell r="AB13657" t="str">
            <v>Plasma</v>
          </cell>
          <cell r="AF13657">
            <v>0.06</v>
          </cell>
        </row>
        <row r="13658">
          <cell r="A13658" t="str">
            <v>IS_alqt_plus</v>
          </cell>
          <cell r="K13658" t="str">
            <v>MMUR</v>
          </cell>
          <cell r="M13658" t="str">
            <v>M</v>
          </cell>
          <cell r="AB13658" t="str">
            <v>Plasma</v>
          </cell>
          <cell r="AF13658">
            <v>4.4999999999999998E-2</v>
          </cell>
        </row>
        <row r="13659">
          <cell r="A13659" t="str">
            <v>IS_alqt_plus</v>
          </cell>
          <cell r="K13659" t="str">
            <v>MMUR</v>
          </cell>
          <cell r="M13659" t="str">
            <v>M</v>
          </cell>
          <cell r="AB13659" t="str">
            <v>Plasma</v>
          </cell>
          <cell r="AF13659">
            <v>0.04</v>
          </cell>
        </row>
        <row r="13660">
          <cell r="A13660" t="str">
            <v>IS_alqt_plus</v>
          </cell>
          <cell r="K13660" t="str">
            <v>MMUR</v>
          </cell>
          <cell r="M13660" t="str">
            <v>F</v>
          </cell>
          <cell r="AB13660" t="str">
            <v>Plasma</v>
          </cell>
          <cell r="AF13660">
            <v>2.5000000000000001E-2</v>
          </cell>
        </row>
        <row r="13661">
          <cell r="A13661" t="str">
            <v>IS_alqt_plus</v>
          </cell>
          <cell r="K13661" t="str">
            <v>EFLA</v>
          </cell>
          <cell r="M13661" t="str">
            <v>F</v>
          </cell>
          <cell r="AB13661" t="str">
            <v>WB</v>
          </cell>
          <cell r="AF13661">
            <v>0.2</v>
          </cell>
        </row>
        <row r="13662">
          <cell r="A13662" t="str">
            <v>IS_alqt_plus</v>
          </cell>
          <cell r="K13662" t="str">
            <v>EFLA</v>
          </cell>
          <cell r="M13662" t="str">
            <v>F</v>
          </cell>
          <cell r="AB13662" t="str">
            <v>WB</v>
          </cell>
          <cell r="AF13662">
            <v>0.2</v>
          </cell>
        </row>
        <row r="13663">
          <cell r="A13663" t="str">
            <v>IS_alqt_plus</v>
          </cell>
          <cell r="K13663" t="str">
            <v>EFLA</v>
          </cell>
          <cell r="M13663" t="str">
            <v>F</v>
          </cell>
          <cell r="AB13663" t="str">
            <v>WB</v>
          </cell>
          <cell r="AF13663">
            <v>0.4</v>
          </cell>
        </row>
        <row r="13664">
          <cell r="A13664" t="str">
            <v>IS_alqt_plus</v>
          </cell>
          <cell r="K13664" t="str">
            <v>EFLA</v>
          </cell>
          <cell r="M13664" t="str">
            <v>F</v>
          </cell>
          <cell r="AB13664" t="str">
            <v>WB</v>
          </cell>
          <cell r="AF13664">
            <v>0.6</v>
          </cell>
        </row>
        <row r="13665">
          <cell r="A13665" t="str">
            <v>IS_alqt_plus</v>
          </cell>
          <cell r="K13665" t="str">
            <v>EFLA</v>
          </cell>
          <cell r="M13665" t="str">
            <v>F</v>
          </cell>
          <cell r="AB13665" t="str">
            <v>serum</v>
          </cell>
          <cell r="AF13665">
            <v>0.2</v>
          </cell>
        </row>
        <row r="13666">
          <cell r="A13666" t="str">
            <v>IS_alqt_plus</v>
          </cell>
          <cell r="K13666" t="str">
            <v>EFLA</v>
          </cell>
          <cell r="M13666" t="str">
            <v>F</v>
          </cell>
          <cell r="AB13666" t="str">
            <v>serum</v>
          </cell>
          <cell r="AF13666">
            <v>0.2</v>
          </cell>
        </row>
        <row r="13667">
          <cell r="A13667" t="str">
            <v>IS_alqt_plus</v>
          </cell>
          <cell r="K13667" t="str">
            <v>EFLA</v>
          </cell>
          <cell r="M13667" t="str">
            <v>F</v>
          </cell>
          <cell r="AB13667" t="str">
            <v>serum</v>
          </cell>
          <cell r="AF13667">
            <v>0.2</v>
          </cell>
        </row>
        <row r="13668">
          <cell r="A13668" t="str">
            <v>IS_alqt_plus</v>
          </cell>
          <cell r="K13668" t="str">
            <v>EFLA</v>
          </cell>
          <cell r="M13668" t="str">
            <v>F</v>
          </cell>
          <cell r="AB13668" t="str">
            <v>serum</v>
          </cell>
          <cell r="AF13668">
            <v>0.6</v>
          </cell>
        </row>
        <row r="13669">
          <cell r="A13669" t="str">
            <v>IS_alqt_plus</v>
          </cell>
          <cell r="K13669" t="str">
            <v>EFLA</v>
          </cell>
          <cell r="M13669" t="str">
            <v>F</v>
          </cell>
          <cell r="AB13669" t="str">
            <v>serum</v>
          </cell>
          <cell r="AF13669">
            <v>0.25</v>
          </cell>
        </row>
        <row r="13670">
          <cell r="A13670" t="str">
            <v>IS_alqt_plus</v>
          </cell>
          <cell r="K13670" t="str">
            <v>EFLA</v>
          </cell>
          <cell r="M13670" t="str">
            <v>F</v>
          </cell>
          <cell r="AB13670" t="str">
            <v>WB</v>
          </cell>
          <cell r="AF13670">
            <v>0.6</v>
          </cell>
        </row>
        <row r="13671">
          <cell r="A13671" t="str">
            <v>IS_alqt_plus</v>
          </cell>
          <cell r="K13671" t="str">
            <v>EFLA</v>
          </cell>
          <cell r="M13671" t="str">
            <v>F</v>
          </cell>
          <cell r="AB13671" t="str">
            <v>WB</v>
          </cell>
          <cell r="AF13671">
            <v>0.4</v>
          </cell>
        </row>
        <row r="13672">
          <cell r="A13672" t="str">
            <v>IS_alqt_plus</v>
          </cell>
          <cell r="K13672" t="str">
            <v>EFLA</v>
          </cell>
          <cell r="M13672" t="str">
            <v>F</v>
          </cell>
          <cell r="AB13672" t="str">
            <v>WB</v>
          </cell>
          <cell r="AF13672">
            <v>0.4</v>
          </cell>
        </row>
        <row r="13673">
          <cell r="A13673" t="str">
            <v>IS_alqt_plus</v>
          </cell>
          <cell r="K13673" t="str">
            <v>EFLA</v>
          </cell>
          <cell r="M13673" t="str">
            <v>F</v>
          </cell>
          <cell r="AB13673" t="str">
            <v>serum</v>
          </cell>
          <cell r="AF13673">
            <v>0.2</v>
          </cell>
        </row>
        <row r="13674">
          <cell r="A13674" t="str">
            <v>IS_alqt_plus</v>
          </cell>
          <cell r="K13674" t="str">
            <v>EFLA</v>
          </cell>
          <cell r="M13674" t="str">
            <v>F</v>
          </cell>
          <cell r="AB13674" t="str">
            <v>serum</v>
          </cell>
          <cell r="AF13674">
            <v>0.2</v>
          </cell>
        </row>
        <row r="13675">
          <cell r="A13675" t="str">
            <v>IS_alqt_plus</v>
          </cell>
          <cell r="K13675" t="str">
            <v>EFLA</v>
          </cell>
          <cell r="M13675" t="str">
            <v>F</v>
          </cell>
          <cell r="AB13675" t="str">
            <v>serum</v>
          </cell>
          <cell r="AF13675">
            <v>0.4</v>
          </cell>
        </row>
        <row r="13676">
          <cell r="A13676" t="str">
            <v>IS_alqt_plus</v>
          </cell>
          <cell r="K13676" t="str">
            <v>EFLA</v>
          </cell>
          <cell r="M13676" t="str">
            <v>F</v>
          </cell>
          <cell r="AB13676" t="str">
            <v>serum</v>
          </cell>
          <cell r="AF13676">
            <v>0.4</v>
          </cell>
        </row>
        <row r="13677">
          <cell r="A13677" t="str">
            <v>IS_alqt_plus</v>
          </cell>
          <cell r="K13677" t="str">
            <v>VVV</v>
          </cell>
          <cell r="M13677" t="str">
            <v>M</v>
          </cell>
          <cell r="AB13677" t="str">
            <v>serum</v>
          </cell>
          <cell r="AF13677">
            <v>0.2</v>
          </cell>
        </row>
        <row r="13678">
          <cell r="A13678" t="str">
            <v>IS_alqt_plus</v>
          </cell>
          <cell r="K13678" t="str">
            <v>VVV</v>
          </cell>
          <cell r="M13678" t="str">
            <v>M</v>
          </cell>
          <cell r="AB13678" t="str">
            <v>serum</v>
          </cell>
          <cell r="AF13678">
            <v>0.2</v>
          </cell>
        </row>
        <row r="13679">
          <cell r="A13679" t="str">
            <v>IS_alqt_plus</v>
          </cell>
          <cell r="K13679" t="str">
            <v>VVV</v>
          </cell>
          <cell r="M13679" t="str">
            <v>M</v>
          </cell>
          <cell r="AB13679" t="str">
            <v>serum</v>
          </cell>
          <cell r="AF13679">
            <v>0.2</v>
          </cell>
        </row>
        <row r="13680">
          <cell r="A13680" t="str">
            <v>IS_alqt_plus</v>
          </cell>
          <cell r="K13680" t="str">
            <v>VVV</v>
          </cell>
          <cell r="M13680" t="str">
            <v>M</v>
          </cell>
          <cell r="AB13680" t="str">
            <v>serum</v>
          </cell>
          <cell r="AF13680">
            <v>0.2</v>
          </cell>
        </row>
        <row r="13681">
          <cell r="A13681" t="str">
            <v>IS_alqt_plus</v>
          </cell>
          <cell r="K13681" t="str">
            <v>VVV</v>
          </cell>
          <cell r="M13681" t="str">
            <v>M</v>
          </cell>
          <cell r="AB13681" t="str">
            <v>serum</v>
          </cell>
          <cell r="AF13681">
            <v>0.2</v>
          </cell>
        </row>
        <row r="13682">
          <cell r="A13682" t="str">
            <v>IS_alqt_plus</v>
          </cell>
          <cell r="K13682" t="str">
            <v>VVV</v>
          </cell>
          <cell r="M13682" t="str">
            <v>M</v>
          </cell>
          <cell r="AB13682" t="str">
            <v>serum</v>
          </cell>
          <cell r="AF13682">
            <v>0.2</v>
          </cell>
        </row>
        <row r="13683">
          <cell r="A13683" t="str">
            <v>IS_alqt_plus</v>
          </cell>
          <cell r="K13683" t="str">
            <v>VVV</v>
          </cell>
          <cell r="M13683" t="str">
            <v>M</v>
          </cell>
          <cell r="AB13683" t="str">
            <v>serum</v>
          </cell>
          <cell r="AF13683">
            <v>0.2</v>
          </cell>
        </row>
        <row r="13684">
          <cell r="A13684" t="str">
            <v>IS_alqt_plus</v>
          </cell>
          <cell r="K13684" t="str">
            <v>VVV</v>
          </cell>
          <cell r="M13684" t="str">
            <v>M</v>
          </cell>
          <cell r="AB13684" t="str">
            <v>serum</v>
          </cell>
          <cell r="AF13684">
            <v>0.2</v>
          </cell>
        </row>
        <row r="13685">
          <cell r="A13685" t="str">
            <v>IS_alqt_plus</v>
          </cell>
          <cell r="K13685" t="str">
            <v>VVV</v>
          </cell>
          <cell r="M13685" t="str">
            <v>M</v>
          </cell>
          <cell r="AB13685" t="str">
            <v>serum</v>
          </cell>
          <cell r="AF13685">
            <v>0.2</v>
          </cell>
        </row>
        <row r="13686">
          <cell r="A13686" t="str">
            <v>IS_alqt_plus</v>
          </cell>
          <cell r="K13686" t="str">
            <v>VVV</v>
          </cell>
          <cell r="M13686" t="str">
            <v>M</v>
          </cell>
          <cell r="AB13686" t="str">
            <v>serum</v>
          </cell>
          <cell r="AF13686">
            <v>0.2</v>
          </cell>
        </row>
        <row r="13687">
          <cell r="A13687" t="str">
            <v>IS_alqt_plus</v>
          </cell>
          <cell r="K13687" t="str">
            <v>VVV</v>
          </cell>
          <cell r="M13687" t="str">
            <v>M</v>
          </cell>
          <cell r="AB13687" t="str">
            <v>serum</v>
          </cell>
          <cell r="AF13687">
            <v>0.2</v>
          </cell>
        </row>
        <row r="13688">
          <cell r="A13688" t="str">
            <v>IS_alqt_plus</v>
          </cell>
          <cell r="K13688" t="str">
            <v>VVV</v>
          </cell>
          <cell r="M13688" t="str">
            <v>M</v>
          </cell>
          <cell r="AB13688" t="str">
            <v>serum</v>
          </cell>
          <cell r="AF13688">
            <v>0.2</v>
          </cell>
        </row>
        <row r="13689">
          <cell r="A13689" t="str">
            <v>IS_alqt_plus</v>
          </cell>
          <cell r="K13689" t="str">
            <v>VVV</v>
          </cell>
          <cell r="M13689" t="str">
            <v>F</v>
          </cell>
          <cell r="AB13689" t="str">
            <v>serum</v>
          </cell>
          <cell r="AF13689">
            <v>0.2</v>
          </cell>
        </row>
        <row r="13690">
          <cell r="A13690" t="str">
            <v>IS_alqt_plus</v>
          </cell>
          <cell r="K13690" t="str">
            <v>VVV</v>
          </cell>
          <cell r="M13690" t="str">
            <v>F</v>
          </cell>
          <cell r="AB13690" t="str">
            <v>serum</v>
          </cell>
          <cell r="AF13690">
            <v>0.2</v>
          </cell>
        </row>
        <row r="13691">
          <cell r="A13691" t="str">
            <v>IS_alqt_plus</v>
          </cell>
          <cell r="K13691" t="str">
            <v>VVV</v>
          </cell>
          <cell r="M13691" t="str">
            <v>F</v>
          </cell>
          <cell r="AB13691" t="str">
            <v>serum</v>
          </cell>
          <cell r="AF13691">
            <v>0.2</v>
          </cell>
        </row>
        <row r="13692">
          <cell r="A13692" t="str">
            <v>IS_alqt_plus</v>
          </cell>
          <cell r="K13692" t="str">
            <v>VVV</v>
          </cell>
          <cell r="M13692" t="str">
            <v>F</v>
          </cell>
          <cell r="AB13692" t="str">
            <v>serum</v>
          </cell>
          <cell r="AF13692">
            <v>0.2</v>
          </cell>
        </row>
        <row r="13693">
          <cell r="A13693" t="str">
            <v>IS_alqt_plus</v>
          </cell>
          <cell r="K13693" t="str">
            <v>VVV</v>
          </cell>
          <cell r="M13693" t="str">
            <v>F</v>
          </cell>
          <cell r="AB13693" t="str">
            <v>serum</v>
          </cell>
          <cell r="AF13693">
            <v>0.2</v>
          </cell>
        </row>
        <row r="13694">
          <cell r="A13694" t="str">
            <v>IS_alqt_plus</v>
          </cell>
          <cell r="K13694" t="str">
            <v>VVV</v>
          </cell>
          <cell r="M13694" t="str">
            <v>M</v>
          </cell>
          <cell r="AB13694" t="str">
            <v>serum</v>
          </cell>
          <cell r="AF13694">
            <v>0.2</v>
          </cell>
        </row>
        <row r="13695">
          <cell r="A13695" t="str">
            <v>IS_alqt_plus</v>
          </cell>
          <cell r="K13695" t="str">
            <v>VVV</v>
          </cell>
          <cell r="M13695" t="str">
            <v>M</v>
          </cell>
          <cell r="AB13695" t="str">
            <v>serum</v>
          </cell>
          <cell r="AF13695">
            <v>0.2</v>
          </cell>
        </row>
        <row r="13696">
          <cell r="A13696" t="str">
            <v>IS_alqt_plus</v>
          </cell>
          <cell r="K13696" t="str">
            <v>VVV</v>
          </cell>
          <cell r="M13696" t="str">
            <v>M</v>
          </cell>
          <cell r="AB13696" t="str">
            <v>serum</v>
          </cell>
          <cell r="AF13696">
            <v>0.2</v>
          </cell>
        </row>
        <row r="13697">
          <cell r="A13697" t="str">
            <v>IS_alqt_plus</v>
          </cell>
          <cell r="K13697" t="str">
            <v>VVV</v>
          </cell>
          <cell r="M13697" t="str">
            <v>M</v>
          </cell>
          <cell r="AB13697" t="str">
            <v>serum</v>
          </cell>
          <cell r="AF13697">
            <v>0.2</v>
          </cell>
        </row>
        <row r="13698">
          <cell r="A13698" t="str">
            <v>IS_alqt_plus</v>
          </cell>
          <cell r="K13698" t="str">
            <v>VVV</v>
          </cell>
          <cell r="M13698" t="str">
            <v>M</v>
          </cell>
          <cell r="AB13698" t="str">
            <v>serum</v>
          </cell>
          <cell r="AF13698">
            <v>0.2</v>
          </cell>
        </row>
        <row r="13699">
          <cell r="A13699" t="str">
            <v>IS_alqt_plus</v>
          </cell>
          <cell r="K13699" t="str">
            <v>VVV</v>
          </cell>
          <cell r="M13699" t="str">
            <v>F</v>
          </cell>
          <cell r="AB13699" t="str">
            <v>serum</v>
          </cell>
          <cell r="AF13699">
            <v>0.2</v>
          </cell>
        </row>
        <row r="13700">
          <cell r="A13700" t="str">
            <v>IS_alqt_plus</v>
          </cell>
          <cell r="K13700" t="str">
            <v>VVV</v>
          </cell>
          <cell r="M13700" t="str">
            <v>F</v>
          </cell>
          <cell r="AB13700" t="str">
            <v>serum</v>
          </cell>
          <cell r="AF13700">
            <v>0.2</v>
          </cell>
        </row>
        <row r="13701">
          <cell r="A13701" t="str">
            <v>IS_alqt_plus</v>
          </cell>
          <cell r="K13701" t="str">
            <v>VVV</v>
          </cell>
          <cell r="M13701" t="str">
            <v>F</v>
          </cell>
          <cell r="AB13701" t="str">
            <v>serum</v>
          </cell>
          <cell r="AF13701">
            <v>0.2</v>
          </cell>
        </row>
        <row r="13702">
          <cell r="A13702" t="str">
            <v>IS_alqt_plus</v>
          </cell>
          <cell r="K13702" t="str">
            <v>VVV</v>
          </cell>
          <cell r="M13702" t="str">
            <v>F</v>
          </cell>
          <cell r="AB13702" t="str">
            <v>serum</v>
          </cell>
          <cell r="AF13702">
            <v>0.2</v>
          </cell>
        </row>
        <row r="13703">
          <cell r="A13703" t="str">
            <v>IS_alqt_plus</v>
          </cell>
          <cell r="K13703" t="str">
            <v>VVV</v>
          </cell>
          <cell r="M13703" t="str">
            <v>F</v>
          </cell>
          <cell r="AB13703" t="str">
            <v>serum</v>
          </cell>
          <cell r="AF13703">
            <v>0.2</v>
          </cell>
        </row>
        <row r="13704">
          <cell r="A13704" t="str">
            <v>IS_alqt_plus</v>
          </cell>
          <cell r="K13704" t="str">
            <v>VVV</v>
          </cell>
          <cell r="M13704" t="str">
            <v>F</v>
          </cell>
          <cell r="AB13704" t="str">
            <v>serum</v>
          </cell>
          <cell r="AF13704">
            <v>0.2</v>
          </cell>
        </row>
        <row r="13705">
          <cell r="A13705" t="str">
            <v>IS_alqt_plus</v>
          </cell>
          <cell r="K13705" t="str">
            <v>VVV</v>
          </cell>
          <cell r="M13705" t="str">
            <v>F</v>
          </cell>
          <cell r="AB13705" t="str">
            <v>serum</v>
          </cell>
          <cell r="AF13705">
            <v>0.2</v>
          </cell>
        </row>
        <row r="13706">
          <cell r="A13706" t="str">
            <v>IS_alqt_plus</v>
          </cell>
          <cell r="K13706" t="str">
            <v>VVV</v>
          </cell>
          <cell r="M13706" t="str">
            <v>F</v>
          </cell>
          <cell r="AB13706" t="str">
            <v>serum</v>
          </cell>
          <cell r="AF13706">
            <v>0.2</v>
          </cell>
        </row>
        <row r="13707">
          <cell r="A13707" t="str">
            <v>IS_alqt_plus</v>
          </cell>
          <cell r="K13707" t="str">
            <v>LCAT</v>
          </cell>
          <cell r="M13707" t="str">
            <v>F</v>
          </cell>
          <cell r="AB13707" t="str">
            <v>serum</v>
          </cell>
          <cell r="AF13707">
            <v>0.4</v>
          </cell>
        </row>
        <row r="13708">
          <cell r="A13708" t="str">
            <v>IS_alqt_plus</v>
          </cell>
          <cell r="K13708" t="str">
            <v>LCAT</v>
          </cell>
          <cell r="M13708" t="str">
            <v>F</v>
          </cell>
          <cell r="AB13708" t="str">
            <v>serum</v>
          </cell>
          <cell r="AF13708">
            <v>0.5</v>
          </cell>
        </row>
        <row r="13709">
          <cell r="A13709" t="str">
            <v>IS_alqt_plus</v>
          </cell>
          <cell r="K13709" t="str">
            <v>LCAT</v>
          </cell>
          <cell r="M13709" t="str">
            <v>F</v>
          </cell>
          <cell r="AB13709" t="str">
            <v>serum</v>
          </cell>
          <cell r="AF13709">
            <v>0.6</v>
          </cell>
        </row>
        <row r="13710">
          <cell r="A13710" t="str">
            <v>IS_alqt_plus</v>
          </cell>
          <cell r="K13710" t="str">
            <v>LCAT</v>
          </cell>
          <cell r="M13710" t="str">
            <v>F</v>
          </cell>
          <cell r="AB13710" t="str">
            <v>serum</v>
          </cell>
          <cell r="AF13710">
            <v>0.6</v>
          </cell>
        </row>
        <row r="13711">
          <cell r="A13711" t="str">
            <v>IS_alqt_plus</v>
          </cell>
          <cell r="K13711" t="str">
            <v>LCAT</v>
          </cell>
          <cell r="M13711" t="str">
            <v>F</v>
          </cell>
          <cell r="AB13711" t="str">
            <v>WB</v>
          </cell>
          <cell r="AF13711">
            <v>0.2</v>
          </cell>
        </row>
        <row r="13712">
          <cell r="A13712" t="str">
            <v>IS_alqt_plus</v>
          </cell>
          <cell r="K13712" t="str">
            <v>LCAT</v>
          </cell>
          <cell r="M13712" t="str">
            <v>F</v>
          </cell>
          <cell r="AB13712" t="str">
            <v>WB</v>
          </cell>
          <cell r="AF13712">
            <v>0.2</v>
          </cell>
        </row>
        <row r="13713">
          <cell r="A13713" t="str">
            <v>IS_alqt_plus</v>
          </cell>
          <cell r="K13713" t="str">
            <v>LCAT</v>
          </cell>
          <cell r="M13713" t="str">
            <v>F</v>
          </cell>
          <cell r="AB13713" t="str">
            <v>WB</v>
          </cell>
          <cell r="AF13713">
            <v>0.4</v>
          </cell>
        </row>
        <row r="13714">
          <cell r="A13714" t="str">
            <v>IS_alqt_plus</v>
          </cell>
          <cell r="K13714" t="str">
            <v>LCAT</v>
          </cell>
          <cell r="M13714" t="str">
            <v>F</v>
          </cell>
          <cell r="AB13714" t="str">
            <v>WB</v>
          </cell>
          <cell r="AF13714">
            <v>0.6</v>
          </cell>
        </row>
        <row r="13715">
          <cell r="A13715" t="str">
            <v>IS_alqt_plus</v>
          </cell>
          <cell r="K13715" t="str">
            <v>LCAT</v>
          </cell>
          <cell r="M13715" t="str">
            <v>F</v>
          </cell>
          <cell r="AB13715" t="str">
            <v>WB</v>
          </cell>
          <cell r="AF13715">
            <v>1</v>
          </cell>
        </row>
        <row r="13716">
          <cell r="A13716" t="str">
            <v>IS_alqt_plus</v>
          </cell>
          <cell r="K13716" t="str">
            <v>EMON</v>
          </cell>
          <cell r="M13716" t="str">
            <v>F</v>
          </cell>
          <cell r="AB13716" t="str">
            <v>serum</v>
          </cell>
          <cell r="AF13716">
            <v>0.2</v>
          </cell>
        </row>
        <row r="13717">
          <cell r="A13717" t="str">
            <v>IS_alqt_plus</v>
          </cell>
          <cell r="K13717" t="str">
            <v>EMON</v>
          </cell>
          <cell r="M13717" t="str">
            <v>F</v>
          </cell>
          <cell r="AB13717" t="str">
            <v>serum</v>
          </cell>
          <cell r="AF13717">
            <v>0.4</v>
          </cell>
        </row>
        <row r="13718">
          <cell r="A13718" t="str">
            <v>IS_alqt_plus</v>
          </cell>
          <cell r="K13718" t="str">
            <v>EMON</v>
          </cell>
          <cell r="M13718" t="str">
            <v>F</v>
          </cell>
          <cell r="AB13718" t="str">
            <v>serum</v>
          </cell>
          <cell r="AF13718">
            <v>0.6</v>
          </cell>
        </row>
        <row r="13719">
          <cell r="A13719" t="str">
            <v>IS_alqt_plus</v>
          </cell>
          <cell r="K13719" t="str">
            <v>EMON</v>
          </cell>
          <cell r="M13719" t="str">
            <v>F</v>
          </cell>
          <cell r="AB13719" t="str">
            <v>WB</v>
          </cell>
          <cell r="AF13719">
            <v>0.2</v>
          </cell>
        </row>
        <row r="13720">
          <cell r="A13720" t="str">
            <v>IS_alqt_plus</v>
          </cell>
          <cell r="K13720" t="str">
            <v>EMON</v>
          </cell>
          <cell r="M13720" t="str">
            <v>F</v>
          </cell>
          <cell r="AB13720" t="str">
            <v>WB</v>
          </cell>
          <cell r="AF13720">
            <v>0.2</v>
          </cell>
        </row>
        <row r="13721">
          <cell r="A13721" t="str">
            <v>IS_alqt_plus</v>
          </cell>
          <cell r="K13721" t="str">
            <v>EMON</v>
          </cell>
          <cell r="M13721" t="str">
            <v>F</v>
          </cell>
          <cell r="AB13721" t="str">
            <v>WB</v>
          </cell>
          <cell r="AF13721">
            <v>0.4</v>
          </cell>
        </row>
        <row r="13722">
          <cell r="A13722" t="str">
            <v>IS_alqt_plus</v>
          </cell>
          <cell r="K13722" t="str">
            <v>EMON</v>
          </cell>
          <cell r="M13722" t="str">
            <v>F</v>
          </cell>
          <cell r="AB13722" t="str">
            <v>WB</v>
          </cell>
          <cell r="AF13722">
            <v>0.6</v>
          </cell>
        </row>
        <row r="13723">
          <cell r="A13723" t="str">
            <v>IS_alqt_plus</v>
          </cell>
          <cell r="K13723" t="str">
            <v>EMON</v>
          </cell>
          <cell r="M13723" t="str">
            <v>F</v>
          </cell>
          <cell r="AB13723" t="str">
            <v>WB</v>
          </cell>
          <cell r="AF13723">
            <v>0.6</v>
          </cell>
        </row>
        <row r="13724">
          <cell r="A13724" t="str">
            <v>IS_alqt_plus</v>
          </cell>
          <cell r="K13724" t="str">
            <v>EMON</v>
          </cell>
          <cell r="M13724" t="str">
            <v>F</v>
          </cell>
          <cell r="AB13724" t="str">
            <v>WB</v>
          </cell>
          <cell r="AF13724">
            <v>0.8</v>
          </cell>
        </row>
        <row r="13725">
          <cell r="A13725" t="str">
            <v>IS_alqt_plus</v>
          </cell>
          <cell r="K13725" t="str">
            <v>EMON</v>
          </cell>
          <cell r="M13725" t="str">
            <v>F</v>
          </cell>
          <cell r="AB13725" t="str">
            <v>WB</v>
          </cell>
          <cell r="AF13725">
            <v>1</v>
          </cell>
        </row>
        <row r="13726">
          <cell r="A13726" t="str">
            <v>IS_alqt_plus</v>
          </cell>
          <cell r="K13726" t="str">
            <v>ECOR</v>
          </cell>
          <cell r="M13726" t="str">
            <v>F</v>
          </cell>
          <cell r="AB13726" t="str">
            <v>WB</v>
          </cell>
          <cell r="AF13726">
            <v>0.2</v>
          </cell>
        </row>
        <row r="13727">
          <cell r="A13727" t="str">
            <v>IS_alqt_plus</v>
          </cell>
          <cell r="K13727" t="str">
            <v>ECOR</v>
          </cell>
          <cell r="M13727" t="str">
            <v>F</v>
          </cell>
          <cell r="AB13727" t="str">
            <v>WB</v>
          </cell>
          <cell r="AF13727">
            <v>0.2</v>
          </cell>
        </row>
        <row r="13728">
          <cell r="A13728" t="str">
            <v>IS_alqt_plus</v>
          </cell>
          <cell r="K13728" t="str">
            <v>ECOR</v>
          </cell>
          <cell r="M13728" t="str">
            <v>F</v>
          </cell>
          <cell r="AB13728" t="str">
            <v>WB</v>
          </cell>
          <cell r="AF13728">
            <v>0.4</v>
          </cell>
        </row>
        <row r="13729">
          <cell r="A13729" t="str">
            <v>IS_alqt_plus</v>
          </cell>
          <cell r="K13729" t="str">
            <v>ECOR</v>
          </cell>
          <cell r="M13729" t="str">
            <v>F</v>
          </cell>
          <cell r="AB13729" t="str">
            <v>WB</v>
          </cell>
          <cell r="AF13729">
            <v>0.4</v>
          </cell>
        </row>
        <row r="13730">
          <cell r="A13730" t="str">
            <v>IS_alqt_plus</v>
          </cell>
          <cell r="K13730" t="str">
            <v>ECOR</v>
          </cell>
          <cell r="M13730" t="str">
            <v>F</v>
          </cell>
          <cell r="AB13730" t="str">
            <v>WB</v>
          </cell>
          <cell r="AF13730">
            <v>0.6</v>
          </cell>
        </row>
        <row r="13731">
          <cell r="A13731" t="str">
            <v>IS_alqt_plus</v>
          </cell>
          <cell r="K13731" t="str">
            <v>ECOR</v>
          </cell>
          <cell r="M13731" t="str">
            <v>F</v>
          </cell>
          <cell r="AB13731" t="str">
            <v>serum</v>
          </cell>
          <cell r="AF13731">
            <v>0.2</v>
          </cell>
        </row>
        <row r="13732">
          <cell r="A13732" t="str">
            <v>IS_alqt_plus</v>
          </cell>
          <cell r="K13732" t="str">
            <v>ECOR</v>
          </cell>
          <cell r="M13732" t="str">
            <v>F</v>
          </cell>
          <cell r="AB13732" t="str">
            <v>serum</v>
          </cell>
          <cell r="AF13732">
            <v>0.2</v>
          </cell>
        </row>
        <row r="13733">
          <cell r="A13733" t="str">
            <v>IS_alqt_plus</v>
          </cell>
          <cell r="K13733" t="str">
            <v>ECOR</v>
          </cell>
          <cell r="M13733" t="str">
            <v>F</v>
          </cell>
          <cell r="AB13733" t="str">
            <v>serum</v>
          </cell>
          <cell r="AF13733">
            <v>0.4</v>
          </cell>
        </row>
        <row r="13734">
          <cell r="A13734" t="str">
            <v>IS_alqt_minus</v>
          </cell>
          <cell r="K13734" t="str">
            <v>MMUR</v>
          </cell>
          <cell r="M13734" t="str">
            <v>F</v>
          </cell>
          <cell r="AB13734" t="str">
            <v>plasma</v>
          </cell>
          <cell r="AF13734">
            <v>0.03</v>
          </cell>
        </row>
        <row r="13735">
          <cell r="A13735" t="str">
            <v>IS_alqt_plus</v>
          </cell>
          <cell r="K13735" t="str">
            <v>EFLA</v>
          </cell>
          <cell r="M13735" t="str">
            <v>F</v>
          </cell>
          <cell r="AB13735" t="str">
            <v>serum</v>
          </cell>
          <cell r="AF13735">
            <v>0.4</v>
          </cell>
        </row>
        <row r="13736">
          <cell r="A13736" t="str">
            <v>IS_alqt_plus</v>
          </cell>
          <cell r="K13736" t="str">
            <v>EFLA</v>
          </cell>
          <cell r="M13736" t="str">
            <v>F</v>
          </cell>
          <cell r="AB13736" t="str">
            <v>serum</v>
          </cell>
          <cell r="AF13736">
            <v>0.5</v>
          </cell>
        </row>
        <row r="13737">
          <cell r="A13737" t="str">
            <v>gone</v>
          </cell>
          <cell r="K13737" t="str">
            <v>EFLA</v>
          </cell>
          <cell r="M13737" t="str">
            <v>F</v>
          </cell>
          <cell r="AB13737" t="str">
            <v>WB</v>
          </cell>
          <cell r="AF13737">
            <v>0</v>
          </cell>
        </row>
        <row r="13738">
          <cell r="A13738" t="str">
            <v>IS_alqt_plus</v>
          </cell>
          <cell r="K13738" t="str">
            <v>EFLA</v>
          </cell>
          <cell r="M13738" t="str">
            <v>F</v>
          </cell>
          <cell r="AB13738" t="str">
            <v>WB</v>
          </cell>
          <cell r="AF13738">
            <v>0.8</v>
          </cell>
        </row>
        <row r="13739">
          <cell r="A13739" t="str">
            <v>IS_alqt_plus</v>
          </cell>
          <cell r="K13739" t="str">
            <v>EFLA</v>
          </cell>
          <cell r="M13739" t="str">
            <v>F</v>
          </cell>
          <cell r="AB13739" t="str">
            <v>WB</v>
          </cell>
          <cell r="AF13739">
            <v>1</v>
          </cell>
        </row>
        <row r="13740">
          <cell r="A13740" t="str">
            <v>IS_alqt_minus</v>
          </cell>
          <cell r="K13740" t="str">
            <v>MMUR</v>
          </cell>
          <cell r="M13740" t="str">
            <v>M</v>
          </cell>
          <cell r="AB13740" t="str">
            <v>plasma</v>
          </cell>
          <cell r="AF13740">
            <v>0.02</v>
          </cell>
        </row>
        <row r="13741">
          <cell r="A13741" t="str">
            <v>IS_alqt_minus</v>
          </cell>
          <cell r="K13741" t="str">
            <v>MMUR</v>
          </cell>
          <cell r="M13741" t="str">
            <v>M</v>
          </cell>
          <cell r="AB13741" t="str">
            <v>plasma</v>
          </cell>
          <cell r="AF13741">
            <v>0.09</v>
          </cell>
        </row>
        <row r="13742">
          <cell r="A13742" t="str">
            <v>IS_alqt_minus</v>
          </cell>
          <cell r="K13742" t="str">
            <v>MMUR</v>
          </cell>
          <cell r="M13742" t="str">
            <v>F</v>
          </cell>
          <cell r="AB13742" t="str">
            <v>plasma</v>
          </cell>
          <cell r="AF13742">
            <v>2.5000000000000001E-2</v>
          </cell>
        </row>
        <row r="13743">
          <cell r="A13743" t="str">
            <v>IS_alqt_plus</v>
          </cell>
          <cell r="K13743" t="str">
            <v>PCOQ</v>
          </cell>
          <cell r="M13743" t="str">
            <v>F</v>
          </cell>
          <cell r="AB13743" t="str">
            <v>WB</v>
          </cell>
          <cell r="AF13743">
            <v>0.2</v>
          </cell>
        </row>
        <row r="13744">
          <cell r="A13744" t="str">
            <v>IS_alqt_plus</v>
          </cell>
          <cell r="K13744" t="str">
            <v>PCOQ</v>
          </cell>
          <cell r="M13744" t="str">
            <v>F</v>
          </cell>
          <cell r="AB13744" t="str">
            <v>WB</v>
          </cell>
          <cell r="AF13744">
            <v>0.2</v>
          </cell>
        </row>
        <row r="13745">
          <cell r="A13745" t="str">
            <v>IS_alqt_plus</v>
          </cell>
          <cell r="K13745" t="str">
            <v>PCOQ</v>
          </cell>
          <cell r="M13745" t="str">
            <v>F</v>
          </cell>
          <cell r="AB13745" t="str">
            <v>WB</v>
          </cell>
          <cell r="AF13745">
            <v>0.2</v>
          </cell>
        </row>
        <row r="13746">
          <cell r="A13746" t="str">
            <v>IS_alqt_plus</v>
          </cell>
          <cell r="K13746" t="str">
            <v>PCOQ</v>
          </cell>
          <cell r="M13746" t="str">
            <v>F</v>
          </cell>
          <cell r="AB13746" t="str">
            <v>WB</v>
          </cell>
          <cell r="AF13746">
            <v>0.2</v>
          </cell>
        </row>
        <row r="13747">
          <cell r="A13747" t="str">
            <v>IS_alqt_plus</v>
          </cell>
          <cell r="K13747" t="str">
            <v>PCOQ</v>
          </cell>
          <cell r="M13747" t="str">
            <v>F</v>
          </cell>
          <cell r="AB13747" t="str">
            <v>WB</v>
          </cell>
          <cell r="AF13747">
            <v>0.2</v>
          </cell>
        </row>
        <row r="13748">
          <cell r="A13748" t="str">
            <v>IS_alqt_plus</v>
          </cell>
          <cell r="K13748" t="str">
            <v>PCOQ</v>
          </cell>
          <cell r="M13748" t="str">
            <v>F</v>
          </cell>
          <cell r="AB13748" t="str">
            <v>WB</v>
          </cell>
          <cell r="AF13748">
            <v>0.2</v>
          </cell>
        </row>
        <row r="13749">
          <cell r="A13749" t="str">
            <v>IS_alqt_plus</v>
          </cell>
          <cell r="K13749" t="str">
            <v>PCOQ</v>
          </cell>
          <cell r="M13749" t="str">
            <v>F</v>
          </cell>
          <cell r="AB13749" t="str">
            <v>WB</v>
          </cell>
          <cell r="AF13749">
            <v>0.2</v>
          </cell>
        </row>
        <row r="13750">
          <cell r="A13750" t="str">
            <v>IS_alqt_plus</v>
          </cell>
          <cell r="K13750" t="str">
            <v>PCOQ</v>
          </cell>
          <cell r="M13750" t="str">
            <v>F</v>
          </cell>
          <cell r="AB13750" t="str">
            <v>WB</v>
          </cell>
          <cell r="AF13750">
            <v>0.2</v>
          </cell>
        </row>
        <row r="13751">
          <cell r="A13751" t="str">
            <v>IS_alqt_plus</v>
          </cell>
          <cell r="K13751" t="str">
            <v>PCOQ</v>
          </cell>
          <cell r="M13751" t="str">
            <v>F</v>
          </cell>
          <cell r="AB13751" t="str">
            <v>serum</v>
          </cell>
          <cell r="AF13751">
            <v>0.2</v>
          </cell>
        </row>
        <row r="13752">
          <cell r="A13752" t="str">
            <v>IS_alqt_plus</v>
          </cell>
          <cell r="K13752" t="str">
            <v>PCOQ</v>
          </cell>
          <cell r="M13752" t="str">
            <v>F</v>
          </cell>
          <cell r="AB13752" t="str">
            <v>serum</v>
          </cell>
          <cell r="AF13752">
            <v>0.2</v>
          </cell>
        </row>
        <row r="13753">
          <cell r="A13753" t="str">
            <v>IS_alqt_plus</v>
          </cell>
          <cell r="K13753" t="str">
            <v>PCOQ</v>
          </cell>
          <cell r="M13753" t="str">
            <v>F</v>
          </cell>
          <cell r="AB13753" t="str">
            <v>serum</v>
          </cell>
          <cell r="AF13753">
            <v>0.2</v>
          </cell>
        </row>
        <row r="13754">
          <cell r="A13754" t="str">
            <v>IS_alqt_plus</v>
          </cell>
          <cell r="K13754" t="str">
            <v>PCOQ</v>
          </cell>
          <cell r="M13754" t="str">
            <v>F</v>
          </cell>
          <cell r="AB13754" t="str">
            <v>serum</v>
          </cell>
          <cell r="AF13754">
            <v>0.2</v>
          </cell>
        </row>
        <row r="13755">
          <cell r="A13755" t="str">
            <v>IS_alqt_plus</v>
          </cell>
          <cell r="K13755" t="str">
            <v>PCOQ</v>
          </cell>
          <cell r="M13755" t="str">
            <v>F</v>
          </cell>
          <cell r="AB13755" t="str">
            <v>serum</v>
          </cell>
          <cell r="AF13755">
            <v>0.2</v>
          </cell>
        </row>
        <row r="13756">
          <cell r="A13756" t="str">
            <v>IS_alqt_plus</v>
          </cell>
          <cell r="K13756" t="str">
            <v>PCOQ</v>
          </cell>
          <cell r="M13756" t="str">
            <v>F</v>
          </cell>
          <cell r="AB13756" t="str">
            <v>serum</v>
          </cell>
          <cell r="AF13756">
            <v>0.2</v>
          </cell>
        </row>
        <row r="13757">
          <cell r="A13757" t="str">
            <v>IS_alqt_plus</v>
          </cell>
          <cell r="K13757" t="str">
            <v>PCOQ</v>
          </cell>
          <cell r="M13757" t="str">
            <v>F</v>
          </cell>
          <cell r="AB13757" t="str">
            <v>serum</v>
          </cell>
          <cell r="AF13757">
            <v>0.2</v>
          </cell>
        </row>
        <row r="13758">
          <cell r="A13758" t="str">
            <v>IS_alqt_plus</v>
          </cell>
          <cell r="K13758" t="str">
            <v>ECOL</v>
          </cell>
          <cell r="M13758" t="str">
            <v>f</v>
          </cell>
          <cell r="AB13758" t="str">
            <v>serum</v>
          </cell>
          <cell r="AF13758">
            <v>0.2</v>
          </cell>
        </row>
        <row r="13759">
          <cell r="A13759" t="str">
            <v>IS_alqt_plus</v>
          </cell>
          <cell r="K13759" t="str">
            <v>ECOL</v>
          </cell>
          <cell r="M13759" t="str">
            <v>f</v>
          </cell>
          <cell r="AB13759" t="str">
            <v>serum</v>
          </cell>
          <cell r="AF13759">
            <v>0.2</v>
          </cell>
        </row>
        <row r="13760">
          <cell r="A13760" t="str">
            <v>IS_alqt_plus</v>
          </cell>
          <cell r="K13760" t="str">
            <v>ECOL</v>
          </cell>
          <cell r="M13760" t="str">
            <v>f</v>
          </cell>
          <cell r="AB13760" t="str">
            <v>serum</v>
          </cell>
          <cell r="AF13760">
            <v>0.2</v>
          </cell>
        </row>
        <row r="13761">
          <cell r="A13761" t="str">
            <v>IS_alqt_plus</v>
          </cell>
          <cell r="K13761" t="str">
            <v>ECOL</v>
          </cell>
          <cell r="M13761" t="str">
            <v>f</v>
          </cell>
          <cell r="AB13761" t="str">
            <v>serum</v>
          </cell>
          <cell r="AF13761">
            <v>0.2</v>
          </cell>
        </row>
        <row r="13762">
          <cell r="A13762" t="str">
            <v>IS_alqt_plus</v>
          </cell>
          <cell r="K13762" t="str">
            <v>ECOL</v>
          </cell>
          <cell r="M13762" t="str">
            <v>f</v>
          </cell>
          <cell r="AB13762" t="str">
            <v>serum</v>
          </cell>
          <cell r="AF13762">
            <v>0.2</v>
          </cell>
        </row>
        <row r="13763">
          <cell r="A13763" t="str">
            <v>IS_alqt_plus</v>
          </cell>
          <cell r="K13763" t="str">
            <v>ECOL</v>
          </cell>
          <cell r="M13763" t="str">
            <v>f</v>
          </cell>
          <cell r="AB13763" t="str">
            <v>WB</v>
          </cell>
          <cell r="AF13763">
            <v>0.4</v>
          </cell>
        </row>
        <row r="13764">
          <cell r="A13764" t="str">
            <v>IS_alqt_plus</v>
          </cell>
          <cell r="K13764" t="str">
            <v>ECOL</v>
          </cell>
          <cell r="M13764" t="str">
            <v>f</v>
          </cell>
          <cell r="AB13764" t="str">
            <v>WB</v>
          </cell>
          <cell r="AF13764">
            <v>0.4</v>
          </cell>
        </row>
        <row r="13765">
          <cell r="A13765" t="str">
            <v>IS_alqt_plus</v>
          </cell>
          <cell r="K13765" t="str">
            <v>ECOL</v>
          </cell>
          <cell r="M13765" t="str">
            <v>f</v>
          </cell>
          <cell r="AB13765" t="str">
            <v>WB</v>
          </cell>
          <cell r="AF13765">
            <v>0.4</v>
          </cell>
        </row>
        <row r="13766">
          <cell r="A13766" t="str">
            <v>IS_alqt_plus</v>
          </cell>
          <cell r="K13766" t="str">
            <v>ECOL</v>
          </cell>
          <cell r="M13766" t="str">
            <v>f</v>
          </cell>
          <cell r="AB13766" t="str">
            <v>WB</v>
          </cell>
          <cell r="AF13766">
            <v>0.2</v>
          </cell>
        </row>
        <row r="13767">
          <cell r="A13767" t="str">
            <v>IS_alqt_plus</v>
          </cell>
          <cell r="K13767" t="str">
            <v>ECOL</v>
          </cell>
          <cell r="M13767" t="str">
            <v>f</v>
          </cell>
          <cell r="AB13767" t="str">
            <v>WB</v>
          </cell>
          <cell r="AF13767">
            <v>0.2</v>
          </cell>
        </row>
        <row r="13768">
          <cell r="A13768" t="str">
            <v>IS_alqt_plus</v>
          </cell>
          <cell r="K13768" t="str">
            <v>ECOL</v>
          </cell>
          <cell r="M13768" t="str">
            <v>f</v>
          </cell>
          <cell r="AB13768" t="str">
            <v>WB</v>
          </cell>
          <cell r="AF13768">
            <v>0.2</v>
          </cell>
        </row>
        <row r="13769">
          <cell r="A13769" t="str">
            <v>IS_alqt_plus</v>
          </cell>
          <cell r="K13769" t="str">
            <v>ECOL</v>
          </cell>
          <cell r="M13769" t="str">
            <v>f</v>
          </cell>
          <cell r="AB13769" t="str">
            <v>WB</v>
          </cell>
          <cell r="AF13769">
            <v>0.2</v>
          </cell>
        </row>
        <row r="13770">
          <cell r="A13770" t="str">
            <v>IS_alqt_plus</v>
          </cell>
          <cell r="K13770" t="str">
            <v>ECOL</v>
          </cell>
          <cell r="M13770" t="str">
            <v>f</v>
          </cell>
          <cell r="AB13770" t="str">
            <v>WB</v>
          </cell>
          <cell r="AF13770">
            <v>0.2</v>
          </cell>
        </row>
        <row r="13771">
          <cell r="A13771" t="str">
            <v>IS_alqt_plus</v>
          </cell>
          <cell r="K13771" t="str">
            <v>ECOL</v>
          </cell>
          <cell r="M13771" t="str">
            <v>f</v>
          </cell>
          <cell r="AB13771" t="str">
            <v>WB</v>
          </cell>
          <cell r="AF13771">
            <v>0.2</v>
          </cell>
        </row>
        <row r="13772">
          <cell r="A13772" t="str">
            <v>IS_alqt_plus</v>
          </cell>
          <cell r="K13772" t="str">
            <v>ECOL</v>
          </cell>
          <cell r="M13772" t="str">
            <v>f</v>
          </cell>
          <cell r="AB13772" t="str">
            <v>WB</v>
          </cell>
          <cell r="AF13772">
            <v>0.2</v>
          </cell>
        </row>
        <row r="13773">
          <cell r="A13773" t="str">
            <v>IS_alqt_plus</v>
          </cell>
          <cell r="K13773" t="str">
            <v>ECOL</v>
          </cell>
          <cell r="M13773" t="str">
            <v>f</v>
          </cell>
          <cell r="AB13773" t="str">
            <v>WB</v>
          </cell>
          <cell r="AF13773">
            <v>0.2</v>
          </cell>
        </row>
        <row r="13774">
          <cell r="A13774" t="str">
            <v>IS_alqt_plus</v>
          </cell>
          <cell r="K13774" t="str">
            <v>ECOL</v>
          </cell>
          <cell r="M13774" t="str">
            <v>f</v>
          </cell>
          <cell r="AB13774" t="str">
            <v>WB</v>
          </cell>
          <cell r="AF13774">
            <v>0.2</v>
          </cell>
        </row>
        <row r="13775">
          <cell r="A13775" t="str">
            <v>IS_alqt_plus</v>
          </cell>
          <cell r="K13775" t="str">
            <v>ECOL</v>
          </cell>
          <cell r="M13775" t="str">
            <v>f</v>
          </cell>
          <cell r="AB13775" t="str">
            <v>WB</v>
          </cell>
          <cell r="AF13775">
            <v>0.2</v>
          </cell>
        </row>
        <row r="13776">
          <cell r="A13776" t="str">
            <v>IS_alqt_plus</v>
          </cell>
          <cell r="K13776" t="str">
            <v>ECOL</v>
          </cell>
          <cell r="M13776" t="str">
            <v>f</v>
          </cell>
          <cell r="AB13776" t="str">
            <v>WB</v>
          </cell>
          <cell r="AF13776">
            <v>0.2</v>
          </cell>
        </row>
        <row r="13777">
          <cell r="A13777" t="str">
            <v>IS_alqt_plus</v>
          </cell>
          <cell r="K13777" t="str">
            <v>ECOL</v>
          </cell>
          <cell r="M13777" t="str">
            <v>f</v>
          </cell>
          <cell r="AB13777" t="str">
            <v>WB</v>
          </cell>
          <cell r="AF13777">
            <v>0.2</v>
          </cell>
        </row>
        <row r="13778">
          <cell r="A13778" t="str">
            <v>IS_alqt_plus</v>
          </cell>
          <cell r="K13778" t="str">
            <v>ECOL</v>
          </cell>
          <cell r="M13778" t="str">
            <v>f</v>
          </cell>
          <cell r="AB13778" t="str">
            <v>WB</v>
          </cell>
          <cell r="AF13778">
            <v>0.2</v>
          </cell>
        </row>
        <row r="13779">
          <cell r="A13779" t="str">
            <v>IS_alqt_plus</v>
          </cell>
          <cell r="K13779" t="str">
            <v>PCOQ</v>
          </cell>
          <cell r="M13779" t="str">
            <v>F</v>
          </cell>
          <cell r="AB13779" t="str">
            <v>serum</v>
          </cell>
          <cell r="AF13779">
            <v>0.2</v>
          </cell>
        </row>
        <row r="13780">
          <cell r="A13780" t="str">
            <v>IS_alqt_plus</v>
          </cell>
          <cell r="K13780" t="str">
            <v>PCOQ</v>
          </cell>
          <cell r="M13780" t="str">
            <v>F</v>
          </cell>
          <cell r="AB13780" t="str">
            <v>serum</v>
          </cell>
          <cell r="AF13780">
            <v>0.2</v>
          </cell>
        </row>
        <row r="13781">
          <cell r="A13781" t="str">
            <v>IS_alqt_plus</v>
          </cell>
          <cell r="K13781" t="str">
            <v>PCOQ</v>
          </cell>
          <cell r="M13781" t="str">
            <v>F</v>
          </cell>
          <cell r="AB13781" t="str">
            <v>serum</v>
          </cell>
          <cell r="AF13781">
            <v>0.2</v>
          </cell>
        </row>
        <row r="13782">
          <cell r="A13782" t="str">
            <v>IS_alqt_plus</v>
          </cell>
          <cell r="K13782" t="str">
            <v>PCOQ</v>
          </cell>
          <cell r="M13782" t="str">
            <v>F</v>
          </cell>
          <cell r="AB13782" t="str">
            <v>serum</v>
          </cell>
          <cell r="AF13782">
            <v>0.2</v>
          </cell>
        </row>
        <row r="13783">
          <cell r="A13783" t="str">
            <v>IS_alqt_plus</v>
          </cell>
          <cell r="K13783" t="str">
            <v>PCOQ</v>
          </cell>
          <cell r="M13783" t="str">
            <v>F</v>
          </cell>
          <cell r="AB13783" t="str">
            <v>serum</v>
          </cell>
          <cell r="AF13783">
            <v>0.2</v>
          </cell>
        </row>
        <row r="13784">
          <cell r="A13784" t="str">
            <v>IS_alqt_plus</v>
          </cell>
          <cell r="K13784" t="str">
            <v>PCOQ</v>
          </cell>
          <cell r="M13784" t="str">
            <v>F</v>
          </cell>
          <cell r="AB13784" t="str">
            <v>serum</v>
          </cell>
          <cell r="AF13784">
            <v>0.2</v>
          </cell>
        </row>
        <row r="13785">
          <cell r="A13785" t="str">
            <v>IS_alqt_plus</v>
          </cell>
          <cell r="K13785" t="str">
            <v>PCOQ</v>
          </cell>
          <cell r="M13785" t="str">
            <v>F</v>
          </cell>
          <cell r="AB13785" t="str">
            <v>serum</v>
          </cell>
          <cell r="AF13785">
            <v>0.2</v>
          </cell>
        </row>
        <row r="13786">
          <cell r="A13786" t="str">
            <v>IS_alqt_plus</v>
          </cell>
          <cell r="K13786" t="str">
            <v>PCOQ</v>
          </cell>
          <cell r="M13786" t="str">
            <v>F</v>
          </cell>
          <cell r="AB13786" t="str">
            <v>WB</v>
          </cell>
          <cell r="AF13786">
            <v>0.4</v>
          </cell>
        </row>
        <row r="13787">
          <cell r="A13787" t="str">
            <v>IS_alqt_plus</v>
          </cell>
          <cell r="K13787" t="str">
            <v>PCOQ</v>
          </cell>
          <cell r="M13787" t="str">
            <v>F</v>
          </cell>
          <cell r="AB13787" t="str">
            <v>WB</v>
          </cell>
          <cell r="AF13787">
            <v>0.4</v>
          </cell>
        </row>
        <row r="13788">
          <cell r="A13788" t="str">
            <v>IS_alqt_plus</v>
          </cell>
          <cell r="K13788" t="str">
            <v>PCOQ</v>
          </cell>
          <cell r="M13788" t="str">
            <v>F</v>
          </cell>
          <cell r="AB13788" t="str">
            <v>WB</v>
          </cell>
          <cell r="AF13788">
            <v>0.4</v>
          </cell>
        </row>
        <row r="13789">
          <cell r="A13789" t="str">
            <v>IS_alqt_plus</v>
          </cell>
          <cell r="K13789" t="str">
            <v>PCOQ</v>
          </cell>
          <cell r="M13789" t="str">
            <v>F</v>
          </cell>
          <cell r="AB13789" t="str">
            <v>WB</v>
          </cell>
          <cell r="AF13789">
            <v>0.4</v>
          </cell>
        </row>
        <row r="13790">
          <cell r="A13790" t="str">
            <v>IS_alqt_plus</v>
          </cell>
          <cell r="K13790" t="str">
            <v>PCOQ</v>
          </cell>
          <cell r="M13790" t="str">
            <v>F</v>
          </cell>
          <cell r="AB13790" t="str">
            <v>WB</v>
          </cell>
          <cell r="AF13790">
            <v>0.4</v>
          </cell>
        </row>
        <row r="13791">
          <cell r="A13791" t="str">
            <v>IS_alqt_plus</v>
          </cell>
          <cell r="K13791" t="str">
            <v>PCOQ</v>
          </cell>
          <cell r="M13791" t="str">
            <v>F</v>
          </cell>
          <cell r="AB13791" t="str">
            <v>WB</v>
          </cell>
          <cell r="AF13791">
            <v>0.4</v>
          </cell>
        </row>
        <row r="13792">
          <cell r="A13792" t="str">
            <v>IS_alqt_plus</v>
          </cell>
          <cell r="K13792" t="str">
            <v>PCOQ</v>
          </cell>
          <cell r="M13792" t="str">
            <v>F</v>
          </cell>
          <cell r="AB13792" t="str">
            <v>WB</v>
          </cell>
          <cell r="AF13792">
            <v>0.4</v>
          </cell>
        </row>
        <row r="13793">
          <cell r="A13793" t="str">
            <v>IS_alqt_plus</v>
          </cell>
          <cell r="K13793" t="str">
            <v>PCOQ</v>
          </cell>
          <cell r="M13793" t="str">
            <v>F</v>
          </cell>
          <cell r="AB13793" t="str">
            <v>WB</v>
          </cell>
          <cell r="AF13793">
            <v>0.4</v>
          </cell>
        </row>
        <row r="13794">
          <cell r="A13794" t="str">
            <v>IS_alqt_plus</v>
          </cell>
          <cell r="K13794" t="str">
            <v>PCOQ</v>
          </cell>
          <cell r="M13794" t="str">
            <v>F</v>
          </cell>
          <cell r="AB13794" t="str">
            <v>WB</v>
          </cell>
          <cell r="AF13794">
            <v>0.4</v>
          </cell>
        </row>
        <row r="13795">
          <cell r="A13795" t="str">
            <v>IS_alqt_plus</v>
          </cell>
          <cell r="K13795" t="str">
            <v>PCOQ</v>
          </cell>
          <cell r="M13795" t="str">
            <v>F</v>
          </cell>
          <cell r="AB13795" t="str">
            <v>WB</v>
          </cell>
          <cell r="AF13795">
            <v>0.4</v>
          </cell>
        </row>
        <row r="13796">
          <cell r="A13796" t="str">
            <v>IS_alqt_plus</v>
          </cell>
          <cell r="K13796" t="str">
            <v>PCOQ</v>
          </cell>
          <cell r="M13796" t="str">
            <v>F</v>
          </cell>
          <cell r="AB13796" t="str">
            <v>WB</v>
          </cell>
          <cell r="AF13796">
            <v>0.2</v>
          </cell>
        </row>
        <row r="13797">
          <cell r="A13797" t="str">
            <v>IS_alqt_plus</v>
          </cell>
          <cell r="K13797" t="str">
            <v>PCOQ</v>
          </cell>
          <cell r="M13797" t="str">
            <v>F</v>
          </cell>
          <cell r="AB13797" t="str">
            <v>WB</v>
          </cell>
          <cell r="AF13797">
            <v>0.2</v>
          </cell>
        </row>
        <row r="13798">
          <cell r="A13798" t="str">
            <v>IS_alqt_plus</v>
          </cell>
          <cell r="K13798" t="str">
            <v>PCOQ</v>
          </cell>
          <cell r="M13798" t="str">
            <v>F</v>
          </cell>
          <cell r="AB13798" t="str">
            <v>WB</v>
          </cell>
          <cell r="AF13798">
            <v>0.2</v>
          </cell>
        </row>
        <row r="13799">
          <cell r="A13799" t="str">
            <v>IS_alqt_plus</v>
          </cell>
          <cell r="K13799" t="str">
            <v>PCOQ</v>
          </cell>
          <cell r="M13799" t="str">
            <v>F</v>
          </cell>
          <cell r="AB13799" t="str">
            <v>WB</v>
          </cell>
          <cell r="AF13799">
            <v>0.2</v>
          </cell>
        </row>
        <row r="13800">
          <cell r="A13800" t="str">
            <v>IS_alqt_plus</v>
          </cell>
          <cell r="K13800" t="str">
            <v>PCOQ</v>
          </cell>
          <cell r="M13800" t="str">
            <v>F</v>
          </cell>
          <cell r="AB13800" t="str">
            <v>WB</v>
          </cell>
          <cell r="AF13800">
            <v>0.2</v>
          </cell>
        </row>
        <row r="13801">
          <cell r="A13801" t="str">
            <v>IS_alqt_plus</v>
          </cell>
          <cell r="K13801" t="str">
            <v>PCOQ</v>
          </cell>
          <cell r="M13801" t="str">
            <v>F</v>
          </cell>
          <cell r="AB13801" t="str">
            <v>WB</v>
          </cell>
          <cell r="AF13801">
            <v>0.2</v>
          </cell>
        </row>
        <row r="13802">
          <cell r="A13802" t="str">
            <v>IS_alqt_plus</v>
          </cell>
          <cell r="K13802" t="str">
            <v>PCOQ</v>
          </cell>
          <cell r="M13802" t="str">
            <v>F</v>
          </cell>
          <cell r="AB13802" t="str">
            <v>WB</v>
          </cell>
          <cell r="AF13802">
            <v>0.2</v>
          </cell>
        </row>
        <row r="13803">
          <cell r="A13803" t="str">
            <v>gone</v>
          </cell>
          <cell r="K13803" t="str">
            <v>PCOQ</v>
          </cell>
          <cell r="M13803" t="str">
            <v>F</v>
          </cell>
          <cell r="AB13803" t="str">
            <v>WB</v>
          </cell>
          <cell r="AF13803">
            <v>0</v>
          </cell>
        </row>
        <row r="13804">
          <cell r="A13804" t="str">
            <v>gone</v>
          </cell>
          <cell r="K13804" t="str">
            <v>PCOQ</v>
          </cell>
          <cell r="M13804" t="str">
            <v>F</v>
          </cell>
          <cell r="AB13804" t="str">
            <v>WB</v>
          </cell>
          <cell r="AF13804">
            <v>0</v>
          </cell>
        </row>
        <row r="13805">
          <cell r="A13805" t="str">
            <v>IS_alqt_plus</v>
          </cell>
          <cell r="K13805" t="str">
            <v>PCOQ</v>
          </cell>
          <cell r="M13805" t="str">
            <v>F</v>
          </cell>
          <cell r="AB13805" t="str">
            <v>WB</v>
          </cell>
          <cell r="AF13805">
            <v>0.2</v>
          </cell>
        </row>
        <row r="13806">
          <cell r="A13806" t="str">
            <v>IS_alqt_plus</v>
          </cell>
          <cell r="K13806" t="str">
            <v>EFLA</v>
          </cell>
          <cell r="M13806" t="str">
            <v>M</v>
          </cell>
          <cell r="AB13806" t="str">
            <v>Serum</v>
          </cell>
          <cell r="AF13806">
            <v>0.2</v>
          </cell>
        </row>
        <row r="13807">
          <cell r="A13807" t="str">
            <v>IS_alqt_plus</v>
          </cell>
          <cell r="K13807" t="str">
            <v>EFLA</v>
          </cell>
          <cell r="M13807" t="str">
            <v>M</v>
          </cell>
          <cell r="AB13807" t="str">
            <v>Serum</v>
          </cell>
          <cell r="AF13807">
            <v>0.2</v>
          </cell>
        </row>
        <row r="13808">
          <cell r="A13808" t="str">
            <v>IS_alqt_plus</v>
          </cell>
          <cell r="K13808" t="str">
            <v>EFLA</v>
          </cell>
          <cell r="M13808" t="str">
            <v>M</v>
          </cell>
          <cell r="AB13808" t="str">
            <v>Serum</v>
          </cell>
          <cell r="AF13808">
            <v>0.2</v>
          </cell>
        </row>
        <row r="13809">
          <cell r="A13809" t="str">
            <v>IS_alqt_plus</v>
          </cell>
          <cell r="K13809" t="str">
            <v>EFLA</v>
          </cell>
          <cell r="M13809" t="str">
            <v>M</v>
          </cell>
          <cell r="AB13809" t="str">
            <v>Serum</v>
          </cell>
          <cell r="AF13809">
            <v>0.2</v>
          </cell>
        </row>
        <row r="13810">
          <cell r="A13810" t="str">
            <v>IS_alqt_plus</v>
          </cell>
          <cell r="K13810" t="str">
            <v>EFLA</v>
          </cell>
          <cell r="M13810" t="str">
            <v>M</v>
          </cell>
          <cell r="AB13810" t="str">
            <v>Serum</v>
          </cell>
          <cell r="AF13810">
            <v>0.2</v>
          </cell>
        </row>
        <row r="13811">
          <cell r="A13811" t="str">
            <v>IS_alqt_plus</v>
          </cell>
          <cell r="K13811" t="str">
            <v>EFLA</v>
          </cell>
          <cell r="M13811" t="str">
            <v>M</v>
          </cell>
          <cell r="AB13811" t="str">
            <v>WB</v>
          </cell>
          <cell r="AF13811">
            <v>0.2</v>
          </cell>
        </row>
        <row r="13812">
          <cell r="A13812" t="str">
            <v>IS_alqt_plus</v>
          </cell>
          <cell r="K13812" t="str">
            <v>EFLA</v>
          </cell>
          <cell r="M13812" t="str">
            <v>M</v>
          </cell>
          <cell r="AB13812" t="str">
            <v>WB</v>
          </cell>
          <cell r="AF13812">
            <v>0.2</v>
          </cell>
        </row>
        <row r="13813">
          <cell r="A13813" t="str">
            <v>IS_alqt_plus</v>
          </cell>
          <cell r="K13813" t="str">
            <v>EFLA</v>
          </cell>
          <cell r="M13813" t="str">
            <v>M</v>
          </cell>
          <cell r="AB13813" t="str">
            <v>WB</v>
          </cell>
          <cell r="AF13813">
            <v>0.2</v>
          </cell>
        </row>
        <row r="13814">
          <cell r="A13814" t="str">
            <v>IS_alqt_plus</v>
          </cell>
          <cell r="K13814" t="str">
            <v>EFLA</v>
          </cell>
          <cell r="M13814" t="str">
            <v>M</v>
          </cell>
          <cell r="AB13814" t="str">
            <v>WB</v>
          </cell>
          <cell r="AF13814">
            <v>0.5</v>
          </cell>
        </row>
        <row r="13815">
          <cell r="A13815" t="str">
            <v>IS_alqt_minus</v>
          </cell>
          <cell r="K13815" t="str">
            <v>EFLA</v>
          </cell>
          <cell r="M13815" t="str">
            <v>M</v>
          </cell>
          <cell r="AB13815" t="str">
            <v>WB</v>
          </cell>
          <cell r="AF13815">
            <v>0.15</v>
          </cell>
        </row>
        <row r="13816">
          <cell r="A13816" t="str">
            <v>IS_alqt_plus</v>
          </cell>
          <cell r="K13816" t="str">
            <v>PCOQ</v>
          </cell>
          <cell r="M13816" t="str">
            <v>F</v>
          </cell>
          <cell r="AB13816" t="str">
            <v>serum</v>
          </cell>
          <cell r="AF13816">
            <v>0.3</v>
          </cell>
        </row>
        <row r="13817">
          <cell r="A13817" t="str">
            <v>IS_alqt_plus</v>
          </cell>
          <cell r="K13817" t="str">
            <v>PCOQ</v>
          </cell>
          <cell r="M13817" t="str">
            <v>F</v>
          </cell>
          <cell r="AB13817" t="str">
            <v>serum</v>
          </cell>
          <cell r="AF13817">
            <v>0.4</v>
          </cell>
        </row>
        <row r="13818">
          <cell r="A13818" t="str">
            <v>IS_alqt_plus</v>
          </cell>
          <cell r="K13818" t="str">
            <v>PCOQ</v>
          </cell>
          <cell r="M13818" t="str">
            <v>F</v>
          </cell>
          <cell r="AB13818" t="str">
            <v>serum</v>
          </cell>
          <cell r="AF13818">
            <v>0.4</v>
          </cell>
        </row>
        <row r="13819">
          <cell r="A13819" t="str">
            <v>IS_alqt_plus</v>
          </cell>
          <cell r="K13819" t="str">
            <v>PCOQ</v>
          </cell>
          <cell r="M13819" t="str">
            <v>F</v>
          </cell>
          <cell r="AB13819" t="str">
            <v>WB</v>
          </cell>
          <cell r="AF13819">
            <v>0.2</v>
          </cell>
        </row>
        <row r="13820">
          <cell r="A13820" t="str">
            <v>IS_alqt_plus</v>
          </cell>
          <cell r="K13820" t="str">
            <v>PCOQ</v>
          </cell>
          <cell r="M13820" t="str">
            <v>F</v>
          </cell>
          <cell r="AB13820" t="str">
            <v>WB</v>
          </cell>
          <cell r="AF13820">
            <v>0.2</v>
          </cell>
        </row>
        <row r="13821">
          <cell r="A13821" t="str">
            <v>IS_alqt_plus</v>
          </cell>
          <cell r="K13821" t="str">
            <v>PCOQ</v>
          </cell>
          <cell r="M13821" t="str">
            <v>F</v>
          </cell>
          <cell r="AB13821" t="str">
            <v>WB</v>
          </cell>
          <cell r="AF13821">
            <v>0.4</v>
          </cell>
        </row>
        <row r="13822">
          <cell r="A13822" t="str">
            <v>IS_alqt_plus</v>
          </cell>
          <cell r="K13822" t="str">
            <v>PCOQ</v>
          </cell>
          <cell r="M13822" t="str">
            <v>F</v>
          </cell>
          <cell r="AB13822" t="str">
            <v>WB</v>
          </cell>
          <cell r="AF13822">
            <v>0.4</v>
          </cell>
        </row>
        <row r="13823">
          <cell r="A13823" t="str">
            <v>IS_alqt_plus</v>
          </cell>
          <cell r="K13823" t="str">
            <v>PCOQ</v>
          </cell>
          <cell r="M13823" t="str">
            <v>F</v>
          </cell>
          <cell r="AB13823" t="str">
            <v>WB</v>
          </cell>
          <cell r="AF13823">
            <v>0.8</v>
          </cell>
        </row>
        <row r="13824">
          <cell r="A13824" t="str">
            <v>IS_alqt_plus</v>
          </cell>
          <cell r="K13824" t="str">
            <v>PCOQ</v>
          </cell>
          <cell r="M13824" t="str">
            <v>F</v>
          </cell>
          <cell r="AB13824" t="str">
            <v>WB</v>
          </cell>
          <cell r="AF13824">
            <v>1</v>
          </cell>
        </row>
        <row r="13825">
          <cell r="A13825" t="str">
            <v>IS_alqt_plus</v>
          </cell>
          <cell r="K13825" t="str">
            <v>PCOQ</v>
          </cell>
          <cell r="M13825" t="str">
            <v>M</v>
          </cell>
          <cell r="AB13825" t="str">
            <v>serum</v>
          </cell>
          <cell r="AF13825">
            <v>0.2</v>
          </cell>
        </row>
        <row r="13826">
          <cell r="A13826" t="str">
            <v>IS_alqt_plus</v>
          </cell>
          <cell r="K13826" t="str">
            <v>PCOQ</v>
          </cell>
          <cell r="M13826" t="str">
            <v>M</v>
          </cell>
          <cell r="AB13826" t="str">
            <v>serum</v>
          </cell>
          <cell r="AF13826">
            <v>0.4</v>
          </cell>
        </row>
        <row r="13827">
          <cell r="A13827" t="str">
            <v>IS_alqt_plus</v>
          </cell>
          <cell r="K13827" t="str">
            <v>PCOQ</v>
          </cell>
          <cell r="M13827" t="str">
            <v>M</v>
          </cell>
          <cell r="AB13827" t="str">
            <v>serum</v>
          </cell>
          <cell r="AF13827">
            <v>0.4</v>
          </cell>
        </row>
        <row r="13828">
          <cell r="A13828" t="str">
            <v>IS_alqt_plus</v>
          </cell>
          <cell r="K13828" t="str">
            <v>PCOQ</v>
          </cell>
          <cell r="M13828" t="str">
            <v>M</v>
          </cell>
          <cell r="AB13828" t="str">
            <v>WB</v>
          </cell>
          <cell r="AF13828">
            <v>0.2</v>
          </cell>
        </row>
        <row r="13829">
          <cell r="A13829" t="str">
            <v>IS_alqt_plus</v>
          </cell>
          <cell r="K13829" t="str">
            <v>PCOQ</v>
          </cell>
          <cell r="M13829" t="str">
            <v>M</v>
          </cell>
          <cell r="AB13829" t="str">
            <v>WB</v>
          </cell>
          <cell r="AF13829">
            <v>0.4</v>
          </cell>
        </row>
        <row r="13830">
          <cell r="A13830" t="str">
            <v>IS_alqt_plus</v>
          </cell>
          <cell r="K13830" t="str">
            <v>PCOQ</v>
          </cell>
          <cell r="M13830" t="str">
            <v>M</v>
          </cell>
          <cell r="AB13830" t="str">
            <v>WB</v>
          </cell>
          <cell r="AF13830">
            <v>0.6</v>
          </cell>
        </row>
        <row r="13831">
          <cell r="A13831" t="str">
            <v>IS_alqt_plus</v>
          </cell>
          <cell r="K13831" t="str">
            <v>PCOQ</v>
          </cell>
          <cell r="M13831" t="str">
            <v>M</v>
          </cell>
          <cell r="AB13831" t="str">
            <v>WB</v>
          </cell>
          <cell r="AF13831">
            <v>1</v>
          </cell>
        </row>
        <row r="13832">
          <cell r="A13832" t="str">
            <v>IS_alqt_plus</v>
          </cell>
          <cell r="K13832" t="str">
            <v>MMUR</v>
          </cell>
          <cell r="M13832" t="str">
            <v>F</v>
          </cell>
          <cell r="AB13832" t="str">
            <v>plasma</v>
          </cell>
          <cell r="AF13832">
            <v>0.4</v>
          </cell>
        </row>
        <row r="13833">
          <cell r="K13833" t="str">
            <v>MMUR</v>
          </cell>
          <cell r="M13833" t="str">
            <v>F</v>
          </cell>
          <cell r="AB13833" t="str">
            <v>PRBC</v>
          </cell>
        </row>
        <row r="13834">
          <cell r="K13834" t="str">
            <v>MMUR</v>
          </cell>
          <cell r="M13834" t="str">
            <v>M</v>
          </cell>
          <cell r="AB13834" t="str">
            <v>PRBC</v>
          </cell>
        </row>
        <row r="13835">
          <cell r="K13835" t="str">
            <v>MMUR</v>
          </cell>
          <cell r="M13835" t="str">
            <v>F</v>
          </cell>
          <cell r="AB13835" t="str">
            <v>PRBC</v>
          </cell>
        </row>
        <row r="13836">
          <cell r="K13836" t="str">
            <v>MMUR</v>
          </cell>
          <cell r="M13836" t="str">
            <v>F</v>
          </cell>
          <cell r="AB13836" t="str">
            <v>PRBC</v>
          </cell>
        </row>
        <row r="13837">
          <cell r="K13837" t="str">
            <v>MMUR</v>
          </cell>
          <cell r="M13837" t="str">
            <v>F</v>
          </cell>
          <cell r="AB13837" t="str">
            <v>PRBC</v>
          </cell>
        </row>
        <row r="13838">
          <cell r="K13838" t="str">
            <v>MMUR</v>
          </cell>
          <cell r="M13838" t="str">
            <v>F</v>
          </cell>
          <cell r="AB13838" t="str">
            <v>PRBC</v>
          </cell>
        </row>
        <row r="13839">
          <cell r="K13839" t="str">
            <v>MMUR</v>
          </cell>
          <cell r="M13839" t="str">
            <v>M</v>
          </cell>
          <cell r="AB13839" t="str">
            <v>PRBC</v>
          </cell>
        </row>
        <row r="13840">
          <cell r="K13840" t="str">
            <v>MMUR</v>
          </cell>
          <cell r="M13840" t="str">
            <v>M</v>
          </cell>
          <cell r="AB13840" t="str">
            <v>PRBC</v>
          </cell>
        </row>
        <row r="13841">
          <cell r="K13841" t="str">
            <v>MMUR</v>
          </cell>
          <cell r="M13841" t="str">
            <v>M</v>
          </cell>
          <cell r="AB13841" t="str">
            <v>PRBC</v>
          </cell>
        </row>
        <row r="13842">
          <cell r="K13842" t="str">
            <v>MMUR</v>
          </cell>
          <cell r="M13842" t="str">
            <v>M</v>
          </cell>
          <cell r="AB13842" t="str">
            <v>PRBC</v>
          </cell>
        </row>
        <row r="13843">
          <cell r="K13843" t="str">
            <v>MMUR</v>
          </cell>
          <cell r="M13843" t="str">
            <v>M</v>
          </cell>
          <cell r="AB13843" t="str">
            <v>PRBC</v>
          </cell>
        </row>
        <row r="13844">
          <cell r="K13844" t="str">
            <v>MMUR</v>
          </cell>
          <cell r="M13844" t="str">
            <v>F</v>
          </cell>
          <cell r="AB13844" t="str">
            <v>PRBC</v>
          </cell>
        </row>
        <row r="13845">
          <cell r="K13845" t="str">
            <v>MMUR</v>
          </cell>
          <cell r="M13845" t="str">
            <v>M</v>
          </cell>
          <cell r="AB13845" t="str">
            <v>PRBC</v>
          </cell>
        </row>
        <row r="13846">
          <cell r="K13846" t="str">
            <v>MMUR</v>
          </cell>
          <cell r="M13846" t="str">
            <v>F</v>
          </cell>
          <cell r="AB13846" t="str">
            <v>PRBC</v>
          </cell>
        </row>
        <row r="13847">
          <cell r="K13847" t="str">
            <v>MMUR</v>
          </cell>
          <cell r="M13847" t="str">
            <v>F</v>
          </cell>
          <cell r="AB13847" t="str">
            <v>PRBC</v>
          </cell>
        </row>
        <row r="13848">
          <cell r="K13848" t="str">
            <v>MMUR</v>
          </cell>
          <cell r="M13848" t="str">
            <v>F</v>
          </cell>
          <cell r="AB13848" t="str">
            <v>PRBC</v>
          </cell>
        </row>
        <row r="13849">
          <cell r="K13849" t="str">
            <v>MMUR</v>
          </cell>
          <cell r="M13849" t="str">
            <v>F</v>
          </cell>
          <cell r="AB13849" t="str">
            <v>PRBC</v>
          </cell>
        </row>
        <row r="13850">
          <cell r="K13850" t="str">
            <v>MMUR</v>
          </cell>
          <cell r="M13850" t="str">
            <v>M</v>
          </cell>
          <cell r="AB13850" t="str">
            <v>PRBC</v>
          </cell>
        </row>
        <row r="13851">
          <cell r="K13851" t="str">
            <v>MMUR</v>
          </cell>
          <cell r="M13851" t="str">
            <v>M</v>
          </cell>
          <cell r="AB13851" t="str">
            <v>PRBC</v>
          </cell>
        </row>
        <row r="13852">
          <cell r="K13852" t="str">
            <v>MMUR</v>
          </cell>
          <cell r="M13852" t="str">
            <v>M</v>
          </cell>
          <cell r="AB13852" t="str">
            <v>PRBC</v>
          </cell>
        </row>
        <row r="13853">
          <cell r="K13853" t="str">
            <v>MMUR</v>
          </cell>
          <cell r="M13853" t="str">
            <v>M</v>
          </cell>
          <cell r="AB13853" t="str">
            <v>PRBC</v>
          </cell>
        </row>
        <row r="13854">
          <cell r="K13854" t="str">
            <v>MMUR</v>
          </cell>
          <cell r="M13854" t="str">
            <v>F</v>
          </cell>
          <cell r="AB13854" t="str">
            <v>PRBC</v>
          </cell>
        </row>
        <row r="13855">
          <cell r="K13855" t="str">
            <v>MMUR</v>
          </cell>
          <cell r="M13855" t="str">
            <v>F</v>
          </cell>
          <cell r="AB13855" t="str">
            <v>PRBC</v>
          </cell>
        </row>
        <row r="13856">
          <cell r="K13856" t="str">
            <v>MMUR</v>
          </cell>
          <cell r="M13856" t="str">
            <v>F</v>
          </cell>
          <cell r="AB13856" t="str">
            <v>PRBC</v>
          </cell>
        </row>
        <row r="13857">
          <cell r="K13857" t="str">
            <v>MMUR</v>
          </cell>
          <cell r="M13857" t="str">
            <v>F</v>
          </cell>
          <cell r="AB13857" t="str">
            <v>PRBC</v>
          </cell>
        </row>
        <row r="13858">
          <cell r="K13858" t="str">
            <v>MMUR</v>
          </cell>
          <cell r="M13858" t="str">
            <v>F</v>
          </cell>
          <cell r="AB13858" t="str">
            <v>PRBC</v>
          </cell>
        </row>
        <row r="13859">
          <cell r="K13859" t="str">
            <v>MMUR</v>
          </cell>
          <cell r="M13859" t="str">
            <v>F</v>
          </cell>
          <cell r="AB13859" t="str">
            <v>plasma</v>
          </cell>
        </row>
        <row r="13860">
          <cell r="K13860" t="str">
            <v>MMUR</v>
          </cell>
          <cell r="M13860" t="str">
            <v>F</v>
          </cell>
          <cell r="AB13860" t="str">
            <v>PRBC</v>
          </cell>
        </row>
        <row r="13861">
          <cell r="K13861" t="str">
            <v>MMUR</v>
          </cell>
          <cell r="M13861" t="str">
            <v>F</v>
          </cell>
          <cell r="AB13861" t="str">
            <v>PRBC</v>
          </cell>
        </row>
        <row r="13862">
          <cell r="K13862" t="str">
            <v>MMUR</v>
          </cell>
          <cell r="M13862" t="str">
            <v>M</v>
          </cell>
          <cell r="AB13862" t="str">
            <v>PRBC</v>
          </cell>
        </row>
        <row r="13863">
          <cell r="K13863" t="str">
            <v>MMUR</v>
          </cell>
          <cell r="M13863" t="str">
            <v>M</v>
          </cell>
          <cell r="AB13863" t="str">
            <v>PRBC</v>
          </cell>
        </row>
        <row r="13864">
          <cell r="K13864" t="str">
            <v>MMUR</v>
          </cell>
          <cell r="M13864" t="str">
            <v>F</v>
          </cell>
          <cell r="AB13864" t="str">
            <v>PRBC</v>
          </cell>
        </row>
        <row r="13865">
          <cell r="K13865" t="str">
            <v>MMUR</v>
          </cell>
          <cell r="M13865" t="str">
            <v>F</v>
          </cell>
          <cell r="AB13865" t="str">
            <v>PRBC</v>
          </cell>
        </row>
        <row r="13866">
          <cell r="K13866" t="str">
            <v>MMUR</v>
          </cell>
          <cell r="M13866" t="str">
            <v>M</v>
          </cell>
          <cell r="AB13866" t="str">
            <v>PRBC</v>
          </cell>
        </row>
        <row r="13867">
          <cell r="A13867" t="str">
            <v>IS_alqt_minus</v>
          </cell>
          <cell r="K13867" t="str">
            <v>MMUR</v>
          </cell>
          <cell r="M13867" t="str">
            <v>F</v>
          </cell>
          <cell r="AB13867" t="str">
            <v>plasma</v>
          </cell>
          <cell r="AF13867">
            <v>1.2999999999999999E-2</v>
          </cell>
        </row>
        <row r="13868">
          <cell r="A13868" t="str">
            <v>IS_alqt_minus</v>
          </cell>
          <cell r="K13868" t="str">
            <v>MMUR</v>
          </cell>
          <cell r="M13868" t="str">
            <v>M</v>
          </cell>
          <cell r="AB13868" t="str">
            <v>plasma</v>
          </cell>
          <cell r="AF13868">
            <v>0.05</v>
          </cell>
        </row>
        <row r="13869">
          <cell r="A13869" t="str">
            <v>IS_alqt_minus</v>
          </cell>
          <cell r="K13869" t="str">
            <v>MMUR</v>
          </cell>
          <cell r="M13869" t="str">
            <v>M</v>
          </cell>
          <cell r="AB13869" t="str">
            <v>plasma</v>
          </cell>
          <cell r="AF13869">
            <v>0.02</v>
          </cell>
        </row>
        <row r="13870">
          <cell r="K13870" t="str">
            <v>MMUR</v>
          </cell>
          <cell r="M13870" t="str">
            <v>M</v>
          </cell>
          <cell r="AB13870" t="str">
            <v>PRBC</v>
          </cell>
        </row>
        <row r="13871">
          <cell r="K13871" t="str">
            <v>MMUR</v>
          </cell>
          <cell r="M13871" t="str">
            <v>M</v>
          </cell>
          <cell r="AB13871" t="str">
            <v>PRBC</v>
          </cell>
        </row>
        <row r="13872">
          <cell r="K13872" t="str">
            <v>MMUR</v>
          </cell>
          <cell r="M13872" t="str">
            <v>M</v>
          </cell>
          <cell r="AB13872" t="str">
            <v>PRBC</v>
          </cell>
        </row>
        <row r="13873">
          <cell r="A13873" t="str">
            <v>gone</v>
          </cell>
          <cell r="K13873" t="str">
            <v>ECOL</v>
          </cell>
          <cell r="M13873" t="str">
            <v>M</v>
          </cell>
          <cell r="AB13873" t="str">
            <v>WB</v>
          </cell>
          <cell r="AF13873">
            <v>0</v>
          </cell>
        </row>
        <row r="13874">
          <cell r="A13874" t="str">
            <v>gone</v>
          </cell>
          <cell r="K13874" t="str">
            <v>ECOL</v>
          </cell>
          <cell r="M13874" t="str">
            <v>M</v>
          </cell>
          <cell r="AB13874" t="str">
            <v>WB</v>
          </cell>
          <cell r="AF13874">
            <v>0</v>
          </cell>
        </row>
        <row r="13875">
          <cell r="A13875" t="str">
            <v>IS_alqt_minus</v>
          </cell>
          <cell r="K13875" t="str">
            <v>MMUR</v>
          </cell>
          <cell r="M13875" t="str">
            <v>M</v>
          </cell>
          <cell r="AB13875" t="str">
            <v>plasma</v>
          </cell>
          <cell r="AF13875">
            <v>0.05</v>
          </cell>
        </row>
        <row r="13876">
          <cell r="A13876" t="str">
            <v>IS_alqt_minus</v>
          </cell>
          <cell r="K13876" t="str">
            <v>MMUR</v>
          </cell>
          <cell r="M13876" t="str">
            <v>M</v>
          </cell>
          <cell r="AB13876" t="str">
            <v>PRBC</v>
          </cell>
          <cell r="AF13876">
            <v>0.17</v>
          </cell>
        </row>
        <row r="13877">
          <cell r="A13877" t="str">
            <v>IS_alqt_plus</v>
          </cell>
          <cell r="K13877" t="str">
            <v>ECOL</v>
          </cell>
          <cell r="M13877" t="str">
            <v>M</v>
          </cell>
          <cell r="AB13877" t="str">
            <v>serum</v>
          </cell>
          <cell r="AF13877">
            <v>0.4</v>
          </cell>
        </row>
        <row r="13878">
          <cell r="A13878" t="str">
            <v>IS_alqt_plus</v>
          </cell>
          <cell r="K13878" t="str">
            <v>ECOL</v>
          </cell>
          <cell r="M13878" t="str">
            <v>M</v>
          </cell>
          <cell r="AB13878" t="str">
            <v>serum</v>
          </cell>
          <cell r="AF13878">
            <v>0.4</v>
          </cell>
        </row>
        <row r="13879">
          <cell r="A13879" t="str">
            <v>IS_alqt_plus</v>
          </cell>
          <cell r="K13879" t="str">
            <v>ECOL</v>
          </cell>
          <cell r="M13879" t="str">
            <v>M</v>
          </cell>
          <cell r="AB13879" t="str">
            <v>serum</v>
          </cell>
          <cell r="AF13879">
            <v>0.4</v>
          </cell>
        </row>
        <row r="13880">
          <cell r="A13880" t="str">
            <v>gone</v>
          </cell>
          <cell r="K13880" t="str">
            <v>ECOL</v>
          </cell>
          <cell r="M13880" t="str">
            <v>M</v>
          </cell>
          <cell r="AB13880" t="str">
            <v>WB</v>
          </cell>
          <cell r="AF13880">
            <v>0</v>
          </cell>
        </row>
        <row r="13881">
          <cell r="A13881" t="str">
            <v>gone</v>
          </cell>
          <cell r="K13881" t="str">
            <v>ECOL</v>
          </cell>
          <cell r="M13881" t="str">
            <v>M</v>
          </cell>
          <cell r="AB13881" t="str">
            <v>WB</v>
          </cell>
          <cell r="AF13881">
            <v>0</v>
          </cell>
        </row>
        <row r="13882">
          <cell r="A13882" t="str">
            <v>gone</v>
          </cell>
          <cell r="K13882" t="str">
            <v>ECOL</v>
          </cell>
          <cell r="M13882" t="str">
            <v>M</v>
          </cell>
          <cell r="AB13882" t="str">
            <v>WB</v>
          </cell>
          <cell r="AF13882">
            <v>0</v>
          </cell>
        </row>
        <row r="13883">
          <cell r="A13883" t="str">
            <v>gone</v>
          </cell>
          <cell r="K13883" t="str">
            <v>ECOL</v>
          </cell>
          <cell r="M13883" t="str">
            <v>M</v>
          </cell>
          <cell r="AB13883" t="str">
            <v>WB</v>
          </cell>
          <cell r="AF13883">
            <v>0</v>
          </cell>
        </row>
        <row r="13884">
          <cell r="A13884" t="str">
            <v>gone</v>
          </cell>
          <cell r="K13884" t="str">
            <v>ECOL</v>
          </cell>
          <cell r="M13884" t="str">
            <v>M</v>
          </cell>
          <cell r="AB13884" t="str">
            <v>WB</v>
          </cell>
          <cell r="AF13884">
            <v>0</v>
          </cell>
        </row>
        <row r="13885">
          <cell r="A13885" t="str">
            <v>gone</v>
          </cell>
          <cell r="K13885" t="str">
            <v>ECOL</v>
          </cell>
          <cell r="M13885" t="str">
            <v>M</v>
          </cell>
          <cell r="AB13885" t="str">
            <v>WB</v>
          </cell>
          <cell r="AF13885">
            <v>0</v>
          </cell>
        </row>
        <row r="13886">
          <cell r="A13886" t="str">
            <v>gone</v>
          </cell>
          <cell r="K13886" t="str">
            <v>ECOL</v>
          </cell>
          <cell r="M13886" t="str">
            <v>M</v>
          </cell>
          <cell r="AB13886" t="str">
            <v>WB</v>
          </cell>
          <cell r="AF13886">
            <v>0</v>
          </cell>
        </row>
        <row r="13887">
          <cell r="A13887" t="str">
            <v>gone</v>
          </cell>
          <cell r="K13887" t="str">
            <v>ECOL</v>
          </cell>
          <cell r="M13887" t="str">
            <v>M</v>
          </cell>
          <cell r="AB13887" t="str">
            <v>WB</v>
          </cell>
          <cell r="AF13887">
            <v>1</v>
          </cell>
        </row>
        <row r="13888">
          <cell r="A13888" t="str">
            <v>IS_alqt_plus</v>
          </cell>
          <cell r="K13888" t="str">
            <v>ECOL</v>
          </cell>
          <cell r="M13888" t="str">
            <v>M</v>
          </cell>
          <cell r="AB13888" t="str">
            <v>serum</v>
          </cell>
          <cell r="AF13888">
            <v>0.2</v>
          </cell>
        </row>
        <row r="13889">
          <cell r="A13889" t="str">
            <v>IS_alqt_plus</v>
          </cell>
          <cell r="K13889" t="str">
            <v>ECOL</v>
          </cell>
          <cell r="M13889" t="str">
            <v>M</v>
          </cell>
          <cell r="AB13889" t="str">
            <v>serum</v>
          </cell>
          <cell r="AF13889">
            <v>0.4</v>
          </cell>
        </row>
        <row r="13890">
          <cell r="A13890" t="str">
            <v>IS_alqt_plus</v>
          </cell>
          <cell r="K13890" t="str">
            <v>ECOL</v>
          </cell>
          <cell r="M13890" t="str">
            <v>M</v>
          </cell>
          <cell r="AB13890" t="str">
            <v>serum</v>
          </cell>
          <cell r="AF13890">
            <v>0.6</v>
          </cell>
        </row>
        <row r="13891">
          <cell r="A13891" t="str">
            <v>IS_alqt_plus</v>
          </cell>
          <cell r="K13891" t="str">
            <v>ECOL</v>
          </cell>
          <cell r="M13891" t="str">
            <v>M</v>
          </cell>
          <cell r="AB13891" t="str">
            <v>serum</v>
          </cell>
          <cell r="AF13891">
            <v>0.6</v>
          </cell>
        </row>
        <row r="13892">
          <cell r="A13892" t="str">
            <v>IS_alqt_plus</v>
          </cell>
          <cell r="K13892" t="str">
            <v>ECOL</v>
          </cell>
          <cell r="M13892" t="str">
            <v>M</v>
          </cell>
          <cell r="AB13892" t="str">
            <v>serum</v>
          </cell>
          <cell r="AF13892">
            <v>0.6</v>
          </cell>
        </row>
        <row r="13893">
          <cell r="A13893" t="str">
            <v>IS_alqt_plus</v>
          </cell>
          <cell r="K13893" t="str">
            <v>ECOL</v>
          </cell>
          <cell r="M13893" t="str">
            <v>M</v>
          </cell>
          <cell r="AB13893" t="str">
            <v>serum</v>
          </cell>
          <cell r="AF13893">
            <v>0.7</v>
          </cell>
        </row>
        <row r="13894">
          <cell r="A13894" t="str">
            <v>IS_alqt_plus</v>
          </cell>
          <cell r="K13894" t="str">
            <v>VVV</v>
          </cell>
          <cell r="M13894" t="str">
            <v>F</v>
          </cell>
          <cell r="AB13894" t="str">
            <v>WB</v>
          </cell>
          <cell r="AF13894">
            <v>0.2</v>
          </cell>
        </row>
        <row r="13895">
          <cell r="A13895" t="str">
            <v>IS_alqt_plus</v>
          </cell>
          <cell r="K13895" t="str">
            <v>VVV</v>
          </cell>
          <cell r="M13895" t="str">
            <v>F</v>
          </cell>
          <cell r="AB13895" t="str">
            <v>WB</v>
          </cell>
          <cell r="AF13895">
            <v>0.2</v>
          </cell>
        </row>
        <row r="13896">
          <cell r="A13896" t="str">
            <v>IS_alqt_plus</v>
          </cell>
          <cell r="K13896" t="str">
            <v>VVV</v>
          </cell>
          <cell r="M13896" t="str">
            <v>F</v>
          </cell>
          <cell r="AB13896" t="str">
            <v>WB</v>
          </cell>
          <cell r="AF13896">
            <v>0.2</v>
          </cell>
        </row>
        <row r="13897">
          <cell r="A13897" t="str">
            <v>IS_alqt_plus</v>
          </cell>
          <cell r="K13897" t="str">
            <v>VVV</v>
          </cell>
          <cell r="M13897" t="str">
            <v>F</v>
          </cell>
          <cell r="AB13897" t="str">
            <v>WB</v>
          </cell>
          <cell r="AF13897">
            <v>0.2</v>
          </cell>
        </row>
        <row r="13898">
          <cell r="A13898" t="str">
            <v>IS_alqt_plus</v>
          </cell>
          <cell r="K13898" t="str">
            <v>VVV</v>
          </cell>
          <cell r="M13898" t="str">
            <v>F</v>
          </cell>
          <cell r="AB13898" t="str">
            <v>WB</v>
          </cell>
          <cell r="AF13898">
            <v>0.2</v>
          </cell>
        </row>
        <row r="13899">
          <cell r="A13899" t="str">
            <v>IS_alqt_plus</v>
          </cell>
          <cell r="K13899" t="str">
            <v>VVV</v>
          </cell>
          <cell r="M13899" t="str">
            <v>F</v>
          </cell>
          <cell r="AB13899" t="str">
            <v>WB</v>
          </cell>
          <cell r="AF13899">
            <v>0.4</v>
          </cell>
        </row>
        <row r="13900">
          <cell r="A13900" t="str">
            <v>IS_alqt_plus</v>
          </cell>
          <cell r="K13900" t="str">
            <v>VVV</v>
          </cell>
          <cell r="M13900" t="str">
            <v>F</v>
          </cell>
          <cell r="AB13900" t="str">
            <v>WB</v>
          </cell>
          <cell r="AF13900">
            <v>0.4</v>
          </cell>
        </row>
        <row r="13901">
          <cell r="A13901" t="str">
            <v>IS_alqt_plus</v>
          </cell>
          <cell r="K13901" t="str">
            <v>VVV</v>
          </cell>
          <cell r="M13901" t="str">
            <v>F</v>
          </cell>
          <cell r="AB13901" t="str">
            <v>WB</v>
          </cell>
          <cell r="AF13901">
            <v>0.4</v>
          </cell>
        </row>
        <row r="13902">
          <cell r="A13902" t="str">
            <v>IS_alqt_plus</v>
          </cell>
          <cell r="K13902" t="str">
            <v>VVV</v>
          </cell>
          <cell r="M13902" t="str">
            <v>F</v>
          </cell>
          <cell r="AB13902" t="str">
            <v>serum</v>
          </cell>
          <cell r="AF13902">
            <v>0.2</v>
          </cell>
        </row>
        <row r="13903">
          <cell r="A13903" t="str">
            <v>IS_alqt_plus</v>
          </cell>
          <cell r="K13903" t="str">
            <v>VVV</v>
          </cell>
          <cell r="M13903" t="str">
            <v>F</v>
          </cell>
          <cell r="AB13903" t="str">
            <v>serum</v>
          </cell>
          <cell r="AF13903">
            <v>0.2</v>
          </cell>
        </row>
        <row r="13904">
          <cell r="A13904" t="str">
            <v>IS_alqt_plus</v>
          </cell>
          <cell r="K13904" t="str">
            <v>VVV</v>
          </cell>
          <cell r="M13904" t="str">
            <v>F</v>
          </cell>
          <cell r="AB13904" t="str">
            <v>serum</v>
          </cell>
          <cell r="AF13904">
            <v>0.2</v>
          </cell>
        </row>
        <row r="13905">
          <cell r="A13905" t="str">
            <v>IS_alqt_plus</v>
          </cell>
          <cell r="K13905" t="str">
            <v>VVV</v>
          </cell>
          <cell r="M13905" t="str">
            <v>F</v>
          </cell>
          <cell r="AB13905" t="str">
            <v>serum</v>
          </cell>
          <cell r="AF13905">
            <v>0.2</v>
          </cell>
        </row>
        <row r="13906">
          <cell r="A13906" t="str">
            <v>IS_alqt_plus</v>
          </cell>
          <cell r="K13906" t="str">
            <v>ECOR</v>
          </cell>
          <cell r="M13906" t="str">
            <v>F</v>
          </cell>
          <cell r="AB13906" t="str">
            <v>serum</v>
          </cell>
          <cell r="AF13906">
            <v>0.2</v>
          </cell>
        </row>
        <row r="13907">
          <cell r="A13907" t="str">
            <v>IS_alqt_plus</v>
          </cell>
          <cell r="K13907" t="str">
            <v>ECOR</v>
          </cell>
          <cell r="M13907" t="str">
            <v>F</v>
          </cell>
          <cell r="AB13907" t="str">
            <v>serum</v>
          </cell>
          <cell r="AF13907">
            <v>0.2</v>
          </cell>
        </row>
        <row r="13908">
          <cell r="A13908" t="str">
            <v>IS_alqt_plus</v>
          </cell>
          <cell r="K13908" t="str">
            <v>ECOR</v>
          </cell>
          <cell r="M13908" t="str">
            <v>F</v>
          </cell>
          <cell r="AB13908" t="str">
            <v>serum</v>
          </cell>
          <cell r="AF13908">
            <v>0.2</v>
          </cell>
        </row>
        <row r="13909">
          <cell r="A13909" t="str">
            <v>IS_alqt_plus</v>
          </cell>
          <cell r="K13909" t="str">
            <v>ECOR</v>
          </cell>
          <cell r="M13909" t="str">
            <v>F</v>
          </cell>
          <cell r="AB13909" t="str">
            <v>serum</v>
          </cell>
          <cell r="AF13909">
            <v>0.2</v>
          </cell>
        </row>
        <row r="13910">
          <cell r="A13910" t="str">
            <v>IS_alqt_plus</v>
          </cell>
          <cell r="K13910" t="str">
            <v>ECOR</v>
          </cell>
          <cell r="M13910" t="str">
            <v>F</v>
          </cell>
          <cell r="AB13910" t="str">
            <v>serum</v>
          </cell>
          <cell r="AF13910">
            <v>0.2</v>
          </cell>
        </row>
        <row r="13911">
          <cell r="A13911" t="str">
            <v>IS_alqt_plus</v>
          </cell>
          <cell r="K13911" t="str">
            <v>ECOR</v>
          </cell>
          <cell r="M13911" t="str">
            <v>F</v>
          </cell>
          <cell r="AB13911" t="str">
            <v>WB</v>
          </cell>
          <cell r="AF13911">
            <v>0.2</v>
          </cell>
        </row>
        <row r="13912">
          <cell r="A13912" t="str">
            <v>IS_alqt_plus</v>
          </cell>
          <cell r="K13912" t="str">
            <v>ECOR</v>
          </cell>
          <cell r="M13912" t="str">
            <v>F</v>
          </cell>
          <cell r="AB13912" t="str">
            <v>WB</v>
          </cell>
          <cell r="AF13912">
            <v>0.2</v>
          </cell>
        </row>
        <row r="13913">
          <cell r="A13913" t="str">
            <v>IS_alqt_plus</v>
          </cell>
          <cell r="K13913" t="str">
            <v>ECOR</v>
          </cell>
          <cell r="M13913" t="str">
            <v>F</v>
          </cell>
          <cell r="AB13913" t="str">
            <v>WB</v>
          </cell>
          <cell r="AF13913">
            <v>0.2</v>
          </cell>
        </row>
        <row r="13914">
          <cell r="A13914" t="str">
            <v>IS_alqt_plus</v>
          </cell>
          <cell r="K13914" t="str">
            <v>ECOR</v>
          </cell>
          <cell r="M13914" t="str">
            <v>F</v>
          </cell>
          <cell r="AB13914" t="str">
            <v>WB</v>
          </cell>
          <cell r="AF13914">
            <v>0.2</v>
          </cell>
        </row>
        <row r="13915">
          <cell r="A13915" t="str">
            <v>IS_alqt_plus</v>
          </cell>
          <cell r="K13915" t="str">
            <v>ECOR</v>
          </cell>
          <cell r="M13915" t="str">
            <v>F</v>
          </cell>
          <cell r="AB13915" t="str">
            <v>WB</v>
          </cell>
          <cell r="AF13915">
            <v>0.2</v>
          </cell>
        </row>
        <row r="13916">
          <cell r="A13916" t="str">
            <v>IS_alqt_plus</v>
          </cell>
          <cell r="K13916" t="str">
            <v>ECOR</v>
          </cell>
          <cell r="M13916" t="str">
            <v>F</v>
          </cell>
          <cell r="AB13916" t="str">
            <v>WB</v>
          </cell>
          <cell r="AF13916">
            <v>0.4</v>
          </cell>
        </row>
        <row r="13917">
          <cell r="A13917" t="str">
            <v>IS_alqt_plus</v>
          </cell>
          <cell r="K13917" t="str">
            <v>ECOR</v>
          </cell>
          <cell r="M13917" t="str">
            <v>F</v>
          </cell>
          <cell r="AB13917" t="str">
            <v>WB</v>
          </cell>
          <cell r="AF13917">
            <v>0.4</v>
          </cell>
        </row>
        <row r="13918">
          <cell r="A13918" t="str">
            <v>IS_alqt_minus</v>
          </cell>
          <cell r="K13918" t="str">
            <v>MMUR</v>
          </cell>
          <cell r="M13918" t="str">
            <v>F</v>
          </cell>
          <cell r="AB13918" t="str">
            <v>PRBC</v>
          </cell>
          <cell r="AF13918">
            <v>0.2</v>
          </cell>
        </row>
        <row r="13919">
          <cell r="A13919" t="str">
            <v>IS_alqt_minus</v>
          </cell>
          <cell r="K13919" t="str">
            <v>MMUR</v>
          </cell>
          <cell r="M13919" t="str">
            <v>F</v>
          </cell>
          <cell r="AB13919" t="str">
            <v>PRBC</v>
          </cell>
          <cell r="AF13919">
            <v>0.2</v>
          </cell>
        </row>
        <row r="13920">
          <cell r="A13920" t="str">
            <v>IS_alqt_plus</v>
          </cell>
          <cell r="K13920" t="str">
            <v>MMUR</v>
          </cell>
          <cell r="M13920" t="str">
            <v>F</v>
          </cell>
          <cell r="AB13920" t="str">
            <v>plasma</v>
          </cell>
          <cell r="AF13920">
            <v>0.12</v>
          </cell>
        </row>
        <row r="13921">
          <cell r="A13921" t="str">
            <v>IS_alqt_minus</v>
          </cell>
          <cell r="K13921" t="str">
            <v>MMUR</v>
          </cell>
          <cell r="M13921" t="str">
            <v>F</v>
          </cell>
          <cell r="AB13921" t="str">
            <v>PRBC</v>
          </cell>
          <cell r="AF13921">
            <v>0.2</v>
          </cell>
        </row>
        <row r="13922">
          <cell r="A13922" t="str">
            <v>IS_alqt_minus</v>
          </cell>
          <cell r="K13922" t="str">
            <v>EMON</v>
          </cell>
          <cell r="M13922" t="str">
            <v>F</v>
          </cell>
          <cell r="AB13922" t="str">
            <v>Serum</v>
          </cell>
          <cell r="AF13922">
            <v>0.2</v>
          </cell>
        </row>
        <row r="13923">
          <cell r="A13923" t="str">
            <v>IS_alqt_minus</v>
          </cell>
          <cell r="K13923" t="str">
            <v>EMON</v>
          </cell>
          <cell r="M13923" t="str">
            <v>F</v>
          </cell>
          <cell r="AB13923" t="str">
            <v>Serum</v>
          </cell>
          <cell r="AF13923">
            <v>0.2</v>
          </cell>
        </row>
        <row r="13924">
          <cell r="A13924" t="str">
            <v>IS_alqt_minus</v>
          </cell>
          <cell r="K13924" t="str">
            <v>EMON</v>
          </cell>
          <cell r="M13924" t="str">
            <v>F</v>
          </cell>
          <cell r="AB13924" t="str">
            <v>Serum</v>
          </cell>
          <cell r="AF13924">
            <v>0.2</v>
          </cell>
        </row>
        <row r="13925">
          <cell r="A13925" t="str">
            <v>IS_alqt_plus</v>
          </cell>
          <cell r="K13925" t="str">
            <v>EMON</v>
          </cell>
          <cell r="M13925" t="str">
            <v>F</v>
          </cell>
          <cell r="AB13925" t="str">
            <v>Serum</v>
          </cell>
          <cell r="AF13925">
            <v>0.25</v>
          </cell>
        </row>
        <row r="13926">
          <cell r="A13926" t="str">
            <v>IS_alqt_plus</v>
          </cell>
          <cell r="K13926" t="str">
            <v>EMON</v>
          </cell>
          <cell r="M13926" t="str">
            <v>F</v>
          </cell>
          <cell r="AB13926" t="str">
            <v>Serum</v>
          </cell>
          <cell r="AF13926">
            <v>0.3</v>
          </cell>
        </row>
        <row r="13927">
          <cell r="A13927" t="str">
            <v>IS_alqt_minus</v>
          </cell>
          <cell r="K13927" t="str">
            <v>EMON</v>
          </cell>
          <cell r="M13927" t="str">
            <v>F</v>
          </cell>
          <cell r="AB13927" t="str">
            <v>WB</v>
          </cell>
          <cell r="AF13927">
            <v>0.2</v>
          </cell>
        </row>
        <row r="13928">
          <cell r="A13928" t="str">
            <v>IS_alqt_minus</v>
          </cell>
          <cell r="K13928" t="str">
            <v>EMON</v>
          </cell>
          <cell r="M13928" t="str">
            <v>F</v>
          </cell>
          <cell r="AB13928" t="str">
            <v>WB</v>
          </cell>
          <cell r="AF13928">
            <v>0.2</v>
          </cell>
        </row>
        <row r="13929">
          <cell r="A13929" t="str">
            <v>IS_alqt_minus</v>
          </cell>
          <cell r="K13929" t="str">
            <v>EMON</v>
          </cell>
          <cell r="M13929" t="str">
            <v>F</v>
          </cell>
          <cell r="AB13929" t="str">
            <v>WB</v>
          </cell>
          <cell r="AF13929">
            <v>0.2</v>
          </cell>
        </row>
        <row r="13930">
          <cell r="A13930" t="str">
            <v>IS_alqt_minus</v>
          </cell>
          <cell r="K13930" t="str">
            <v>EMON</v>
          </cell>
          <cell r="M13930" t="str">
            <v>F</v>
          </cell>
          <cell r="AB13930" t="str">
            <v>WB</v>
          </cell>
          <cell r="AF13930">
            <v>0.2</v>
          </cell>
        </row>
        <row r="13931">
          <cell r="A13931" t="str">
            <v>IS_alqt_minus</v>
          </cell>
          <cell r="K13931" t="str">
            <v>EMON</v>
          </cell>
          <cell r="M13931" t="str">
            <v>F</v>
          </cell>
          <cell r="AB13931" t="str">
            <v>WB</v>
          </cell>
          <cell r="AF13931">
            <v>0.2</v>
          </cell>
        </row>
        <row r="13932">
          <cell r="A13932" t="str">
            <v>IS_alqt_minus</v>
          </cell>
          <cell r="K13932" t="str">
            <v>ECOR</v>
          </cell>
          <cell r="M13932" t="str">
            <v>F</v>
          </cell>
          <cell r="AB13932" t="str">
            <v>Serum</v>
          </cell>
          <cell r="AF13932">
            <v>0.2</v>
          </cell>
        </row>
        <row r="13933">
          <cell r="A13933" t="str">
            <v>IS_alqt_minus</v>
          </cell>
          <cell r="K13933" t="str">
            <v>ECOR</v>
          </cell>
          <cell r="M13933" t="str">
            <v>F</v>
          </cell>
          <cell r="AB13933" t="str">
            <v>Serum</v>
          </cell>
          <cell r="AF13933">
            <v>0.2</v>
          </cell>
        </row>
        <row r="13934">
          <cell r="A13934" t="str">
            <v>IS_alqt_minus</v>
          </cell>
          <cell r="K13934" t="str">
            <v>ECOR</v>
          </cell>
          <cell r="M13934" t="str">
            <v>F</v>
          </cell>
          <cell r="AB13934" t="str">
            <v>Serum</v>
          </cell>
          <cell r="AF13934">
            <v>0.2</v>
          </cell>
        </row>
        <row r="13935">
          <cell r="A13935" t="str">
            <v>IS_alqt_plus</v>
          </cell>
          <cell r="K13935" t="str">
            <v>ECOR</v>
          </cell>
          <cell r="M13935" t="str">
            <v>F</v>
          </cell>
          <cell r="AB13935" t="str">
            <v>Serum</v>
          </cell>
          <cell r="AF13935">
            <v>0.3</v>
          </cell>
        </row>
        <row r="13936">
          <cell r="A13936" t="str">
            <v>IS_alqt_minus</v>
          </cell>
          <cell r="K13936" t="str">
            <v>ECOR</v>
          </cell>
          <cell r="M13936" t="str">
            <v>F</v>
          </cell>
          <cell r="AB13936" t="str">
            <v>WB</v>
          </cell>
          <cell r="AF13936">
            <v>0.2</v>
          </cell>
        </row>
        <row r="13937">
          <cell r="A13937" t="str">
            <v>IS_alqt_minus</v>
          </cell>
          <cell r="K13937" t="str">
            <v>ECOR</v>
          </cell>
          <cell r="M13937" t="str">
            <v>F</v>
          </cell>
          <cell r="AB13937" t="str">
            <v>WB</v>
          </cell>
          <cell r="AF13937">
            <v>0.2</v>
          </cell>
        </row>
        <row r="13938">
          <cell r="A13938" t="str">
            <v>IS_alqt_minus</v>
          </cell>
          <cell r="K13938" t="str">
            <v>ECOR</v>
          </cell>
          <cell r="M13938" t="str">
            <v>F</v>
          </cell>
          <cell r="AB13938" t="str">
            <v>WB</v>
          </cell>
          <cell r="AF13938">
            <v>0.2</v>
          </cell>
        </row>
        <row r="13939">
          <cell r="A13939" t="str">
            <v>IS_alqt_minus</v>
          </cell>
          <cell r="K13939" t="str">
            <v>ECOR</v>
          </cell>
          <cell r="M13939" t="str">
            <v>F</v>
          </cell>
          <cell r="AB13939" t="str">
            <v>WB</v>
          </cell>
          <cell r="AF13939">
            <v>0.2</v>
          </cell>
        </row>
        <row r="13940">
          <cell r="A13940" t="str">
            <v>IS_alqt_minus</v>
          </cell>
          <cell r="K13940" t="str">
            <v>ECOR</v>
          </cell>
          <cell r="M13940" t="str">
            <v>F</v>
          </cell>
          <cell r="AB13940" t="str">
            <v>WB</v>
          </cell>
          <cell r="AF13940">
            <v>0.2</v>
          </cell>
        </row>
        <row r="13941">
          <cell r="A13941" t="str">
            <v>IS_alqt_plus</v>
          </cell>
          <cell r="K13941" t="str">
            <v>ECOR</v>
          </cell>
          <cell r="M13941" t="str">
            <v>F</v>
          </cell>
          <cell r="AB13941" t="str">
            <v>WB</v>
          </cell>
          <cell r="AF13941">
            <v>0.22</v>
          </cell>
        </row>
        <row r="13942">
          <cell r="A13942" t="str">
            <v>IS_alqt_plus</v>
          </cell>
          <cell r="K13942" t="str">
            <v>VVV</v>
          </cell>
          <cell r="M13942" t="str">
            <v>F</v>
          </cell>
          <cell r="AB13942" t="str">
            <v>WB</v>
          </cell>
          <cell r="AF13942">
            <v>0.2</v>
          </cell>
        </row>
        <row r="13943">
          <cell r="A13943" t="str">
            <v>IS_alqt_plus</v>
          </cell>
          <cell r="K13943" t="str">
            <v>VVV</v>
          </cell>
          <cell r="M13943" t="str">
            <v>F</v>
          </cell>
          <cell r="AB13943" t="str">
            <v>WB</v>
          </cell>
          <cell r="AF13943">
            <v>0.2</v>
          </cell>
        </row>
        <row r="13944">
          <cell r="A13944" t="str">
            <v>IS_alqt_plus</v>
          </cell>
          <cell r="K13944" t="str">
            <v>VVV</v>
          </cell>
          <cell r="M13944" t="str">
            <v>F</v>
          </cell>
          <cell r="AB13944" t="str">
            <v>WB</v>
          </cell>
          <cell r="AF13944">
            <v>0.2</v>
          </cell>
        </row>
        <row r="13945">
          <cell r="A13945" t="str">
            <v>IS_alqt_plus</v>
          </cell>
          <cell r="K13945" t="str">
            <v>VVV</v>
          </cell>
          <cell r="M13945" t="str">
            <v>F</v>
          </cell>
          <cell r="AB13945" t="str">
            <v>WB</v>
          </cell>
          <cell r="AF13945">
            <v>0.2</v>
          </cell>
        </row>
        <row r="13946">
          <cell r="A13946" t="str">
            <v>IS_alqt_plus</v>
          </cell>
          <cell r="K13946" t="str">
            <v>VVV</v>
          </cell>
          <cell r="M13946" t="str">
            <v>F</v>
          </cell>
          <cell r="AB13946" t="str">
            <v>WB</v>
          </cell>
          <cell r="AF13946">
            <v>0.2</v>
          </cell>
        </row>
        <row r="13947">
          <cell r="A13947" t="str">
            <v>IS_alqt_plus</v>
          </cell>
          <cell r="K13947" t="str">
            <v>VVV</v>
          </cell>
          <cell r="M13947" t="str">
            <v>F</v>
          </cell>
          <cell r="AB13947" t="str">
            <v>WB</v>
          </cell>
          <cell r="AF13947">
            <v>0.4</v>
          </cell>
        </row>
        <row r="13948">
          <cell r="A13948" t="str">
            <v>IS_alqt_plus</v>
          </cell>
          <cell r="K13948" t="str">
            <v>VVV</v>
          </cell>
          <cell r="M13948" t="str">
            <v>F</v>
          </cell>
          <cell r="AB13948" t="str">
            <v>WB</v>
          </cell>
          <cell r="AF13948">
            <v>0.4</v>
          </cell>
        </row>
        <row r="13949">
          <cell r="A13949" t="str">
            <v>IS_alqt_plus</v>
          </cell>
          <cell r="K13949" t="str">
            <v>VVV</v>
          </cell>
          <cell r="M13949" t="str">
            <v>F</v>
          </cell>
          <cell r="AB13949" t="str">
            <v>WB</v>
          </cell>
          <cell r="AF13949">
            <v>0.4</v>
          </cell>
        </row>
        <row r="13950">
          <cell r="A13950" t="str">
            <v>IS_alqt_plus</v>
          </cell>
          <cell r="K13950" t="str">
            <v>VVV</v>
          </cell>
          <cell r="M13950" t="str">
            <v>F</v>
          </cell>
          <cell r="AB13950" t="str">
            <v>WB</v>
          </cell>
          <cell r="AF13950">
            <v>0.35</v>
          </cell>
        </row>
        <row r="13951">
          <cell r="A13951" t="str">
            <v>IS_alqt_plus</v>
          </cell>
          <cell r="K13951" t="str">
            <v>VVV</v>
          </cell>
          <cell r="M13951" t="str">
            <v>F</v>
          </cell>
          <cell r="AB13951" t="str">
            <v>serum</v>
          </cell>
          <cell r="AF13951">
            <v>0.4</v>
          </cell>
        </row>
        <row r="13952">
          <cell r="A13952" t="str">
            <v>IS_alqt_plus</v>
          </cell>
          <cell r="K13952" t="str">
            <v>VVV</v>
          </cell>
          <cell r="M13952" t="str">
            <v>F</v>
          </cell>
          <cell r="AB13952" t="str">
            <v>serum</v>
          </cell>
          <cell r="AF13952">
            <v>0.4</v>
          </cell>
        </row>
        <row r="13953">
          <cell r="A13953" t="str">
            <v>IS_alqt_plus</v>
          </cell>
          <cell r="K13953" t="str">
            <v>VVV</v>
          </cell>
          <cell r="M13953" t="str">
            <v>F</v>
          </cell>
          <cell r="AB13953" t="str">
            <v>serum</v>
          </cell>
          <cell r="AF13953">
            <v>0.2</v>
          </cell>
        </row>
        <row r="13954">
          <cell r="A13954" t="str">
            <v>IS_alqt_plus</v>
          </cell>
          <cell r="K13954" t="str">
            <v>VRUB</v>
          </cell>
          <cell r="M13954" t="str">
            <v>F</v>
          </cell>
          <cell r="AB13954" t="str">
            <v>WB</v>
          </cell>
          <cell r="AF13954">
            <v>0.2</v>
          </cell>
        </row>
        <row r="13955">
          <cell r="A13955" t="str">
            <v>IS_alqt_plus</v>
          </cell>
          <cell r="K13955" t="str">
            <v>VRUB</v>
          </cell>
          <cell r="M13955" t="str">
            <v>F</v>
          </cell>
          <cell r="AB13955" t="str">
            <v>WB</v>
          </cell>
          <cell r="AF13955">
            <v>0.2</v>
          </cell>
        </row>
        <row r="13956">
          <cell r="A13956" t="str">
            <v>IS_alqt_plus</v>
          </cell>
          <cell r="K13956" t="str">
            <v>VRUB</v>
          </cell>
          <cell r="M13956" t="str">
            <v>F</v>
          </cell>
          <cell r="AB13956" t="str">
            <v>WB</v>
          </cell>
          <cell r="AF13956">
            <v>0.2</v>
          </cell>
        </row>
        <row r="13957">
          <cell r="A13957" t="str">
            <v>IS_alqt_plus</v>
          </cell>
          <cell r="K13957" t="str">
            <v>VRUB</v>
          </cell>
          <cell r="M13957" t="str">
            <v>F</v>
          </cell>
          <cell r="AB13957" t="str">
            <v>WB</v>
          </cell>
          <cell r="AF13957">
            <v>0.2</v>
          </cell>
        </row>
        <row r="13958">
          <cell r="A13958" t="str">
            <v>IS_alqt_plus</v>
          </cell>
          <cell r="K13958" t="str">
            <v>VRUB</v>
          </cell>
          <cell r="M13958" t="str">
            <v>F</v>
          </cell>
          <cell r="AB13958" t="str">
            <v>WB</v>
          </cell>
          <cell r="AF13958">
            <v>0.2</v>
          </cell>
        </row>
        <row r="13959">
          <cell r="A13959" t="str">
            <v>IS_alqt_plus</v>
          </cell>
          <cell r="K13959" t="str">
            <v>VRUB</v>
          </cell>
          <cell r="M13959" t="str">
            <v>F</v>
          </cell>
          <cell r="AB13959" t="str">
            <v>WB</v>
          </cell>
          <cell r="AF13959">
            <v>0.2</v>
          </cell>
        </row>
        <row r="13960">
          <cell r="A13960" t="str">
            <v>IS_alqt_plus</v>
          </cell>
          <cell r="K13960" t="str">
            <v>VRUB</v>
          </cell>
          <cell r="M13960" t="str">
            <v>F</v>
          </cell>
          <cell r="AB13960" t="str">
            <v>WB</v>
          </cell>
          <cell r="AF13960">
            <v>0.2</v>
          </cell>
        </row>
        <row r="13961">
          <cell r="A13961" t="str">
            <v>IS_alqt_plus</v>
          </cell>
          <cell r="K13961" t="str">
            <v>VRUB</v>
          </cell>
          <cell r="M13961" t="str">
            <v>F</v>
          </cell>
          <cell r="AB13961" t="str">
            <v>WB</v>
          </cell>
          <cell r="AF13961">
            <v>0.2</v>
          </cell>
        </row>
        <row r="13962">
          <cell r="A13962" t="str">
            <v>IS_alqt_plus</v>
          </cell>
          <cell r="K13962" t="str">
            <v>VRUB</v>
          </cell>
          <cell r="M13962" t="str">
            <v>F</v>
          </cell>
          <cell r="AB13962" t="str">
            <v>WB</v>
          </cell>
          <cell r="AF13962">
            <v>0.4</v>
          </cell>
        </row>
        <row r="13963">
          <cell r="A13963" t="str">
            <v>IS_alqt_plus</v>
          </cell>
          <cell r="K13963" t="str">
            <v>VRUB</v>
          </cell>
          <cell r="M13963" t="str">
            <v>F</v>
          </cell>
          <cell r="AB13963" t="str">
            <v>WB</v>
          </cell>
          <cell r="AF13963">
            <v>0.4</v>
          </cell>
        </row>
        <row r="13964">
          <cell r="A13964" t="str">
            <v>IS_alqt_plus</v>
          </cell>
          <cell r="K13964" t="str">
            <v>VRUB</v>
          </cell>
          <cell r="M13964" t="str">
            <v>F</v>
          </cell>
          <cell r="AB13964" t="str">
            <v>WB</v>
          </cell>
          <cell r="AF13964">
            <v>0.4</v>
          </cell>
        </row>
        <row r="13965">
          <cell r="A13965" t="str">
            <v>IS_alqt_plus</v>
          </cell>
          <cell r="K13965" t="str">
            <v>VRUB</v>
          </cell>
          <cell r="M13965" t="str">
            <v>F</v>
          </cell>
          <cell r="AB13965" t="str">
            <v>WB</v>
          </cell>
          <cell r="AF13965">
            <v>0.4</v>
          </cell>
        </row>
        <row r="13966">
          <cell r="A13966" t="str">
            <v>IS_alqt_plus</v>
          </cell>
          <cell r="K13966" t="str">
            <v>VRUB</v>
          </cell>
          <cell r="M13966" t="str">
            <v>F</v>
          </cell>
          <cell r="AB13966" t="str">
            <v>WB</v>
          </cell>
          <cell r="AF13966">
            <v>0.4</v>
          </cell>
        </row>
        <row r="13967">
          <cell r="A13967" t="str">
            <v>IS_alqt_plus</v>
          </cell>
          <cell r="K13967" t="str">
            <v>VRUB</v>
          </cell>
          <cell r="M13967" t="str">
            <v>F</v>
          </cell>
          <cell r="AB13967" t="str">
            <v>serum</v>
          </cell>
          <cell r="AF13967">
            <v>0.2</v>
          </cell>
        </row>
        <row r="13968">
          <cell r="A13968" t="str">
            <v>IS_alqt_plus</v>
          </cell>
          <cell r="K13968" t="str">
            <v>VRUB</v>
          </cell>
          <cell r="M13968" t="str">
            <v>F</v>
          </cell>
          <cell r="AB13968" t="str">
            <v>serum</v>
          </cell>
          <cell r="AF13968">
            <v>0.2</v>
          </cell>
        </row>
        <row r="13969">
          <cell r="A13969" t="str">
            <v>IS_alqt_plus</v>
          </cell>
          <cell r="K13969" t="str">
            <v>VRUB</v>
          </cell>
          <cell r="M13969" t="str">
            <v>F</v>
          </cell>
          <cell r="AB13969" t="str">
            <v>serum</v>
          </cell>
          <cell r="AF13969">
            <v>0.2</v>
          </cell>
        </row>
        <row r="13970">
          <cell r="A13970" t="str">
            <v>IS_alqt_plus</v>
          </cell>
          <cell r="K13970" t="str">
            <v>VRUB</v>
          </cell>
          <cell r="M13970" t="str">
            <v>F</v>
          </cell>
          <cell r="AB13970" t="str">
            <v>serum</v>
          </cell>
          <cell r="AF13970">
            <v>0.4</v>
          </cell>
        </row>
        <row r="13971">
          <cell r="A13971" t="str">
            <v>IS_alqt_plus</v>
          </cell>
          <cell r="K13971" t="str">
            <v>VRUB</v>
          </cell>
          <cell r="M13971" t="str">
            <v>F</v>
          </cell>
          <cell r="AB13971" t="str">
            <v>serum</v>
          </cell>
          <cell r="AF13971">
            <v>0.4</v>
          </cell>
        </row>
        <row r="13972">
          <cell r="A13972" t="str">
            <v>IS_alqt_plus</v>
          </cell>
          <cell r="K13972" t="str">
            <v>VVV</v>
          </cell>
          <cell r="M13972" t="str">
            <v>F</v>
          </cell>
          <cell r="AB13972" t="str">
            <v>WB</v>
          </cell>
          <cell r="AF13972">
            <v>0.2</v>
          </cell>
        </row>
        <row r="13973">
          <cell r="A13973" t="str">
            <v>IS_alqt_plus</v>
          </cell>
          <cell r="K13973" t="str">
            <v>VVV</v>
          </cell>
          <cell r="M13973" t="str">
            <v>F</v>
          </cell>
          <cell r="AB13973" t="str">
            <v>WB</v>
          </cell>
          <cell r="AF13973">
            <v>0.2</v>
          </cell>
        </row>
        <row r="13974">
          <cell r="A13974" t="str">
            <v>IS_alqt_plus</v>
          </cell>
          <cell r="K13974" t="str">
            <v>VVV</v>
          </cell>
          <cell r="M13974" t="str">
            <v>F</v>
          </cell>
          <cell r="AB13974" t="str">
            <v>WB</v>
          </cell>
          <cell r="AF13974">
            <v>0.2</v>
          </cell>
        </row>
        <row r="13975">
          <cell r="A13975" t="str">
            <v>IS_alqt_plus</v>
          </cell>
          <cell r="K13975" t="str">
            <v>VVV</v>
          </cell>
          <cell r="M13975" t="str">
            <v>F</v>
          </cell>
          <cell r="AB13975" t="str">
            <v>WB</v>
          </cell>
          <cell r="AF13975">
            <v>0.2</v>
          </cell>
        </row>
        <row r="13976">
          <cell r="A13976" t="str">
            <v>IS_alqt_plus</v>
          </cell>
          <cell r="K13976" t="str">
            <v>VVV</v>
          </cell>
          <cell r="M13976" t="str">
            <v>F</v>
          </cell>
          <cell r="AB13976" t="str">
            <v>WB</v>
          </cell>
          <cell r="AF13976">
            <v>0.2</v>
          </cell>
        </row>
        <row r="13977">
          <cell r="A13977" t="str">
            <v>IS_alqt_plus</v>
          </cell>
          <cell r="K13977" t="str">
            <v>VVV</v>
          </cell>
          <cell r="M13977" t="str">
            <v>F</v>
          </cell>
          <cell r="AB13977" t="str">
            <v>WB</v>
          </cell>
          <cell r="AF13977">
            <v>0.2</v>
          </cell>
        </row>
        <row r="13978">
          <cell r="A13978" t="str">
            <v>IS_alqt_plus</v>
          </cell>
          <cell r="K13978" t="str">
            <v>VVV</v>
          </cell>
          <cell r="M13978" t="str">
            <v>F</v>
          </cell>
          <cell r="AB13978" t="str">
            <v>WB</v>
          </cell>
          <cell r="AF13978">
            <v>0.2</v>
          </cell>
        </row>
        <row r="13979">
          <cell r="A13979" t="str">
            <v>IS_alqt_plus</v>
          </cell>
          <cell r="K13979" t="str">
            <v>VVV</v>
          </cell>
          <cell r="M13979" t="str">
            <v>F</v>
          </cell>
          <cell r="AB13979" t="str">
            <v>WB</v>
          </cell>
          <cell r="AF13979">
            <v>0.4</v>
          </cell>
        </row>
        <row r="13980">
          <cell r="A13980" t="str">
            <v>IS_alqt_plus</v>
          </cell>
          <cell r="K13980" t="str">
            <v>VVV</v>
          </cell>
          <cell r="M13980" t="str">
            <v>F</v>
          </cell>
          <cell r="AB13980" t="str">
            <v>WB</v>
          </cell>
          <cell r="AF13980">
            <v>0.4</v>
          </cell>
        </row>
        <row r="13981">
          <cell r="A13981" t="str">
            <v>IS_alqt_plus</v>
          </cell>
          <cell r="K13981" t="str">
            <v>VVV</v>
          </cell>
          <cell r="M13981" t="str">
            <v>F</v>
          </cell>
          <cell r="AB13981" t="str">
            <v>WB</v>
          </cell>
          <cell r="AF13981">
            <v>0.4</v>
          </cell>
        </row>
        <row r="13982">
          <cell r="A13982" t="str">
            <v>IS_alqt_plus</v>
          </cell>
          <cell r="K13982" t="str">
            <v>VVV</v>
          </cell>
          <cell r="M13982" t="str">
            <v>F</v>
          </cell>
          <cell r="AB13982" t="str">
            <v>WB</v>
          </cell>
          <cell r="AF13982">
            <v>0.4</v>
          </cell>
        </row>
        <row r="13983">
          <cell r="A13983" t="str">
            <v>IS_alqt_minus</v>
          </cell>
          <cell r="K13983" t="str">
            <v>MMUR</v>
          </cell>
          <cell r="M13983" t="str">
            <v>M</v>
          </cell>
          <cell r="AB13983" t="str">
            <v>PRBC</v>
          </cell>
          <cell r="AF13983">
            <v>0.2</v>
          </cell>
        </row>
        <row r="13984">
          <cell r="A13984" t="str">
            <v>IS_alqt_minus</v>
          </cell>
          <cell r="K13984" t="str">
            <v>MMUR</v>
          </cell>
          <cell r="M13984" t="str">
            <v>M</v>
          </cell>
          <cell r="AB13984" t="str">
            <v>PRBC</v>
          </cell>
          <cell r="AF13984">
            <v>0.2</v>
          </cell>
        </row>
        <row r="13985">
          <cell r="A13985" t="str">
            <v>IS_alqt_minus</v>
          </cell>
          <cell r="K13985" t="str">
            <v>MMUR</v>
          </cell>
          <cell r="M13985" t="str">
            <v>M</v>
          </cell>
          <cell r="AB13985" t="str">
            <v>plasma</v>
          </cell>
          <cell r="AF13985">
            <v>3.5000000000000003E-2</v>
          </cell>
        </row>
        <row r="13986">
          <cell r="A13986" t="str">
            <v>IS_alqt_plus</v>
          </cell>
          <cell r="K13986" t="str">
            <v>DMAD</v>
          </cell>
          <cell r="M13986" t="str">
            <v>F</v>
          </cell>
          <cell r="AB13986" t="str">
            <v>WB</v>
          </cell>
          <cell r="AF13986">
            <v>0.2</v>
          </cell>
        </row>
        <row r="13987">
          <cell r="A13987" t="str">
            <v>IS_alqt_plus</v>
          </cell>
          <cell r="K13987" t="str">
            <v>DMAD</v>
          </cell>
          <cell r="M13987" t="str">
            <v>F</v>
          </cell>
          <cell r="AB13987" t="str">
            <v>WB</v>
          </cell>
          <cell r="AF13987">
            <v>0.2</v>
          </cell>
        </row>
        <row r="13988">
          <cell r="A13988" t="str">
            <v>IS_alqt_plus</v>
          </cell>
          <cell r="K13988" t="str">
            <v>DMAD</v>
          </cell>
          <cell r="M13988" t="str">
            <v>F</v>
          </cell>
          <cell r="AB13988" t="str">
            <v>WB</v>
          </cell>
          <cell r="AF13988">
            <v>0.2</v>
          </cell>
        </row>
        <row r="13989">
          <cell r="A13989" t="str">
            <v>IS_alqt_plus</v>
          </cell>
          <cell r="K13989" t="str">
            <v>DMAD</v>
          </cell>
          <cell r="M13989" t="str">
            <v>F</v>
          </cell>
          <cell r="AB13989" t="str">
            <v>WB</v>
          </cell>
          <cell r="AF13989">
            <v>0.2</v>
          </cell>
        </row>
        <row r="13990">
          <cell r="A13990" t="str">
            <v>IS_alqt_plus</v>
          </cell>
          <cell r="K13990" t="str">
            <v>DMAD</v>
          </cell>
          <cell r="M13990" t="str">
            <v>F</v>
          </cell>
          <cell r="AB13990" t="str">
            <v>WB</v>
          </cell>
          <cell r="AF13990">
            <v>0.4</v>
          </cell>
        </row>
        <row r="13991">
          <cell r="A13991" t="str">
            <v>IS_alqt_plus</v>
          </cell>
          <cell r="K13991" t="str">
            <v>DMAD</v>
          </cell>
          <cell r="M13991" t="str">
            <v>F</v>
          </cell>
          <cell r="AB13991" t="str">
            <v>WB</v>
          </cell>
          <cell r="AF13991">
            <v>0.4</v>
          </cell>
        </row>
        <row r="13992">
          <cell r="A13992" t="str">
            <v>IS_alqt_plus</v>
          </cell>
          <cell r="K13992" t="str">
            <v>DMAD</v>
          </cell>
          <cell r="M13992" t="str">
            <v>F</v>
          </cell>
          <cell r="AB13992" t="str">
            <v>WB</v>
          </cell>
          <cell r="AF13992">
            <v>0.4</v>
          </cell>
        </row>
        <row r="13993">
          <cell r="A13993" t="str">
            <v>IS_alqt_plus</v>
          </cell>
          <cell r="K13993" t="str">
            <v>DMAD</v>
          </cell>
          <cell r="M13993" t="str">
            <v>F</v>
          </cell>
          <cell r="AB13993" t="str">
            <v>WB</v>
          </cell>
          <cell r="AF13993">
            <v>0.4</v>
          </cell>
        </row>
        <row r="13994">
          <cell r="A13994" t="str">
            <v>IS_alqt_plus</v>
          </cell>
          <cell r="K13994" t="str">
            <v>DMAD</v>
          </cell>
          <cell r="M13994" t="str">
            <v>F</v>
          </cell>
          <cell r="AB13994" t="str">
            <v>WB</v>
          </cell>
          <cell r="AF13994">
            <v>0.4</v>
          </cell>
        </row>
        <row r="13995">
          <cell r="A13995" t="str">
            <v>IS_alqt_minus</v>
          </cell>
          <cell r="K13995" t="str">
            <v>DMAD</v>
          </cell>
          <cell r="M13995" t="str">
            <v>F</v>
          </cell>
          <cell r="AB13995" t="str">
            <v>WB</v>
          </cell>
          <cell r="AF13995">
            <v>0.1</v>
          </cell>
        </row>
        <row r="13996">
          <cell r="A13996" t="str">
            <v>IS_alqt_plus</v>
          </cell>
          <cell r="K13996" t="str">
            <v>DMAD</v>
          </cell>
          <cell r="M13996" t="str">
            <v>F</v>
          </cell>
          <cell r="AB13996" t="str">
            <v>serum</v>
          </cell>
          <cell r="AF13996">
            <v>0.2</v>
          </cell>
        </row>
        <row r="13997">
          <cell r="A13997" t="str">
            <v>IS_alqt_plus</v>
          </cell>
          <cell r="K13997" t="str">
            <v>DMAD</v>
          </cell>
          <cell r="M13997" t="str">
            <v>F</v>
          </cell>
          <cell r="AB13997" t="str">
            <v>serum</v>
          </cell>
          <cell r="AF13997">
            <v>0.2</v>
          </cell>
        </row>
        <row r="13998">
          <cell r="A13998" t="str">
            <v>IS_alqt_plus</v>
          </cell>
          <cell r="K13998" t="str">
            <v>DMAD</v>
          </cell>
          <cell r="M13998" t="str">
            <v>F</v>
          </cell>
          <cell r="AB13998" t="str">
            <v>serum</v>
          </cell>
          <cell r="AF13998">
            <v>0.2</v>
          </cell>
        </row>
        <row r="13999">
          <cell r="A13999" t="str">
            <v>IS_alqt_plus</v>
          </cell>
          <cell r="K13999" t="str">
            <v>DMAD</v>
          </cell>
          <cell r="M13999" t="str">
            <v>F</v>
          </cell>
          <cell r="AB13999" t="str">
            <v>serum</v>
          </cell>
          <cell r="AF13999">
            <v>0.2</v>
          </cell>
        </row>
        <row r="14000">
          <cell r="A14000" t="str">
            <v>IS_alqt_plus</v>
          </cell>
          <cell r="K14000" t="str">
            <v>DMAD</v>
          </cell>
          <cell r="M14000" t="str">
            <v>F</v>
          </cell>
          <cell r="AB14000" t="str">
            <v>serum</v>
          </cell>
          <cell r="AF14000">
            <v>0.3</v>
          </cell>
        </row>
        <row r="14001">
          <cell r="A14001" t="str">
            <v>IS_alqt_plus</v>
          </cell>
          <cell r="K14001" t="str">
            <v>ECOR</v>
          </cell>
          <cell r="M14001" t="str">
            <v>M</v>
          </cell>
          <cell r="AB14001" t="str">
            <v>WB</v>
          </cell>
          <cell r="AF14001">
            <v>0.4</v>
          </cell>
        </row>
        <row r="14002">
          <cell r="A14002" t="str">
            <v>IS_alqt_plus</v>
          </cell>
          <cell r="K14002" t="str">
            <v>ECOR</v>
          </cell>
          <cell r="M14002" t="str">
            <v>M</v>
          </cell>
          <cell r="AB14002" t="str">
            <v>WB</v>
          </cell>
          <cell r="AF14002">
            <v>0.4</v>
          </cell>
        </row>
        <row r="14003">
          <cell r="A14003" t="str">
            <v>IS_alqt_plus</v>
          </cell>
          <cell r="K14003" t="str">
            <v>LCAT</v>
          </cell>
          <cell r="M14003" t="str">
            <v>F</v>
          </cell>
          <cell r="AB14003" t="str">
            <v>serum</v>
          </cell>
          <cell r="AF14003">
            <v>0.5</v>
          </cell>
        </row>
        <row r="14004">
          <cell r="A14004" t="str">
            <v>IS_alqt_plus</v>
          </cell>
          <cell r="K14004" t="str">
            <v>EMON</v>
          </cell>
          <cell r="M14004" t="str">
            <v>M</v>
          </cell>
          <cell r="AB14004" t="str">
            <v>WB</v>
          </cell>
          <cell r="AF14004">
            <v>0.2</v>
          </cell>
        </row>
        <row r="14005">
          <cell r="A14005" t="str">
            <v>IS_alqt_plus</v>
          </cell>
          <cell r="K14005" t="str">
            <v>EMON</v>
          </cell>
          <cell r="M14005" t="str">
            <v>M</v>
          </cell>
          <cell r="AB14005" t="str">
            <v>WB</v>
          </cell>
          <cell r="AF14005">
            <v>0.4</v>
          </cell>
        </row>
        <row r="14006">
          <cell r="A14006" t="str">
            <v>IS_alqt_plus</v>
          </cell>
          <cell r="K14006" t="str">
            <v>EMON</v>
          </cell>
          <cell r="M14006" t="str">
            <v>M</v>
          </cell>
          <cell r="AB14006" t="str">
            <v>WB</v>
          </cell>
          <cell r="AF14006">
            <v>0.4</v>
          </cell>
        </row>
        <row r="14007">
          <cell r="A14007" t="str">
            <v>IS_alqt_plus</v>
          </cell>
          <cell r="K14007" t="str">
            <v>EMON</v>
          </cell>
          <cell r="M14007" t="str">
            <v>M</v>
          </cell>
          <cell r="AB14007" t="str">
            <v>WB</v>
          </cell>
          <cell r="AF14007">
            <v>0.6</v>
          </cell>
        </row>
        <row r="14008">
          <cell r="A14008" t="str">
            <v>IS_alqt_plus</v>
          </cell>
          <cell r="K14008" t="str">
            <v>EMON</v>
          </cell>
          <cell r="M14008" t="str">
            <v>M</v>
          </cell>
          <cell r="AB14008" t="str">
            <v>serum</v>
          </cell>
          <cell r="AF14008">
            <v>0.2</v>
          </cell>
        </row>
        <row r="14009">
          <cell r="A14009" t="str">
            <v>IS_alqt_plus</v>
          </cell>
          <cell r="K14009" t="str">
            <v>EMON</v>
          </cell>
          <cell r="M14009" t="str">
            <v>M</v>
          </cell>
          <cell r="AB14009" t="str">
            <v>serum</v>
          </cell>
          <cell r="AF14009">
            <v>0.4</v>
          </cell>
        </row>
        <row r="14010">
          <cell r="A14010" t="str">
            <v>IS_alqt_plus</v>
          </cell>
          <cell r="K14010" t="str">
            <v>EMON</v>
          </cell>
          <cell r="M14010" t="str">
            <v>M</v>
          </cell>
          <cell r="AB14010" t="str">
            <v>serum</v>
          </cell>
          <cell r="AF14010">
            <v>0.4</v>
          </cell>
        </row>
        <row r="14011">
          <cell r="A14011" t="str">
            <v>IS_alqt_plus</v>
          </cell>
          <cell r="K14011" t="str">
            <v>PCOQ</v>
          </cell>
          <cell r="M14011" t="str">
            <v>M</v>
          </cell>
          <cell r="AB14011" t="str">
            <v>serum</v>
          </cell>
          <cell r="AF14011">
            <v>0.4</v>
          </cell>
        </row>
        <row r="14012">
          <cell r="A14012" t="str">
            <v>IS_alqt_plus</v>
          </cell>
          <cell r="K14012" t="str">
            <v>PCOQ</v>
          </cell>
          <cell r="M14012" t="str">
            <v>M</v>
          </cell>
          <cell r="AB14012" t="str">
            <v>serum</v>
          </cell>
          <cell r="AF14012">
            <v>1</v>
          </cell>
        </row>
        <row r="14013">
          <cell r="A14013" t="str">
            <v>IS_alqt_plus</v>
          </cell>
          <cell r="K14013" t="str">
            <v>PCOQ</v>
          </cell>
          <cell r="M14013" t="str">
            <v>M</v>
          </cell>
          <cell r="AB14013" t="str">
            <v>serum</v>
          </cell>
          <cell r="AF14013">
            <v>1</v>
          </cell>
        </row>
        <row r="14014">
          <cell r="A14014" t="str">
            <v>IS_alqt_plus</v>
          </cell>
          <cell r="K14014" t="str">
            <v>PCOQ</v>
          </cell>
          <cell r="M14014" t="str">
            <v>M</v>
          </cell>
          <cell r="AB14014" t="str">
            <v>WB</v>
          </cell>
          <cell r="AF14014">
            <v>0.8</v>
          </cell>
        </row>
        <row r="14015">
          <cell r="A14015" t="str">
            <v>IS_alqt_plus</v>
          </cell>
          <cell r="K14015" t="str">
            <v>PCOQ</v>
          </cell>
          <cell r="M14015" t="str">
            <v>M</v>
          </cell>
          <cell r="AB14015" t="str">
            <v>WB</v>
          </cell>
          <cell r="AF14015">
            <v>0.8</v>
          </cell>
        </row>
        <row r="14016">
          <cell r="A14016" t="str">
            <v>gone</v>
          </cell>
          <cell r="K14016" t="str">
            <v>PCOQ</v>
          </cell>
          <cell r="M14016" t="str">
            <v>M</v>
          </cell>
          <cell r="AB14016" t="str">
            <v>WB</v>
          </cell>
          <cell r="AF14016">
            <v>0</v>
          </cell>
        </row>
        <row r="14017">
          <cell r="A14017" t="str">
            <v>IS_alqt_plus</v>
          </cell>
          <cell r="K14017" t="str">
            <v>PCOQ</v>
          </cell>
          <cell r="M14017" t="str">
            <v>M</v>
          </cell>
          <cell r="AB14017" t="str">
            <v>WB</v>
          </cell>
          <cell r="AF14017">
            <v>1</v>
          </cell>
        </row>
        <row r="14018">
          <cell r="A14018" t="str">
            <v>IS_alqt_plus</v>
          </cell>
          <cell r="K14018" t="str">
            <v>VRUB</v>
          </cell>
          <cell r="M14018" t="str">
            <v>M</v>
          </cell>
          <cell r="AB14018" t="str">
            <v>WB</v>
          </cell>
          <cell r="AF14018">
            <v>0.2</v>
          </cell>
        </row>
        <row r="14019">
          <cell r="A14019" t="str">
            <v>IS_alqt_plus</v>
          </cell>
          <cell r="K14019" t="str">
            <v>VRUB</v>
          </cell>
          <cell r="M14019" t="str">
            <v>M</v>
          </cell>
          <cell r="AB14019" t="str">
            <v>WB</v>
          </cell>
          <cell r="AF14019">
            <v>0.4</v>
          </cell>
        </row>
        <row r="14020">
          <cell r="A14020" t="str">
            <v>IS_alqt_plus</v>
          </cell>
          <cell r="K14020" t="str">
            <v>VRUB</v>
          </cell>
          <cell r="M14020" t="str">
            <v>M</v>
          </cell>
          <cell r="AB14020" t="str">
            <v>WB</v>
          </cell>
          <cell r="AF14020">
            <v>0.4</v>
          </cell>
        </row>
        <row r="14021">
          <cell r="A14021" t="str">
            <v>IS_alqt_plus</v>
          </cell>
          <cell r="K14021" t="str">
            <v>CMED</v>
          </cell>
          <cell r="M14021" t="str">
            <v>F</v>
          </cell>
          <cell r="AB14021" t="str">
            <v>WB</v>
          </cell>
          <cell r="AF14021">
            <v>0.2</v>
          </cell>
        </row>
        <row r="14022">
          <cell r="A14022" t="str">
            <v>IS_alqt_plus</v>
          </cell>
          <cell r="K14022" t="str">
            <v>CMED</v>
          </cell>
          <cell r="M14022" t="str">
            <v>F</v>
          </cell>
          <cell r="AB14022" t="str">
            <v>WB</v>
          </cell>
          <cell r="AF14022">
            <v>0.2</v>
          </cell>
        </row>
        <row r="14023">
          <cell r="A14023" t="str">
            <v>IS_alqt_plus</v>
          </cell>
          <cell r="K14023" t="str">
            <v>CMED</v>
          </cell>
          <cell r="M14023" t="str">
            <v>F</v>
          </cell>
          <cell r="AB14023" t="str">
            <v>WB</v>
          </cell>
          <cell r="AF14023">
            <v>0.2</v>
          </cell>
        </row>
        <row r="14024">
          <cell r="A14024" t="str">
            <v>IS_alqt_plus</v>
          </cell>
          <cell r="K14024" t="str">
            <v>CMED</v>
          </cell>
          <cell r="M14024" t="str">
            <v>F</v>
          </cell>
          <cell r="AB14024" t="str">
            <v>WB</v>
          </cell>
          <cell r="AF14024">
            <v>0.2</v>
          </cell>
        </row>
        <row r="14025">
          <cell r="A14025" t="str">
            <v>IS_alqt_plus</v>
          </cell>
          <cell r="K14025" t="str">
            <v>CMED</v>
          </cell>
          <cell r="M14025" t="str">
            <v>F</v>
          </cell>
          <cell r="AB14025" t="str">
            <v>WB</v>
          </cell>
          <cell r="AF14025">
            <v>0.2</v>
          </cell>
        </row>
        <row r="14026">
          <cell r="A14026" t="str">
            <v>IS_alqt_plus</v>
          </cell>
          <cell r="K14026" t="str">
            <v>CMED</v>
          </cell>
          <cell r="M14026" t="str">
            <v>F</v>
          </cell>
          <cell r="AB14026" t="str">
            <v>WB</v>
          </cell>
          <cell r="AF14026">
            <v>0.2</v>
          </cell>
        </row>
        <row r="14027">
          <cell r="A14027" t="str">
            <v>IS_alqt_plus</v>
          </cell>
          <cell r="K14027" t="str">
            <v>CMED</v>
          </cell>
          <cell r="M14027" t="str">
            <v>F</v>
          </cell>
          <cell r="AB14027" t="str">
            <v>WB</v>
          </cell>
          <cell r="AF14027">
            <v>0.4</v>
          </cell>
        </row>
        <row r="14028">
          <cell r="A14028" t="str">
            <v>IS_alqt_plus</v>
          </cell>
          <cell r="K14028" t="str">
            <v>CMED</v>
          </cell>
          <cell r="M14028" t="str">
            <v>F</v>
          </cell>
          <cell r="AB14028" t="str">
            <v>WB</v>
          </cell>
          <cell r="AF14028">
            <v>0.4</v>
          </cell>
        </row>
        <row r="14029">
          <cell r="A14029" t="str">
            <v>IS_alqt_plus</v>
          </cell>
          <cell r="K14029" t="str">
            <v>CMED</v>
          </cell>
          <cell r="M14029" t="str">
            <v>F</v>
          </cell>
          <cell r="AB14029" t="str">
            <v>WB</v>
          </cell>
          <cell r="AF14029">
            <v>0.4</v>
          </cell>
        </row>
        <row r="14030">
          <cell r="A14030" t="str">
            <v>IS_alqt_plus</v>
          </cell>
          <cell r="K14030" t="str">
            <v>CMED</v>
          </cell>
          <cell r="M14030" t="str">
            <v>F</v>
          </cell>
          <cell r="AB14030" t="str">
            <v>WB</v>
          </cell>
          <cell r="AF14030">
            <v>0.4</v>
          </cell>
        </row>
        <row r="14031">
          <cell r="A14031" t="str">
            <v>IS_alqt_plus</v>
          </cell>
          <cell r="K14031" t="str">
            <v>DMAD</v>
          </cell>
          <cell r="M14031" t="str">
            <v>F</v>
          </cell>
          <cell r="AB14031" t="str">
            <v>serum</v>
          </cell>
          <cell r="AF14031">
            <v>0.4</v>
          </cell>
        </row>
        <row r="14032">
          <cell r="A14032" t="str">
            <v>IS_alqt_plus</v>
          </cell>
          <cell r="K14032" t="str">
            <v>DMAD</v>
          </cell>
          <cell r="M14032" t="str">
            <v>F</v>
          </cell>
          <cell r="AB14032" t="str">
            <v>serum</v>
          </cell>
          <cell r="AF14032">
            <v>0.7</v>
          </cell>
        </row>
        <row r="14033">
          <cell r="A14033" t="str">
            <v>IS_alqt_plus</v>
          </cell>
          <cell r="K14033" t="str">
            <v>DMAD</v>
          </cell>
          <cell r="M14033" t="str">
            <v>F</v>
          </cell>
          <cell r="AB14033" t="str">
            <v>WB</v>
          </cell>
          <cell r="AF14033">
            <v>0.5</v>
          </cell>
        </row>
        <row r="14034">
          <cell r="A14034" t="str">
            <v>IS_alqt_plus</v>
          </cell>
          <cell r="K14034" t="str">
            <v>DMAD</v>
          </cell>
          <cell r="M14034" t="str">
            <v>F</v>
          </cell>
          <cell r="AB14034" t="str">
            <v>WB</v>
          </cell>
          <cell r="AF14034">
            <v>1</v>
          </cell>
        </row>
        <row r="14035">
          <cell r="A14035" t="str">
            <v>gone</v>
          </cell>
          <cell r="K14035" t="str">
            <v>CMED</v>
          </cell>
          <cell r="M14035" t="str">
            <v>M</v>
          </cell>
          <cell r="AB14035" t="str">
            <v>WB</v>
          </cell>
          <cell r="AF14035">
            <v>0</v>
          </cell>
        </row>
        <row r="14036">
          <cell r="A14036" t="str">
            <v>IS_alqt_minus</v>
          </cell>
          <cell r="K14036" t="str">
            <v>CMED</v>
          </cell>
          <cell r="M14036" t="str">
            <v>M</v>
          </cell>
          <cell r="AB14036" t="str">
            <v>WB</v>
          </cell>
          <cell r="AF14036">
            <v>0.1</v>
          </cell>
        </row>
        <row r="14037">
          <cell r="A14037" t="str">
            <v>IS_alqt_plus</v>
          </cell>
          <cell r="K14037" t="str">
            <v>LCAT</v>
          </cell>
          <cell r="M14037" t="str">
            <v>M</v>
          </cell>
          <cell r="AB14037" t="str">
            <v>WB</v>
          </cell>
          <cell r="AF14037">
            <v>0.2</v>
          </cell>
        </row>
        <row r="14038">
          <cell r="A14038" t="str">
            <v>IS_alqt_plus</v>
          </cell>
          <cell r="K14038" t="str">
            <v>LCAT</v>
          </cell>
          <cell r="M14038" t="str">
            <v>M</v>
          </cell>
          <cell r="AB14038" t="str">
            <v>WB</v>
          </cell>
          <cell r="AF14038">
            <v>0.4</v>
          </cell>
        </row>
        <row r="14039">
          <cell r="A14039" t="str">
            <v>IS_alqt_plus</v>
          </cell>
          <cell r="K14039" t="str">
            <v>LCAT</v>
          </cell>
          <cell r="M14039" t="str">
            <v>M</v>
          </cell>
          <cell r="AB14039" t="str">
            <v>serum</v>
          </cell>
          <cell r="AF14039">
            <v>0.5</v>
          </cell>
        </row>
        <row r="14040">
          <cell r="A14040" t="str">
            <v>IS_alqt_plus</v>
          </cell>
          <cell r="K14040" t="str">
            <v>LCAT</v>
          </cell>
          <cell r="M14040" t="str">
            <v>M</v>
          </cell>
          <cell r="AB14040" t="str">
            <v>WB</v>
          </cell>
          <cell r="AF14040">
            <v>0.2</v>
          </cell>
        </row>
        <row r="14041">
          <cell r="A14041" t="str">
            <v>IS_alqt_plus</v>
          </cell>
          <cell r="K14041" t="str">
            <v>LCAT</v>
          </cell>
          <cell r="M14041" t="str">
            <v>M</v>
          </cell>
          <cell r="AB14041" t="str">
            <v>WB</v>
          </cell>
          <cell r="AF14041">
            <v>0.2</v>
          </cell>
        </row>
        <row r="14042">
          <cell r="A14042" t="str">
            <v>IS_alqt_plus</v>
          </cell>
          <cell r="K14042" t="str">
            <v>LCAT</v>
          </cell>
          <cell r="M14042" t="str">
            <v>M</v>
          </cell>
          <cell r="AB14042" t="str">
            <v>WB</v>
          </cell>
          <cell r="AF14042">
            <v>0.4</v>
          </cell>
        </row>
        <row r="14043">
          <cell r="A14043" t="str">
            <v>IS_alqt_plus</v>
          </cell>
          <cell r="K14043" t="str">
            <v>LCAT</v>
          </cell>
          <cell r="M14043" t="str">
            <v>M</v>
          </cell>
          <cell r="AB14043" t="str">
            <v>WB</v>
          </cell>
          <cell r="AF14043">
            <v>0.6</v>
          </cell>
        </row>
        <row r="14044">
          <cell r="A14044" t="str">
            <v>IS_alqt_minus</v>
          </cell>
          <cell r="K14044" t="str">
            <v>MMUR</v>
          </cell>
          <cell r="M14044" t="str">
            <v>F</v>
          </cell>
          <cell r="AB14044" t="str">
            <v>plasma</v>
          </cell>
          <cell r="AF14044">
            <v>0.15</v>
          </cell>
        </row>
        <row r="14045">
          <cell r="A14045" t="str">
            <v>IS_alqt_plus</v>
          </cell>
          <cell r="K14045" t="str">
            <v>MMUR</v>
          </cell>
          <cell r="M14045" t="str">
            <v>F</v>
          </cell>
          <cell r="AB14045" t="str">
            <v>serum</v>
          </cell>
          <cell r="AF14045">
            <v>0.2</v>
          </cell>
        </row>
        <row r="14046">
          <cell r="A14046" t="str">
            <v>IS_alqt_plus</v>
          </cell>
          <cell r="K14046" t="str">
            <v>MMUR</v>
          </cell>
          <cell r="M14046" t="str">
            <v>F</v>
          </cell>
          <cell r="AB14046" t="str">
            <v>WB</v>
          </cell>
          <cell r="AF14046">
            <v>0.4</v>
          </cell>
        </row>
        <row r="14047">
          <cell r="A14047" t="str">
            <v>IS_alqt_plus</v>
          </cell>
          <cell r="K14047" t="str">
            <v>MMUR</v>
          </cell>
          <cell r="M14047" t="str">
            <v>F</v>
          </cell>
          <cell r="AB14047" t="str">
            <v>WB</v>
          </cell>
          <cell r="AF14047">
            <v>0.4</v>
          </cell>
        </row>
        <row r="14048">
          <cell r="A14048" t="str">
            <v>IS_alqt_plus</v>
          </cell>
          <cell r="K14048" t="str">
            <v>MMUR</v>
          </cell>
          <cell r="M14048" t="str">
            <v>F</v>
          </cell>
          <cell r="AB14048" t="str">
            <v>WB</v>
          </cell>
          <cell r="AF14048">
            <v>0.2</v>
          </cell>
        </row>
        <row r="14049">
          <cell r="A14049" t="str">
            <v>IS_alqt_plus</v>
          </cell>
          <cell r="K14049" t="str">
            <v>DMAD</v>
          </cell>
          <cell r="M14049" t="str">
            <v>M</v>
          </cell>
          <cell r="AB14049" t="str">
            <v>WB</v>
          </cell>
          <cell r="AF14049">
            <v>0.2</v>
          </cell>
        </row>
        <row r="14050">
          <cell r="A14050" t="str">
            <v>IS_alqt_plus</v>
          </cell>
          <cell r="K14050" t="str">
            <v>DMAD</v>
          </cell>
          <cell r="M14050" t="str">
            <v>M</v>
          </cell>
          <cell r="AB14050" t="str">
            <v>WB</v>
          </cell>
          <cell r="AF14050">
            <v>0.4</v>
          </cell>
        </row>
        <row r="14051">
          <cell r="A14051" t="str">
            <v>IS_alqt_plus</v>
          </cell>
          <cell r="K14051" t="str">
            <v>DMAD</v>
          </cell>
          <cell r="M14051" t="str">
            <v>M</v>
          </cell>
          <cell r="AB14051" t="str">
            <v>WB</v>
          </cell>
          <cell r="AF14051">
            <v>0.4</v>
          </cell>
        </row>
        <row r="14052">
          <cell r="A14052" t="str">
            <v>IS_alqt_plus</v>
          </cell>
          <cell r="K14052" t="str">
            <v>DMAD</v>
          </cell>
          <cell r="M14052" t="str">
            <v>M</v>
          </cell>
          <cell r="AB14052" t="str">
            <v>WB</v>
          </cell>
          <cell r="AF14052">
            <v>0.4</v>
          </cell>
        </row>
        <row r="14053">
          <cell r="A14053" t="str">
            <v>IS_alqt_plus</v>
          </cell>
          <cell r="K14053" t="str">
            <v>DMAD</v>
          </cell>
          <cell r="M14053" t="str">
            <v>M</v>
          </cell>
          <cell r="AB14053" t="str">
            <v>WB</v>
          </cell>
          <cell r="AF14053">
            <v>0.6</v>
          </cell>
        </row>
        <row r="14054">
          <cell r="A14054" t="str">
            <v>IS_alqt_plus</v>
          </cell>
          <cell r="K14054" t="str">
            <v>DMAD</v>
          </cell>
          <cell r="M14054" t="str">
            <v>M</v>
          </cell>
          <cell r="AB14054" t="str">
            <v>WB</v>
          </cell>
          <cell r="AF14054">
            <v>0.6</v>
          </cell>
        </row>
        <row r="14055">
          <cell r="A14055" t="str">
            <v>IS_alqt_plus</v>
          </cell>
          <cell r="K14055" t="str">
            <v>DMAD</v>
          </cell>
          <cell r="M14055" t="str">
            <v>M</v>
          </cell>
          <cell r="AB14055" t="str">
            <v>serum</v>
          </cell>
          <cell r="AF14055">
            <v>0.2</v>
          </cell>
        </row>
        <row r="14056">
          <cell r="A14056" t="str">
            <v>IS_alqt_plus</v>
          </cell>
          <cell r="K14056" t="str">
            <v>DMAD</v>
          </cell>
          <cell r="M14056" t="str">
            <v>M</v>
          </cell>
          <cell r="AB14056" t="str">
            <v>serum</v>
          </cell>
          <cell r="AF14056">
            <v>0.4</v>
          </cell>
        </row>
        <row r="14057">
          <cell r="A14057" t="str">
            <v>IS_alqt_plus</v>
          </cell>
          <cell r="K14057" t="str">
            <v>DMAD</v>
          </cell>
          <cell r="M14057" t="str">
            <v>M</v>
          </cell>
          <cell r="AB14057" t="str">
            <v>serum</v>
          </cell>
          <cell r="AF14057">
            <v>0.6</v>
          </cell>
        </row>
        <row r="14058">
          <cell r="A14058" t="str">
            <v>IS_alqt_plus</v>
          </cell>
          <cell r="K14058" t="str">
            <v>VVV</v>
          </cell>
          <cell r="M14058" t="str">
            <v>M</v>
          </cell>
          <cell r="AB14058" t="str">
            <v>WB</v>
          </cell>
          <cell r="AF14058">
            <v>0.3</v>
          </cell>
        </row>
        <row r="14059">
          <cell r="A14059" t="str">
            <v>IS_alqt_plus</v>
          </cell>
          <cell r="K14059" t="str">
            <v>VRUB</v>
          </cell>
          <cell r="M14059" t="str">
            <v>M</v>
          </cell>
          <cell r="AB14059" t="str">
            <v>WB</v>
          </cell>
          <cell r="AF14059">
            <v>0.2</v>
          </cell>
        </row>
        <row r="14060">
          <cell r="A14060" t="str">
            <v>IS_alqt_plus</v>
          </cell>
          <cell r="K14060" t="str">
            <v>VRUB</v>
          </cell>
          <cell r="M14060" t="str">
            <v>M</v>
          </cell>
          <cell r="AB14060" t="str">
            <v>WB</v>
          </cell>
          <cell r="AF14060">
            <v>0.2</v>
          </cell>
        </row>
        <row r="14061">
          <cell r="A14061" t="str">
            <v>IS_alqt_plus</v>
          </cell>
          <cell r="K14061" t="str">
            <v>ECOR</v>
          </cell>
          <cell r="M14061" t="str">
            <v>M</v>
          </cell>
          <cell r="AB14061" t="str">
            <v>WB</v>
          </cell>
          <cell r="AF14061">
            <v>0.2</v>
          </cell>
        </row>
        <row r="14062">
          <cell r="A14062" t="str">
            <v>IS_alqt_plus</v>
          </cell>
          <cell r="K14062" t="str">
            <v>ECOR</v>
          </cell>
          <cell r="M14062" t="str">
            <v>M</v>
          </cell>
          <cell r="AB14062" t="str">
            <v>WB</v>
          </cell>
          <cell r="AF14062">
            <v>0.2</v>
          </cell>
        </row>
        <row r="14063">
          <cell r="A14063" t="str">
            <v>IS_alqt_plus</v>
          </cell>
          <cell r="K14063" t="str">
            <v>ECOR</v>
          </cell>
          <cell r="M14063" t="str">
            <v>M</v>
          </cell>
          <cell r="AB14063" t="str">
            <v>WB</v>
          </cell>
          <cell r="AF14063">
            <v>0.4</v>
          </cell>
        </row>
        <row r="14064">
          <cell r="A14064" t="str">
            <v>IS_alqt_plus</v>
          </cell>
          <cell r="K14064" t="str">
            <v>ECOR</v>
          </cell>
          <cell r="M14064" t="str">
            <v>M</v>
          </cell>
          <cell r="AB14064" t="str">
            <v>WB</v>
          </cell>
          <cell r="AF14064">
            <v>0.4</v>
          </cell>
        </row>
        <row r="14065">
          <cell r="A14065" t="str">
            <v>IS_alqt_plus</v>
          </cell>
          <cell r="K14065" t="str">
            <v>ECOR</v>
          </cell>
          <cell r="M14065" t="str">
            <v>M</v>
          </cell>
          <cell r="AB14065" t="str">
            <v>serum</v>
          </cell>
          <cell r="AF14065">
            <v>0.2</v>
          </cell>
        </row>
        <row r="14066">
          <cell r="A14066" t="str">
            <v>IS_alqt_plus</v>
          </cell>
          <cell r="K14066" t="str">
            <v>ECOR</v>
          </cell>
          <cell r="M14066" t="str">
            <v>M</v>
          </cell>
          <cell r="AB14066" t="str">
            <v>serum</v>
          </cell>
          <cell r="AF14066">
            <v>0.2</v>
          </cell>
        </row>
        <row r="14067">
          <cell r="A14067" t="str">
            <v>IS_alqt_plus</v>
          </cell>
          <cell r="K14067" t="str">
            <v>ECOR</v>
          </cell>
          <cell r="M14067" t="str">
            <v>M</v>
          </cell>
          <cell r="AB14067" t="str">
            <v>serum</v>
          </cell>
          <cell r="AF14067">
            <v>0.4</v>
          </cell>
        </row>
        <row r="14068">
          <cell r="A14068" t="str">
            <v>IS_alqt_plus</v>
          </cell>
          <cell r="K14068" t="str">
            <v>ECOR</v>
          </cell>
          <cell r="M14068" t="str">
            <v>M</v>
          </cell>
          <cell r="AB14068" t="str">
            <v>serum</v>
          </cell>
          <cell r="AF14068">
            <v>0.4</v>
          </cell>
        </row>
        <row r="14069">
          <cell r="A14069" t="str">
            <v>IS_alqt_minus</v>
          </cell>
          <cell r="K14069" t="str">
            <v>MMUR</v>
          </cell>
          <cell r="M14069" t="str">
            <v>M</v>
          </cell>
          <cell r="AB14069" t="str">
            <v>WB</v>
          </cell>
          <cell r="AF14069">
            <v>0.15</v>
          </cell>
        </row>
        <row r="14070">
          <cell r="A14070" t="str">
            <v>IS_alqt_minus</v>
          </cell>
          <cell r="K14070" t="str">
            <v>MMUR</v>
          </cell>
          <cell r="M14070" t="str">
            <v>M</v>
          </cell>
          <cell r="AB14070" t="str">
            <v>WB</v>
          </cell>
          <cell r="AF14070">
            <v>0.12</v>
          </cell>
        </row>
        <row r="14071">
          <cell r="A14071" t="str">
            <v>IS_alqt_plus</v>
          </cell>
          <cell r="K14071" t="str">
            <v>PCOQ</v>
          </cell>
          <cell r="M14071" t="str">
            <v>M</v>
          </cell>
          <cell r="AB14071" t="str">
            <v>serum</v>
          </cell>
          <cell r="AF14071">
            <v>1</v>
          </cell>
        </row>
        <row r="14072">
          <cell r="A14072" t="str">
            <v>IS_alqt_plus</v>
          </cell>
          <cell r="K14072" t="str">
            <v>PCOQ</v>
          </cell>
          <cell r="M14072" t="str">
            <v>M</v>
          </cell>
          <cell r="AB14072" t="str">
            <v>serum</v>
          </cell>
          <cell r="AF14072">
            <v>0.2</v>
          </cell>
        </row>
        <row r="14073">
          <cell r="A14073" t="str">
            <v>IS_alqt_plus</v>
          </cell>
          <cell r="K14073" t="str">
            <v>PCOQ</v>
          </cell>
          <cell r="M14073" t="str">
            <v>M</v>
          </cell>
          <cell r="AB14073" t="str">
            <v>WB</v>
          </cell>
          <cell r="AF14073">
            <v>0.2</v>
          </cell>
        </row>
        <row r="14074">
          <cell r="A14074" t="str">
            <v>IS_alqt_plus</v>
          </cell>
          <cell r="K14074" t="str">
            <v>PCOQ</v>
          </cell>
          <cell r="M14074" t="str">
            <v>F</v>
          </cell>
          <cell r="AB14074" t="str">
            <v>WB</v>
          </cell>
          <cell r="AF14074">
            <v>1</v>
          </cell>
        </row>
        <row r="14075">
          <cell r="A14075" t="str">
            <v>IS_alqt_plus</v>
          </cell>
          <cell r="K14075" t="str">
            <v>PCOQ</v>
          </cell>
          <cell r="M14075" t="str">
            <v>F</v>
          </cell>
          <cell r="AB14075" t="str">
            <v>WB</v>
          </cell>
          <cell r="AF14075">
            <v>0.3</v>
          </cell>
        </row>
        <row r="14076">
          <cell r="A14076" t="str">
            <v>IS_alqt_plus</v>
          </cell>
          <cell r="K14076" t="str">
            <v>PCOQ</v>
          </cell>
          <cell r="M14076" t="str">
            <v>F</v>
          </cell>
          <cell r="AB14076" t="str">
            <v>serum</v>
          </cell>
          <cell r="AF14076">
            <v>0.2</v>
          </cell>
        </row>
        <row r="14077">
          <cell r="A14077" t="str">
            <v>IS_alqt_plus</v>
          </cell>
          <cell r="K14077" t="str">
            <v>LCAT</v>
          </cell>
          <cell r="M14077" t="str">
            <v>F</v>
          </cell>
          <cell r="AB14077" t="str">
            <v>serum</v>
          </cell>
          <cell r="AF14077">
            <v>0.2</v>
          </cell>
        </row>
        <row r="14078">
          <cell r="A14078" t="str">
            <v>IS_alqt_plus</v>
          </cell>
          <cell r="K14078" t="str">
            <v>LCAT</v>
          </cell>
          <cell r="M14078" t="str">
            <v>F</v>
          </cell>
          <cell r="AB14078" t="str">
            <v>WB</v>
          </cell>
          <cell r="AF14078">
            <v>0.7</v>
          </cell>
        </row>
        <row r="14079">
          <cell r="A14079" t="str">
            <v>IS_alqt_minus</v>
          </cell>
          <cell r="K14079" t="str">
            <v>PCOQ</v>
          </cell>
          <cell r="M14079" t="str">
            <v>F</v>
          </cell>
          <cell r="AB14079" t="str">
            <v>serum</v>
          </cell>
          <cell r="AF14079">
            <v>0.16</v>
          </cell>
        </row>
        <row r="14080">
          <cell r="A14080" t="str">
            <v>IS_alqt_minus</v>
          </cell>
          <cell r="K14080" t="str">
            <v>MMUR</v>
          </cell>
          <cell r="M14080" t="str">
            <v>M</v>
          </cell>
          <cell r="AB14080" t="str">
            <v>WB</v>
          </cell>
          <cell r="AF14080">
            <v>0.05</v>
          </cell>
        </row>
        <row r="14081">
          <cell r="A14081" t="str">
            <v>IS_alqt_minus</v>
          </cell>
          <cell r="K14081" t="str">
            <v>CMED</v>
          </cell>
          <cell r="M14081" t="str">
            <v>M</v>
          </cell>
          <cell r="AB14081" t="str">
            <v>WB</v>
          </cell>
          <cell r="AF14081">
            <v>0.05</v>
          </cell>
        </row>
        <row r="14082">
          <cell r="A14082" t="str">
            <v>IS_alqt_minus</v>
          </cell>
          <cell r="K14082" t="str">
            <v>CMED</v>
          </cell>
          <cell r="M14082" t="str">
            <v>M</v>
          </cell>
          <cell r="AB14082" t="str">
            <v>WB</v>
          </cell>
          <cell r="AF14082">
            <v>0.05</v>
          </cell>
        </row>
        <row r="14083">
          <cell r="A14083" t="str">
            <v>IS_alqt_plus</v>
          </cell>
          <cell r="K14083" t="str">
            <v>LCAT</v>
          </cell>
          <cell r="M14083" t="str">
            <v>F</v>
          </cell>
          <cell r="AB14083" t="str">
            <v>serum</v>
          </cell>
          <cell r="AF14083">
            <v>0.2</v>
          </cell>
        </row>
        <row r="14084">
          <cell r="A14084" t="str">
            <v>IS_alqt_plus</v>
          </cell>
          <cell r="K14084" t="str">
            <v>LCAT</v>
          </cell>
          <cell r="M14084" t="str">
            <v>F</v>
          </cell>
          <cell r="AB14084" t="str">
            <v>serum</v>
          </cell>
          <cell r="AF14084">
            <v>0.2</v>
          </cell>
        </row>
        <row r="14085">
          <cell r="A14085" t="str">
            <v>IS_alqt_plus</v>
          </cell>
          <cell r="K14085" t="str">
            <v>LCAT</v>
          </cell>
          <cell r="M14085" t="str">
            <v>F</v>
          </cell>
          <cell r="AB14085" t="str">
            <v>serum</v>
          </cell>
          <cell r="AF14085">
            <v>0.2</v>
          </cell>
        </row>
        <row r="14086">
          <cell r="A14086" t="str">
            <v>IS_alqt_plus</v>
          </cell>
          <cell r="K14086" t="str">
            <v>LCAT</v>
          </cell>
          <cell r="M14086" t="str">
            <v>F</v>
          </cell>
          <cell r="AB14086" t="str">
            <v>serum</v>
          </cell>
          <cell r="AF14086">
            <v>0.2</v>
          </cell>
        </row>
        <row r="14087">
          <cell r="A14087" t="str">
            <v>IS_alqt_plus</v>
          </cell>
          <cell r="K14087" t="str">
            <v>LCAT</v>
          </cell>
          <cell r="M14087" t="str">
            <v>F</v>
          </cell>
          <cell r="AB14087" t="str">
            <v>serum</v>
          </cell>
          <cell r="AF14087">
            <v>0.2</v>
          </cell>
        </row>
        <row r="14088">
          <cell r="A14088" t="str">
            <v>IS_alqt_plus</v>
          </cell>
          <cell r="K14088" t="str">
            <v>LCAT</v>
          </cell>
          <cell r="M14088" t="str">
            <v>F</v>
          </cell>
          <cell r="AB14088" t="str">
            <v>WB</v>
          </cell>
          <cell r="AF14088">
            <v>0.2</v>
          </cell>
        </row>
        <row r="14089">
          <cell r="A14089" t="str">
            <v>IS_alqt_plus</v>
          </cell>
          <cell r="K14089" t="str">
            <v>LCAT</v>
          </cell>
          <cell r="M14089" t="str">
            <v>F</v>
          </cell>
          <cell r="AB14089" t="str">
            <v>WB</v>
          </cell>
          <cell r="AF14089">
            <v>0.2</v>
          </cell>
        </row>
        <row r="14090">
          <cell r="A14090" t="str">
            <v>IS_alqt_plus</v>
          </cell>
          <cell r="K14090" t="str">
            <v>LCAT</v>
          </cell>
          <cell r="M14090" t="str">
            <v>F</v>
          </cell>
          <cell r="AB14090" t="str">
            <v>WB</v>
          </cell>
          <cell r="AF14090">
            <v>0.5</v>
          </cell>
        </row>
        <row r="14091">
          <cell r="A14091" t="str">
            <v>IS_alqt_plus</v>
          </cell>
          <cell r="K14091" t="str">
            <v>MMUR</v>
          </cell>
          <cell r="M14091" t="str">
            <v>F</v>
          </cell>
          <cell r="AB14091" t="str">
            <v>WB</v>
          </cell>
          <cell r="AF14091">
            <v>0.05</v>
          </cell>
        </row>
        <row r="14092">
          <cell r="A14092" t="str">
            <v>IS_alqt_plus</v>
          </cell>
          <cell r="K14092" t="str">
            <v>PCOQ</v>
          </cell>
          <cell r="M14092" t="str">
            <v>F</v>
          </cell>
          <cell r="AB14092" t="str">
            <v>serum</v>
          </cell>
          <cell r="AF14092">
            <v>0.2</v>
          </cell>
        </row>
        <row r="14093">
          <cell r="A14093" t="str">
            <v>IS_alqt_plus</v>
          </cell>
          <cell r="K14093" t="str">
            <v>PCOQ</v>
          </cell>
          <cell r="M14093" t="str">
            <v>F</v>
          </cell>
          <cell r="AB14093" t="str">
            <v>serum</v>
          </cell>
          <cell r="AF14093">
            <v>0.4</v>
          </cell>
        </row>
        <row r="14094">
          <cell r="A14094" t="str">
            <v>IS_alqt_plus</v>
          </cell>
          <cell r="K14094" t="str">
            <v>PCOQ</v>
          </cell>
          <cell r="M14094" t="str">
            <v>F</v>
          </cell>
          <cell r="AB14094" t="str">
            <v>serum</v>
          </cell>
          <cell r="AF14094">
            <v>0.4</v>
          </cell>
        </row>
        <row r="14095">
          <cell r="A14095" t="str">
            <v>IS_alqt_plus</v>
          </cell>
          <cell r="K14095" t="str">
            <v>PCOQ</v>
          </cell>
          <cell r="M14095" t="str">
            <v>F</v>
          </cell>
          <cell r="AB14095" t="str">
            <v>WB</v>
          </cell>
          <cell r="AF14095">
            <v>0.4</v>
          </cell>
        </row>
        <row r="14096">
          <cell r="A14096" t="str">
            <v>IS_alqt_plus</v>
          </cell>
          <cell r="K14096" t="str">
            <v>PCOQ</v>
          </cell>
          <cell r="M14096" t="str">
            <v>F</v>
          </cell>
          <cell r="AB14096" t="str">
            <v>WB</v>
          </cell>
          <cell r="AF14096">
            <v>0.6</v>
          </cell>
        </row>
        <row r="14097">
          <cell r="A14097" t="str">
            <v>IS_alqt_plus</v>
          </cell>
          <cell r="K14097" t="str">
            <v>PCOQ</v>
          </cell>
          <cell r="M14097" t="str">
            <v>F</v>
          </cell>
          <cell r="AB14097" t="str">
            <v>WB</v>
          </cell>
          <cell r="AF14097">
            <v>0.6</v>
          </cell>
        </row>
        <row r="14098">
          <cell r="A14098" t="str">
            <v>IS_alqt_plus</v>
          </cell>
          <cell r="K14098" t="str">
            <v>LCAT</v>
          </cell>
          <cell r="M14098" t="str">
            <v>M</v>
          </cell>
          <cell r="AB14098" t="str">
            <v>WB</v>
          </cell>
          <cell r="AF14098">
            <v>1</v>
          </cell>
        </row>
        <row r="14099">
          <cell r="A14099" t="str">
            <v>IS_alqt_plus</v>
          </cell>
          <cell r="K14099" t="str">
            <v>LCAT</v>
          </cell>
          <cell r="M14099" t="str">
            <v>M</v>
          </cell>
          <cell r="AB14099" t="str">
            <v>WB</v>
          </cell>
          <cell r="AF14099">
            <v>1</v>
          </cell>
        </row>
        <row r="14100">
          <cell r="A14100" t="str">
            <v>IS_alqt_plus</v>
          </cell>
          <cell r="K14100" t="str">
            <v>LCAT</v>
          </cell>
          <cell r="M14100" t="str">
            <v>M</v>
          </cell>
          <cell r="AB14100" t="str">
            <v>WB</v>
          </cell>
          <cell r="AF14100">
            <v>1</v>
          </cell>
        </row>
        <row r="14101">
          <cell r="A14101" t="str">
            <v>IS_alqt_plus</v>
          </cell>
          <cell r="K14101" t="str">
            <v>LCAT</v>
          </cell>
          <cell r="M14101" t="str">
            <v>M</v>
          </cell>
          <cell r="AB14101" t="str">
            <v>WB</v>
          </cell>
          <cell r="AF14101">
            <v>1</v>
          </cell>
        </row>
        <row r="14102">
          <cell r="A14102" t="str">
            <v>IS_alqt_plus</v>
          </cell>
          <cell r="K14102" t="str">
            <v>LCAT</v>
          </cell>
          <cell r="M14102" t="str">
            <v>M</v>
          </cell>
          <cell r="AB14102" t="str">
            <v>WB</v>
          </cell>
          <cell r="AF14102">
            <v>0.5</v>
          </cell>
        </row>
        <row r="14103">
          <cell r="A14103" t="str">
            <v>gone</v>
          </cell>
          <cell r="K14103" t="str">
            <v>LCAT</v>
          </cell>
          <cell r="M14103" t="str">
            <v>M</v>
          </cell>
          <cell r="AB14103" t="str">
            <v>WB</v>
          </cell>
          <cell r="AF14103">
            <v>0</v>
          </cell>
        </row>
        <row r="14104">
          <cell r="A14104" t="str">
            <v>IS_alqt_plus</v>
          </cell>
          <cell r="K14104" t="str">
            <v>LCAT</v>
          </cell>
          <cell r="M14104" t="str">
            <v>M</v>
          </cell>
          <cell r="AB14104" t="str">
            <v>WB</v>
          </cell>
          <cell r="AF14104">
            <v>0.4</v>
          </cell>
        </row>
        <row r="14105">
          <cell r="A14105" t="str">
            <v>gone</v>
          </cell>
          <cell r="K14105" t="str">
            <v>LCAT</v>
          </cell>
          <cell r="M14105" t="str">
            <v>M</v>
          </cell>
          <cell r="AB14105" t="str">
            <v>WB</v>
          </cell>
          <cell r="AF14105">
            <v>0</v>
          </cell>
        </row>
        <row r="14106">
          <cell r="A14106" t="str">
            <v>IS_alqt_plus</v>
          </cell>
          <cell r="K14106" t="str">
            <v>VRUB</v>
          </cell>
          <cell r="M14106" t="str">
            <v>F</v>
          </cell>
          <cell r="AB14106" t="str">
            <v>serum</v>
          </cell>
          <cell r="AF14106">
            <v>0.2</v>
          </cell>
        </row>
        <row r="14107">
          <cell r="A14107" t="str">
            <v>IS_alqt_plus</v>
          </cell>
          <cell r="K14107" t="str">
            <v>VRUB</v>
          </cell>
          <cell r="M14107" t="str">
            <v>F</v>
          </cell>
          <cell r="AB14107" t="str">
            <v>serum</v>
          </cell>
          <cell r="AF14107">
            <v>0.4</v>
          </cell>
        </row>
        <row r="14108">
          <cell r="A14108" t="str">
            <v>IS_alqt_minus</v>
          </cell>
          <cell r="K14108" t="str">
            <v>MMUR</v>
          </cell>
          <cell r="M14108" t="str">
            <v>F</v>
          </cell>
          <cell r="AB14108" t="str">
            <v>WB</v>
          </cell>
          <cell r="AF14108">
            <v>0.14000000000000001</v>
          </cell>
        </row>
        <row r="14109">
          <cell r="A14109" t="str">
            <v>IS_alqt_plus</v>
          </cell>
          <cell r="K14109" t="str">
            <v>VRUB</v>
          </cell>
          <cell r="M14109" t="str">
            <v>F</v>
          </cell>
          <cell r="AB14109" t="str">
            <v>WB</v>
          </cell>
          <cell r="AF14109">
            <v>0.6</v>
          </cell>
        </row>
        <row r="14110">
          <cell r="A14110" t="str">
            <v>IS_alqt_plus</v>
          </cell>
          <cell r="K14110" t="str">
            <v>VRUB</v>
          </cell>
          <cell r="M14110" t="str">
            <v>F</v>
          </cell>
          <cell r="AB14110" t="str">
            <v>WB</v>
          </cell>
          <cell r="AF14110">
            <v>0.4</v>
          </cell>
        </row>
        <row r="14111">
          <cell r="A14111" t="str">
            <v>IS_alqt_plus</v>
          </cell>
          <cell r="K14111" t="str">
            <v>VRUB</v>
          </cell>
          <cell r="M14111" t="str">
            <v>F</v>
          </cell>
          <cell r="AB14111" t="str">
            <v>WB</v>
          </cell>
          <cell r="AF14111">
            <v>0.4</v>
          </cell>
        </row>
        <row r="14112">
          <cell r="A14112" t="str">
            <v>IS_alqt_plus</v>
          </cell>
          <cell r="K14112" t="str">
            <v>VRUB</v>
          </cell>
          <cell r="M14112" t="str">
            <v>F</v>
          </cell>
          <cell r="AB14112" t="str">
            <v>WB</v>
          </cell>
          <cell r="AF14112">
            <v>0.2</v>
          </cell>
        </row>
        <row r="14113">
          <cell r="A14113" t="str">
            <v>IS_alqt_plus</v>
          </cell>
          <cell r="K14113" t="str">
            <v>VRUB</v>
          </cell>
          <cell r="M14113" t="str">
            <v>F</v>
          </cell>
          <cell r="AB14113" t="str">
            <v>serum</v>
          </cell>
          <cell r="AF14113">
            <v>0.6</v>
          </cell>
        </row>
        <row r="14114">
          <cell r="A14114" t="str">
            <v>IS_alqt_plus</v>
          </cell>
          <cell r="K14114" t="str">
            <v>VRUB</v>
          </cell>
          <cell r="M14114" t="str">
            <v>F</v>
          </cell>
          <cell r="AB14114" t="str">
            <v>serum</v>
          </cell>
          <cell r="AF14114">
            <v>0.4</v>
          </cell>
        </row>
        <row r="14115">
          <cell r="A14115" t="str">
            <v>IS_alqt_plus</v>
          </cell>
          <cell r="K14115" t="str">
            <v>VRUB</v>
          </cell>
          <cell r="M14115" t="str">
            <v>F</v>
          </cell>
          <cell r="AB14115" t="str">
            <v>serum</v>
          </cell>
          <cell r="AF14115">
            <v>0.2</v>
          </cell>
        </row>
        <row r="14116">
          <cell r="A14116" t="str">
            <v>IS_alqt_plus</v>
          </cell>
          <cell r="K14116" t="str">
            <v>VRUB</v>
          </cell>
          <cell r="M14116" t="str">
            <v>F</v>
          </cell>
          <cell r="AB14116" t="str">
            <v>WB</v>
          </cell>
          <cell r="AF14116">
            <v>0.2</v>
          </cell>
        </row>
        <row r="14117">
          <cell r="A14117" t="str">
            <v>IS_alqt_plus</v>
          </cell>
          <cell r="K14117" t="str">
            <v>VRUB</v>
          </cell>
          <cell r="M14117" t="str">
            <v>F</v>
          </cell>
          <cell r="AB14117" t="str">
            <v>WB</v>
          </cell>
          <cell r="AF14117">
            <v>0.2</v>
          </cell>
        </row>
        <row r="14118">
          <cell r="A14118" t="str">
            <v>IS_alqt_plus</v>
          </cell>
          <cell r="K14118" t="str">
            <v>VRUB</v>
          </cell>
          <cell r="M14118" t="str">
            <v>F</v>
          </cell>
          <cell r="AB14118" t="str">
            <v>WB</v>
          </cell>
          <cell r="AF14118">
            <v>0.6</v>
          </cell>
        </row>
        <row r="14119">
          <cell r="A14119" t="str">
            <v>IS_alqt_plus</v>
          </cell>
          <cell r="K14119" t="str">
            <v>VRUB</v>
          </cell>
          <cell r="M14119" t="str">
            <v>F</v>
          </cell>
          <cell r="AB14119" t="str">
            <v>WB</v>
          </cell>
          <cell r="AF14119">
            <v>0.4</v>
          </cell>
        </row>
        <row r="14120">
          <cell r="A14120" t="str">
            <v>IS_alqt_plus</v>
          </cell>
          <cell r="K14120" t="str">
            <v>VRUB</v>
          </cell>
          <cell r="M14120" t="str">
            <v>F</v>
          </cell>
          <cell r="AB14120" t="str">
            <v>WB</v>
          </cell>
          <cell r="AF14120">
            <v>0.4</v>
          </cell>
        </row>
        <row r="14121">
          <cell r="A14121" t="str">
            <v>IS_alqt_plus</v>
          </cell>
          <cell r="K14121" t="str">
            <v>VRUB</v>
          </cell>
          <cell r="M14121" t="str">
            <v>F</v>
          </cell>
          <cell r="AB14121" t="str">
            <v>WB</v>
          </cell>
          <cell r="AF14121">
            <v>0.4</v>
          </cell>
        </row>
        <row r="14122">
          <cell r="A14122" t="str">
            <v>IS_alqt_plus</v>
          </cell>
          <cell r="K14122" t="str">
            <v>VRUB</v>
          </cell>
          <cell r="M14122" t="str">
            <v>F</v>
          </cell>
          <cell r="AB14122" t="str">
            <v>WB</v>
          </cell>
          <cell r="AF14122">
            <v>0.2</v>
          </cell>
        </row>
        <row r="14123">
          <cell r="A14123" t="str">
            <v>IS_alqt_plus</v>
          </cell>
          <cell r="K14123" t="str">
            <v>VRUB</v>
          </cell>
          <cell r="M14123" t="str">
            <v>F</v>
          </cell>
          <cell r="AB14123" t="str">
            <v>serum</v>
          </cell>
          <cell r="AF14123">
            <v>0.6</v>
          </cell>
        </row>
        <row r="14124">
          <cell r="A14124" t="str">
            <v>IS_alqt_plus</v>
          </cell>
          <cell r="K14124" t="str">
            <v>VRUB</v>
          </cell>
          <cell r="M14124" t="str">
            <v>F</v>
          </cell>
          <cell r="AB14124" t="str">
            <v>serum</v>
          </cell>
          <cell r="AF14124">
            <v>0.4</v>
          </cell>
        </row>
        <row r="14125">
          <cell r="A14125" t="str">
            <v>IS_alqt_plus</v>
          </cell>
          <cell r="K14125" t="str">
            <v>VRUB</v>
          </cell>
          <cell r="M14125" t="str">
            <v>F</v>
          </cell>
          <cell r="AB14125" t="str">
            <v>serum</v>
          </cell>
          <cell r="AF14125">
            <v>0.2</v>
          </cell>
        </row>
        <row r="14126">
          <cell r="A14126" t="str">
            <v>IS_alqt_plus</v>
          </cell>
          <cell r="K14126" t="str">
            <v>VRUB</v>
          </cell>
          <cell r="M14126" t="str">
            <v>F</v>
          </cell>
          <cell r="AB14126" t="str">
            <v>serum</v>
          </cell>
          <cell r="AF14126">
            <v>0.2</v>
          </cell>
        </row>
        <row r="14127">
          <cell r="A14127" t="str">
            <v>IS_alqt_plus</v>
          </cell>
          <cell r="K14127" t="str">
            <v>VRUB</v>
          </cell>
          <cell r="M14127" t="str">
            <v>F</v>
          </cell>
          <cell r="AB14127" t="str">
            <v>serum</v>
          </cell>
          <cell r="AF14127">
            <v>0.2</v>
          </cell>
        </row>
        <row r="14128">
          <cell r="A14128" t="str">
            <v>IS_alqt_plus</v>
          </cell>
          <cell r="K14128" t="str">
            <v>VRUB</v>
          </cell>
          <cell r="M14128" t="str">
            <v>F</v>
          </cell>
          <cell r="AB14128" t="str">
            <v>WB</v>
          </cell>
          <cell r="AF14128">
            <v>0.4</v>
          </cell>
        </row>
        <row r="14129">
          <cell r="A14129" t="str">
            <v>IS_alqt_plus</v>
          </cell>
          <cell r="K14129" t="str">
            <v>VRUB</v>
          </cell>
          <cell r="M14129" t="str">
            <v>F</v>
          </cell>
          <cell r="AB14129" t="str">
            <v>WB</v>
          </cell>
          <cell r="AF14129">
            <v>0.2</v>
          </cell>
        </row>
        <row r="14130">
          <cell r="A14130" t="str">
            <v>IS_alqt_plus</v>
          </cell>
          <cell r="K14130" t="str">
            <v>VRUB</v>
          </cell>
          <cell r="M14130" t="str">
            <v>F</v>
          </cell>
          <cell r="AB14130" t="str">
            <v>serum</v>
          </cell>
          <cell r="AF14130">
            <v>0.4</v>
          </cell>
        </row>
        <row r="14131">
          <cell r="A14131" t="str">
            <v>IS_alqt_plus</v>
          </cell>
          <cell r="K14131" t="str">
            <v>VRUB</v>
          </cell>
          <cell r="M14131" t="str">
            <v>F</v>
          </cell>
          <cell r="AB14131" t="str">
            <v>serum</v>
          </cell>
          <cell r="AF14131">
            <v>0.2</v>
          </cell>
        </row>
        <row r="14132">
          <cell r="A14132" t="str">
            <v>IS_alqt_plus</v>
          </cell>
          <cell r="K14132" t="str">
            <v>VRUB</v>
          </cell>
          <cell r="M14132" t="str">
            <v>F</v>
          </cell>
          <cell r="AB14132" t="str">
            <v>serum</v>
          </cell>
          <cell r="AF14132">
            <v>0.2</v>
          </cell>
        </row>
        <row r="14133">
          <cell r="A14133" t="str">
            <v>IS_alqt_plus</v>
          </cell>
          <cell r="K14133" t="str">
            <v>VRUB</v>
          </cell>
          <cell r="M14133" t="str">
            <v>F</v>
          </cell>
          <cell r="AB14133" t="str">
            <v>WB</v>
          </cell>
          <cell r="AF14133">
            <v>0.6</v>
          </cell>
        </row>
        <row r="14134">
          <cell r="A14134" t="str">
            <v>IS_alqt_plus</v>
          </cell>
          <cell r="K14134" t="str">
            <v>VRUB</v>
          </cell>
          <cell r="M14134" t="str">
            <v>F</v>
          </cell>
          <cell r="AB14134" t="str">
            <v>WB</v>
          </cell>
          <cell r="AF14134">
            <v>0.4</v>
          </cell>
        </row>
        <row r="14135">
          <cell r="A14135" t="str">
            <v>IS_alqt_plus</v>
          </cell>
          <cell r="K14135" t="str">
            <v>VRUB</v>
          </cell>
          <cell r="M14135" t="str">
            <v>F</v>
          </cell>
          <cell r="AB14135" t="str">
            <v>WB</v>
          </cell>
          <cell r="AF14135">
            <v>0.2</v>
          </cell>
        </row>
        <row r="14136">
          <cell r="A14136" t="str">
            <v>IS_alqt_plus</v>
          </cell>
          <cell r="K14136" t="str">
            <v>VRUB</v>
          </cell>
          <cell r="M14136" t="str">
            <v>F</v>
          </cell>
          <cell r="AB14136" t="str">
            <v>WB</v>
          </cell>
          <cell r="AF14136">
            <v>0.2</v>
          </cell>
        </row>
        <row r="14137">
          <cell r="A14137" t="str">
            <v>IS_alqt_plus</v>
          </cell>
          <cell r="K14137" t="str">
            <v>VRUB</v>
          </cell>
          <cell r="M14137" t="str">
            <v>F</v>
          </cell>
          <cell r="AB14137" t="str">
            <v>WB</v>
          </cell>
          <cell r="AF14137">
            <v>0.4</v>
          </cell>
        </row>
        <row r="14138">
          <cell r="A14138" t="str">
            <v>IS_alqt_plus</v>
          </cell>
          <cell r="K14138" t="str">
            <v>VRUB</v>
          </cell>
          <cell r="M14138" t="str">
            <v>F</v>
          </cell>
          <cell r="AB14138" t="str">
            <v>WB</v>
          </cell>
          <cell r="AF14138">
            <v>0.2</v>
          </cell>
        </row>
        <row r="14139">
          <cell r="A14139" t="str">
            <v>IS_alqt_plus</v>
          </cell>
          <cell r="K14139" t="str">
            <v>LCAT</v>
          </cell>
          <cell r="M14139" t="str">
            <v>F</v>
          </cell>
          <cell r="AB14139" t="str">
            <v>WB</v>
          </cell>
          <cell r="AF14139">
            <v>0.2</v>
          </cell>
        </row>
        <row r="14140">
          <cell r="A14140" t="str">
            <v>IS_alqt_plus</v>
          </cell>
          <cell r="K14140" t="str">
            <v>LCAT</v>
          </cell>
          <cell r="M14140" t="str">
            <v>F</v>
          </cell>
          <cell r="AB14140" t="str">
            <v>WB</v>
          </cell>
          <cell r="AF14140">
            <v>0.2</v>
          </cell>
        </row>
        <row r="14141">
          <cell r="A14141" t="str">
            <v>IS_alqt_minus</v>
          </cell>
          <cell r="K14141" t="str">
            <v>LCAT</v>
          </cell>
          <cell r="M14141" t="str">
            <v>F</v>
          </cell>
          <cell r="AB14141" t="str">
            <v>WB</v>
          </cell>
          <cell r="AF14141">
            <v>0.17</v>
          </cell>
        </row>
        <row r="14142">
          <cell r="A14142" t="str">
            <v>IS_alqt_plus</v>
          </cell>
          <cell r="K14142" t="str">
            <v>LCAT</v>
          </cell>
          <cell r="M14142" t="str">
            <v>F</v>
          </cell>
          <cell r="AB14142" t="str">
            <v>WB</v>
          </cell>
          <cell r="AF14142">
            <v>0.33</v>
          </cell>
        </row>
        <row r="14143">
          <cell r="A14143" t="str">
            <v>IS_alqt_plus</v>
          </cell>
          <cell r="K14143" t="str">
            <v>LCAT</v>
          </cell>
          <cell r="M14143" t="str">
            <v>F</v>
          </cell>
          <cell r="AB14143" t="str">
            <v>WB</v>
          </cell>
          <cell r="AF14143">
            <v>0.33</v>
          </cell>
        </row>
        <row r="14144">
          <cell r="A14144" t="str">
            <v>IS_alqt_plus</v>
          </cell>
          <cell r="K14144" t="str">
            <v>LCAT</v>
          </cell>
          <cell r="M14144" t="str">
            <v>F</v>
          </cell>
          <cell r="AB14144" t="str">
            <v>WB</v>
          </cell>
          <cell r="AF14144">
            <v>0.33</v>
          </cell>
        </row>
        <row r="14145">
          <cell r="A14145" t="str">
            <v>IS_alqt_plus</v>
          </cell>
          <cell r="K14145" t="str">
            <v>LCAT</v>
          </cell>
          <cell r="M14145" t="str">
            <v>F</v>
          </cell>
          <cell r="AB14145" t="str">
            <v>WB</v>
          </cell>
          <cell r="AF14145">
            <v>0.33</v>
          </cell>
        </row>
        <row r="14146">
          <cell r="A14146" t="str">
            <v>IS_alqt_minus</v>
          </cell>
          <cell r="K14146" t="str">
            <v>LCAT</v>
          </cell>
          <cell r="M14146" t="str">
            <v>F</v>
          </cell>
          <cell r="AB14146" t="str">
            <v>WB</v>
          </cell>
          <cell r="AF14146">
            <v>0.17</v>
          </cell>
        </row>
        <row r="14147">
          <cell r="A14147" t="str">
            <v>IS_alqt_plus</v>
          </cell>
          <cell r="K14147" t="str">
            <v>LCAT</v>
          </cell>
          <cell r="M14147" t="str">
            <v>F</v>
          </cell>
          <cell r="AB14147" t="str">
            <v>WB</v>
          </cell>
          <cell r="AF14147">
            <v>0.33</v>
          </cell>
        </row>
        <row r="14148">
          <cell r="A14148" t="str">
            <v>IS_alqt_plus</v>
          </cell>
          <cell r="K14148" t="str">
            <v>LCAT</v>
          </cell>
          <cell r="M14148" t="str">
            <v>F</v>
          </cell>
          <cell r="AB14148" t="str">
            <v>WB</v>
          </cell>
          <cell r="AF14148">
            <v>0.33</v>
          </cell>
        </row>
        <row r="14149">
          <cell r="A14149" t="str">
            <v>IS_alqt_plus</v>
          </cell>
          <cell r="K14149" t="str">
            <v>LCAT</v>
          </cell>
          <cell r="M14149" t="str">
            <v>F</v>
          </cell>
          <cell r="AB14149" t="str">
            <v>WB</v>
          </cell>
          <cell r="AF14149">
            <v>0.33</v>
          </cell>
        </row>
        <row r="14150">
          <cell r="A14150" t="str">
            <v>IS_alqt_plus</v>
          </cell>
          <cell r="K14150" t="str">
            <v>LCAT</v>
          </cell>
          <cell r="M14150" t="str">
            <v>F</v>
          </cell>
          <cell r="AB14150" t="str">
            <v>WB</v>
          </cell>
          <cell r="AF14150">
            <v>0.33</v>
          </cell>
        </row>
        <row r="14151">
          <cell r="A14151" t="str">
            <v>IS_alqt_plus</v>
          </cell>
          <cell r="K14151" t="str">
            <v>LCAT</v>
          </cell>
          <cell r="M14151" t="str">
            <v>F</v>
          </cell>
          <cell r="AB14151" t="str">
            <v>WB</v>
          </cell>
          <cell r="AF14151">
            <v>0.2</v>
          </cell>
        </row>
        <row r="14152">
          <cell r="A14152" t="str">
            <v>IS_alqt_plus</v>
          </cell>
          <cell r="K14152" t="str">
            <v>LCAT</v>
          </cell>
          <cell r="M14152" t="str">
            <v>F</v>
          </cell>
          <cell r="AB14152" t="str">
            <v>WB</v>
          </cell>
          <cell r="AF14152">
            <v>0.2</v>
          </cell>
        </row>
        <row r="14153">
          <cell r="A14153" t="str">
            <v>IS_alqt_minus</v>
          </cell>
          <cell r="K14153" t="str">
            <v>LCAT</v>
          </cell>
          <cell r="M14153" t="str">
            <v>F</v>
          </cell>
          <cell r="AB14153" t="str">
            <v>WB</v>
          </cell>
          <cell r="AF14153">
            <v>0.17</v>
          </cell>
        </row>
        <row r="14154">
          <cell r="A14154" t="str">
            <v>IS_alqt_plus</v>
          </cell>
          <cell r="K14154" t="str">
            <v>LCAT</v>
          </cell>
          <cell r="M14154" t="str">
            <v>F</v>
          </cell>
          <cell r="AB14154" t="str">
            <v>WB</v>
          </cell>
          <cell r="AF14154">
            <v>0.33</v>
          </cell>
        </row>
        <row r="14155">
          <cell r="A14155" t="str">
            <v>IS_alqt_plus</v>
          </cell>
          <cell r="K14155" t="str">
            <v>LCAT</v>
          </cell>
          <cell r="M14155" t="str">
            <v>F</v>
          </cell>
          <cell r="AB14155" t="str">
            <v>WB</v>
          </cell>
          <cell r="AF14155">
            <v>0.33</v>
          </cell>
        </row>
        <row r="14156">
          <cell r="A14156" t="str">
            <v>IS_alqt_plus</v>
          </cell>
          <cell r="K14156" t="str">
            <v>LCAT</v>
          </cell>
          <cell r="M14156" t="str">
            <v>F</v>
          </cell>
          <cell r="AB14156" t="str">
            <v>WB</v>
          </cell>
          <cell r="AF14156">
            <v>0.33</v>
          </cell>
        </row>
        <row r="14157">
          <cell r="A14157" t="str">
            <v>IS_alqt_plus</v>
          </cell>
          <cell r="K14157" t="str">
            <v>LCAT</v>
          </cell>
          <cell r="M14157" t="str">
            <v>F</v>
          </cell>
          <cell r="AB14157" t="str">
            <v>WB</v>
          </cell>
          <cell r="AF14157">
            <v>0.33</v>
          </cell>
        </row>
        <row r="14158">
          <cell r="A14158" t="str">
            <v>IS_alqt_plus</v>
          </cell>
          <cell r="K14158" t="str">
            <v>LCAT</v>
          </cell>
          <cell r="M14158" t="str">
            <v>F</v>
          </cell>
          <cell r="AB14158" t="str">
            <v>WB</v>
          </cell>
          <cell r="AF14158">
            <v>0.2</v>
          </cell>
        </row>
        <row r="14159">
          <cell r="A14159" t="str">
            <v>IS_alqt_plus</v>
          </cell>
          <cell r="K14159" t="str">
            <v>LCAT</v>
          </cell>
          <cell r="M14159" t="str">
            <v>F</v>
          </cell>
          <cell r="AB14159" t="str">
            <v>WB</v>
          </cell>
          <cell r="AF14159">
            <v>0.4</v>
          </cell>
        </row>
        <row r="14160">
          <cell r="A14160" t="str">
            <v>IS_alqt_minus</v>
          </cell>
          <cell r="K14160" t="str">
            <v>LCAT</v>
          </cell>
          <cell r="M14160" t="str">
            <v>F</v>
          </cell>
          <cell r="AB14160" t="str">
            <v>WB</v>
          </cell>
          <cell r="AF14160">
            <v>0.17</v>
          </cell>
        </row>
        <row r="14161">
          <cell r="A14161" t="str">
            <v>IS_alqt_plus</v>
          </cell>
          <cell r="K14161" t="str">
            <v>LCAT</v>
          </cell>
          <cell r="M14161" t="str">
            <v>F</v>
          </cell>
          <cell r="AB14161" t="str">
            <v>WB</v>
          </cell>
          <cell r="AF14161">
            <v>0.33</v>
          </cell>
        </row>
        <row r="14162">
          <cell r="A14162" t="str">
            <v>IS_alqt_plus</v>
          </cell>
          <cell r="K14162" t="str">
            <v>LCAT</v>
          </cell>
          <cell r="M14162" t="str">
            <v>F</v>
          </cell>
          <cell r="AB14162" t="str">
            <v>WB</v>
          </cell>
          <cell r="AF14162">
            <v>0.33</v>
          </cell>
        </row>
        <row r="14163">
          <cell r="A14163" t="str">
            <v>IS_alqt_plus</v>
          </cell>
          <cell r="K14163" t="str">
            <v>LCAT</v>
          </cell>
          <cell r="M14163" t="str">
            <v>F</v>
          </cell>
          <cell r="AB14163" t="str">
            <v>WB</v>
          </cell>
          <cell r="AF14163">
            <v>0.33</v>
          </cell>
        </row>
        <row r="14164">
          <cell r="A14164" t="str">
            <v>IS_alqt_plus</v>
          </cell>
          <cell r="K14164" t="str">
            <v>LCAT</v>
          </cell>
          <cell r="M14164" t="str">
            <v>F</v>
          </cell>
          <cell r="AB14164" t="str">
            <v>WB</v>
          </cell>
          <cell r="AF14164">
            <v>0.33</v>
          </cell>
        </row>
        <row r="14165">
          <cell r="A14165" t="str">
            <v>IS_alqt_plus</v>
          </cell>
          <cell r="K14165" t="str">
            <v>LCAT</v>
          </cell>
          <cell r="M14165" t="str">
            <v>M</v>
          </cell>
          <cell r="AB14165" t="str">
            <v>WB</v>
          </cell>
          <cell r="AF14165">
            <v>0.3</v>
          </cell>
        </row>
        <row r="14166">
          <cell r="A14166" t="str">
            <v>IS_alqt_plus</v>
          </cell>
          <cell r="K14166" t="str">
            <v>LCAT</v>
          </cell>
          <cell r="M14166" t="str">
            <v>M</v>
          </cell>
          <cell r="AB14166" t="str">
            <v>WB</v>
          </cell>
          <cell r="AF14166">
            <v>0.3</v>
          </cell>
        </row>
        <row r="14167">
          <cell r="A14167" t="str">
            <v>IS_alqt_plus</v>
          </cell>
          <cell r="K14167" t="str">
            <v>LCAT</v>
          </cell>
          <cell r="M14167" t="str">
            <v>M</v>
          </cell>
          <cell r="AB14167" t="str">
            <v>WB</v>
          </cell>
          <cell r="AF14167">
            <v>0.3</v>
          </cell>
        </row>
        <row r="14168">
          <cell r="A14168" t="str">
            <v>IS_alqt_plus</v>
          </cell>
          <cell r="K14168" t="str">
            <v>LCAT</v>
          </cell>
          <cell r="M14168" t="str">
            <v>M</v>
          </cell>
          <cell r="AB14168" t="str">
            <v>WB</v>
          </cell>
          <cell r="AF14168">
            <v>0.3</v>
          </cell>
        </row>
        <row r="14169">
          <cell r="A14169" t="str">
            <v>IS_alqt_plus</v>
          </cell>
          <cell r="K14169" t="str">
            <v>LCAT</v>
          </cell>
          <cell r="M14169" t="str">
            <v>M</v>
          </cell>
          <cell r="AB14169" t="str">
            <v>WB</v>
          </cell>
          <cell r="AF14169">
            <v>0.3</v>
          </cell>
        </row>
        <row r="14170">
          <cell r="A14170" t="str">
            <v>IS_alqt_plus</v>
          </cell>
          <cell r="K14170" t="str">
            <v>LCAT</v>
          </cell>
          <cell r="M14170" t="str">
            <v>F</v>
          </cell>
          <cell r="AB14170" t="str">
            <v>WB</v>
          </cell>
          <cell r="AF14170">
            <v>0.3</v>
          </cell>
        </row>
        <row r="14171">
          <cell r="A14171" t="str">
            <v>IS_alqt_plus</v>
          </cell>
          <cell r="K14171" t="str">
            <v>LCAT</v>
          </cell>
          <cell r="M14171" t="str">
            <v>F</v>
          </cell>
          <cell r="AB14171" t="str">
            <v>WB</v>
          </cell>
          <cell r="AF14171">
            <v>0.3</v>
          </cell>
        </row>
        <row r="14172">
          <cell r="A14172" t="str">
            <v>IS_alqt_plus</v>
          </cell>
          <cell r="K14172" t="str">
            <v>LCAT</v>
          </cell>
          <cell r="M14172" t="str">
            <v>F</v>
          </cell>
          <cell r="AB14172" t="str">
            <v>WB</v>
          </cell>
          <cell r="AF14172">
            <v>0.3</v>
          </cell>
        </row>
        <row r="14173">
          <cell r="A14173" t="str">
            <v>IS_alqt_plus</v>
          </cell>
          <cell r="K14173" t="str">
            <v>LCAT</v>
          </cell>
          <cell r="M14173" t="str">
            <v>F</v>
          </cell>
          <cell r="AB14173" t="str">
            <v>WB</v>
          </cell>
          <cell r="AF14173">
            <v>0.3</v>
          </cell>
        </row>
        <row r="14174">
          <cell r="A14174" t="str">
            <v>IS_alqt_plus</v>
          </cell>
          <cell r="K14174" t="str">
            <v>LCAT</v>
          </cell>
          <cell r="M14174" t="str">
            <v>F</v>
          </cell>
          <cell r="AB14174" t="str">
            <v>WB</v>
          </cell>
          <cell r="AF14174">
            <v>0.3</v>
          </cell>
        </row>
        <row r="14175">
          <cell r="A14175" t="str">
            <v>IS_alqt_plus</v>
          </cell>
          <cell r="K14175" t="str">
            <v>LCAT</v>
          </cell>
          <cell r="M14175" t="str">
            <v>M</v>
          </cell>
          <cell r="AB14175" t="str">
            <v>WB</v>
          </cell>
          <cell r="AF14175">
            <v>0.2</v>
          </cell>
        </row>
        <row r="14176">
          <cell r="A14176" t="str">
            <v>IS_alqt_plus</v>
          </cell>
          <cell r="K14176" t="str">
            <v>LCAT</v>
          </cell>
          <cell r="M14176" t="str">
            <v>M</v>
          </cell>
          <cell r="AB14176" t="str">
            <v>WB</v>
          </cell>
          <cell r="AF14176">
            <v>0.2</v>
          </cell>
        </row>
        <row r="14177">
          <cell r="A14177" t="str">
            <v>IS_alqt_plus</v>
          </cell>
          <cell r="K14177" t="str">
            <v>LCAT</v>
          </cell>
          <cell r="M14177" t="str">
            <v>M</v>
          </cell>
          <cell r="AB14177" t="str">
            <v>WB</v>
          </cell>
          <cell r="AF14177">
            <v>0.5</v>
          </cell>
        </row>
        <row r="14178">
          <cell r="A14178" t="str">
            <v>IS_alqt_plus</v>
          </cell>
          <cell r="K14178" t="str">
            <v>LCAT</v>
          </cell>
          <cell r="M14178" t="str">
            <v>M</v>
          </cell>
          <cell r="AB14178" t="str">
            <v>WB</v>
          </cell>
          <cell r="AF14178">
            <v>0.3</v>
          </cell>
        </row>
        <row r="14179">
          <cell r="A14179" t="str">
            <v>IS_alqt_plus</v>
          </cell>
          <cell r="K14179" t="str">
            <v>LCAT</v>
          </cell>
          <cell r="M14179" t="str">
            <v>F</v>
          </cell>
          <cell r="AB14179" t="str">
            <v>serum</v>
          </cell>
          <cell r="AF14179">
            <v>0.2</v>
          </cell>
        </row>
        <row r="14180">
          <cell r="A14180" t="str">
            <v>IS_alqt_plus</v>
          </cell>
          <cell r="K14180" t="str">
            <v>LCAT</v>
          </cell>
          <cell r="M14180" t="str">
            <v>F</v>
          </cell>
          <cell r="AB14180" t="str">
            <v>serum</v>
          </cell>
          <cell r="AF14180">
            <v>0.2</v>
          </cell>
        </row>
        <row r="14181">
          <cell r="A14181" t="str">
            <v>IS_alqt_plus</v>
          </cell>
          <cell r="K14181" t="str">
            <v>LCAT</v>
          </cell>
          <cell r="M14181" t="str">
            <v>F</v>
          </cell>
          <cell r="AB14181" t="str">
            <v>serum</v>
          </cell>
          <cell r="AF14181">
            <v>0.5</v>
          </cell>
        </row>
        <row r="14182">
          <cell r="A14182" t="str">
            <v>IS_alqt_plus</v>
          </cell>
          <cell r="K14182" t="str">
            <v>LCAT</v>
          </cell>
          <cell r="M14182" t="str">
            <v>F</v>
          </cell>
          <cell r="AB14182" t="str">
            <v>WB</v>
          </cell>
          <cell r="AF14182">
            <v>0.2</v>
          </cell>
        </row>
        <row r="14183">
          <cell r="A14183" t="str">
            <v>IS_alqt_plus</v>
          </cell>
          <cell r="K14183" t="str">
            <v>LCAT</v>
          </cell>
          <cell r="M14183" t="str">
            <v>F</v>
          </cell>
          <cell r="AB14183" t="str">
            <v>WB</v>
          </cell>
          <cell r="AF14183">
            <v>0.2</v>
          </cell>
        </row>
        <row r="14184">
          <cell r="A14184" t="str">
            <v>IS_alqt_plus</v>
          </cell>
          <cell r="K14184" t="str">
            <v>LCAT</v>
          </cell>
          <cell r="M14184" t="str">
            <v>F</v>
          </cell>
          <cell r="AB14184" t="str">
            <v>WB</v>
          </cell>
          <cell r="AF14184">
            <v>0.5</v>
          </cell>
        </row>
        <row r="14185">
          <cell r="A14185" t="str">
            <v>IS_alqt_plus</v>
          </cell>
          <cell r="K14185" t="str">
            <v>LCAT</v>
          </cell>
          <cell r="M14185" t="str">
            <v>F</v>
          </cell>
          <cell r="AB14185" t="str">
            <v>WB</v>
          </cell>
          <cell r="AF14185">
            <v>0.3</v>
          </cell>
        </row>
        <row r="14186">
          <cell r="A14186" t="str">
            <v>IS_alqt_plus</v>
          </cell>
          <cell r="K14186" t="str">
            <v>ECOR</v>
          </cell>
          <cell r="M14186" t="str">
            <v>M</v>
          </cell>
          <cell r="AB14186" t="str">
            <v>WB</v>
          </cell>
          <cell r="AF14186">
            <v>0.2</v>
          </cell>
        </row>
        <row r="14187">
          <cell r="A14187" t="str">
            <v>IS_alqt_plus</v>
          </cell>
          <cell r="K14187" t="str">
            <v>ECOR</v>
          </cell>
          <cell r="M14187" t="str">
            <v>M</v>
          </cell>
          <cell r="AB14187" t="str">
            <v>WB</v>
          </cell>
          <cell r="AF14187">
            <v>0.2</v>
          </cell>
        </row>
        <row r="14188">
          <cell r="A14188" t="str">
            <v>IS_alqt_plus</v>
          </cell>
          <cell r="K14188" t="str">
            <v>ECOR</v>
          </cell>
          <cell r="M14188" t="str">
            <v>M</v>
          </cell>
          <cell r="AB14188" t="str">
            <v>WB</v>
          </cell>
          <cell r="AF14188">
            <v>0.4</v>
          </cell>
        </row>
        <row r="14189">
          <cell r="A14189" t="str">
            <v>IS_alqt_plus</v>
          </cell>
          <cell r="K14189" t="str">
            <v>ECOR</v>
          </cell>
          <cell r="M14189" t="str">
            <v>M</v>
          </cell>
          <cell r="AB14189" t="str">
            <v>WB</v>
          </cell>
          <cell r="AF14189">
            <v>0.4</v>
          </cell>
        </row>
        <row r="14190">
          <cell r="A14190" t="str">
            <v>IS_alqt_plus</v>
          </cell>
          <cell r="K14190" t="str">
            <v>ECOR</v>
          </cell>
          <cell r="M14190" t="str">
            <v>M</v>
          </cell>
          <cell r="AB14190" t="str">
            <v>WB</v>
          </cell>
          <cell r="AF14190">
            <v>0.6</v>
          </cell>
        </row>
        <row r="14191">
          <cell r="A14191" t="str">
            <v>IS_alqt_plus</v>
          </cell>
          <cell r="K14191" t="str">
            <v>ECOR</v>
          </cell>
          <cell r="M14191" t="str">
            <v>M</v>
          </cell>
          <cell r="AB14191" t="str">
            <v>serum</v>
          </cell>
          <cell r="AF14191">
            <v>0.2</v>
          </cell>
        </row>
        <row r="14192">
          <cell r="A14192" t="str">
            <v>IS_alqt_plus</v>
          </cell>
          <cell r="K14192" t="str">
            <v>ECOR</v>
          </cell>
          <cell r="M14192" t="str">
            <v>M</v>
          </cell>
          <cell r="AB14192" t="str">
            <v>serum</v>
          </cell>
          <cell r="AF14192">
            <v>0.2</v>
          </cell>
        </row>
        <row r="14193">
          <cell r="A14193" t="str">
            <v>IS_alqt_plus</v>
          </cell>
          <cell r="K14193" t="str">
            <v>ECOR</v>
          </cell>
          <cell r="M14193" t="str">
            <v>M</v>
          </cell>
          <cell r="AB14193" t="str">
            <v>serum</v>
          </cell>
          <cell r="AF14193">
            <v>0.4</v>
          </cell>
        </row>
        <row r="14194">
          <cell r="A14194" t="str">
            <v>IS_alqt_plus</v>
          </cell>
          <cell r="K14194" t="str">
            <v>LCAT</v>
          </cell>
          <cell r="M14194" t="str">
            <v>M</v>
          </cell>
          <cell r="AB14194" t="str">
            <v>WB</v>
          </cell>
          <cell r="AF14194">
            <v>0.3</v>
          </cell>
        </row>
        <row r="14195">
          <cell r="A14195" t="str">
            <v>IS_alqt_plus</v>
          </cell>
          <cell r="K14195" t="str">
            <v>LCAT</v>
          </cell>
          <cell r="M14195" t="str">
            <v>M</v>
          </cell>
          <cell r="AB14195" t="str">
            <v>WB</v>
          </cell>
          <cell r="AF14195">
            <v>0.3</v>
          </cell>
        </row>
        <row r="14196">
          <cell r="A14196" t="str">
            <v>IS_alqt_plus</v>
          </cell>
          <cell r="K14196" t="str">
            <v>LCAT</v>
          </cell>
          <cell r="M14196" t="str">
            <v>M</v>
          </cell>
          <cell r="AB14196" t="str">
            <v>WB</v>
          </cell>
          <cell r="AF14196">
            <v>0.3</v>
          </cell>
        </row>
        <row r="14197">
          <cell r="A14197" t="str">
            <v>IS_alqt_plus</v>
          </cell>
          <cell r="K14197" t="str">
            <v>LCAT</v>
          </cell>
          <cell r="M14197" t="str">
            <v>M</v>
          </cell>
          <cell r="AB14197" t="str">
            <v>WB</v>
          </cell>
          <cell r="AF14197">
            <v>0.3</v>
          </cell>
        </row>
        <row r="14198">
          <cell r="A14198" t="str">
            <v>IS_alqt_plus</v>
          </cell>
          <cell r="K14198" t="str">
            <v>LCAT</v>
          </cell>
          <cell r="M14198" t="str">
            <v>M</v>
          </cell>
          <cell r="AB14198" t="str">
            <v>WB</v>
          </cell>
          <cell r="AF14198">
            <v>0.3</v>
          </cell>
        </row>
        <row r="14199">
          <cell r="A14199" t="str">
            <v>IS_alqt_plus</v>
          </cell>
          <cell r="K14199" t="str">
            <v>LCAT</v>
          </cell>
          <cell r="M14199" t="str">
            <v>M</v>
          </cell>
          <cell r="AB14199" t="str">
            <v>WB</v>
          </cell>
          <cell r="AF14199">
            <v>0.2</v>
          </cell>
        </row>
        <row r="14200">
          <cell r="A14200" t="str">
            <v>IS_alqt_plus</v>
          </cell>
          <cell r="K14200" t="str">
            <v>LCAT</v>
          </cell>
          <cell r="M14200" t="str">
            <v>M</v>
          </cell>
          <cell r="AB14200" t="str">
            <v>WB</v>
          </cell>
          <cell r="AF14200">
            <v>0.2</v>
          </cell>
        </row>
        <row r="14201">
          <cell r="A14201" t="str">
            <v>IS_alqt_plus</v>
          </cell>
          <cell r="K14201" t="str">
            <v>LCAT</v>
          </cell>
          <cell r="M14201" t="str">
            <v>M</v>
          </cell>
          <cell r="AB14201" t="str">
            <v>WB</v>
          </cell>
          <cell r="AF14201">
            <v>0.4</v>
          </cell>
        </row>
        <row r="14202">
          <cell r="A14202" t="str">
            <v>IS_alqt_plus</v>
          </cell>
          <cell r="K14202" t="str">
            <v>LCAT</v>
          </cell>
          <cell r="M14202" t="str">
            <v>M</v>
          </cell>
          <cell r="AB14202" t="str">
            <v>WB</v>
          </cell>
          <cell r="AF14202">
            <v>0.4</v>
          </cell>
        </row>
        <row r="14203">
          <cell r="A14203" t="str">
            <v>IS_alqt_plus</v>
          </cell>
          <cell r="K14203" t="str">
            <v>LCAT</v>
          </cell>
          <cell r="M14203" t="str">
            <v>F</v>
          </cell>
          <cell r="AB14203" t="str">
            <v>WB</v>
          </cell>
          <cell r="AF14203">
            <v>0.3</v>
          </cell>
        </row>
        <row r="14204">
          <cell r="A14204" t="str">
            <v>IS_alqt_plus</v>
          </cell>
          <cell r="K14204" t="str">
            <v>LCAT</v>
          </cell>
          <cell r="M14204" t="str">
            <v>F</v>
          </cell>
          <cell r="AB14204" t="str">
            <v>WB</v>
          </cell>
          <cell r="AF14204">
            <v>0.3</v>
          </cell>
        </row>
        <row r="14205">
          <cell r="A14205" t="str">
            <v>IS_alqt_plus</v>
          </cell>
          <cell r="K14205" t="str">
            <v>LCAT</v>
          </cell>
          <cell r="M14205" t="str">
            <v>F</v>
          </cell>
          <cell r="AB14205" t="str">
            <v>WB</v>
          </cell>
          <cell r="AF14205">
            <v>0.3</v>
          </cell>
        </row>
        <row r="14206">
          <cell r="A14206" t="str">
            <v>IS_alqt_plus</v>
          </cell>
          <cell r="K14206" t="str">
            <v>LCAT</v>
          </cell>
          <cell r="M14206" t="str">
            <v>F</v>
          </cell>
          <cell r="AB14206" t="str">
            <v>WB</v>
          </cell>
          <cell r="AF14206">
            <v>0.3</v>
          </cell>
        </row>
        <row r="14207">
          <cell r="A14207" t="str">
            <v>IS_alqt_plus</v>
          </cell>
          <cell r="K14207" t="str">
            <v>LCAT</v>
          </cell>
          <cell r="M14207" t="str">
            <v>F</v>
          </cell>
          <cell r="AB14207" t="str">
            <v>WB</v>
          </cell>
          <cell r="AF14207">
            <v>0.3</v>
          </cell>
        </row>
        <row r="14208">
          <cell r="A14208" t="str">
            <v>IS_alqt_plus</v>
          </cell>
          <cell r="K14208" t="str">
            <v>DMAD</v>
          </cell>
          <cell r="M14208" t="str">
            <v>F</v>
          </cell>
          <cell r="AB14208" t="str">
            <v>WB</v>
          </cell>
          <cell r="AF14208">
            <v>0.2</v>
          </cell>
        </row>
        <row r="14209">
          <cell r="A14209" t="str">
            <v>IS_alqt_plus</v>
          </cell>
          <cell r="K14209" t="str">
            <v>DMAD</v>
          </cell>
          <cell r="M14209" t="str">
            <v>F</v>
          </cell>
          <cell r="AB14209" t="str">
            <v>WB</v>
          </cell>
          <cell r="AF14209">
            <v>0.2</v>
          </cell>
        </row>
        <row r="14210">
          <cell r="A14210" t="str">
            <v>IS_alqt_plus</v>
          </cell>
          <cell r="K14210" t="str">
            <v>DMAD</v>
          </cell>
          <cell r="M14210" t="str">
            <v>F</v>
          </cell>
          <cell r="AB14210" t="str">
            <v>WB</v>
          </cell>
          <cell r="AF14210">
            <v>0.2</v>
          </cell>
        </row>
        <row r="14211">
          <cell r="A14211" t="str">
            <v>IS_alqt_plus</v>
          </cell>
          <cell r="K14211" t="str">
            <v>DMAD</v>
          </cell>
          <cell r="M14211" t="str">
            <v>F</v>
          </cell>
          <cell r="AB14211" t="str">
            <v>WB</v>
          </cell>
          <cell r="AF14211">
            <v>0.4</v>
          </cell>
        </row>
        <row r="14212">
          <cell r="A14212" t="str">
            <v>IS_alqt_plus</v>
          </cell>
          <cell r="K14212" t="str">
            <v>DMAD</v>
          </cell>
          <cell r="M14212" t="str">
            <v>F</v>
          </cell>
          <cell r="AB14212" t="str">
            <v>WB</v>
          </cell>
          <cell r="AF14212">
            <v>0.4</v>
          </cell>
        </row>
        <row r="14213">
          <cell r="A14213" t="str">
            <v>IS_alqt_plus</v>
          </cell>
          <cell r="K14213" t="str">
            <v>DMAD</v>
          </cell>
          <cell r="M14213" t="str">
            <v>F</v>
          </cell>
          <cell r="AB14213" t="str">
            <v>WB</v>
          </cell>
          <cell r="AF14213">
            <v>0.4</v>
          </cell>
        </row>
        <row r="14214">
          <cell r="A14214" t="str">
            <v>IS_alqt_plus</v>
          </cell>
          <cell r="K14214" t="str">
            <v>DMAD</v>
          </cell>
          <cell r="M14214" t="str">
            <v>F</v>
          </cell>
          <cell r="AB14214" t="str">
            <v>WB</v>
          </cell>
          <cell r="AF14214">
            <v>0.6</v>
          </cell>
        </row>
        <row r="14215">
          <cell r="A14215" t="str">
            <v>IS_alqt_plus</v>
          </cell>
          <cell r="K14215" t="str">
            <v>DMAD</v>
          </cell>
          <cell r="M14215" t="str">
            <v>F</v>
          </cell>
          <cell r="AB14215" t="str">
            <v>WB</v>
          </cell>
          <cell r="AF14215">
            <v>0.6</v>
          </cell>
        </row>
        <row r="14216">
          <cell r="A14216" t="str">
            <v>IS_alqt_plus</v>
          </cell>
          <cell r="K14216" t="str">
            <v>DMAD</v>
          </cell>
          <cell r="M14216" t="str">
            <v>F</v>
          </cell>
          <cell r="AB14216" t="str">
            <v>serum</v>
          </cell>
          <cell r="AF14216">
            <v>0.2</v>
          </cell>
        </row>
        <row r="14217">
          <cell r="A14217" t="str">
            <v>IS_alqt_plus</v>
          </cell>
          <cell r="K14217" t="str">
            <v>DMAD</v>
          </cell>
          <cell r="M14217" t="str">
            <v>F</v>
          </cell>
          <cell r="AB14217" t="str">
            <v>serum</v>
          </cell>
          <cell r="AF14217">
            <v>0.2</v>
          </cell>
        </row>
        <row r="14218">
          <cell r="A14218" t="str">
            <v>IS_alqt_plus</v>
          </cell>
          <cell r="K14218" t="str">
            <v>DMAD</v>
          </cell>
          <cell r="M14218" t="str">
            <v>F</v>
          </cell>
          <cell r="AB14218" t="str">
            <v>serum</v>
          </cell>
          <cell r="AF14218">
            <v>0.2</v>
          </cell>
        </row>
        <row r="14219">
          <cell r="A14219" t="str">
            <v>IS_alqt_plus</v>
          </cell>
          <cell r="K14219" t="str">
            <v>DMAD</v>
          </cell>
          <cell r="M14219" t="str">
            <v>F</v>
          </cell>
          <cell r="AB14219" t="str">
            <v>serum</v>
          </cell>
          <cell r="AF14219">
            <v>0.4</v>
          </cell>
        </row>
        <row r="14220">
          <cell r="A14220" t="str">
            <v>IS_alqt_plus</v>
          </cell>
          <cell r="K14220" t="str">
            <v>EFLA</v>
          </cell>
          <cell r="M14220" t="str">
            <v>F</v>
          </cell>
          <cell r="AB14220" t="str">
            <v>WB</v>
          </cell>
          <cell r="AF14220">
            <v>0.2</v>
          </cell>
        </row>
        <row r="14221">
          <cell r="A14221" t="str">
            <v>IS_alqt_plus</v>
          </cell>
          <cell r="K14221" t="str">
            <v>EFLA</v>
          </cell>
          <cell r="M14221" t="str">
            <v>F</v>
          </cell>
          <cell r="AB14221" t="str">
            <v>WB</v>
          </cell>
          <cell r="AF14221">
            <v>0.4</v>
          </cell>
        </row>
        <row r="14222">
          <cell r="A14222" t="str">
            <v>IS_alqt_plus</v>
          </cell>
          <cell r="K14222" t="str">
            <v>EFLA</v>
          </cell>
          <cell r="M14222" t="str">
            <v>M</v>
          </cell>
          <cell r="AB14222" t="str">
            <v>serum</v>
          </cell>
          <cell r="AF14222">
            <v>0.4</v>
          </cell>
        </row>
        <row r="14223">
          <cell r="A14223" t="str">
            <v>IS_alqt_plus</v>
          </cell>
          <cell r="K14223" t="str">
            <v>EFLA</v>
          </cell>
          <cell r="M14223" t="str">
            <v>M</v>
          </cell>
          <cell r="AB14223" t="str">
            <v>serum</v>
          </cell>
          <cell r="AF14223">
            <v>0.4</v>
          </cell>
        </row>
        <row r="14224">
          <cell r="A14224" t="str">
            <v>IS_alqt_plus</v>
          </cell>
          <cell r="K14224" t="str">
            <v>EFLA</v>
          </cell>
          <cell r="M14224" t="str">
            <v>M</v>
          </cell>
          <cell r="AB14224" t="str">
            <v>serum</v>
          </cell>
          <cell r="AF14224">
            <v>0.4</v>
          </cell>
        </row>
        <row r="14225">
          <cell r="A14225" t="str">
            <v>IS_alqt_plus</v>
          </cell>
          <cell r="K14225" t="str">
            <v>EFLA</v>
          </cell>
          <cell r="M14225" t="str">
            <v>M</v>
          </cell>
          <cell r="AB14225" t="str">
            <v>WB</v>
          </cell>
          <cell r="AF14225">
            <v>0.6</v>
          </cell>
        </row>
        <row r="14226">
          <cell r="A14226" t="str">
            <v>gone</v>
          </cell>
          <cell r="K14226" t="str">
            <v>EFLA</v>
          </cell>
          <cell r="M14226" t="str">
            <v>M</v>
          </cell>
          <cell r="AB14226" t="str">
            <v>WB</v>
          </cell>
          <cell r="AF14226">
            <v>0</v>
          </cell>
        </row>
        <row r="14227">
          <cell r="A14227" t="str">
            <v>IS_alqt_plus</v>
          </cell>
          <cell r="K14227" t="str">
            <v>EFLA</v>
          </cell>
          <cell r="M14227" t="str">
            <v>M</v>
          </cell>
          <cell r="AB14227" t="str">
            <v>WB</v>
          </cell>
          <cell r="AF14227">
            <v>0.2</v>
          </cell>
        </row>
        <row r="14228">
          <cell r="A14228" t="str">
            <v>IS_alqt_plus</v>
          </cell>
          <cell r="K14228" t="str">
            <v>EFLA</v>
          </cell>
          <cell r="M14228" t="str">
            <v>M</v>
          </cell>
          <cell r="AB14228" t="str">
            <v>WB</v>
          </cell>
          <cell r="AF14228">
            <v>0.2</v>
          </cell>
        </row>
        <row r="14229">
          <cell r="A14229" t="str">
            <v>IS_alqt_plus</v>
          </cell>
          <cell r="K14229" t="str">
            <v>EFLA</v>
          </cell>
          <cell r="M14229" t="str">
            <v>M</v>
          </cell>
          <cell r="AB14229" t="str">
            <v>WB</v>
          </cell>
          <cell r="AF14229">
            <v>0.4</v>
          </cell>
        </row>
        <row r="14230">
          <cell r="A14230" t="str">
            <v>IS_alqt_plus</v>
          </cell>
          <cell r="K14230" t="str">
            <v>EFLA</v>
          </cell>
          <cell r="M14230" t="str">
            <v>M</v>
          </cell>
          <cell r="AB14230" t="str">
            <v>serum</v>
          </cell>
          <cell r="AF14230">
            <v>0.2</v>
          </cell>
        </row>
        <row r="14231">
          <cell r="A14231" t="str">
            <v>IS_alqt_plus</v>
          </cell>
          <cell r="K14231" t="str">
            <v>EFLA</v>
          </cell>
          <cell r="M14231" t="str">
            <v>M</v>
          </cell>
          <cell r="AB14231" t="str">
            <v>serum</v>
          </cell>
          <cell r="AF14231">
            <v>0.2</v>
          </cell>
        </row>
        <row r="14232">
          <cell r="A14232" t="str">
            <v>IS_alqt_plus</v>
          </cell>
          <cell r="K14232" t="str">
            <v>EFLA</v>
          </cell>
          <cell r="M14232" t="str">
            <v>M</v>
          </cell>
          <cell r="AB14232" t="str">
            <v>serum</v>
          </cell>
          <cell r="AF14232">
            <v>0.4</v>
          </cell>
        </row>
        <row r="14233">
          <cell r="A14233" t="str">
            <v>IS_alqt_plus</v>
          </cell>
          <cell r="K14233" t="str">
            <v>EFLA</v>
          </cell>
          <cell r="M14233" t="str">
            <v>M</v>
          </cell>
          <cell r="AB14233" t="str">
            <v>serum</v>
          </cell>
          <cell r="AF14233">
            <v>0.4</v>
          </cell>
        </row>
        <row r="14234">
          <cell r="A14234" t="str">
            <v>IS_alqt_plus</v>
          </cell>
          <cell r="K14234" t="str">
            <v>PCOQ</v>
          </cell>
          <cell r="M14234" t="str">
            <v>M</v>
          </cell>
          <cell r="AB14234" t="str">
            <v>serum</v>
          </cell>
          <cell r="AF14234">
            <v>0.3</v>
          </cell>
        </row>
        <row r="14235">
          <cell r="A14235" t="str">
            <v>IS_alqt_plus</v>
          </cell>
          <cell r="K14235" t="str">
            <v>PCOQ</v>
          </cell>
          <cell r="M14235" t="str">
            <v>F</v>
          </cell>
          <cell r="AB14235" t="str">
            <v>WB</v>
          </cell>
          <cell r="AF14235">
            <v>0.2</v>
          </cell>
        </row>
        <row r="14236">
          <cell r="A14236" t="str">
            <v>IS_alqt_plus</v>
          </cell>
          <cell r="K14236" t="str">
            <v>PCOQ</v>
          </cell>
          <cell r="M14236" t="str">
            <v>F</v>
          </cell>
          <cell r="AB14236" t="str">
            <v>serum</v>
          </cell>
          <cell r="AF14236">
            <v>0.2</v>
          </cell>
        </row>
        <row r="14237">
          <cell r="A14237" t="str">
            <v>IS_alqt_plus</v>
          </cell>
          <cell r="K14237" t="str">
            <v>PCOQ</v>
          </cell>
          <cell r="M14237" t="str">
            <v>F</v>
          </cell>
          <cell r="AB14237" t="str">
            <v>serum</v>
          </cell>
          <cell r="AF14237">
            <v>0.2</v>
          </cell>
        </row>
        <row r="14238">
          <cell r="A14238" t="str">
            <v>IS_alqt_plus</v>
          </cell>
          <cell r="K14238" t="str">
            <v>ECOR</v>
          </cell>
          <cell r="M14238" t="str">
            <v>M</v>
          </cell>
          <cell r="AB14238" t="str">
            <v>WB</v>
          </cell>
          <cell r="AF14238">
            <v>0.2</v>
          </cell>
        </row>
        <row r="14239">
          <cell r="A14239" t="str">
            <v>IS_alqt_plus</v>
          </cell>
          <cell r="K14239" t="str">
            <v>ECOR</v>
          </cell>
          <cell r="M14239" t="str">
            <v>M</v>
          </cell>
          <cell r="AB14239" t="str">
            <v>WB</v>
          </cell>
          <cell r="AF14239">
            <v>0.2</v>
          </cell>
        </row>
        <row r="14240">
          <cell r="A14240" t="str">
            <v>IS_alqt_plus</v>
          </cell>
          <cell r="K14240" t="str">
            <v>ECOR</v>
          </cell>
          <cell r="M14240" t="str">
            <v>M</v>
          </cell>
          <cell r="AB14240" t="str">
            <v>WB</v>
          </cell>
          <cell r="AF14240">
            <v>0.4</v>
          </cell>
        </row>
        <row r="14241">
          <cell r="A14241" t="str">
            <v>IS_alqt_plus</v>
          </cell>
          <cell r="K14241" t="str">
            <v>ECOR</v>
          </cell>
          <cell r="M14241" t="str">
            <v>M</v>
          </cell>
          <cell r="AB14241" t="str">
            <v>WB</v>
          </cell>
          <cell r="AF14241">
            <v>0.4</v>
          </cell>
        </row>
        <row r="14242">
          <cell r="A14242" t="str">
            <v>IS_alqt_plus</v>
          </cell>
          <cell r="K14242" t="str">
            <v>ECOR</v>
          </cell>
          <cell r="M14242" t="str">
            <v>M</v>
          </cell>
          <cell r="AB14242" t="str">
            <v>WB</v>
          </cell>
          <cell r="AF14242">
            <v>0.6</v>
          </cell>
        </row>
        <row r="14243">
          <cell r="A14243" t="str">
            <v>IS_alqt_plus</v>
          </cell>
          <cell r="K14243" t="str">
            <v>ECOR</v>
          </cell>
          <cell r="M14243" t="str">
            <v>M</v>
          </cell>
          <cell r="AB14243" t="str">
            <v>serum</v>
          </cell>
          <cell r="AF14243">
            <v>0.2</v>
          </cell>
        </row>
        <row r="14244">
          <cell r="A14244" t="str">
            <v>IS_alqt_plus</v>
          </cell>
          <cell r="K14244" t="str">
            <v>ECOR</v>
          </cell>
          <cell r="M14244" t="str">
            <v>M</v>
          </cell>
          <cell r="AB14244" t="str">
            <v>serum</v>
          </cell>
          <cell r="AF14244">
            <v>0.2</v>
          </cell>
        </row>
        <row r="14245">
          <cell r="A14245" t="str">
            <v>IS_alqt_plus</v>
          </cell>
          <cell r="K14245" t="str">
            <v>ECOR</v>
          </cell>
          <cell r="M14245" t="str">
            <v>M</v>
          </cell>
          <cell r="AB14245" t="str">
            <v>serum</v>
          </cell>
          <cell r="AF14245">
            <v>0.2</v>
          </cell>
        </row>
        <row r="14246">
          <cell r="A14246" t="str">
            <v>IS_alqt_plus</v>
          </cell>
          <cell r="K14246" t="str">
            <v>ECOR</v>
          </cell>
          <cell r="M14246" t="str">
            <v>M</v>
          </cell>
          <cell r="AB14246" t="str">
            <v>serum</v>
          </cell>
          <cell r="AF14246">
            <v>0.2</v>
          </cell>
        </row>
        <row r="14247">
          <cell r="A14247" t="str">
            <v>IS_alqt_plus</v>
          </cell>
          <cell r="K14247" t="str">
            <v>PCOQ</v>
          </cell>
          <cell r="M14247" t="str">
            <v>F</v>
          </cell>
          <cell r="AB14247" t="str">
            <v>WB</v>
          </cell>
          <cell r="AF14247">
            <v>0.2</v>
          </cell>
        </row>
        <row r="14248">
          <cell r="A14248" t="str">
            <v>IS_alqt_plus</v>
          </cell>
          <cell r="K14248" t="str">
            <v>LCAT</v>
          </cell>
          <cell r="M14248" t="str">
            <v>F</v>
          </cell>
          <cell r="AB14248" t="str">
            <v>WB</v>
          </cell>
          <cell r="AF14248">
            <v>0.5</v>
          </cell>
        </row>
        <row r="14249">
          <cell r="A14249" t="str">
            <v>IS_alqt_plus</v>
          </cell>
          <cell r="K14249" t="str">
            <v>LCAT</v>
          </cell>
          <cell r="M14249" t="str">
            <v>F</v>
          </cell>
          <cell r="AB14249" t="str">
            <v>WB</v>
          </cell>
          <cell r="AF14249">
            <v>0.5</v>
          </cell>
        </row>
        <row r="14250">
          <cell r="A14250" t="str">
            <v>IS_alqt_plus</v>
          </cell>
          <cell r="K14250" t="str">
            <v>LCAT</v>
          </cell>
          <cell r="M14250" t="str">
            <v>F</v>
          </cell>
          <cell r="AB14250" t="str">
            <v>WB</v>
          </cell>
          <cell r="AF14250">
            <v>0.3</v>
          </cell>
        </row>
        <row r="14251">
          <cell r="A14251" t="str">
            <v>IS_alqt_plus</v>
          </cell>
          <cell r="K14251" t="str">
            <v>LCAT</v>
          </cell>
          <cell r="M14251" t="str">
            <v>M</v>
          </cell>
          <cell r="AB14251" t="str">
            <v>WB</v>
          </cell>
          <cell r="AF14251">
            <v>0.5</v>
          </cell>
        </row>
        <row r="14252">
          <cell r="A14252" t="str">
            <v>IS_alqt_plus</v>
          </cell>
          <cell r="K14252" t="str">
            <v>LCAT</v>
          </cell>
          <cell r="M14252" t="str">
            <v>M</v>
          </cell>
          <cell r="AB14252" t="str">
            <v>WB</v>
          </cell>
          <cell r="AF14252">
            <v>0.5</v>
          </cell>
        </row>
        <row r="14253">
          <cell r="A14253" t="str">
            <v>IS_alqt_plus</v>
          </cell>
          <cell r="K14253" t="str">
            <v>LCAT</v>
          </cell>
          <cell r="M14253" t="str">
            <v>M</v>
          </cell>
          <cell r="AB14253" t="str">
            <v>WB</v>
          </cell>
          <cell r="AF14253">
            <v>0.3</v>
          </cell>
        </row>
        <row r="14254">
          <cell r="A14254" t="str">
            <v>IS_alqt_plus</v>
          </cell>
          <cell r="K14254" t="str">
            <v>LCAT</v>
          </cell>
          <cell r="M14254" t="str">
            <v>F</v>
          </cell>
          <cell r="AB14254" t="str">
            <v>WB</v>
          </cell>
          <cell r="AF14254">
            <v>0.5</v>
          </cell>
        </row>
        <row r="14255">
          <cell r="A14255" t="str">
            <v>IS_alqt_plus</v>
          </cell>
          <cell r="K14255" t="str">
            <v>LCAT</v>
          </cell>
          <cell r="M14255" t="str">
            <v>F</v>
          </cell>
          <cell r="AB14255" t="str">
            <v>WB</v>
          </cell>
          <cell r="AF14255">
            <v>0.5</v>
          </cell>
        </row>
        <row r="14256">
          <cell r="A14256" t="str">
            <v>IS_alqt_plus</v>
          </cell>
          <cell r="K14256" t="str">
            <v>LCAT</v>
          </cell>
          <cell r="M14256" t="str">
            <v>M</v>
          </cell>
          <cell r="AB14256" t="str">
            <v>WB</v>
          </cell>
          <cell r="AF14256">
            <v>0.5</v>
          </cell>
        </row>
        <row r="14257">
          <cell r="A14257" t="str">
            <v>IS_alqt_plus</v>
          </cell>
          <cell r="K14257" t="str">
            <v>LCAT</v>
          </cell>
          <cell r="M14257" t="str">
            <v>M</v>
          </cell>
          <cell r="AB14257" t="str">
            <v>WB</v>
          </cell>
          <cell r="AF14257">
            <v>0.5</v>
          </cell>
        </row>
        <row r="14258">
          <cell r="A14258" t="str">
            <v>IS_alqt_plus</v>
          </cell>
          <cell r="K14258" t="str">
            <v>LCAT</v>
          </cell>
          <cell r="M14258" t="str">
            <v>M</v>
          </cell>
          <cell r="AB14258" t="str">
            <v>WB</v>
          </cell>
          <cell r="AF14258">
            <v>0.5</v>
          </cell>
        </row>
        <row r="14259">
          <cell r="A14259" t="str">
            <v>IS_alqt_plus</v>
          </cell>
          <cell r="K14259" t="str">
            <v>LCAT</v>
          </cell>
          <cell r="M14259" t="str">
            <v>F</v>
          </cell>
          <cell r="AB14259" t="str">
            <v>WB</v>
          </cell>
          <cell r="AF14259">
            <v>0.5</v>
          </cell>
        </row>
        <row r="14260">
          <cell r="A14260" t="str">
            <v>IS_alqt_plus</v>
          </cell>
          <cell r="K14260" t="str">
            <v>LCAT</v>
          </cell>
          <cell r="M14260" t="str">
            <v>F</v>
          </cell>
          <cell r="AB14260" t="str">
            <v>WB</v>
          </cell>
          <cell r="AF14260">
            <v>0.5</v>
          </cell>
        </row>
        <row r="14261">
          <cell r="A14261" t="str">
            <v>IS_alqt_plus</v>
          </cell>
          <cell r="K14261" t="str">
            <v>LCAT</v>
          </cell>
          <cell r="M14261" t="str">
            <v>F</v>
          </cell>
          <cell r="AB14261" t="str">
            <v>WB</v>
          </cell>
          <cell r="AF14261">
            <v>0.5</v>
          </cell>
        </row>
        <row r="14262">
          <cell r="A14262" t="str">
            <v>IS_alqt_plus</v>
          </cell>
          <cell r="K14262" t="str">
            <v>LCAT</v>
          </cell>
          <cell r="M14262" t="str">
            <v>M</v>
          </cell>
          <cell r="AB14262" t="str">
            <v>WB</v>
          </cell>
          <cell r="AF14262">
            <v>0.5</v>
          </cell>
        </row>
        <row r="14263">
          <cell r="A14263" t="str">
            <v>IS_alqt_plus</v>
          </cell>
          <cell r="K14263" t="str">
            <v>LCAT</v>
          </cell>
          <cell r="M14263" t="str">
            <v>M</v>
          </cell>
          <cell r="AB14263" t="str">
            <v>WB</v>
          </cell>
          <cell r="AF14263">
            <v>0.5</v>
          </cell>
        </row>
        <row r="14264">
          <cell r="A14264" t="str">
            <v>IS_alqt_plus</v>
          </cell>
          <cell r="K14264" t="str">
            <v>LCAT</v>
          </cell>
          <cell r="M14264" t="str">
            <v>M</v>
          </cell>
          <cell r="AB14264" t="str">
            <v>WB</v>
          </cell>
          <cell r="AF14264">
            <v>0.5</v>
          </cell>
        </row>
        <row r="14265">
          <cell r="A14265" t="str">
            <v>IS_alqt_plus</v>
          </cell>
          <cell r="K14265" t="str">
            <v>LCAT</v>
          </cell>
          <cell r="M14265" t="str">
            <v>M</v>
          </cell>
          <cell r="AB14265" t="str">
            <v>WB</v>
          </cell>
          <cell r="AF14265">
            <v>0.5</v>
          </cell>
        </row>
        <row r="14266">
          <cell r="A14266" t="str">
            <v>IS_alqt_plus</v>
          </cell>
          <cell r="K14266" t="str">
            <v>LCAT</v>
          </cell>
          <cell r="M14266" t="str">
            <v>M</v>
          </cell>
          <cell r="AB14266" t="str">
            <v>WB</v>
          </cell>
          <cell r="AF14266">
            <v>0.3</v>
          </cell>
        </row>
        <row r="14267">
          <cell r="A14267" t="str">
            <v>IS_alqt_plus</v>
          </cell>
          <cell r="K14267" t="str">
            <v>LCAT</v>
          </cell>
          <cell r="M14267" t="str">
            <v>F</v>
          </cell>
          <cell r="AB14267" t="str">
            <v>WB</v>
          </cell>
          <cell r="AF14267">
            <v>0.5</v>
          </cell>
        </row>
        <row r="14268">
          <cell r="A14268" t="str">
            <v>IS_alqt_plus</v>
          </cell>
          <cell r="K14268" t="str">
            <v>LCAT</v>
          </cell>
          <cell r="M14268" t="str">
            <v>F</v>
          </cell>
          <cell r="AB14268" t="str">
            <v>WB</v>
          </cell>
          <cell r="AF14268">
            <v>0.5</v>
          </cell>
        </row>
        <row r="14269">
          <cell r="A14269" t="str">
            <v>IS_alqt_plus</v>
          </cell>
          <cell r="K14269" t="str">
            <v>LCAT</v>
          </cell>
          <cell r="M14269" t="str">
            <v>M</v>
          </cell>
          <cell r="AB14269" t="str">
            <v>WB</v>
          </cell>
          <cell r="AF14269">
            <v>0.5</v>
          </cell>
        </row>
        <row r="14270">
          <cell r="A14270" t="str">
            <v>IS_alqt_plus</v>
          </cell>
          <cell r="K14270" t="str">
            <v>LCAT</v>
          </cell>
          <cell r="M14270" t="str">
            <v>M</v>
          </cell>
          <cell r="AB14270" t="str">
            <v>WB</v>
          </cell>
          <cell r="AF14270">
            <v>0.5</v>
          </cell>
        </row>
        <row r="14271">
          <cell r="A14271" t="str">
            <v>IS_alqt_plus</v>
          </cell>
          <cell r="K14271" t="str">
            <v>LCAT</v>
          </cell>
          <cell r="M14271" t="str">
            <v>F</v>
          </cell>
          <cell r="AB14271" t="str">
            <v>WB</v>
          </cell>
          <cell r="AF14271">
            <v>0.5</v>
          </cell>
        </row>
        <row r="14272">
          <cell r="A14272" t="str">
            <v>IS_alqt_plus</v>
          </cell>
          <cell r="K14272" t="str">
            <v>LCAT</v>
          </cell>
          <cell r="M14272" t="str">
            <v>F</v>
          </cell>
          <cell r="AB14272" t="str">
            <v>WB</v>
          </cell>
          <cell r="AF14272">
            <v>0.5</v>
          </cell>
        </row>
        <row r="14273">
          <cell r="A14273" t="str">
            <v>IS_alqt_plus</v>
          </cell>
          <cell r="K14273" t="str">
            <v>LCAT</v>
          </cell>
          <cell r="M14273" t="str">
            <v>F</v>
          </cell>
          <cell r="AB14273" t="str">
            <v>WB</v>
          </cell>
          <cell r="AF14273">
            <v>0.5</v>
          </cell>
        </row>
        <row r="14274">
          <cell r="A14274" t="str">
            <v>IS_alqt_plus</v>
          </cell>
          <cell r="K14274" t="str">
            <v>LCAT</v>
          </cell>
          <cell r="M14274" t="str">
            <v>F</v>
          </cell>
          <cell r="AB14274" t="str">
            <v>WB</v>
          </cell>
          <cell r="AF14274">
            <v>0.5</v>
          </cell>
        </row>
        <row r="14275">
          <cell r="A14275" t="str">
            <v>IS_alqt_plus</v>
          </cell>
          <cell r="K14275" t="str">
            <v>LCAT</v>
          </cell>
          <cell r="M14275" t="str">
            <v>F</v>
          </cell>
          <cell r="AB14275" t="str">
            <v>WB</v>
          </cell>
          <cell r="AF14275">
            <v>0.5</v>
          </cell>
        </row>
        <row r="14276">
          <cell r="A14276" t="str">
            <v>IS_alqt_plus</v>
          </cell>
          <cell r="K14276" t="str">
            <v>LCAT</v>
          </cell>
          <cell r="M14276" t="str">
            <v>M</v>
          </cell>
          <cell r="AB14276" t="str">
            <v>WB</v>
          </cell>
          <cell r="AF14276">
            <v>0.5</v>
          </cell>
        </row>
        <row r="14277">
          <cell r="A14277" t="str">
            <v>IS_alqt_plus</v>
          </cell>
          <cell r="K14277" t="str">
            <v>LCAT</v>
          </cell>
          <cell r="M14277" t="str">
            <v>M</v>
          </cell>
          <cell r="AB14277" t="str">
            <v>WB</v>
          </cell>
          <cell r="AF14277">
            <v>0.3</v>
          </cell>
        </row>
        <row r="14278">
          <cell r="A14278" t="str">
            <v>IS_alqt_plus</v>
          </cell>
          <cell r="K14278" t="str">
            <v>LCAT</v>
          </cell>
          <cell r="M14278" t="str">
            <v>F</v>
          </cell>
          <cell r="AB14278" t="str">
            <v>WB</v>
          </cell>
          <cell r="AF14278">
            <v>0.2</v>
          </cell>
        </row>
        <row r="14279">
          <cell r="A14279" t="str">
            <v>IS_alqt_plus</v>
          </cell>
          <cell r="K14279" t="str">
            <v>LCAT</v>
          </cell>
          <cell r="M14279" t="str">
            <v>F</v>
          </cell>
          <cell r="AB14279" t="str">
            <v>WB</v>
          </cell>
          <cell r="AF14279">
            <v>0.2</v>
          </cell>
        </row>
        <row r="14280">
          <cell r="A14280" t="str">
            <v>IS_alqt_plus</v>
          </cell>
          <cell r="K14280" t="str">
            <v>LCAT</v>
          </cell>
          <cell r="M14280" t="str">
            <v>F</v>
          </cell>
          <cell r="AB14280" t="str">
            <v>WB</v>
          </cell>
          <cell r="AF14280">
            <v>0.4</v>
          </cell>
        </row>
        <row r="14281">
          <cell r="A14281" t="str">
            <v>IS_alqt_plus</v>
          </cell>
          <cell r="K14281" t="str">
            <v>LCAT</v>
          </cell>
          <cell r="M14281" t="str">
            <v>F</v>
          </cell>
          <cell r="AB14281" t="str">
            <v>WB</v>
          </cell>
          <cell r="AF14281">
            <v>0.2</v>
          </cell>
        </row>
        <row r="14282">
          <cell r="A14282" t="str">
            <v>IS_alqt_plus</v>
          </cell>
          <cell r="K14282" t="str">
            <v>LCAT</v>
          </cell>
          <cell r="M14282" t="str">
            <v>F</v>
          </cell>
          <cell r="AB14282" t="str">
            <v>WB</v>
          </cell>
          <cell r="AF14282">
            <v>0.2</v>
          </cell>
        </row>
        <row r="14283">
          <cell r="A14283" t="str">
            <v>IS_alqt_plus</v>
          </cell>
          <cell r="K14283" t="str">
            <v>LCAT</v>
          </cell>
          <cell r="M14283" t="str">
            <v>F</v>
          </cell>
          <cell r="AB14283" t="str">
            <v>WB</v>
          </cell>
          <cell r="AF14283">
            <v>0.4</v>
          </cell>
        </row>
        <row r="14284">
          <cell r="A14284" t="str">
            <v>IS_alqt_plus</v>
          </cell>
          <cell r="K14284" t="str">
            <v>LCAT</v>
          </cell>
          <cell r="M14284" t="str">
            <v>F</v>
          </cell>
          <cell r="AB14284" t="str">
            <v>WB</v>
          </cell>
          <cell r="AF14284">
            <v>0.2</v>
          </cell>
        </row>
        <row r="14285">
          <cell r="A14285" t="str">
            <v>IS_alqt_plus</v>
          </cell>
          <cell r="K14285" t="str">
            <v>LCAT</v>
          </cell>
          <cell r="M14285" t="str">
            <v>F</v>
          </cell>
          <cell r="AB14285" t="str">
            <v>WB</v>
          </cell>
          <cell r="AF14285">
            <v>0.2</v>
          </cell>
        </row>
        <row r="14286">
          <cell r="A14286" t="str">
            <v>IS_alqt_plus</v>
          </cell>
          <cell r="K14286" t="str">
            <v>LCAT</v>
          </cell>
          <cell r="M14286" t="str">
            <v>F</v>
          </cell>
          <cell r="AB14286" t="str">
            <v>WB</v>
          </cell>
          <cell r="AF14286">
            <v>0.4</v>
          </cell>
        </row>
        <row r="14287">
          <cell r="A14287" t="str">
            <v>IS_alqt_plus</v>
          </cell>
          <cell r="K14287" t="str">
            <v>LCAT</v>
          </cell>
          <cell r="M14287" t="str">
            <v>M</v>
          </cell>
          <cell r="AB14287" t="str">
            <v>WB</v>
          </cell>
          <cell r="AF14287">
            <v>0.4</v>
          </cell>
        </row>
        <row r="14288">
          <cell r="A14288" t="str">
            <v>IS_alqt_plus</v>
          </cell>
          <cell r="K14288" t="str">
            <v>LCAT</v>
          </cell>
          <cell r="M14288" t="str">
            <v>M</v>
          </cell>
          <cell r="AB14288" t="str">
            <v>WB</v>
          </cell>
          <cell r="AF14288">
            <v>0.2</v>
          </cell>
        </row>
        <row r="14289">
          <cell r="A14289" t="str">
            <v>IS_alqt_plus</v>
          </cell>
          <cell r="K14289" t="str">
            <v>LCAT</v>
          </cell>
          <cell r="M14289" t="str">
            <v>M</v>
          </cell>
          <cell r="AB14289" t="str">
            <v>WB</v>
          </cell>
          <cell r="AF14289">
            <v>0.2</v>
          </cell>
        </row>
        <row r="14290">
          <cell r="A14290" t="str">
            <v>IS_alqt_plus</v>
          </cell>
          <cell r="K14290" t="str">
            <v>LCAT</v>
          </cell>
          <cell r="M14290" t="str">
            <v>M</v>
          </cell>
          <cell r="AB14290" t="str">
            <v>WB</v>
          </cell>
          <cell r="AF14290">
            <v>0.4</v>
          </cell>
        </row>
        <row r="14291">
          <cell r="A14291" t="str">
            <v>IS_alqt_plus</v>
          </cell>
          <cell r="K14291" t="str">
            <v>LCAT</v>
          </cell>
          <cell r="M14291" t="str">
            <v>M</v>
          </cell>
          <cell r="AB14291" t="str">
            <v>WB</v>
          </cell>
          <cell r="AF14291">
            <v>0.2</v>
          </cell>
        </row>
        <row r="14292">
          <cell r="A14292" t="str">
            <v>IS_alqt_plus</v>
          </cell>
          <cell r="K14292" t="str">
            <v>LCAT</v>
          </cell>
          <cell r="M14292" t="str">
            <v>M</v>
          </cell>
          <cell r="AB14292" t="str">
            <v>WB</v>
          </cell>
          <cell r="AF14292">
            <v>0.2</v>
          </cell>
        </row>
        <row r="14293">
          <cell r="A14293" t="str">
            <v>IS_alqt_plus</v>
          </cell>
          <cell r="K14293" t="str">
            <v>LCAT</v>
          </cell>
          <cell r="M14293" t="str">
            <v>M</v>
          </cell>
          <cell r="AB14293" t="str">
            <v>WB</v>
          </cell>
          <cell r="AF14293">
            <v>0.4</v>
          </cell>
        </row>
        <row r="14294">
          <cell r="A14294" t="str">
            <v>IS_alqt_plus</v>
          </cell>
          <cell r="K14294" t="str">
            <v>LCAT</v>
          </cell>
          <cell r="M14294" t="str">
            <v>M</v>
          </cell>
          <cell r="AB14294" t="str">
            <v>WB</v>
          </cell>
          <cell r="AF14294">
            <v>0.4</v>
          </cell>
        </row>
        <row r="14295">
          <cell r="A14295" t="str">
            <v>IS_alqt_plus</v>
          </cell>
          <cell r="K14295" t="str">
            <v>LCAT</v>
          </cell>
          <cell r="M14295" t="str">
            <v>M</v>
          </cell>
          <cell r="AB14295" t="str">
            <v>WB</v>
          </cell>
          <cell r="AF14295">
            <v>0.4</v>
          </cell>
        </row>
        <row r="14296">
          <cell r="A14296" t="str">
            <v>IS_alqt_plus</v>
          </cell>
          <cell r="K14296" t="str">
            <v>LCAT</v>
          </cell>
          <cell r="M14296" t="str">
            <v>M</v>
          </cell>
          <cell r="AB14296" t="str">
            <v>WB</v>
          </cell>
          <cell r="AF14296">
            <v>0.2</v>
          </cell>
        </row>
        <row r="14297">
          <cell r="A14297" t="str">
            <v>IS_alqt_plus</v>
          </cell>
          <cell r="K14297" t="str">
            <v>LCAT</v>
          </cell>
          <cell r="M14297" t="str">
            <v>M</v>
          </cell>
          <cell r="AB14297" t="str">
            <v>WB</v>
          </cell>
          <cell r="AF14297">
            <v>0.2</v>
          </cell>
        </row>
        <row r="14298">
          <cell r="A14298" t="str">
            <v>IS_alqt_plus</v>
          </cell>
          <cell r="K14298" t="str">
            <v>LCAT</v>
          </cell>
          <cell r="M14298" t="str">
            <v>M</v>
          </cell>
          <cell r="AB14298" t="str">
            <v>WB</v>
          </cell>
          <cell r="AF14298">
            <v>0.2</v>
          </cell>
        </row>
        <row r="14299">
          <cell r="A14299" t="str">
            <v>IS_alqt_plus</v>
          </cell>
          <cell r="K14299" t="str">
            <v>LCAT</v>
          </cell>
          <cell r="M14299" t="str">
            <v>M</v>
          </cell>
          <cell r="AB14299" t="str">
            <v>WB</v>
          </cell>
          <cell r="AF14299">
            <v>0.4</v>
          </cell>
        </row>
        <row r="14300">
          <cell r="A14300" t="str">
            <v>IS_alqt_plus</v>
          </cell>
          <cell r="K14300" t="str">
            <v>LCAT</v>
          </cell>
          <cell r="M14300" t="str">
            <v>M</v>
          </cell>
          <cell r="AB14300" t="str">
            <v>WB</v>
          </cell>
          <cell r="AF14300">
            <v>0.2</v>
          </cell>
        </row>
        <row r="14301">
          <cell r="A14301" t="str">
            <v>IS_alqt_plus</v>
          </cell>
          <cell r="K14301" t="str">
            <v>LCAT</v>
          </cell>
          <cell r="M14301" t="str">
            <v>M</v>
          </cell>
          <cell r="AB14301" t="str">
            <v>WB</v>
          </cell>
          <cell r="AF14301">
            <v>0.2</v>
          </cell>
        </row>
        <row r="14302">
          <cell r="A14302" t="str">
            <v>IS_alqt_plus</v>
          </cell>
          <cell r="K14302" t="str">
            <v>LCAT</v>
          </cell>
          <cell r="M14302" t="str">
            <v>F</v>
          </cell>
          <cell r="AB14302" t="str">
            <v>WB</v>
          </cell>
          <cell r="AF14302">
            <v>0.2</v>
          </cell>
        </row>
        <row r="14303">
          <cell r="A14303" t="str">
            <v>IS_alqt_plus</v>
          </cell>
          <cell r="K14303" t="str">
            <v>LCAT</v>
          </cell>
          <cell r="M14303" t="str">
            <v>F</v>
          </cell>
          <cell r="AB14303" t="str">
            <v>WB</v>
          </cell>
          <cell r="AF14303">
            <v>0.2</v>
          </cell>
        </row>
        <row r="14304">
          <cell r="A14304" t="str">
            <v>IS_alqt_plus</v>
          </cell>
          <cell r="K14304" t="str">
            <v>LCAT</v>
          </cell>
          <cell r="M14304" t="str">
            <v>F</v>
          </cell>
          <cell r="AB14304" t="str">
            <v>WB</v>
          </cell>
          <cell r="AF14304">
            <v>0.2</v>
          </cell>
        </row>
        <row r="14305">
          <cell r="A14305" t="str">
            <v>IS_alqt_plus</v>
          </cell>
          <cell r="K14305" t="str">
            <v>LCAT</v>
          </cell>
          <cell r="M14305" t="str">
            <v>F</v>
          </cell>
          <cell r="AB14305" t="str">
            <v>WB</v>
          </cell>
          <cell r="AF14305">
            <v>0.2</v>
          </cell>
        </row>
        <row r="14306">
          <cell r="A14306" t="str">
            <v>IS_alqt_plus</v>
          </cell>
          <cell r="K14306" t="str">
            <v>LCAT</v>
          </cell>
          <cell r="M14306" t="str">
            <v>F</v>
          </cell>
          <cell r="AB14306" t="str">
            <v>WB</v>
          </cell>
          <cell r="AF14306">
            <v>0.4</v>
          </cell>
        </row>
        <row r="14307">
          <cell r="A14307" t="str">
            <v>IS_alqt_plus</v>
          </cell>
          <cell r="K14307" t="str">
            <v>LCAT</v>
          </cell>
          <cell r="M14307" t="str">
            <v>F</v>
          </cell>
          <cell r="AB14307" t="str">
            <v>WB</v>
          </cell>
          <cell r="AF14307">
            <v>0.2</v>
          </cell>
        </row>
        <row r="14308">
          <cell r="A14308" t="str">
            <v>IS_alqt_plus</v>
          </cell>
          <cell r="K14308" t="str">
            <v>LCAT</v>
          </cell>
          <cell r="M14308" t="str">
            <v>F</v>
          </cell>
          <cell r="AB14308" t="str">
            <v>WB</v>
          </cell>
          <cell r="AF14308">
            <v>0.2</v>
          </cell>
        </row>
        <row r="14309">
          <cell r="A14309" t="str">
            <v>IS_alqt_plus</v>
          </cell>
          <cell r="K14309" t="str">
            <v>LCAT</v>
          </cell>
          <cell r="M14309" t="str">
            <v>F</v>
          </cell>
          <cell r="AB14309" t="str">
            <v>WB</v>
          </cell>
          <cell r="AF14309">
            <v>0.4</v>
          </cell>
        </row>
        <row r="14310">
          <cell r="A14310" t="str">
            <v>IS_alqt_plus</v>
          </cell>
          <cell r="K14310" t="str">
            <v>LCAT</v>
          </cell>
          <cell r="M14310" t="str">
            <v>F</v>
          </cell>
          <cell r="AB14310" t="str">
            <v>WB</v>
          </cell>
          <cell r="AF14310">
            <v>0.3</v>
          </cell>
        </row>
        <row r="14311">
          <cell r="A14311" t="str">
            <v>IS_alqt_plus</v>
          </cell>
          <cell r="K14311" t="str">
            <v>MMUR</v>
          </cell>
          <cell r="M14311" t="str">
            <v>F</v>
          </cell>
          <cell r="AB14311" t="str">
            <v>WB</v>
          </cell>
          <cell r="AF14311">
            <v>0.3</v>
          </cell>
        </row>
        <row r="14312">
          <cell r="A14312" t="str">
            <v>IS_alqt_plus</v>
          </cell>
          <cell r="K14312" t="str">
            <v>MMUR</v>
          </cell>
          <cell r="M14312" t="str">
            <v>F</v>
          </cell>
          <cell r="AB14312" t="str">
            <v>WB</v>
          </cell>
          <cell r="AF14312">
            <v>0.3</v>
          </cell>
        </row>
        <row r="14313">
          <cell r="A14313" t="str">
            <v>IS_alqt_plus</v>
          </cell>
          <cell r="K14313" t="str">
            <v>EFLA</v>
          </cell>
          <cell r="M14313" t="str">
            <v>F</v>
          </cell>
          <cell r="AB14313" t="str">
            <v>WB</v>
          </cell>
          <cell r="AF14313">
            <v>0.2</v>
          </cell>
        </row>
        <row r="14314">
          <cell r="A14314" t="str">
            <v>IS_alqt_plus</v>
          </cell>
          <cell r="K14314" t="str">
            <v>EFLA</v>
          </cell>
          <cell r="M14314" t="str">
            <v>F</v>
          </cell>
          <cell r="AB14314" t="str">
            <v>WB</v>
          </cell>
          <cell r="AF14314">
            <v>0.2</v>
          </cell>
        </row>
        <row r="14315">
          <cell r="A14315" t="str">
            <v>IS_alqt_plus</v>
          </cell>
          <cell r="K14315" t="str">
            <v>EFLA</v>
          </cell>
          <cell r="M14315" t="str">
            <v>F</v>
          </cell>
          <cell r="AB14315" t="str">
            <v>WB</v>
          </cell>
          <cell r="AF14315">
            <v>0.2</v>
          </cell>
        </row>
        <row r="14316">
          <cell r="A14316" t="str">
            <v>IS_alqt_plus</v>
          </cell>
          <cell r="K14316" t="str">
            <v>EFLA</v>
          </cell>
          <cell r="M14316" t="str">
            <v>F</v>
          </cell>
          <cell r="AB14316" t="str">
            <v>WB</v>
          </cell>
          <cell r="AF14316">
            <v>0.4</v>
          </cell>
        </row>
        <row r="14317">
          <cell r="A14317" t="str">
            <v>IS_alqt_plus</v>
          </cell>
          <cell r="K14317" t="str">
            <v>EFLA</v>
          </cell>
          <cell r="M14317" t="str">
            <v>F</v>
          </cell>
          <cell r="AB14317" t="str">
            <v>WB</v>
          </cell>
          <cell r="AF14317">
            <v>0.4</v>
          </cell>
        </row>
        <row r="14318">
          <cell r="A14318" t="str">
            <v>IS_alqt_plus</v>
          </cell>
          <cell r="K14318" t="str">
            <v>EFLA</v>
          </cell>
          <cell r="M14318" t="str">
            <v>F</v>
          </cell>
          <cell r="AB14318" t="str">
            <v>WB</v>
          </cell>
          <cell r="AF14318">
            <v>0.6</v>
          </cell>
        </row>
        <row r="14319">
          <cell r="A14319" t="str">
            <v>IS_alqt_plus</v>
          </cell>
          <cell r="K14319" t="str">
            <v>EFLA</v>
          </cell>
          <cell r="M14319" t="str">
            <v>F</v>
          </cell>
          <cell r="AB14319" t="str">
            <v>WB</v>
          </cell>
          <cell r="AF14319">
            <v>0.6</v>
          </cell>
        </row>
        <row r="14320">
          <cell r="A14320" t="str">
            <v>IS_alqt_plus</v>
          </cell>
          <cell r="K14320" t="str">
            <v>EFLA</v>
          </cell>
          <cell r="M14320" t="str">
            <v>F</v>
          </cell>
          <cell r="AB14320" t="str">
            <v>WB</v>
          </cell>
          <cell r="AF14320">
            <v>0.6</v>
          </cell>
        </row>
        <row r="14321">
          <cell r="A14321" t="str">
            <v>gone</v>
          </cell>
          <cell r="K14321" t="str">
            <v>EFLA</v>
          </cell>
          <cell r="M14321" t="str">
            <v>F</v>
          </cell>
          <cell r="AB14321" t="str">
            <v>WB</v>
          </cell>
          <cell r="AF14321">
            <v>0</v>
          </cell>
        </row>
        <row r="14322">
          <cell r="A14322" t="str">
            <v>IS_alqt_plus</v>
          </cell>
          <cell r="K14322" t="str">
            <v>EFLA</v>
          </cell>
          <cell r="M14322" t="str">
            <v>F</v>
          </cell>
          <cell r="AB14322" t="str">
            <v>WB</v>
          </cell>
          <cell r="AF14322">
            <v>0.2</v>
          </cell>
        </row>
        <row r="14323">
          <cell r="A14323" t="str">
            <v>IS_alqt_plus</v>
          </cell>
          <cell r="K14323" t="str">
            <v>EFLA</v>
          </cell>
          <cell r="M14323" t="str">
            <v>F</v>
          </cell>
          <cell r="AB14323" t="str">
            <v>WB</v>
          </cell>
          <cell r="AF14323">
            <v>0.4</v>
          </cell>
        </row>
        <row r="14324">
          <cell r="A14324" t="str">
            <v>IS_alqt_plus</v>
          </cell>
          <cell r="K14324" t="str">
            <v>EFLA</v>
          </cell>
          <cell r="M14324" t="str">
            <v>F</v>
          </cell>
          <cell r="AB14324" t="str">
            <v>WB</v>
          </cell>
          <cell r="AF14324">
            <v>0.4</v>
          </cell>
        </row>
        <row r="14325">
          <cell r="A14325" t="str">
            <v>IS_alqt_plus</v>
          </cell>
          <cell r="K14325" t="str">
            <v>EFLA</v>
          </cell>
          <cell r="M14325" t="str">
            <v>F</v>
          </cell>
          <cell r="AB14325" t="str">
            <v>WB</v>
          </cell>
          <cell r="AF14325">
            <v>0.6</v>
          </cell>
        </row>
        <row r="14326">
          <cell r="A14326" t="str">
            <v>IS_alqt_plus</v>
          </cell>
          <cell r="K14326" t="str">
            <v>EFLA</v>
          </cell>
          <cell r="M14326" t="str">
            <v>F</v>
          </cell>
          <cell r="AB14326" t="str">
            <v>serum</v>
          </cell>
          <cell r="AF14326">
            <v>0.2</v>
          </cell>
        </row>
        <row r="14327">
          <cell r="A14327" t="str">
            <v>IS_alqt_plus</v>
          </cell>
          <cell r="K14327" t="str">
            <v>EFLA</v>
          </cell>
          <cell r="M14327" t="str">
            <v>F</v>
          </cell>
          <cell r="AB14327" t="str">
            <v>serum</v>
          </cell>
          <cell r="AF14327">
            <v>0.2</v>
          </cell>
        </row>
        <row r="14328">
          <cell r="A14328" t="str">
            <v>IS_alqt_plus</v>
          </cell>
          <cell r="K14328" t="str">
            <v>EFLA</v>
          </cell>
          <cell r="M14328" t="str">
            <v>F</v>
          </cell>
          <cell r="AB14328" t="str">
            <v>serum</v>
          </cell>
          <cell r="AF14328">
            <v>0.4</v>
          </cell>
        </row>
        <row r="14329">
          <cell r="A14329" t="str">
            <v>IS_alqt_plus</v>
          </cell>
          <cell r="K14329" t="str">
            <v>PCOQ</v>
          </cell>
          <cell r="M14329" t="str">
            <v>F</v>
          </cell>
          <cell r="AB14329" t="str">
            <v>WB</v>
          </cell>
          <cell r="AF14329">
            <v>0.2</v>
          </cell>
        </row>
        <row r="14330">
          <cell r="A14330" t="str">
            <v>IS_alqt_plus</v>
          </cell>
          <cell r="K14330" t="str">
            <v>PCOQ</v>
          </cell>
          <cell r="M14330" t="str">
            <v>F</v>
          </cell>
          <cell r="AB14330" t="str">
            <v>WB</v>
          </cell>
          <cell r="AF14330">
            <v>0.2</v>
          </cell>
        </row>
        <row r="14331">
          <cell r="A14331" t="str">
            <v>IS_alqt_plus</v>
          </cell>
          <cell r="K14331" t="str">
            <v>PCOQ</v>
          </cell>
          <cell r="M14331" t="str">
            <v>F</v>
          </cell>
          <cell r="AB14331" t="str">
            <v>WB</v>
          </cell>
          <cell r="AF14331">
            <v>0.2</v>
          </cell>
        </row>
        <row r="14332">
          <cell r="A14332" t="str">
            <v>IS_alqt_plus</v>
          </cell>
          <cell r="K14332" t="str">
            <v>PCOQ</v>
          </cell>
          <cell r="M14332" t="str">
            <v>F</v>
          </cell>
          <cell r="AB14332" t="str">
            <v>WB</v>
          </cell>
          <cell r="AF14332">
            <v>0.4</v>
          </cell>
        </row>
        <row r="14333">
          <cell r="A14333" t="str">
            <v>IS_alqt_plus</v>
          </cell>
          <cell r="K14333" t="str">
            <v>PCOQ</v>
          </cell>
          <cell r="M14333" t="str">
            <v>F</v>
          </cell>
          <cell r="AB14333" t="str">
            <v>WB</v>
          </cell>
          <cell r="AF14333">
            <v>0.6</v>
          </cell>
        </row>
        <row r="14334">
          <cell r="A14334" t="str">
            <v>IS_alqt_plus</v>
          </cell>
          <cell r="K14334" t="str">
            <v>LCAT</v>
          </cell>
          <cell r="M14334" t="str">
            <v>F</v>
          </cell>
          <cell r="AB14334" t="str">
            <v>WB</v>
          </cell>
          <cell r="AF14334">
            <v>0.3</v>
          </cell>
        </row>
        <row r="14335">
          <cell r="A14335" t="str">
            <v>IS_alqt_plus</v>
          </cell>
          <cell r="K14335" t="str">
            <v>LCAT</v>
          </cell>
          <cell r="M14335" t="str">
            <v>F</v>
          </cell>
          <cell r="AB14335" t="str">
            <v>WB</v>
          </cell>
          <cell r="AF14335">
            <v>0.3</v>
          </cell>
        </row>
        <row r="14336">
          <cell r="A14336" t="str">
            <v>IS_alqt_plus</v>
          </cell>
          <cell r="K14336" t="str">
            <v>LCAT</v>
          </cell>
          <cell r="M14336" t="str">
            <v>F</v>
          </cell>
          <cell r="AB14336" t="str">
            <v>WB</v>
          </cell>
          <cell r="AF14336">
            <v>0.3</v>
          </cell>
        </row>
        <row r="14337">
          <cell r="A14337" t="str">
            <v>IS_alqt_plus</v>
          </cell>
          <cell r="K14337" t="str">
            <v>LCAT</v>
          </cell>
          <cell r="M14337" t="str">
            <v>F</v>
          </cell>
          <cell r="AB14337" t="str">
            <v>WB</v>
          </cell>
          <cell r="AF14337">
            <v>0.3</v>
          </cell>
        </row>
        <row r="14338">
          <cell r="A14338" t="str">
            <v>IS_alqt_plus</v>
          </cell>
          <cell r="K14338" t="str">
            <v>LCAT</v>
          </cell>
          <cell r="M14338" t="str">
            <v>F</v>
          </cell>
          <cell r="AB14338" t="str">
            <v>WB</v>
          </cell>
          <cell r="AF14338">
            <v>0.3</v>
          </cell>
        </row>
        <row r="14339">
          <cell r="A14339" t="str">
            <v>IS_alqt_plus</v>
          </cell>
          <cell r="K14339" t="str">
            <v>LCAT</v>
          </cell>
          <cell r="M14339" t="str">
            <v>F</v>
          </cell>
          <cell r="AB14339" t="str">
            <v>WB</v>
          </cell>
          <cell r="AF14339">
            <v>0.2</v>
          </cell>
        </row>
        <row r="14340">
          <cell r="A14340" t="str">
            <v>IS_alqt_plus</v>
          </cell>
          <cell r="K14340" t="str">
            <v>LCAT</v>
          </cell>
          <cell r="M14340" t="str">
            <v>F</v>
          </cell>
          <cell r="AB14340" t="str">
            <v>WB</v>
          </cell>
          <cell r="AF14340">
            <v>0.2</v>
          </cell>
        </row>
        <row r="14341">
          <cell r="A14341" t="str">
            <v>IS_alqt_plus</v>
          </cell>
          <cell r="K14341" t="str">
            <v>LCAT</v>
          </cell>
          <cell r="M14341" t="str">
            <v>F</v>
          </cell>
          <cell r="AB14341" t="str">
            <v>WB</v>
          </cell>
          <cell r="AF14341">
            <v>0.4</v>
          </cell>
        </row>
        <row r="14342">
          <cell r="A14342" t="str">
            <v>IS_alqt_plus</v>
          </cell>
          <cell r="K14342" t="str">
            <v>EFLA</v>
          </cell>
          <cell r="M14342" t="str">
            <v>F</v>
          </cell>
          <cell r="AB14342" t="str">
            <v>serum</v>
          </cell>
          <cell r="AF14342">
            <v>0.4</v>
          </cell>
        </row>
        <row r="14343">
          <cell r="A14343" t="str">
            <v>IS_alqt_plus</v>
          </cell>
          <cell r="K14343" t="str">
            <v>EFLA</v>
          </cell>
          <cell r="M14343" t="str">
            <v>F</v>
          </cell>
          <cell r="AB14343" t="str">
            <v>serum</v>
          </cell>
          <cell r="AF14343">
            <v>0.4</v>
          </cell>
        </row>
        <row r="14344">
          <cell r="A14344" t="str">
            <v>IS_alqt_plus</v>
          </cell>
          <cell r="K14344" t="str">
            <v>EFLA</v>
          </cell>
          <cell r="M14344" t="str">
            <v>F</v>
          </cell>
          <cell r="AB14344" t="str">
            <v>serum</v>
          </cell>
          <cell r="AF14344">
            <v>0.4</v>
          </cell>
        </row>
        <row r="14345">
          <cell r="A14345" t="str">
            <v>IS_alqt_plus</v>
          </cell>
          <cell r="K14345" t="str">
            <v>EFLA</v>
          </cell>
          <cell r="M14345" t="str">
            <v>F</v>
          </cell>
          <cell r="AB14345" t="str">
            <v>WB</v>
          </cell>
          <cell r="AF14345">
            <v>0.2</v>
          </cell>
        </row>
        <row r="14346">
          <cell r="A14346" t="str">
            <v>IS_alqt_plus</v>
          </cell>
          <cell r="K14346" t="str">
            <v>EFLA</v>
          </cell>
          <cell r="M14346" t="str">
            <v>F</v>
          </cell>
          <cell r="AB14346" t="str">
            <v>WB</v>
          </cell>
          <cell r="AF14346">
            <v>0.2</v>
          </cell>
        </row>
        <row r="14347">
          <cell r="A14347" t="str">
            <v>IS_alqt_plus</v>
          </cell>
          <cell r="K14347" t="str">
            <v>EFLA</v>
          </cell>
          <cell r="M14347" t="str">
            <v>F</v>
          </cell>
          <cell r="AB14347" t="str">
            <v>WB</v>
          </cell>
          <cell r="AF14347">
            <v>0.2</v>
          </cell>
        </row>
        <row r="14348">
          <cell r="A14348" t="str">
            <v>IS_alqt_plus</v>
          </cell>
          <cell r="K14348" t="str">
            <v>EFLA</v>
          </cell>
          <cell r="M14348" t="str">
            <v>F</v>
          </cell>
          <cell r="AB14348" t="str">
            <v>WB</v>
          </cell>
          <cell r="AF14348">
            <v>0.2</v>
          </cell>
        </row>
        <row r="14349">
          <cell r="A14349" t="str">
            <v>IS_alqt_plus</v>
          </cell>
          <cell r="K14349" t="str">
            <v>EFLA</v>
          </cell>
          <cell r="M14349" t="str">
            <v>F</v>
          </cell>
          <cell r="AB14349" t="str">
            <v>WB</v>
          </cell>
          <cell r="AF14349">
            <v>0.2</v>
          </cell>
        </row>
        <row r="14350">
          <cell r="A14350" t="str">
            <v>IS_alqt_plus</v>
          </cell>
          <cell r="K14350" t="str">
            <v>EFLA</v>
          </cell>
          <cell r="M14350" t="str">
            <v>F</v>
          </cell>
          <cell r="AB14350" t="str">
            <v>WB</v>
          </cell>
          <cell r="AF14350">
            <v>0.2</v>
          </cell>
        </row>
        <row r="14351">
          <cell r="A14351" t="str">
            <v>IS_alqt_plus</v>
          </cell>
          <cell r="K14351" t="str">
            <v>EFLA</v>
          </cell>
          <cell r="M14351" t="str">
            <v>F</v>
          </cell>
          <cell r="AB14351" t="str">
            <v>WB</v>
          </cell>
          <cell r="AF14351">
            <v>0.2</v>
          </cell>
        </row>
        <row r="14352">
          <cell r="A14352" t="str">
            <v>IS_alqt_plus</v>
          </cell>
          <cell r="K14352" t="str">
            <v>LCAT</v>
          </cell>
          <cell r="M14352" t="str">
            <v>M</v>
          </cell>
          <cell r="AB14352" t="str">
            <v>WB</v>
          </cell>
          <cell r="AF14352">
            <v>0.2</v>
          </cell>
        </row>
        <row r="14353">
          <cell r="A14353" t="str">
            <v>IS_alqt_plus</v>
          </cell>
          <cell r="K14353" t="str">
            <v>LCAT</v>
          </cell>
          <cell r="M14353" t="str">
            <v>M</v>
          </cell>
          <cell r="AB14353" t="str">
            <v>WB</v>
          </cell>
          <cell r="AF14353">
            <v>0.2</v>
          </cell>
        </row>
        <row r="14354">
          <cell r="A14354" t="str">
            <v>IS_alqt_plus</v>
          </cell>
          <cell r="K14354" t="str">
            <v>LCAT</v>
          </cell>
          <cell r="M14354" t="str">
            <v>M</v>
          </cell>
          <cell r="AB14354" t="str">
            <v>WB</v>
          </cell>
          <cell r="AF14354">
            <v>0.2</v>
          </cell>
        </row>
        <row r="14355">
          <cell r="A14355" t="str">
            <v>IS_alqt_plus</v>
          </cell>
          <cell r="K14355" t="str">
            <v>LCAT</v>
          </cell>
          <cell r="M14355" t="str">
            <v>M</v>
          </cell>
          <cell r="AB14355" t="str">
            <v>WB</v>
          </cell>
          <cell r="AF14355">
            <v>0.2</v>
          </cell>
        </row>
        <row r="14356">
          <cell r="A14356" t="str">
            <v>IS_alqt_plus</v>
          </cell>
          <cell r="K14356" t="str">
            <v>LCAT</v>
          </cell>
          <cell r="M14356" t="str">
            <v>F</v>
          </cell>
          <cell r="AB14356" t="str">
            <v>WB</v>
          </cell>
          <cell r="AF14356">
            <v>0.2</v>
          </cell>
        </row>
        <row r="14357">
          <cell r="A14357" t="str">
            <v>IS_alqt_plus</v>
          </cell>
          <cell r="K14357" t="str">
            <v>LCAT</v>
          </cell>
          <cell r="M14357" t="str">
            <v>F</v>
          </cell>
          <cell r="AB14357" t="str">
            <v>WB</v>
          </cell>
          <cell r="AF14357">
            <v>0.2</v>
          </cell>
        </row>
        <row r="14358">
          <cell r="A14358" t="str">
            <v>IS_alqt_plus</v>
          </cell>
          <cell r="K14358" t="str">
            <v>LCAT</v>
          </cell>
          <cell r="M14358" t="str">
            <v>F</v>
          </cell>
          <cell r="AB14358" t="str">
            <v>WB</v>
          </cell>
          <cell r="AF14358">
            <v>0.4</v>
          </cell>
        </row>
        <row r="14359">
          <cell r="A14359" t="str">
            <v>IS_alqt_plus</v>
          </cell>
          <cell r="K14359" t="str">
            <v>LCAT</v>
          </cell>
          <cell r="M14359" t="str">
            <v>M</v>
          </cell>
          <cell r="AB14359" t="str">
            <v>serum</v>
          </cell>
          <cell r="AF14359">
            <v>0.6</v>
          </cell>
        </row>
        <row r="14360">
          <cell r="A14360" t="str">
            <v>IS_alqt_plus</v>
          </cell>
          <cell r="K14360" t="str">
            <v>LCAT</v>
          </cell>
          <cell r="M14360" t="str">
            <v>M</v>
          </cell>
          <cell r="AB14360" t="str">
            <v>serum</v>
          </cell>
          <cell r="AF14360">
            <v>0.4</v>
          </cell>
        </row>
        <row r="14361">
          <cell r="A14361" t="str">
            <v>IS_alqt_plus</v>
          </cell>
          <cell r="K14361" t="str">
            <v>LCAT</v>
          </cell>
          <cell r="M14361" t="str">
            <v>M</v>
          </cell>
          <cell r="AB14361" t="str">
            <v>serum</v>
          </cell>
          <cell r="AF14361">
            <v>0.3</v>
          </cell>
        </row>
        <row r="14362">
          <cell r="A14362" t="str">
            <v>IS_alqt_plus</v>
          </cell>
          <cell r="K14362" t="str">
            <v>LCAT</v>
          </cell>
          <cell r="M14362" t="str">
            <v>M</v>
          </cell>
          <cell r="AB14362" t="str">
            <v>WB</v>
          </cell>
          <cell r="AF14362">
            <v>0.8</v>
          </cell>
        </row>
        <row r="14363">
          <cell r="A14363" t="str">
            <v>IS_alqt_plus</v>
          </cell>
          <cell r="K14363" t="str">
            <v>LCAT</v>
          </cell>
          <cell r="M14363" t="str">
            <v>M</v>
          </cell>
          <cell r="AB14363" t="str">
            <v>WB</v>
          </cell>
          <cell r="AF14363">
            <v>0.6</v>
          </cell>
        </row>
        <row r="14364">
          <cell r="A14364" t="str">
            <v>IS_alqt_plus</v>
          </cell>
          <cell r="K14364" t="str">
            <v>LCAT</v>
          </cell>
          <cell r="M14364" t="str">
            <v>M</v>
          </cell>
          <cell r="AB14364" t="str">
            <v>WB</v>
          </cell>
          <cell r="AF14364">
            <v>0.4</v>
          </cell>
        </row>
        <row r="14365">
          <cell r="A14365" t="str">
            <v>IS_alqt_plus</v>
          </cell>
          <cell r="K14365" t="str">
            <v>LCAT</v>
          </cell>
          <cell r="M14365" t="str">
            <v>M</v>
          </cell>
          <cell r="AB14365" t="str">
            <v>WB</v>
          </cell>
          <cell r="AF14365">
            <v>0.2</v>
          </cell>
        </row>
        <row r="14366">
          <cell r="A14366" t="str">
            <v>IS_alqt_plus</v>
          </cell>
          <cell r="K14366" t="str">
            <v>LCAT</v>
          </cell>
          <cell r="M14366" t="str">
            <v>M</v>
          </cell>
          <cell r="AB14366" t="str">
            <v>WB</v>
          </cell>
          <cell r="AF14366">
            <v>0.4</v>
          </cell>
        </row>
        <row r="14367">
          <cell r="A14367" t="str">
            <v>IS_alqt_plus</v>
          </cell>
          <cell r="K14367" t="str">
            <v>LCAT</v>
          </cell>
          <cell r="M14367" t="str">
            <v>M</v>
          </cell>
          <cell r="AB14367" t="str">
            <v>WB</v>
          </cell>
          <cell r="AF14367">
            <v>0.4</v>
          </cell>
        </row>
        <row r="14368">
          <cell r="A14368" t="str">
            <v>IS_alqt_plus</v>
          </cell>
          <cell r="K14368" t="str">
            <v>LCAT</v>
          </cell>
          <cell r="M14368" t="str">
            <v>M</v>
          </cell>
          <cell r="AB14368" t="str">
            <v>WB</v>
          </cell>
          <cell r="AF14368">
            <v>0.4</v>
          </cell>
        </row>
        <row r="14369">
          <cell r="A14369" t="str">
            <v>IS_alqt_plus</v>
          </cell>
          <cell r="K14369" t="str">
            <v>LCAT</v>
          </cell>
          <cell r="M14369" t="str">
            <v>M</v>
          </cell>
          <cell r="AB14369" t="str">
            <v>WB</v>
          </cell>
          <cell r="AF14369">
            <v>0.6</v>
          </cell>
        </row>
        <row r="14370">
          <cell r="A14370" t="str">
            <v>IS_alqt_plus</v>
          </cell>
          <cell r="K14370" t="str">
            <v>LCAT</v>
          </cell>
          <cell r="M14370" t="str">
            <v>M</v>
          </cell>
          <cell r="AB14370" t="str">
            <v>WB</v>
          </cell>
          <cell r="AF14370">
            <v>0.6</v>
          </cell>
        </row>
        <row r="14371">
          <cell r="A14371" t="str">
            <v>IS_alqt_plus</v>
          </cell>
          <cell r="K14371" t="str">
            <v>LCAT</v>
          </cell>
          <cell r="M14371" t="str">
            <v>M</v>
          </cell>
          <cell r="AB14371" t="str">
            <v>WB</v>
          </cell>
          <cell r="AF14371">
            <v>0.6</v>
          </cell>
        </row>
        <row r="14372">
          <cell r="A14372" t="str">
            <v>IS_alqt_plus</v>
          </cell>
          <cell r="K14372" t="str">
            <v>LCAT</v>
          </cell>
          <cell r="M14372" t="str">
            <v>M</v>
          </cell>
          <cell r="AB14372" t="str">
            <v>WB</v>
          </cell>
          <cell r="AF14372">
            <v>0.6</v>
          </cell>
        </row>
        <row r="14373">
          <cell r="A14373" t="str">
            <v>IS_alqt_plus</v>
          </cell>
          <cell r="K14373" t="str">
            <v>LCAT</v>
          </cell>
          <cell r="M14373" t="str">
            <v>M</v>
          </cell>
          <cell r="AB14373" t="str">
            <v>WB</v>
          </cell>
          <cell r="AF14373">
            <v>1</v>
          </cell>
        </row>
        <row r="14374">
          <cell r="A14374" t="str">
            <v>IS_alqt_plus</v>
          </cell>
          <cell r="K14374" t="str">
            <v>LCAT</v>
          </cell>
          <cell r="M14374" t="str">
            <v>M</v>
          </cell>
          <cell r="AB14374" t="str">
            <v>WB</v>
          </cell>
          <cell r="AF14374">
            <v>1</v>
          </cell>
        </row>
        <row r="14375">
          <cell r="A14375" t="str">
            <v>IS_alqt_plus</v>
          </cell>
          <cell r="K14375" t="str">
            <v>LCAT</v>
          </cell>
          <cell r="M14375" t="str">
            <v>M</v>
          </cell>
          <cell r="AB14375" t="str">
            <v>WB</v>
          </cell>
          <cell r="AF14375">
            <v>1</v>
          </cell>
        </row>
        <row r="14376">
          <cell r="A14376" t="str">
            <v>IS_alqt_plus</v>
          </cell>
          <cell r="K14376" t="str">
            <v>LCAT</v>
          </cell>
          <cell r="M14376" t="str">
            <v>M</v>
          </cell>
          <cell r="AB14376" t="str">
            <v>WB</v>
          </cell>
          <cell r="AF14376">
            <v>1</v>
          </cell>
        </row>
        <row r="14377">
          <cell r="A14377" t="str">
            <v>IS_alqt_plus</v>
          </cell>
          <cell r="K14377" t="str">
            <v>LCAT</v>
          </cell>
          <cell r="M14377" t="str">
            <v>M</v>
          </cell>
          <cell r="AB14377" t="str">
            <v>WB</v>
          </cell>
          <cell r="AF14377">
            <v>1</v>
          </cell>
        </row>
        <row r="14378">
          <cell r="A14378" t="str">
            <v>IS_alqt_plus</v>
          </cell>
          <cell r="K14378" t="str">
            <v>LCAT</v>
          </cell>
          <cell r="M14378" t="str">
            <v>M</v>
          </cell>
          <cell r="AB14378" t="str">
            <v>WB</v>
          </cell>
          <cell r="AF14378">
            <v>1</v>
          </cell>
        </row>
        <row r="14379">
          <cell r="A14379" t="str">
            <v>IS_alqt_plus</v>
          </cell>
          <cell r="K14379" t="str">
            <v>LCAT</v>
          </cell>
          <cell r="M14379" t="str">
            <v>M</v>
          </cell>
          <cell r="AB14379" t="str">
            <v>WB</v>
          </cell>
          <cell r="AF14379">
            <v>1</v>
          </cell>
        </row>
        <row r="14380">
          <cell r="A14380" t="str">
            <v>IS_alqt_plus</v>
          </cell>
          <cell r="K14380" t="str">
            <v>LCAT</v>
          </cell>
          <cell r="M14380" t="str">
            <v>M</v>
          </cell>
          <cell r="AB14380" t="str">
            <v>WB</v>
          </cell>
          <cell r="AF14380">
            <v>1</v>
          </cell>
        </row>
        <row r="14381">
          <cell r="A14381" t="str">
            <v>IS_alqt_plus</v>
          </cell>
          <cell r="K14381" t="str">
            <v>LCAT</v>
          </cell>
          <cell r="M14381" t="str">
            <v>M</v>
          </cell>
          <cell r="AB14381" t="str">
            <v>serum</v>
          </cell>
          <cell r="AF14381">
            <v>0.2</v>
          </cell>
        </row>
        <row r="14382">
          <cell r="A14382" t="str">
            <v>IS_alqt_plus</v>
          </cell>
          <cell r="K14382" t="str">
            <v>LCAT</v>
          </cell>
          <cell r="M14382" t="str">
            <v>M</v>
          </cell>
          <cell r="AB14382" t="str">
            <v>serum</v>
          </cell>
          <cell r="AF14382">
            <v>0.2</v>
          </cell>
        </row>
        <row r="14383">
          <cell r="A14383" t="str">
            <v>IS_alqt_plus</v>
          </cell>
          <cell r="K14383" t="str">
            <v>LCAT</v>
          </cell>
          <cell r="M14383" t="str">
            <v>M</v>
          </cell>
          <cell r="AB14383" t="str">
            <v>serum</v>
          </cell>
          <cell r="AF14383">
            <v>0.2</v>
          </cell>
        </row>
        <row r="14384">
          <cell r="A14384" t="str">
            <v>IS_alqt_plus</v>
          </cell>
          <cell r="K14384" t="str">
            <v>LCAT</v>
          </cell>
          <cell r="M14384" t="str">
            <v>M</v>
          </cell>
          <cell r="AB14384" t="str">
            <v>serum</v>
          </cell>
          <cell r="AF14384">
            <v>0.4</v>
          </cell>
        </row>
        <row r="14385">
          <cell r="A14385" t="str">
            <v>IS_alqt_plus</v>
          </cell>
          <cell r="K14385" t="str">
            <v>LCAT</v>
          </cell>
          <cell r="M14385" t="str">
            <v>M</v>
          </cell>
          <cell r="AB14385" t="str">
            <v>serum</v>
          </cell>
          <cell r="AF14385">
            <v>0.4</v>
          </cell>
        </row>
        <row r="14386">
          <cell r="A14386" t="str">
            <v>IS_alqt_plus</v>
          </cell>
          <cell r="K14386" t="str">
            <v>LCAT</v>
          </cell>
          <cell r="M14386" t="str">
            <v>M</v>
          </cell>
          <cell r="AB14386" t="str">
            <v>serum</v>
          </cell>
          <cell r="AF14386">
            <v>0.6</v>
          </cell>
        </row>
        <row r="14387">
          <cell r="A14387" t="str">
            <v>IS_alqt_minus</v>
          </cell>
          <cell r="K14387" t="str">
            <v>MMUR</v>
          </cell>
          <cell r="M14387" t="str">
            <v>M</v>
          </cell>
          <cell r="AB14387" t="str">
            <v>PRBC</v>
          </cell>
          <cell r="AF14387">
            <v>0.1</v>
          </cell>
        </row>
        <row r="14388">
          <cell r="A14388" t="str">
            <v>IS_alqt_minus</v>
          </cell>
          <cell r="K14388" t="str">
            <v>MMUR</v>
          </cell>
          <cell r="M14388" t="str">
            <v>M</v>
          </cell>
          <cell r="AB14388" t="str">
            <v>PRBC</v>
          </cell>
          <cell r="AF14388">
            <v>0.1</v>
          </cell>
        </row>
        <row r="14389">
          <cell r="A14389" t="str">
            <v>IS_alqt_minus</v>
          </cell>
          <cell r="K14389" t="str">
            <v>MMUR</v>
          </cell>
          <cell r="M14389" t="str">
            <v>M</v>
          </cell>
          <cell r="AB14389" t="str">
            <v>PRBC</v>
          </cell>
          <cell r="AF14389">
            <v>0.1</v>
          </cell>
        </row>
        <row r="14390">
          <cell r="A14390" t="str">
            <v>IS_alqt_minus</v>
          </cell>
          <cell r="K14390" t="str">
            <v>MMUR</v>
          </cell>
          <cell r="M14390" t="str">
            <v>M</v>
          </cell>
          <cell r="AB14390" t="str">
            <v>PRBC</v>
          </cell>
          <cell r="AF14390">
            <v>0.1</v>
          </cell>
        </row>
        <row r="14391">
          <cell r="A14391" t="str">
            <v>IS_alqt_minus</v>
          </cell>
          <cell r="K14391" t="str">
            <v>MMUR</v>
          </cell>
          <cell r="M14391" t="str">
            <v>F</v>
          </cell>
          <cell r="AB14391" t="str">
            <v>plasma</v>
          </cell>
          <cell r="AF14391">
            <v>0.06</v>
          </cell>
        </row>
        <row r="14392">
          <cell r="A14392" t="str">
            <v>IS_alqt_plus</v>
          </cell>
          <cell r="K14392" t="str">
            <v>CMED</v>
          </cell>
          <cell r="M14392" t="str">
            <v>F</v>
          </cell>
          <cell r="AB14392" t="str">
            <v>WB</v>
          </cell>
          <cell r="AF14392">
            <v>0.2</v>
          </cell>
        </row>
        <row r="14393">
          <cell r="A14393" t="str">
            <v>IS_alqt_plus</v>
          </cell>
          <cell r="K14393" t="str">
            <v>MMUR</v>
          </cell>
          <cell r="M14393" t="str">
            <v>F</v>
          </cell>
          <cell r="AB14393" t="str">
            <v>PRBC</v>
          </cell>
          <cell r="AF14393">
            <v>0.2</v>
          </cell>
        </row>
        <row r="14394">
          <cell r="A14394" t="str">
            <v>IS_alqt_minus</v>
          </cell>
          <cell r="K14394" t="str">
            <v>MMUR</v>
          </cell>
          <cell r="M14394" t="str">
            <v>F</v>
          </cell>
          <cell r="AB14394" t="str">
            <v>plasma</v>
          </cell>
          <cell r="AF14394">
            <v>0.15</v>
          </cell>
        </row>
        <row r="14395">
          <cell r="A14395" t="str">
            <v>IS_alqt_minus</v>
          </cell>
          <cell r="K14395" t="str">
            <v>MMUR</v>
          </cell>
          <cell r="M14395" t="str">
            <v>F</v>
          </cell>
          <cell r="AB14395" t="str">
            <v>PRBC</v>
          </cell>
          <cell r="AF14395">
            <v>0.1</v>
          </cell>
        </row>
        <row r="14396">
          <cell r="A14396" t="str">
            <v>IS_alqt_plus</v>
          </cell>
          <cell r="K14396" t="str">
            <v>MMUR</v>
          </cell>
          <cell r="M14396" t="str">
            <v>F</v>
          </cell>
          <cell r="AB14396" t="str">
            <v>PRBC</v>
          </cell>
          <cell r="AF14396">
            <v>0.25</v>
          </cell>
        </row>
        <row r="14397">
          <cell r="A14397" t="str">
            <v>IS_alqt_plus</v>
          </cell>
          <cell r="K14397" t="str">
            <v>MMUR</v>
          </cell>
          <cell r="M14397" t="str">
            <v>M</v>
          </cell>
          <cell r="AB14397" t="str">
            <v>PRBC</v>
          </cell>
          <cell r="AF14397">
            <v>0.2</v>
          </cell>
        </row>
        <row r="14398">
          <cell r="A14398" t="str">
            <v>IS_alqt_plus</v>
          </cell>
          <cell r="K14398" t="str">
            <v>MMUR</v>
          </cell>
          <cell r="M14398" t="str">
            <v>M</v>
          </cell>
          <cell r="AB14398" t="str">
            <v>PRBC</v>
          </cell>
          <cell r="AF14398">
            <v>0.25</v>
          </cell>
        </row>
        <row r="14399">
          <cell r="A14399" t="str">
            <v>IS_alqt_minus</v>
          </cell>
          <cell r="K14399" t="str">
            <v>MMUR</v>
          </cell>
          <cell r="M14399" t="str">
            <v>M</v>
          </cell>
          <cell r="AB14399" t="str">
            <v>plasma</v>
          </cell>
          <cell r="AF14399">
            <v>0.04</v>
          </cell>
        </row>
        <row r="14400">
          <cell r="A14400" t="str">
            <v>IS_alqt_minus</v>
          </cell>
          <cell r="K14400" t="str">
            <v>MMUR</v>
          </cell>
          <cell r="M14400" t="str">
            <v>M</v>
          </cell>
          <cell r="AB14400" t="str">
            <v>PRBC</v>
          </cell>
          <cell r="AF14400">
            <v>0.2</v>
          </cell>
        </row>
        <row r="14401">
          <cell r="A14401" t="str">
            <v>IS_alqt_minus</v>
          </cell>
          <cell r="K14401" t="str">
            <v>MMUR</v>
          </cell>
          <cell r="M14401" t="str">
            <v>F</v>
          </cell>
          <cell r="AB14401" t="str">
            <v>PRBC</v>
          </cell>
          <cell r="AF14401">
            <v>0.2</v>
          </cell>
        </row>
        <row r="14402">
          <cell r="A14402" t="str">
            <v>IS_alqt_minus</v>
          </cell>
          <cell r="K14402" t="str">
            <v>MMUR</v>
          </cell>
          <cell r="M14402" t="str">
            <v>F</v>
          </cell>
          <cell r="AB14402" t="str">
            <v>PRBC</v>
          </cell>
          <cell r="AF14402">
            <v>0.2</v>
          </cell>
        </row>
        <row r="14403">
          <cell r="A14403" t="str">
            <v>IS_alqt_minus</v>
          </cell>
          <cell r="K14403" t="str">
            <v>MMUR</v>
          </cell>
          <cell r="M14403" t="str">
            <v>F</v>
          </cell>
          <cell r="AB14403" t="str">
            <v>PRBC</v>
          </cell>
          <cell r="AF14403">
            <v>0.2</v>
          </cell>
        </row>
        <row r="14404">
          <cell r="A14404" t="str">
            <v>IS_alqt_minus</v>
          </cell>
          <cell r="K14404" t="str">
            <v>MMUR</v>
          </cell>
          <cell r="M14404" t="str">
            <v>F</v>
          </cell>
          <cell r="AB14404" t="str">
            <v>PRBC</v>
          </cell>
          <cell r="AF14404">
            <v>0.2</v>
          </cell>
        </row>
        <row r="14405">
          <cell r="A14405" t="str">
            <v>IS_alqt_minus</v>
          </cell>
          <cell r="K14405" t="str">
            <v>MMUR</v>
          </cell>
          <cell r="M14405" t="str">
            <v>M</v>
          </cell>
          <cell r="AB14405" t="str">
            <v>PRBC</v>
          </cell>
          <cell r="AF14405">
            <v>0.2</v>
          </cell>
        </row>
        <row r="14406">
          <cell r="A14406" t="str">
            <v>IS_alqt_minus</v>
          </cell>
          <cell r="K14406" t="str">
            <v>MMUR</v>
          </cell>
          <cell r="M14406" t="str">
            <v>M</v>
          </cell>
          <cell r="AB14406" t="str">
            <v>PRBC</v>
          </cell>
          <cell r="AF14406">
            <v>0.2</v>
          </cell>
        </row>
        <row r="14407">
          <cell r="A14407" t="str">
            <v>IS_alqt_minus</v>
          </cell>
          <cell r="K14407" t="str">
            <v>MMUR</v>
          </cell>
          <cell r="M14407" t="str">
            <v>F</v>
          </cell>
          <cell r="AB14407" t="str">
            <v>plasma</v>
          </cell>
          <cell r="AF14407">
            <v>0.04</v>
          </cell>
        </row>
        <row r="14408">
          <cell r="A14408" t="str">
            <v>IS_alqt_plus</v>
          </cell>
          <cell r="K14408" t="str">
            <v>PCOQ</v>
          </cell>
          <cell r="M14408" t="str">
            <v>M</v>
          </cell>
          <cell r="AB14408" t="str">
            <v>serum</v>
          </cell>
          <cell r="AF14408">
            <v>0.2</v>
          </cell>
        </row>
        <row r="14409">
          <cell r="A14409" t="str">
            <v>IS_alqt_plus</v>
          </cell>
          <cell r="K14409" t="str">
            <v>PCOQ</v>
          </cell>
          <cell r="M14409" t="str">
            <v>M</v>
          </cell>
          <cell r="AB14409" t="str">
            <v>serum</v>
          </cell>
          <cell r="AF14409">
            <v>0.2</v>
          </cell>
        </row>
        <row r="14410">
          <cell r="A14410" t="str">
            <v>IS_alqt_plus</v>
          </cell>
          <cell r="K14410" t="str">
            <v>PCOQ</v>
          </cell>
          <cell r="M14410" t="str">
            <v>M</v>
          </cell>
          <cell r="AB14410" t="str">
            <v>serum</v>
          </cell>
          <cell r="AF14410">
            <v>0.2</v>
          </cell>
        </row>
        <row r="14411">
          <cell r="A14411" t="str">
            <v>IS_alqt_plus</v>
          </cell>
          <cell r="K14411" t="str">
            <v>PCOQ</v>
          </cell>
          <cell r="M14411" t="str">
            <v>M</v>
          </cell>
          <cell r="AB14411" t="str">
            <v>WB</v>
          </cell>
          <cell r="AF14411">
            <v>0.2</v>
          </cell>
        </row>
        <row r="14412">
          <cell r="A14412" t="str">
            <v>IS_alqt_plus</v>
          </cell>
          <cell r="K14412" t="str">
            <v>PCOQ</v>
          </cell>
          <cell r="M14412" t="str">
            <v>M</v>
          </cell>
          <cell r="AB14412" t="str">
            <v>WB</v>
          </cell>
          <cell r="AF14412">
            <v>0.2</v>
          </cell>
        </row>
        <row r="14413">
          <cell r="A14413" t="str">
            <v>IS_alqt_plus</v>
          </cell>
          <cell r="K14413" t="str">
            <v>PCOQ</v>
          </cell>
          <cell r="M14413" t="str">
            <v>M</v>
          </cell>
          <cell r="AB14413" t="str">
            <v>WB</v>
          </cell>
          <cell r="AF14413">
            <v>0.4</v>
          </cell>
        </row>
        <row r="14414">
          <cell r="A14414" t="str">
            <v>IS_alqt_plus</v>
          </cell>
          <cell r="K14414" t="str">
            <v>PCOQ</v>
          </cell>
          <cell r="M14414" t="str">
            <v>M</v>
          </cell>
          <cell r="AB14414" t="str">
            <v>WB</v>
          </cell>
          <cell r="AF14414">
            <v>0.4</v>
          </cell>
        </row>
        <row r="14415">
          <cell r="A14415" t="str">
            <v>gone</v>
          </cell>
          <cell r="K14415" t="str">
            <v>PCOQ</v>
          </cell>
          <cell r="M14415" t="str">
            <v>M</v>
          </cell>
          <cell r="AB14415" t="str">
            <v>WB</v>
          </cell>
          <cell r="AF14415">
            <v>0</v>
          </cell>
        </row>
        <row r="14416">
          <cell r="A14416" t="str">
            <v>IS_alqt_plus</v>
          </cell>
          <cell r="K14416" t="str">
            <v>LCAT</v>
          </cell>
          <cell r="M14416" t="str">
            <v>F</v>
          </cell>
          <cell r="AB14416" t="str">
            <v>serum</v>
          </cell>
          <cell r="AF14416">
            <v>0.2</v>
          </cell>
        </row>
        <row r="14417">
          <cell r="A14417" t="str">
            <v>IS_alqt_plus</v>
          </cell>
          <cell r="K14417" t="str">
            <v>LCAT</v>
          </cell>
          <cell r="M14417" t="str">
            <v>F</v>
          </cell>
          <cell r="AB14417" t="str">
            <v>serum</v>
          </cell>
          <cell r="AF14417">
            <v>0.4</v>
          </cell>
        </row>
        <row r="14418">
          <cell r="A14418" t="str">
            <v>IS_alqt_plus</v>
          </cell>
          <cell r="K14418" t="str">
            <v>LCAT</v>
          </cell>
          <cell r="M14418" t="str">
            <v>F</v>
          </cell>
          <cell r="AB14418" t="str">
            <v>WB</v>
          </cell>
          <cell r="AF14418">
            <v>0.2</v>
          </cell>
        </row>
        <row r="14419">
          <cell r="A14419" t="str">
            <v>IS_alqt_plus</v>
          </cell>
          <cell r="K14419" t="str">
            <v>LCAT</v>
          </cell>
          <cell r="M14419" t="str">
            <v>F</v>
          </cell>
          <cell r="AB14419" t="str">
            <v>WB</v>
          </cell>
          <cell r="AF14419">
            <v>0.4</v>
          </cell>
        </row>
        <row r="14420">
          <cell r="A14420" t="str">
            <v>IS_alqt_plus</v>
          </cell>
          <cell r="K14420" t="str">
            <v>LCAT</v>
          </cell>
          <cell r="M14420" t="str">
            <v>F</v>
          </cell>
          <cell r="AB14420" t="str">
            <v>WB</v>
          </cell>
          <cell r="AF14420">
            <v>1</v>
          </cell>
        </row>
        <row r="14421">
          <cell r="A14421" t="str">
            <v>IS_alqt_plus</v>
          </cell>
          <cell r="K14421" t="str">
            <v>PCOQ</v>
          </cell>
          <cell r="M14421" t="str">
            <v>F</v>
          </cell>
          <cell r="AB14421" t="str">
            <v>serum</v>
          </cell>
          <cell r="AF14421">
            <v>1</v>
          </cell>
        </row>
        <row r="14422">
          <cell r="A14422" t="str">
            <v>IS_alqt_plus</v>
          </cell>
          <cell r="K14422" t="str">
            <v>PCOQ</v>
          </cell>
          <cell r="M14422" t="str">
            <v>F</v>
          </cell>
          <cell r="AB14422" t="str">
            <v>serum</v>
          </cell>
          <cell r="AF14422">
            <v>1</v>
          </cell>
        </row>
        <row r="14423">
          <cell r="A14423" t="str">
            <v>gone</v>
          </cell>
          <cell r="K14423" t="str">
            <v>PCOQ</v>
          </cell>
          <cell r="M14423" t="str">
            <v>F</v>
          </cell>
          <cell r="AB14423" t="str">
            <v>WB</v>
          </cell>
          <cell r="AF14423">
            <v>0</v>
          </cell>
        </row>
        <row r="14424">
          <cell r="A14424" t="str">
            <v>IS_alqt_plus</v>
          </cell>
          <cell r="K14424" t="str">
            <v>PCOQ</v>
          </cell>
          <cell r="M14424" t="str">
            <v>F</v>
          </cell>
          <cell r="AB14424" t="str">
            <v>WB</v>
          </cell>
          <cell r="AF14424">
            <v>1</v>
          </cell>
        </row>
        <row r="14425">
          <cell r="A14425" t="str">
            <v>IS_alqt_plus</v>
          </cell>
          <cell r="K14425" t="str">
            <v>PCOQ</v>
          </cell>
          <cell r="M14425" t="str">
            <v>F</v>
          </cell>
          <cell r="AB14425" t="str">
            <v>WB</v>
          </cell>
          <cell r="AF14425">
            <v>0.2</v>
          </cell>
        </row>
        <row r="14426">
          <cell r="A14426" t="str">
            <v>IS_alqt_plus</v>
          </cell>
          <cell r="K14426" t="str">
            <v>PCOQ</v>
          </cell>
          <cell r="M14426" t="str">
            <v>F</v>
          </cell>
          <cell r="AB14426" t="str">
            <v>WB</v>
          </cell>
          <cell r="AF14426">
            <v>0.4</v>
          </cell>
        </row>
        <row r="14427">
          <cell r="A14427" t="str">
            <v>IS_alqt_plus</v>
          </cell>
          <cell r="K14427" t="str">
            <v>PCOQ</v>
          </cell>
          <cell r="M14427" t="str">
            <v>F</v>
          </cell>
          <cell r="AB14427" t="str">
            <v>serum</v>
          </cell>
          <cell r="AF14427">
            <v>0.2</v>
          </cell>
        </row>
        <row r="14428">
          <cell r="A14428" t="str">
            <v>IS_alqt_plus</v>
          </cell>
          <cell r="K14428" t="str">
            <v>PCOQ</v>
          </cell>
          <cell r="M14428" t="str">
            <v>F</v>
          </cell>
          <cell r="AB14428" t="str">
            <v>serum</v>
          </cell>
          <cell r="AF14428">
            <v>0.2</v>
          </cell>
        </row>
        <row r="14429">
          <cell r="A14429" t="str">
            <v>IS_alqt_plus</v>
          </cell>
          <cell r="K14429" t="str">
            <v>PCOQ</v>
          </cell>
          <cell r="M14429" t="str">
            <v>F</v>
          </cell>
          <cell r="AB14429" t="str">
            <v>serum</v>
          </cell>
          <cell r="AF14429">
            <v>0.2</v>
          </cell>
        </row>
        <row r="14430">
          <cell r="A14430" t="str">
            <v>IS_alqt_plus</v>
          </cell>
          <cell r="K14430" t="str">
            <v>EFLA</v>
          </cell>
          <cell r="M14430" t="str">
            <v>F</v>
          </cell>
          <cell r="AB14430" t="str">
            <v>serum</v>
          </cell>
          <cell r="AF14430">
            <v>0.3</v>
          </cell>
        </row>
        <row r="14431">
          <cell r="A14431" t="str">
            <v>IS_alqt_plus</v>
          </cell>
          <cell r="K14431" t="str">
            <v>EFLA</v>
          </cell>
          <cell r="M14431" t="str">
            <v>F</v>
          </cell>
          <cell r="AB14431" t="str">
            <v>WB</v>
          </cell>
          <cell r="AF14431">
            <v>1</v>
          </cell>
        </row>
        <row r="14432">
          <cell r="A14432" t="str">
            <v>IS_alqt_plus</v>
          </cell>
          <cell r="K14432" t="str">
            <v>EFLA</v>
          </cell>
          <cell r="M14432" t="str">
            <v>F</v>
          </cell>
          <cell r="AB14432" t="str">
            <v>WB</v>
          </cell>
          <cell r="AF14432">
            <v>0.7</v>
          </cell>
        </row>
        <row r="14433">
          <cell r="A14433" t="str">
            <v>IS_alqt_minus</v>
          </cell>
          <cell r="K14433" t="str">
            <v>MMUR</v>
          </cell>
          <cell r="M14433" t="str">
            <v>F</v>
          </cell>
          <cell r="AB14433" t="str">
            <v>PRBC</v>
          </cell>
          <cell r="AF14433">
            <v>0.2</v>
          </cell>
        </row>
        <row r="14434">
          <cell r="A14434" t="str">
            <v>IS_alqt_minus</v>
          </cell>
          <cell r="K14434" t="str">
            <v>MMUR</v>
          </cell>
          <cell r="M14434" t="str">
            <v>F</v>
          </cell>
          <cell r="AB14434" t="str">
            <v>PRBC</v>
          </cell>
          <cell r="AF14434">
            <v>0.2</v>
          </cell>
        </row>
        <row r="14435">
          <cell r="A14435" t="str">
            <v>IS_alqt_minus</v>
          </cell>
          <cell r="K14435" t="str">
            <v>MMUR</v>
          </cell>
          <cell r="M14435" t="str">
            <v>F</v>
          </cell>
          <cell r="AB14435" t="str">
            <v>PRBC</v>
          </cell>
          <cell r="AF14435">
            <v>0.2</v>
          </cell>
        </row>
        <row r="14436">
          <cell r="A14436" t="str">
            <v>IS_alqt_plus</v>
          </cell>
          <cell r="K14436" t="str">
            <v>PCOQ</v>
          </cell>
          <cell r="M14436" t="str">
            <v>F</v>
          </cell>
          <cell r="AB14436" t="str">
            <v>serum</v>
          </cell>
          <cell r="AF14436">
            <v>0.2</v>
          </cell>
        </row>
        <row r="14437">
          <cell r="A14437" t="str">
            <v>IS_alqt_plus</v>
          </cell>
          <cell r="K14437" t="str">
            <v>PCOQ</v>
          </cell>
          <cell r="M14437" t="str">
            <v>F</v>
          </cell>
          <cell r="AB14437" t="str">
            <v>serum</v>
          </cell>
          <cell r="AF14437">
            <v>0.2</v>
          </cell>
        </row>
        <row r="14438">
          <cell r="A14438" t="str">
            <v>IS_alqt_plus</v>
          </cell>
          <cell r="K14438" t="str">
            <v>PCOQ</v>
          </cell>
          <cell r="M14438" t="str">
            <v>F</v>
          </cell>
          <cell r="AB14438" t="str">
            <v>serum</v>
          </cell>
          <cell r="AF14438">
            <v>0.2</v>
          </cell>
        </row>
        <row r="14439">
          <cell r="A14439" t="str">
            <v>IS_alqt_plus</v>
          </cell>
          <cell r="K14439" t="str">
            <v>PCOQ</v>
          </cell>
          <cell r="M14439" t="str">
            <v>F</v>
          </cell>
          <cell r="AB14439" t="str">
            <v>serum</v>
          </cell>
          <cell r="AF14439">
            <v>0.4</v>
          </cell>
        </row>
        <row r="14440">
          <cell r="A14440" t="str">
            <v>IS_alqt_plus</v>
          </cell>
          <cell r="K14440" t="str">
            <v>PCOQ</v>
          </cell>
          <cell r="M14440" t="str">
            <v>F</v>
          </cell>
          <cell r="AB14440" t="str">
            <v>serum</v>
          </cell>
          <cell r="AF14440">
            <v>0.4</v>
          </cell>
        </row>
        <row r="14441">
          <cell r="A14441" t="str">
            <v>IS_alqt_plus</v>
          </cell>
          <cell r="K14441" t="str">
            <v>PCOQ</v>
          </cell>
          <cell r="M14441" t="str">
            <v>F</v>
          </cell>
          <cell r="AB14441" t="str">
            <v>serum</v>
          </cell>
          <cell r="AF14441">
            <v>0.6</v>
          </cell>
        </row>
        <row r="14442">
          <cell r="A14442" t="str">
            <v>IS_alqt_plus</v>
          </cell>
          <cell r="K14442" t="str">
            <v>PCOQ</v>
          </cell>
          <cell r="M14442" t="str">
            <v>F</v>
          </cell>
          <cell r="AB14442" t="str">
            <v>serum</v>
          </cell>
          <cell r="AF14442">
            <v>0.6</v>
          </cell>
        </row>
        <row r="14443">
          <cell r="A14443" t="str">
            <v>IS_alqt_plus</v>
          </cell>
          <cell r="K14443" t="str">
            <v>PCOQ</v>
          </cell>
          <cell r="M14443" t="str">
            <v>F</v>
          </cell>
          <cell r="AB14443" t="str">
            <v>WB</v>
          </cell>
          <cell r="AF14443">
            <v>0.2</v>
          </cell>
        </row>
        <row r="14444">
          <cell r="A14444" t="str">
            <v>IS_alqt_plus</v>
          </cell>
          <cell r="K14444" t="str">
            <v>PCOQ</v>
          </cell>
          <cell r="M14444" t="str">
            <v>F</v>
          </cell>
          <cell r="AB14444" t="str">
            <v>WB</v>
          </cell>
          <cell r="AF14444">
            <v>0.2</v>
          </cell>
        </row>
        <row r="14445">
          <cell r="A14445" t="str">
            <v>IS_alqt_plus</v>
          </cell>
          <cell r="K14445" t="str">
            <v>PCOQ</v>
          </cell>
          <cell r="M14445" t="str">
            <v>F</v>
          </cell>
          <cell r="AB14445" t="str">
            <v>WB</v>
          </cell>
          <cell r="AF14445">
            <v>0.2</v>
          </cell>
        </row>
        <row r="14446">
          <cell r="A14446" t="str">
            <v>IS_alqt_plus</v>
          </cell>
          <cell r="K14446" t="str">
            <v>PCOQ</v>
          </cell>
          <cell r="M14446" t="str">
            <v>F</v>
          </cell>
          <cell r="AB14446" t="str">
            <v>WB</v>
          </cell>
          <cell r="AF14446">
            <v>0.4</v>
          </cell>
        </row>
        <row r="14447">
          <cell r="A14447" t="str">
            <v>IS_alqt_plus</v>
          </cell>
          <cell r="K14447" t="str">
            <v>PCOQ</v>
          </cell>
          <cell r="M14447" t="str">
            <v>F</v>
          </cell>
          <cell r="AB14447" t="str">
            <v>WB</v>
          </cell>
          <cell r="AF14447">
            <v>0.4</v>
          </cell>
        </row>
        <row r="14448">
          <cell r="A14448" t="str">
            <v>IS_alqt_plus</v>
          </cell>
          <cell r="K14448" t="str">
            <v>PCOQ</v>
          </cell>
          <cell r="M14448" t="str">
            <v>F</v>
          </cell>
          <cell r="AB14448" t="str">
            <v>WB</v>
          </cell>
          <cell r="AF14448">
            <v>0.4</v>
          </cell>
        </row>
        <row r="14449">
          <cell r="A14449" t="str">
            <v>IS_alqt_plus</v>
          </cell>
          <cell r="K14449" t="str">
            <v>PCOQ</v>
          </cell>
          <cell r="M14449" t="str">
            <v>F</v>
          </cell>
          <cell r="AB14449" t="str">
            <v>WB</v>
          </cell>
          <cell r="AF14449">
            <v>0.4</v>
          </cell>
        </row>
        <row r="14450">
          <cell r="A14450" t="str">
            <v>IS_alqt_plus</v>
          </cell>
          <cell r="K14450" t="str">
            <v>PCOQ</v>
          </cell>
          <cell r="M14450" t="str">
            <v>F</v>
          </cell>
          <cell r="AB14450" t="str">
            <v>WB</v>
          </cell>
          <cell r="AF14450">
            <v>0.6</v>
          </cell>
        </row>
        <row r="14451">
          <cell r="A14451" t="str">
            <v>IS_alqt_plus</v>
          </cell>
          <cell r="K14451" t="str">
            <v>PCOQ</v>
          </cell>
          <cell r="M14451" t="str">
            <v>F</v>
          </cell>
          <cell r="AB14451" t="str">
            <v>WB</v>
          </cell>
          <cell r="AF14451">
            <v>0.6</v>
          </cell>
        </row>
        <row r="14452">
          <cell r="A14452" t="str">
            <v>IS_alqt_plus</v>
          </cell>
          <cell r="K14452" t="str">
            <v>PCOQ</v>
          </cell>
          <cell r="M14452" t="str">
            <v>F</v>
          </cell>
          <cell r="AB14452" t="str">
            <v>WB</v>
          </cell>
          <cell r="AF14452">
            <v>0.6</v>
          </cell>
        </row>
        <row r="14453">
          <cell r="A14453" t="str">
            <v>IS_alqt_plus</v>
          </cell>
          <cell r="K14453" t="str">
            <v>PCOQ</v>
          </cell>
          <cell r="M14453" t="str">
            <v>F</v>
          </cell>
          <cell r="AB14453" t="str">
            <v>WB</v>
          </cell>
          <cell r="AF14453">
            <v>0.8</v>
          </cell>
        </row>
        <row r="14454">
          <cell r="A14454" t="str">
            <v>IS_alqt_plus</v>
          </cell>
          <cell r="K14454" t="str">
            <v>PCOQ</v>
          </cell>
          <cell r="M14454" t="str">
            <v>F</v>
          </cell>
          <cell r="AB14454" t="str">
            <v>WB</v>
          </cell>
          <cell r="AF14454">
            <v>0.8</v>
          </cell>
        </row>
        <row r="14455">
          <cell r="A14455" t="str">
            <v>IS_alqt_plus</v>
          </cell>
          <cell r="K14455" t="str">
            <v>CMED</v>
          </cell>
          <cell r="M14455" t="str">
            <v>M</v>
          </cell>
          <cell r="AB14455" t="str">
            <v>WB</v>
          </cell>
          <cell r="AF14455">
            <v>0.2</v>
          </cell>
        </row>
        <row r="14456">
          <cell r="A14456" t="str">
            <v>IS_alqt_plus</v>
          </cell>
          <cell r="K14456" t="str">
            <v>LCAT</v>
          </cell>
          <cell r="M14456" t="str">
            <v>F</v>
          </cell>
          <cell r="AB14456" t="str">
            <v>serum</v>
          </cell>
          <cell r="AF14456">
            <v>0.6</v>
          </cell>
        </row>
        <row r="14457">
          <cell r="A14457" t="str">
            <v>IS_alqt_plus</v>
          </cell>
          <cell r="K14457" t="str">
            <v>LCAT</v>
          </cell>
          <cell r="M14457" t="str">
            <v>F</v>
          </cell>
          <cell r="AB14457" t="str">
            <v>serum</v>
          </cell>
          <cell r="AF14457">
            <v>0.4</v>
          </cell>
        </row>
        <row r="14458">
          <cell r="A14458" t="str">
            <v>IS_alqt_plus</v>
          </cell>
          <cell r="K14458" t="str">
            <v>LCAT</v>
          </cell>
          <cell r="M14458" t="str">
            <v>F</v>
          </cell>
          <cell r="AB14458" t="str">
            <v>serum</v>
          </cell>
          <cell r="AF14458">
            <v>0.4</v>
          </cell>
        </row>
        <row r="14459">
          <cell r="A14459" t="str">
            <v>IS_alqt_plus</v>
          </cell>
          <cell r="K14459" t="str">
            <v>LCAT</v>
          </cell>
          <cell r="M14459" t="str">
            <v>F</v>
          </cell>
          <cell r="AB14459" t="str">
            <v>WB</v>
          </cell>
          <cell r="AF14459">
            <v>1</v>
          </cell>
        </row>
        <row r="14460">
          <cell r="A14460" t="str">
            <v>IS_alqt_plus</v>
          </cell>
          <cell r="K14460" t="str">
            <v>LCAT</v>
          </cell>
          <cell r="M14460" t="str">
            <v>F</v>
          </cell>
          <cell r="AB14460" t="str">
            <v>WB</v>
          </cell>
          <cell r="AF14460">
            <v>0.6</v>
          </cell>
        </row>
        <row r="14461">
          <cell r="A14461" t="str">
            <v>IS_alqt_plus</v>
          </cell>
          <cell r="K14461" t="str">
            <v>LCAT</v>
          </cell>
          <cell r="M14461" t="str">
            <v>F</v>
          </cell>
          <cell r="AB14461" t="str">
            <v>WB</v>
          </cell>
          <cell r="AF14461">
            <v>0.3</v>
          </cell>
        </row>
        <row r="14462">
          <cell r="A14462" t="str">
            <v>IS_alqt_plus</v>
          </cell>
          <cell r="K14462" t="str">
            <v>LCAT</v>
          </cell>
          <cell r="M14462" t="str">
            <v>F</v>
          </cell>
          <cell r="AB14462" t="str">
            <v>WB</v>
          </cell>
          <cell r="AF14462">
            <v>0.2</v>
          </cell>
        </row>
        <row r="14463">
          <cell r="A14463" t="str">
            <v>IS_alqt_minus</v>
          </cell>
          <cell r="K14463" t="str">
            <v>CMED</v>
          </cell>
          <cell r="M14463" t="str">
            <v>M</v>
          </cell>
          <cell r="AB14463" t="str">
            <v>WB</v>
          </cell>
          <cell r="AF14463">
            <v>0.1</v>
          </cell>
        </row>
        <row r="14464">
          <cell r="A14464" t="str">
            <v>IS_alqt_minus</v>
          </cell>
          <cell r="K14464" t="str">
            <v>MMUR</v>
          </cell>
          <cell r="M14464" t="str">
            <v>F</v>
          </cell>
          <cell r="AB14464" t="str">
            <v>WB</v>
          </cell>
          <cell r="AF14464">
            <v>0.06</v>
          </cell>
        </row>
        <row r="14465">
          <cell r="A14465" t="str">
            <v>IS_alqt_minus</v>
          </cell>
          <cell r="K14465" t="str">
            <v>MMUR</v>
          </cell>
          <cell r="M14465" t="str">
            <v>M</v>
          </cell>
          <cell r="AB14465" t="str">
            <v>WB</v>
          </cell>
          <cell r="AF14465">
            <v>0.03</v>
          </cell>
        </row>
        <row r="14466">
          <cell r="A14466" t="str">
            <v>IS_alqt_minus</v>
          </cell>
          <cell r="K14466" t="str">
            <v>MMUR</v>
          </cell>
          <cell r="M14466" t="str">
            <v>M</v>
          </cell>
          <cell r="AB14466" t="str">
            <v>WB</v>
          </cell>
          <cell r="AF14466">
            <v>0.06</v>
          </cell>
        </row>
        <row r="14467">
          <cell r="A14467" t="str">
            <v>IS_alqt_minus</v>
          </cell>
          <cell r="K14467" t="str">
            <v>MMUR</v>
          </cell>
          <cell r="M14467" t="str">
            <v>M</v>
          </cell>
          <cell r="AB14467" t="str">
            <v>WB</v>
          </cell>
          <cell r="AF14467">
            <v>0.03</v>
          </cell>
        </row>
        <row r="14468">
          <cell r="A14468" t="str">
            <v>IS_alqt_minus</v>
          </cell>
          <cell r="K14468" t="str">
            <v>MMUR</v>
          </cell>
          <cell r="M14468" t="str">
            <v>M</v>
          </cell>
          <cell r="AB14468" t="str">
            <v>WB</v>
          </cell>
          <cell r="AF14468">
            <v>0.05</v>
          </cell>
        </row>
        <row r="14469">
          <cell r="A14469" t="str">
            <v>IS_alqt_plus</v>
          </cell>
          <cell r="K14469" t="str">
            <v>MMUR</v>
          </cell>
          <cell r="M14469" t="str">
            <v>F</v>
          </cell>
          <cell r="AB14469" t="str">
            <v>PRBC</v>
          </cell>
          <cell r="AF14469">
            <v>0.2</v>
          </cell>
        </row>
        <row r="14470">
          <cell r="A14470" t="str">
            <v>IS_alqt_plus</v>
          </cell>
          <cell r="K14470" t="str">
            <v>MMUR</v>
          </cell>
          <cell r="M14470" t="str">
            <v>F</v>
          </cell>
          <cell r="AB14470" t="str">
            <v>PRBC</v>
          </cell>
          <cell r="AF14470">
            <v>0.2</v>
          </cell>
        </row>
        <row r="14471">
          <cell r="A14471" t="str">
            <v>IS_alqt_plus</v>
          </cell>
          <cell r="K14471" t="str">
            <v>MMUR</v>
          </cell>
          <cell r="M14471" t="str">
            <v>F</v>
          </cell>
          <cell r="AB14471" t="str">
            <v>WB</v>
          </cell>
          <cell r="AF14471">
            <v>0.2</v>
          </cell>
        </row>
        <row r="14472">
          <cell r="A14472" t="str">
            <v>IS_alqt_plus</v>
          </cell>
          <cell r="K14472" t="str">
            <v>MMUR</v>
          </cell>
          <cell r="M14472" t="str">
            <v>F</v>
          </cell>
          <cell r="AB14472" t="str">
            <v>WB</v>
          </cell>
          <cell r="AF14472">
            <v>0.2</v>
          </cell>
        </row>
        <row r="14473">
          <cell r="A14473" t="str">
            <v>IS_alqt_plus</v>
          </cell>
          <cell r="K14473" t="str">
            <v>MMUR</v>
          </cell>
          <cell r="M14473" t="str">
            <v>F</v>
          </cell>
          <cell r="AB14473" t="str">
            <v>WB</v>
          </cell>
          <cell r="AF14473">
            <v>0.2</v>
          </cell>
        </row>
        <row r="14474">
          <cell r="A14474" t="str">
            <v>IS_alqt_plus</v>
          </cell>
          <cell r="K14474" t="str">
            <v>MMUR</v>
          </cell>
          <cell r="M14474" t="str">
            <v>F</v>
          </cell>
          <cell r="AB14474" t="str">
            <v>WB</v>
          </cell>
          <cell r="AF14474">
            <v>0.2</v>
          </cell>
        </row>
        <row r="14475">
          <cell r="A14475" t="str">
            <v>IS_alqt_plus</v>
          </cell>
          <cell r="K14475" t="str">
            <v>MMUR</v>
          </cell>
          <cell r="M14475" t="str">
            <v>F</v>
          </cell>
          <cell r="AB14475" t="str">
            <v>WB</v>
          </cell>
          <cell r="AF14475">
            <v>0.2</v>
          </cell>
        </row>
        <row r="14476">
          <cell r="A14476" t="str">
            <v>IS_alqt_plus</v>
          </cell>
          <cell r="K14476" t="str">
            <v>MMUR</v>
          </cell>
          <cell r="M14476" t="str">
            <v>F</v>
          </cell>
          <cell r="AB14476" t="str">
            <v>WB</v>
          </cell>
          <cell r="AF14476">
            <v>0.2</v>
          </cell>
        </row>
        <row r="14477">
          <cell r="A14477" t="str">
            <v>IS_alqt_minus</v>
          </cell>
          <cell r="K14477" t="str">
            <v>MMUR</v>
          </cell>
          <cell r="M14477" t="str">
            <v>M</v>
          </cell>
          <cell r="AB14477" t="str">
            <v>WB</v>
          </cell>
          <cell r="AF14477">
            <v>0.06</v>
          </cell>
        </row>
        <row r="14478">
          <cell r="A14478" t="str">
            <v>IS_alqt_minus</v>
          </cell>
          <cell r="K14478" t="str">
            <v>MMUR</v>
          </cell>
          <cell r="M14478" t="str">
            <v>M</v>
          </cell>
          <cell r="AB14478" t="str">
            <v>WB</v>
          </cell>
          <cell r="AF14478">
            <v>0.06</v>
          </cell>
        </row>
        <row r="14479">
          <cell r="A14479" t="str">
            <v>IS_alqt_minus</v>
          </cell>
          <cell r="K14479" t="str">
            <v>MMUR</v>
          </cell>
          <cell r="M14479" t="str">
            <v>F</v>
          </cell>
          <cell r="AB14479" t="str">
            <v>WB</v>
          </cell>
          <cell r="AF14479">
            <v>0.08</v>
          </cell>
        </row>
        <row r="14480">
          <cell r="A14480" t="str">
            <v>IS_alqt_plus</v>
          </cell>
          <cell r="K14480" t="str">
            <v>LCAT</v>
          </cell>
          <cell r="M14480" t="str">
            <v>F</v>
          </cell>
          <cell r="AB14480" t="str">
            <v>serum</v>
          </cell>
          <cell r="AF14480">
            <v>0.2</v>
          </cell>
        </row>
        <row r="14481">
          <cell r="A14481" t="str">
            <v>IS_alqt_plus</v>
          </cell>
          <cell r="K14481" t="str">
            <v>LCAT</v>
          </cell>
          <cell r="M14481" t="str">
            <v>F</v>
          </cell>
          <cell r="AB14481" t="str">
            <v>serum</v>
          </cell>
          <cell r="AF14481">
            <v>0.4</v>
          </cell>
        </row>
        <row r="14482">
          <cell r="A14482" t="str">
            <v>IS_alqt_plus</v>
          </cell>
          <cell r="K14482" t="str">
            <v>LCAT</v>
          </cell>
          <cell r="M14482" t="str">
            <v>F</v>
          </cell>
          <cell r="AB14482" t="str">
            <v>serum</v>
          </cell>
          <cell r="AF14482">
            <v>0.6</v>
          </cell>
        </row>
        <row r="14483">
          <cell r="A14483" t="str">
            <v>IS_alqt_plus</v>
          </cell>
          <cell r="K14483" t="str">
            <v>PCOQ</v>
          </cell>
          <cell r="M14483" t="str">
            <v>F</v>
          </cell>
          <cell r="AB14483" t="str">
            <v>serum</v>
          </cell>
          <cell r="AF14483">
            <v>0.2</v>
          </cell>
        </row>
        <row r="14484">
          <cell r="A14484" t="str">
            <v>IS_alqt_plus</v>
          </cell>
          <cell r="K14484" t="str">
            <v>PCOQ</v>
          </cell>
          <cell r="M14484" t="str">
            <v>F</v>
          </cell>
          <cell r="AB14484" t="str">
            <v>serum</v>
          </cell>
          <cell r="AF14484">
            <v>0.2</v>
          </cell>
        </row>
        <row r="14485">
          <cell r="A14485" t="str">
            <v>IS_alqt_plus</v>
          </cell>
          <cell r="K14485" t="str">
            <v>PCOQ</v>
          </cell>
          <cell r="M14485" t="str">
            <v>F</v>
          </cell>
          <cell r="AB14485" t="str">
            <v>serum</v>
          </cell>
          <cell r="AF14485">
            <v>0.2</v>
          </cell>
        </row>
        <row r="14486">
          <cell r="A14486" t="str">
            <v>IS_alqt_plus</v>
          </cell>
          <cell r="K14486" t="str">
            <v>PCOQ</v>
          </cell>
          <cell r="M14486" t="str">
            <v>F</v>
          </cell>
          <cell r="AB14486" t="str">
            <v>WB</v>
          </cell>
          <cell r="AF14486">
            <v>0.2</v>
          </cell>
        </row>
        <row r="14487">
          <cell r="A14487" t="str">
            <v>IS_alqt_plus</v>
          </cell>
          <cell r="K14487" t="str">
            <v>PCOQ</v>
          </cell>
          <cell r="M14487" t="str">
            <v>F</v>
          </cell>
          <cell r="AB14487" t="str">
            <v>WB</v>
          </cell>
          <cell r="AF14487">
            <v>0.4</v>
          </cell>
        </row>
        <row r="14488">
          <cell r="A14488" t="str">
            <v>IS_alqt_minus</v>
          </cell>
          <cell r="K14488" t="str">
            <v>MMUR</v>
          </cell>
          <cell r="M14488" t="str">
            <v>F</v>
          </cell>
          <cell r="AB14488" t="str">
            <v>WB</v>
          </cell>
          <cell r="AF14488">
            <v>0.08</v>
          </cell>
        </row>
        <row r="14489">
          <cell r="A14489" t="str">
            <v>IS_alqt_plus</v>
          </cell>
          <cell r="K14489" t="str">
            <v>EFLA</v>
          </cell>
          <cell r="M14489" t="str">
            <v>M</v>
          </cell>
          <cell r="AB14489" t="str">
            <v>WB</v>
          </cell>
          <cell r="AF14489">
            <v>0.5</v>
          </cell>
        </row>
        <row r="14490">
          <cell r="A14490" t="str">
            <v>IS_alqt_plus</v>
          </cell>
          <cell r="K14490" t="str">
            <v>EFLA</v>
          </cell>
          <cell r="M14490" t="str">
            <v>M</v>
          </cell>
          <cell r="AB14490" t="str">
            <v>WB</v>
          </cell>
          <cell r="AF14490">
            <v>0.5</v>
          </cell>
        </row>
        <row r="14491">
          <cell r="A14491" t="str">
            <v>gone</v>
          </cell>
          <cell r="K14491" t="str">
            <v>EFLA</v>
          </cell>
          <cell r="M14491" t="str">
            <v>M</v>
          </cell>
          <cell r="AB14491" t="str">
            <v>WB</v>
          </cell>
          <cell r="AF14491">
            <v>0</v>
          </cell>
        </row>
        <row r="14492">
          <cell r="A14492" t="str">
            <v>IS_alqt_plus</v>
          </cell>
          <cell r="K14492" t="str">
            <v>EFLA</v>
          </cell>
          <cell r="M14492" t="str">
            <v>M</v>
          </cell>
          <cell r="AB14492" t="str">
            <v>WB</v>
          </cell>
          <cell r="AF14492">
            <v>0.2</v>
          </cell>
        </row>
        <row r="14493">
          <cell r="A14493" t="str">
            <v>IS_alqt_plus</v>
          </cell>
          <cell r="K14493" t="str">
            <v>EFLA</v>
          </cell>
          <cell r="M14493" t="str">
            <v>M</v>
          </cell>
          <cell r="AB14493" t="str">
            <v>WB</v>
          </cell>
          <cell r="AF14493">
            <v>0.2</v>
          </cell>
        </row>
        <row r="14494">
          <cell r="A14494" t="str">
            <v>IS_alqt_minus</v>
          </cell>
          <cell r="K14494" t="str">
            <v>MMUR</v>
          </cell>
          <cell r="M14494" t="str">
            <v>M</v>
          </cell>
          <cell r="AB14494" t="str">
            <v>plasma</v>
          </cell>
          <cell r="AF14494">
            <v>0.1</v>
          </cell>
        </row>
        <row r="14495">
          <cell r="A14495" t="str">
            <v>IS_alqt_plus</v>
          </cell>
          <cell r="K14495" t="str">
            <v>MMUR</v>
          </cell>
          <cell r="M14495" t="str">
            <v>M</v>
          </cell>
          <cell r="AB14495" t="str">
            <v>WB</v>
          </cell>
          <cell r="AF14495">
            <v>0.2</v>
          </cell>
        </row>
        <row r="14496">
          <cell r="A14496" t="str">
            <v>IS_alqt_plus</v>
          </cell>
          <cell r="K14496" t="str">
            <v>MMUR</v>
          </cell>
          <cell r="M14496" t="str">
            <v>M</v>
          </cell>
          <cell r="AB14496" t="str">
            <v>WB</v>
          </cell>
          <cell r="AF14496">
            <v>0.2</v>
          </cell>
        </row>
        <row r="14497">
          <cell r="A14497" t="str">
            <v>gone</v>
          </cell>
          <cell r="K14497" t="str">
            <v>MMUR</v>
          </cell>
          <cell r="M14497" t="str">
            <v>M</v>
          </cell>
          <cell r="AB14497" t="str">
            <v>WB</v>
          </cell>
          <cell r="AF14497">
            <v>0</v>
          </cell>
        </row>
        <row r="14498">
          <cell r="A14498" t="str">
            <v>IS_alqt_plus</v>
          </cell>
          <cell r="K14498" t="str">
            <v>MMUR</v>
          </cell>
          <cell r="M14498" t="str">
            <v>M</v>
          </cell>
          <cell r="AB14498" t="str">
            <v>WB</v>
          </cell>
          <cell r="AF14498">
            <v>0.4</v>
          </cell>
        </row>
        <row r="14499">
          <cell r="A14499" t="str">
            <v>IS_alqt_plus</v>
          </cell>
          <cell r="K14499" t="str">
            <v>MMUR</v>
          </cell>
          <cell r="M14499" t="str">
            <v>M</v>
          </cell>
          <cell r="AB14499" t="str">
            <v>WB</v>
          </cell>
          <cell r="AF14499">
            <v>0.3</v>
          </cell>
        </row>
        <row r="14500">
          <cell r="A14500" t="str">
            <v>IS_alqt_minus</v>
          </cell>
          <cell r="K14500" t="str">
            <v>MMUR</v>
          </cell>
          <cell r="M14500" t="str">
            <v>F</v>
          </cell>
          <cell r="AB14500" t="str">
            <v>WB</v>
          </cell>
          <cell r="AF14500">
            <v>0.05</v>
          </cell>
        </row>
        <row r="14501">
          <cell r="A14501" t="str">
            <v>IS_alqt_plus</v>
          </cell>
          <cell r="K14501" t="str">
            <v>VRUB</v>
          </cell>
          <cell r="M14501" t="str">
            <v>M</v>
          </cell>
          <cell r="AB14501" t="str">
            <v>serum</v>
          </cell>
          <cell r="AF14501">
            <v>0.2</v>
          </cell>
        </row>
        <row r="14502">
          <cell r="A14502" t="str">
            <v>IS_alqt_plus</v>
          </cell>
          <cell r="K14502" t="str">
            <v>VRUB</v>
          </cell>
          <cell r="M14502" t="str">
            <v>M</v>
          </cell>
          <cell r="AB14502" t="str">
            <v>serum</v>
          </cell>
          <cell r="AF14502">
            <v>0.2</v>
          </cell>
        </row>
        <row r="14503">
          <cell r="A14503" t="str">
            <v>IS_alqt_plus</v>
          </cell>
          <cell r="K14503" t="str">
            <v>VRUB</v>
          </cell>
          <cell r="M14503" t="str">
            <v>M</v>
          </cell>
          <cell r="AB14503" t="str">
            <v>serum</v>
          </cell>
          <cell r="AF14503">
            <v>0.4</v>
          </cell>
        </row>
        <row r="14504">
          <cell r="A14504" t="str">
            <v>IS_alqt_plus</v>
          </cell>
          <cell r="K14504" t="str">
            <v>VRUB</v>
          </cell>
          <cell r="M14504" t="str">
            <v>F</v>
          </cell>
          <cell r="AB14504" t="str">
            <v>WB</v>
          </cell>
          <cell r="AF14504">
            <v>0.2</v>
          </cell>
        </row>
        <row r="14505">
          <cell r="A14505" t="str">
            <v>IS_alqt_plus</v>
          </cell>
          <cell r="K14505" t="str">
            <v>VRUB</v>
          </cell>
          <cell r="M14505" t="str">
            <v>F</v>
          </cell>
          <cell r="AB14505" t="str">
            <v>WB</v>
          </cell>
          <cell r="AF14505">
            <v>0.2</v>
          </cell>
        </row>
        <row r="14506">
          <cell r="A14506" t="str">
            <v>IS_alqt_plus</v>
          </cell>
          <cell r="K14506" t="str">
            <v>VRUB</v>
          </cell>
          <cell r="M14506" t="str">
            <v>F</v>
          </cell>
          <cell r="AB14506" t="str">
            <v>WB</v>
          </cell>
          <cell r="AF14506">
            <v>0.4</v>
          </cell>
        </row>
        <row r="14507">
          <cell r="A14507" t="str">
            <v>IS_alqt_plus</v>
          </cell>
          <cell r="K14507" t="str">
            <v>VRUB</v>
          </cell>
          <cell r="M14507" t="str">
            <v>F</v>
          </cell>
          <cell r="AB14507" t="str">
            <v>WB</v>
          </cell>
          <cell r="AF14507">
            <v>0.4</v>
          </cell>
        </row>
        <row r="14508">
          <cell r="A14508" t="str">
            <v>IS_alqt_plus</v>
          </cell>
          <cell r="K14508" t="str">
            <v>VRUB</v>
          </cell>
          <cell r="M14508" t="str">
            <v>F</v>
          </cell>
          <cell r="AB14508" t="str">
            <v>WB</v>
          </cell>
          <cell r="AF14508">
            <v>0.6</v>
          </cell>
        </row>
        <row r="14509">
          <cell r="A14509" t="str">
            <v>IS_alqt_plus</v>
          </cell>
          <cell r="K14509" t="str">
            <v>VRUB</v>
          </cell>
          <cell r="M14509" t="str">
            <v>F</v>
          </cell>
          <cell r="AB14509" t="str">
            <v>WB</v>
          </cell>
          <cell r="AF14509">
            <v>0.8</v>
          </cell>
        </row>
        <row r="14510">
          <cell r="A14510" t="str">
            <v>IS_alqt_plus</v>
          </cell>
          <cell r="K14510" t="str">
            <v>VRUB</v>
          </cell>
          <cell r="M14510" t="str">
            <v>F</v>
          </cell>
          <cell r="AB14510" t="str">
            <v>serum</v>
          </cell>
          <cell r="AF14510">
            <v>0.2</v>
          </cell>
        </row>
        <row r="14511">
          <cell r="A14511" t="str">
            <v>IS_alqt_plus</v>
          </cell>
          <cell r="K14511" t="str">
            <v>VRUB</v>
          </cell>
          <cell r="M14511" t="str">
            <v>F</v>
          </cell>
          <cell r="AB14511" t="str">
            <v>serum</v>
          </cell>
          <cell r="AF14511">
            <v>0.2</v>
          </cell>
        </row>
        <row r="14512">
          <cell r="A14512" t="str">
            <v>IS_alqt_plus</v>
          </cell>
          <cell r="K14512" t="str">
            <v>VRUB</v>
          </cell>
          <cell r="M14512" t="str">
            <v>F</v>
          </cell>
          <cell r="AB14512" t="str">
            <v>serum</v>
          </cell>
          <cell r="AF14512">
            <v>0.3</v>
          </cell>
        </row>
        <row r="14513">
          <cell r="A14513" t="str">
            <v>IS_alqt_plus</v>
          </cell>
          <cell r="K14513" t="str">
            <v>VRUB</v>
          </cell>
          <cell r="M14513" t="str">
            <v>F</v>
          </cell>
          <cell r="AB14513" t="str">
            <v>serum</v>
          </cell>
          <cell r="AF14513">
            <v>0.4</v>
          </cell>
        </row>
        <row r="14514">
          <cell r="A14514" t="str">
            <v>IS_alqt_plus</v>
          </cell>
          <cell r="K14514" t="str">
            <v>VRUB</v>
          </cell>
          <cell r="M14514" t="str">
            <v>F</v>
          </cell>
          <cell r="AB14514" t="str">
            <v>serum</v>
          </cell>
          <cell r="AF14514">
            <v>0.6</v>
          </cell>
        </row>
        <row r="14515">
          <cell r="A14515" t="str">
            <v>IS_alqt_plus</v>
          </cell>
          <cell r="K14515" t="str">
            <v>PCOQ</v>
          </cell>
          <cell r="M14515" t="str">
            <v>M</v>
          </cell>
          <cell r="AB14515" t="str">
            <v>serum</v>
          </cell>
          <cell r="AF14515">
            <v>0.6</v>
          </cell>
        </row>
        <row r="14516">
          <cell r="A14516" t="str">
            <v>IS_alqt_plus</v>
          </cell>
          <cell r="K14516" t="str">
            <v>PCOQ</v>
          </cell>
          <cell r="M14516" t="str">
            <v>M</v>
          </cell>
          <cell r="AB14516" t="str">
            <v>serum</v>
          </cell>
          <cell r="AF14516">
            <v>0.4</v>
          </cell>
        </row>
        <row r="14517">
          <cell r="A14517" t="str">
            <v>IS_alqt_plus</v>
          </cell>
          <cell r="K14517" t="str">
            <v>PCOQ</v>
          </cell>
          <cell r="M14517" t="str">
            <v>M</v>
          </cell>
          <cell r="AB14517" t="str">
            <v>serum</v>
          </cell>
          <cell r="AF14517">
            <v>0.2</v>
          </cell>
        </row>
        <row r="14518">
          <cell r="A14518" t="str">
            <v>IS_alqt_plus</v>
          </cell>
          <cell r="K14518" t="str">
            <v>PCOQ</v>
          </cell>
          <cell r="M14518" t="str">
            <v>M</v>
          </cell>
          <cell r="AB14518" t="str">
            <v>serum</v>
          </cell>
          <cell r="AF14518">
            <v>0.2</v>
          </cell>
        </row>
        <row r="14519">
          <cell r="A14519" t="str">
            <v>IS_alqt_plus</v>
          </cell>
          <cell r="K14519" t="str">
            <v>PCOQ</v>
          </cell>
          <cell r="M14519" t="str">
            <v>M</v>
          </cell>
          <cell r="AB14519" t="str">
            <v>serum</v>
          </cell>
          <cell r="AF14519">
            <v>0.2</v>
          </cell>
        </row>
        <row r="14520">
          <cell r="A14520" t="str">
            <v>IS_alqt_plus</v>
          </cell>
          <cell r="K14520" t="str">
            <v>PCOQ</v>
          </cell>
          <cell r="M14520" t="str">
            <v>M</v>
          </cell>
          <cell r="AB14520" t="str">
            <v>serum</v>
          </cell>
          <cell r="AF14520">
            <v>0.3</v>
          </cell>
        </row>
        <row r="14521">
          <cell r="A14521" t="str">
            <v>IS_alqt_plus</v>
          </cell>
          <cell r="K14521" t="str">
            <v>PCOQ</v>
          </cell>
          <cell r="M14521" t="str">
            <v>M</v>
          </cell>
          <cell r="AB14521" t="str">
            <v>serum</v>
          </cell>
          <cell r="AF14521">
            <v>0.3</v>
          </cell>
        </row>
        <row r="14522">
          <cell r="A14522" t="str">
            <v>IS_alqt_plus</v>
          </cell>
          <cell r="K14522" t="str">
            <v>PCOQ</v>
          </cell>
          <cell r="M14522" t="str">
            <v>M</v>
          </cell>
          <cell r="AB14522" t="str">
            <v>WB</v>
          </cell>
          <cell r="AF14522">
            <v>0.2</v>
          </cell>
        </row>
        <row r="14523">
          <cell r="A14523" t="str">
            <v>IS_alqt_plus</v>
          </cell>
          <cell r="K14523" t="str">
            <v>PCOQ</v>
          </cell>
          <cell r="M14523" t="str">
            <v>M</v>
          </cell>
          <cell r="AB14523" t="str">
            <v>WB</v>
          </cell>
          <cell r="AF14523">
            <v>0.2</v>
          </cell>
        </row>
        <row r="14524">
          <cell r="A14524" t="str">
            <v>IS_alqt_plus</v>
          </cell>
          <cell r="K14524" t="str">
            <v>PCOQ</v>
          </cell>
          <cell r="M14524" t="str">
            <v>M</v>
          </cell>
          <cell r="AB14524" t="str">
            <v>WB</v>
          </cell>
          <cell r="AF14524">
            <v>0.4</v>
          </cell>
        </row>
        <row r="14525">
          <cell r="A14525" t="str">
            <v>IS_alqt_plus</v>
          </cell>
          <cell r="K14525" t="str">
            <v>PCOQ</v>
          </cell>
          <cell r="M14525" t="str">
            <v>M</v>
          </cell>
          <cell r="AB14525" t="str">
            <v>WB</v>
          </cell>
          <cell r="AF14525">
            <v>0.4</v>
          </cell>
        </row>
        <row r="14526">
          <cell r="A14526" t="str">
            <v>IS_alqt_plus</v>
          </cell>
          <cell r="K14526" t="str">
            <v>VRUB</v>
          </cell>
          <cell r="M14526" t="str">
            <v>F</v>
          </cell>
          <cell r="AB14526" t="str">
            <v>serum</v>
          </cell>
          <cell r="AF14526">
            <v>0.4</v>
          </cell>
        </row>
        <row r="14527">
          <cell r="A14527" t="str">
            <v>IS_alqt_plus</v>
          </cell>
          <cell r="K14527" t="str">
            <v>VRUB</v>
          </cell>
          <cell r="M14527" t="str">
            <v>F</v>
          </cell>
          <cell r="AB14527" t="str">
            <v>WB</v>
          </cell>
          <cell r="AF14527">
            <v>0.2</v>
          </cell>
        </row>
        <row r="14528">
          <cell r="A14528" t="str">
            <v>IS_alqt_plus</v>
          </cell>
          <cell r="K14528" t="str">
            <v>VRUB</v>
          </cell>
          <cell r="M14528" t="str">
            <v>F</v>
          </cell>
          <cell r="AB14528" t="str">
            <v>WB</v>
          </cell>
          <cell r="AF14528">
            <v>1</v>
          </cell>
        </row>
        <row r="14529">
          <cell r="A14529" t="str">
            <v>IS_alqt_plus</v>
          </cell>
          <cell r="K14529" t="str">
            <v>LCAT</v>
          </cell>
          <cell r="M14529" t="str">
            <v>M</v>
          </cell>
          <cell r="AB14529" t="str">
            <v>serum</v>
          </cell>
          <cell r="AF14529">
            <v>0.5</v>
          </cell>
        </row>
        <row r="14530">
          <cell r="A14530" t="str">
            <v>IS_alqt_plus</v>
          </cell>
          <cell r="K14530" t="str">
            <v>LCAT</v>
          </cell>
          <cell r="M14530" t="str">
            <v>M</v>
          </cell>
          <cell r="AB14530" t="str">
            <v>serum</v>
          </cell>
          <cell r="AF14530">
            <v>0.4</v>
          </cell>
        </row>
        <row r="14531">
          <cell r="A14531" t="str">
            <v>IS_alqt_plus</v>
          </cell>
          <cell r="K14531" t="str">
            <v>LCAT</v>
          </cell>
          <cell r="M14531" t="str">
            <v>M</v>
          </cell>
          <cell r="AB14531" t="str">
            <v>serum</v>
          </cell>
          <cell r="AF14531">
            <v>0.6</v>
          </cell>
        </row>
        <row r="14532">
          <cell r="A14532" t="str">
            <v>IS_alqt_plus</v>
          </cell>
          <cell r="K14532" t="str">
            <v>LCAT</v>
          </cell>
          <cell r="M14532" t="str">
            <v>M</v>
          </cell>
          <cell r="AB14532" t="str">
            <v>WB</v>
          </cell>
          <cell r="AF14532">
            <v>0.6</v>
          </cell>
        </row>
        <row r="14533">
          <cell r="A14533" t="str">
            <v>IS_alqt_plus</v>
          </cell>
          <cell r="K14533" t="str">
            <v>LCAT</v>
          </cell>
          <cell r="M14533" t="str">
            <v>M</v>
          </cell>
          <cell r="AB14533" t="str">
            <v>WB</v>
          </cell>
          <cell r="AF14533">
            <v>1</v>
          </cell>
        </row>
        <row r="14534">
          <cell r="A14534" t="str">
            <v>IS_alqt_plus</v>
          </cell>
          <cell r="K14534" t="str">
            <v>LCAT</v>
          </cell>
          <cell r="M14534" t="str">
            <v>F</v>
          </cell>
          <cell r="AB14534" t="str">
            <v>serum</v>
          </cell>
          <cell r="AF14534">
            <v>0.3</v>
          </cell>
        </row>
        <row r="14535">
          <cell r="A14535" t="str">
            <v>IS_alqt_minus</v>
          </cell>
          <cell r="K14535" t="str">
            <v>MMUR</v>
          </cell>
          <cell r="M14535" t="str">
            <v>M</v>
          </cell>
          <cell r="AB14535" t="str">
            <v>plasma</v>
          </cell>
          <cell r="AF14535">
            <v>0.05</v>
          </cell>
        </row>
        <row r="14536">
          <cell r="A14536" t="str">
            <v>IS_alqt_minus</v>
          </cell>
          <cell r="K14536" t="str">
            <v>MMUR</v>
          </cell>
          <cell r="M14536" t="str">
            <v>M</v>
          </cell>
          <cell r="AB14536" t="str">
            <v>plasma</v>
          </cell>
          <cell r="AF14536">
            <v>0.1</v>
          </cell>
        </row>
        <row r="14537">
          <cell r="A14537" t="str">
            <v>IS_alqt_minus</v>
          </cell>
          <cell r="K14537" t="str">
            <v>MMUR</v>
          </cell>
          <cell r="M14537" t="str">
            <v>M</v>
          </cell>
          <cell r="AB14537" t="str">
            <v>PRBC</v>
          </cell>
          <cell r="AF14537">
            <v>0.2</v>
          </cell>
        </row>
        <row r="14538">
          <cell r="A14538" t="str">
            <v>IS_alqt_minus</v>
          </cell>
          <cell r="K14538" t="str">
            <v>MMUR</v>
          </cell>
          <cell r="M14538" t="str">
            <v>M</v>
          </cell>
          <cell r="AB14538" t="str">
            <v>PRBC</v>
          </cell>
          <cell r="AF14538">
            <v>0.2</v>
          </cell>
        </row>
        <row r="14539">
          <cell r="A14539" t="str">
            <v>IS_alqt_plus</v>
          </cell>
          <cell r="K14539" t="str">
            <v>EFLA</v>
          </cell>
          <cell r="M14539" t="str">
            <v>F</v>
          </cell>
          <cell r="AB14539" t="str">
            <v>serum</v>
          </cell>
          <cell r="AF14539">
            <v>0.8</v>
          </cell>
        </row>
        <row r="14540">
          <cell r="A14540" t="str">
            <v>IS_alqt_plus</v>
          </cell>
          <cell r="K14540" t="str">
            <v>EFLA</v>
          </cell>
          <cell r="M14540" t="str">
            <v>F</v>
          </cell>
          <cell r="AB14540" t="str">
            <v>serum</v>
          </cell>
          <cell r="AF14540">
            <v>0.4</v>
          </cell>
        </row>
        <row r="14541">
          <cell r="A14541" t="str">
            <v>IS_alqt_plus</v>
          </cell>
          <cell r="K14541" t="str">
            <v>EFLA</v>
          </cell>
          <cell r="M14541" t="str">
            <v>F</v>
          </cell>
          <cell r="AB14541" t="str">
            <v>serum</v>
          </cell>
          <cell r="AF14541">
            <v>0.4</v>
          </cell>
        </row>
        <row r="14542">
          <cell r="A14542" t="str">
            <v>IS_alqt_plus</v>
          </cell>
          <cell r="K14542" t="str">
            <v>PCOQ</v>
          </cell>
          <cell r="M14542" t="str">
            <v>F</v>
          </cell>
          <cell r="AB14542" t="str">
            <v>WB</v>
          </cell>
          <cell r="AF14542">
            <v>0.2</v>
          </cell>
        </row>
        <row r="14543">
          <cell r="A14543" t="str">
            <v>IS_alqt_plus</v>
          </cell>
          <cell r="K14543" t="str">
            <v>PCOQ</v>
          </cell>
          <cell r="M14543" t="str">
            <v>F</v>
          </cell>
          <cell r="AB14543" t="str">
            <v>WB</v>
          </cell>
          <cell r="AF14543">
            <v>0.2</v>
          </cell>
        </row>
        <row r="14544">
          <cell r="A14544" t="str">
            <v>IS_alqt_plus</v>
          </cell>
          <cell r="K14544" t="str">
            <v>PCOQ</v>
          </cell>
          <cell r="M14544" t="str">
            <v>F</v>
          </cell>
          <cell r="AB14544" t="str">
            <v>WB</v>
          </cell>
          <cell r="AF14544">
            <v>0.4</v>
          </cell>
        </row>
        <row r="14545">
          <cell r="A14545" t="str">
            <v>IS_alqt_plus</v>
          </cell>
          <cell r="K14545" t="str">
            <v>PCOQ</v>
          </cell>
          <cell r="M14545" t="str">
            <v>F</v>
          </cell>
          <cell r="AB14545" t="str">
            <v>WB</v>
          </cell>
          <cell r="AF14545">
            <v>0.4</v>
          </cell>
        </row>
        <row r="14546">
          <cell r="A14546" t="str">
            <v>IS_alqt_plus</v>
          </cell>
          <cell r="K14546" t="str">
            <v>PCOQ</v>
          </cell>
          <cell r="M14546" t="str">
            <v>F</v>
          </cell>
          <cell r="AB14546" t="str">
            <v>serum</v>
          </cell>
          <cell r="AF14546">
            <v>0.2</v>
          </cell>
        </row>
        <row r="14547">
          <cell r="A14547" t="str">
            <v>IS_alqt_plus</v>
          </cell>
          <cell r="K14547" t="str">
            <v>PCOQ</v>
          </cell>
          <cell r="M14547" t="str">
            <v>F</v>
          </cell>
          <cell r="AB14547" t="str">
            <v>serum</v>
          </cell>
          <cell r="AF14547">
            <v>0.2</v>
          </cell>
        </row>
        <row r="14548">
          <cell r="A14548" t="str">
            <v>IS_alqt_plus</v>
          </cell>
          <cell r="K14548" t="str">
            <v>PCOQ</v>
          </cell>
          <cell r="M14548" t="str">
            <v>F</v>
          </cell>
          <cell r="AB14548" t="str">
            <v>serum</v>
          </cell>
          <cell r="AF14548">
            <v>0.4</v>
          </cell>
        </row>
        <row r="14549">
          <cell r="A14549" t="str">
            <v>IS_alqt_plus</v>
          </cell>
          <cell r="K14549" t="str">
            <v>PCOQ</v>
          </cell>
          <cell r="M14549" t="str">
            <v>F</v>
          </cell>
          <cell r="AB14549" t="str">
            <v>serum</v>
          </cell>
          <cell r="AF14549">
            <v>0.4</v>
          </cell>
        </row>
        <row r="14550">
          <cell r="A14550" t="str">
            <v>IS_alqt_plus</v>
          </cell>
          <cell r="K14550" t="str">
            <v>PCOQ</v>
          </cell>
          <cell r="M14550" t="str">
            <v>F</v>
          </cell>
          <cell r="AB14550" t="str">
            <v>serum</v>
          </cell>
          <cell r="AF14550">
            <v>0.4</v>
          </cell>
        </row>
        <row r="14551">
          <cell r="A14551" t="str">
            <v>IS_alqt_minus</v>
          </cell>
          <cell r="K14551" t="str">
            <v>MMUR</v>
          </cell>
          <cell r="M14551" t="str">
            <v>F</v>
          </cell>
          <cell r="AB14551" t="str">
            <v>plasma</v>
          </cell>
          <cell r="AF14551">
            <v>6.5000000000000002E-2</v>
          </cell>
        </row>
        <row r="14552">
          <cell r="A14552" t="str">
            <v>IS_alqt_minus</v>
          </cell>
          <cell r="K14552" t="str">
            <v>MMUR</v>
          </cell>
          <cell r="M14552" t="str">
            <v>F</v>
          </cell>
          <cell r="AB14552" t="str">
            <v>PRBC</v>
          </cell>
          <cell r="AF14552">
            <v>0.15</v>
          </cell>
        </row>
        <row r="14553">
          <cell r="A14553" t="str">
            <v>IS_alqt_minus</v>
          </cell>
          <cell r="K14553" t="str">
            <v>MMUR</v>
          </cell>
          <cell r="M14553" t="str">
            <v>M</v>
          </cell>
          <cell r="AB14553" t="str">
            <v>plasma</v>
          </cell>
          <cell r="AF14553">
            <v>0.1</v>
          </cell>
        </row>
        <row r="14554">
          <cell r="A14554" t="str">
            <v>IS_alqt_minus</v>
          </cell>
          <cell r="K14554" t="str">
            <v>MMUR</v>
          </cell>
          <cell r="M14554" t="str">
            <v>M</v>
          </cell>
          <cell r="AB14554" t="str">
            <v>PRBC</v>
          </cell>
          <cell r="AF14554">
            <v>0.15</v>
          </cell>
        </row>
        <row r="14555">
          <cell r="A14555" t="str">
            <v>IS_alqt_minus</v>
          </cell>
          <cell r="K14555" t="str">
            <v>MMUR</v>
          </cell>
          <cell r="M14555" t="str">
            <v>M</v>
          </cell>
          <cell r="AB14555" t="str">
            <v>plasma</v>
          </cell>
          <cell r="AF14555">
            <v>0.1</v>
          </cell>
        </row>
        <row r="14556">
          <cell r="A14556" t="str">
            <v>IS_alqt_minus</v>
          </cell>
          <cell r="K14556" t="str">
            <v>MMUR</v>
          </cell>
          <cell r="M14556" t="str">
            <v>M</v>
          </cell>
          <cell r="AB14556" t="str">
            <v>PRBC</v>
          </cell>
          <cell r="AF14556">
            <v>0.2</v>
          </cell>
        </row>
        <row r="14557">
          <cell r="A14557" t="str">
            <v>IS_alqt_plus</v>
          </cell>
          <cell r="K14557" t="str">
            <v>PCOQ</v>
          </cell>
          <cell r="M14557" t="str">
            <v>F</v>
          </cell>
          <cell r="AB14557" t="str">
            <v>serum</v>
          </cell>
          <cell r="AF14557">
            <v>0.4</v>
          </cell>
        </row>
        <row r="14558">
          <cell r="A14558" t="str">
            <v>IS_alqt_plus</v>
          </cell>
          <cell r="K14558" t="str">
            <v>PCOQ</v>
          </cell>
          <cell r="M14558" t="str">
            <v>F</v>
          </cell>
          <cell r="AB14558" t="str">
            <v>serum</v>
          </cell>
          <cell r="AF14558">
            <v>1</v>
          </cell>
        </row>
        <row r="14559">
          <cell r="A14559" t="str">
            <v>IS_alqt_minus</v>
          </cell>
          <cell r="K14559" t="str">
            <v>MMUR</v>
          </cell>
          <cell r="M14559" t="str">
            <v>F</v>
          </cell>
          <cell r="AB14559" t="str">
            <v>PRBC</v>
          </cell>
          <cell r="AF14559">
            <v>0.15</v>
          </cell>
        </row>
        <row r="14560">
          <cell r="A14560" t="str">
            <v>IS_alqt_minus</v>
          </cell>
          <cell r="K14560" t="str">
            <v>MMUR</v>
          </cell>
          <cell r="M14560" t="str">
            <v>F</v>
          </cell>
          <cell r="AB14560" t="str">
            <v>PRBC</v>
          </cell>
          <cell r="AF14560">
            <v>0.15</v>
          </cell>
        </row>
        <row r="14561">
          <cell r="A14561" t="str">
            <v>IS_alqt_minus</v>
          </cell>
          <cell r="K14561" t="str">
            <v>MMUR</v>
          </cell>
          <cell r="M14561" t="str">
            <v>M</v>
          </cell>
          <cell r="AB14561" t="str">
            <v>PRBC</v>
          </cell>
          <cell r="AF14561">
            <v>0.15</v>
          </cell>
        </row>
        <row r="14562">
          <cell r="A14562" t="str">
            <v>IS_alqt_minus</v>
          </cell>
          <cell r="K14562" t="str">
            <v>MMUR</v>
          </cell>
          <cell r="M14562" t="str">
            <v>F</v>
          </cell>
          <cell r="AB14562" t="str">
            <v>PRBC</v>
          </cell>
          <cell r="AF14562">
            <v>0.15</v>
          </cell>
        </row>
        <row r="14563">
          <cell r="A14563" t="str">
            <v>IS_alqt_plus</v>
          </cell>
          <cell r="K14563" t="str">
            <v>PCOQ</v>
          </cell>
          <cell r="M14563" t="str">
            <v>F</v>
          </cell>
          <cell r="AB14563" t="str">
            <v>WB</v>
          </cell>
          <cell r="AF14563">
            <v>0.2</v>
          </cell>
        </row>
        <row r="14564">
          <cell r="A14564" t="str">
            <v>IS_alqt_plus</v>
          </cell>
          <cell r="K14564" t="str">
            <v>PCOQ</v>
          </cell>
          <cell r="M14564" t="str">
            <v>F</v>
          </cell>
          <cell r="AB14564" t="str">
            <v>WB</v>
          </cell>
          <cell r="AF14564">
            <v>0.2</v>
          </cell>
        </row>
        <row r="14565">
          <cell r="A14565" t="str">
            <v>IS_alqt_plus</v>
          </cell>
          <cell r="K14565" t="str">
            <v>PCOQ</v>
          </cell>
          <cell r="M14565" t="str">
            <v>F</v>
          </cell>
          <cell r="AB14565" t="str">
            <v>WB</v>
          </cell>
          <cell r="AF14565">
            <v>0.4</v>
          </cell>
        </row>
        <row r="14566">
          <cell r="A14566" t="str">
            <v>IS_alqt_plus</v>
          </cell>
          <cell r="K14566" t="str">
            <v>PCOQ</v>
          </cell>
          <cell r="M14566" t="str">
            <v>F</v>
          </cell>
          <cell r="AB14566" t="str">
            <v>WB</v>
          </cell>
          <cell r="AF14566">
            <v>0.4</v>
          </cell>
        </row>
        <row r="14567">
          <cell r="A14567" t="str">
            <v>IS_alqt_plus</v>
          </cell>
          <cell r="K14567" t="str">
            <v>PCOQ</v>
          </cell>
          <cell r="M14567" t="str">
            <v>F</v>
          </cell>
          <cell r="AB14567" t="str">
            <v>WB</v>
          </cell>
          <cell r="AF14567">
            <v>0.6</v>
          </cell>
        </row>
        <row r="14568">
          <cell r="A14568" t="str">
            <v>IS_alqt_plus</v>
          </cell>
          <cell r="K14568" t="str">
            <v>PCOQ</v>
          </cell>
          <cell r="M14568" t="str">
            <v>F</v>
          </cell>
          <cell r="AB14568" t="str">
            <v>WB</v>
          </cell>
          <cell r="AF14568">
            <v>0.6</v>
          </cell>
        </row>
        <row r="14569">
          <cell r="A14569" t="str">
            <v>IS_alqt_plus</v>
          </cell>
          <cell r="K14569" t="str">
            <v>DMAD</v>
          </cell>
          <cell r="M14569" t="str">
            <v>F</v>
          </cell>
          <cell r="AB14569" t="str">
            <v>WB</v>
          </cell>
          <cell r="AF14569">
            <v>0.2</v>
          </cell>
        </row>
        <row r="14570">
          <cell r="A14570" t="str">
            <v>IS_alqt_plus</v>
          </cell>
          <cell r="K14570" t="str">
            <v>DMAD</v>
          </cell>
          <cell r="M14570" t="str">
            <v>F</v>
          </cell>
          <cell r="AB14570" t="str">
            <v>WB</v>
          </cell>
          <cell r="AF14570">
            <v>0.2</v>
          </cell>
        </row>
        <row r="14571">
          <cell r="A14571" t="str">
            <v>IS_alqt_plus</v>
          </cell>
          <cell r="K14571" t="str">
            <v>DMAD</v>
          </cell>
          <cell r="M14571" t="str">
            <v>F</v>
          </cell>
          <cell r="AB14571" t="str">
            <v>WB</v>
          </cell>
          <cell r="AF14571">
            <v>0.4</v>
          </cell>
        </row>
        <row r="14572">
          <cell r="A14572" t="str">
            <v>IS_alqt_plus</v>
          </cell>
          <cell r="K14572" t="str">
            <v>DMAD</v>
          </cell>
          <cell r="M14572" t="str">
            <v>F</v>
          </cell>
          <cell r="AB14572" t="str">
            <v>WB</v>
          </cell>
          <cell r="AF14572">
            <v>0.6</v>
          </cell>
        </row>
        <row r="14573">
          <cell r="A14573" t="str">
            <v>IS_alqt_plus</v>
          </cell>
          <cell r="K14573" t="str">
            <v>DMAD</v>
          </cell>
          <cell r="M14573" t="str">
            <v>F</v>
          </cell>
          <cell r="AB14573" t="str">
            <v>serum</v>
          </cell>
          <cell r="AF14573">
            <v>0.2</v>
          </cell>
        </row>
        <row r="14574">
          <cell r="A14574" t="str">
            <v>IS_alqt_plus</v>
          </cell>
          <cell r="K14574" t="str">
            <v>DMAD</v>
          </cell>
          <cell r="M14574" t="str">
            <v>F</v>
          </cell>
          <cell r="AB14574" t="str">
            <v>serum</v>
          </cell>
          <cell r="AF14574">
            <v>0.2</v>
          </cell>
        </row>
        <row r="14575">
          <cell r="A14575" t="str">
            <v>IS_alqt_plus</v>
          </cell>
          <cell r="K14575" t="str">
            <v>VRUB</v>
          </cell>
          <cell r="M14575" t="str">
            <v>F</v>
          </cell>
          <cell r="AB14575" t="str">
            <v>WB</v>
          </cell>
          <cell r="AF14575">
            <v>0.5</v>
          </cell>
        </row>
        <row r="14576">
          <cell r="A14576" t="str">
            <v>IS_alqt_plus</v>
          </cell>
          <cell r="K14576" t="str">
            <v>VRUB</v>
          </cell>
          <cell r="M14576" t="str">
            <v>F</v>
          </cell>
          <cell r="AB14576" t="str">
            <v>serum</v>
          </cell>
          <cell r="AF14576">
            <v>0.4</v>
          </cell>
        </row>
        <row r="14577">
          <cell r="A14577" t="str">
            <v>IS_alqt_plus</v>
          </cell>
          <cell r="K14577" t="str">
            <v>VRUB</v>
          </cell>
          <cell r="M14577" t="str">
            <v>F</v>
          </cell>
          <cell r="AB14577" t="str">
            <v>serum</v>
          </cell>
          <cell r="AF14577">
            <v>0.4</v>
          </cell>
        </row>
        <row r="14578">
          <cell r="A14578" t="str">
            <v>IS_alqt_plus</v>
          </cell>
          <cell r="K14578" t="str">
            <v>VRUB</v>
          </cell>
          <cell r="M14578" t="str">
            <v>F</v>
          </cell>
          <cell r="AB14578" t="str">
            <v>serum</v>
          </cell>
          <cell r="AF14578">
            <v>0.4</v>
          </cell>
        </row>
        <row r="14579">
          <cell r="A14579" t="str">
            <v>IS_alqt_minus</v>
          </cell>
          <cell r="K14579" t="str">
            <v>MMUR</v>
          </cell>
          <cell r="M14579" t="str">
            <v>F</v>
          </cell>
          <cell r="AB14579" t="str">
            <v>plasma</v>
          </cell>
          <cell r="AF14579">
            <v>0.15</v>
          </cell>
        </row>
        <row r="14580">
          <cell r="A14580" t="str">
            <v>IS_alqt_plus</v>
          </cell>
          <cell r="K14580" t="str">
            <v>PCOQ</v>
          </cell>
          <cell r="M14580" t="str">
            <v>M</v>
          </cell>
          <cell r="AB14580" t="str">
            <v>serum</v>
          </cell>
          <cell r="AF14580">
            <v>0.4</v>
          </cell>
        </row>
        <row r="14581">
          <cell r="A14581" t="str">
            <v>IS_alqt_plus</v>
          </cell>
          <cell r="K14581" t="str">
            <v>PCOQ</v>
          </cell>
          <cell r="M14581" t="str">
            <v>M</v>
          </cell>
          <cell r="AB14581" t="str">
            <v>WB</v>
          </cell>
          <cell r="AF14581">
            <v>0.6</v>
          </cell>
        </row>
        <row r="14582">
          <cell r="A14582" t="str">
            <v>gone</v>
          </cell>
          <cell r="K14582" t="str">
            <v>PCOQ</v>
          </cell>
          <cell r="M14582" t="str">
            <v>M</v>
          </cell>
          <cell r="AB14582" t="str">
            <v>WB</v>
          </cell>
          <cell r="AF14582">
            <v>0</v>
          </cell>
        </row>
        <row r="14583">
          <cell r="A14583" t="str">
            <v>IS_alqt_plus</v>
          </cell>
          <cell r="K14583" t="str">
            <v>VVV</v>
          </cell>
          <cell r="M14583" t="str">
            <v>F</v>
          </cell>
          <cell r="AB14583" t="str">
            <v>WB</v>
          </cell>
          <cell r="AF14583">
            <v>0.2</v>
          </cell>
        </row>
        <row r="14584">
          <cell r="A14584" t="str">
            <v>IS_alqt_plus</v>
          </cell>
          <cell r="K14584" t="str">
            <v>VVV</v>
          </cell>
          <cell r="M14584" t="str">
            <v>F</v>
          </cell>
          <cell r="AB14584" t="str">
            <v>WB</v>
          </cell>
          <cell r="AF14584">
            <v>0.4</v>
          </cell>
        </row>
        <row r="14585">
          <cell r="A14585" t="str">
            <v>IS_alqt_plus</v>
          </cell>
          <cell r="K14585" t="str">
            <v>VVV</v>
          </cell>
          <cell r="M14585" t="str">
            <v>F</v>
          </cell>
          <cell r="AB14585" t="str">
            <v>WB</v>
          </cell>
          <cell r="AF14585">
            <v>0.4</v>
          </cell>
        </row>
        <row r="14586">
          <cell r="A14586" t="str">
            <v>IS_alqt_plus</v>
          </cell>
          <cell r="K14586" t="str">
            <v>VVV</v>
          </cell>
          <cell r="M14586" t="str">
            <v>F</v>
          </cell>
          <cell r="AB14586" t="str">
            <v>serum</v>
          </cell>
          <cell r="AF14586">
            <v>0.2</v>
          </cell>
        </row>
        <row r="14587">
          <cell r="A14587" t="str">
            <v>IS_alqt_plus</v>
          </cell>
          <cell r="K14587" t="str">
            <v>VVV</v>
          </cell>
          <cell r="M14587" t="str">
            <v>F</v>
          </cell>
          <cell r="AB14587" t="str">
            <v>serum</v>
          </cell>
          <cell r="AF14587">
            <v>0.2</v>
          </cell>
        </row>
        <row r="14588">
          <cell r="A14588" t="str">
            <v>IS_alqt_plus</v>
          </cell>
          <cell r="K14588" t="str">
            <v>VVV</v>
          </cell>
          <cell r="M14588" t="str">
            <v>F</v>
          </cell>
          <cell r="AB14588" t="str">
            <v>serum</v>
          </cell>
          <cell r="AF14588">
            <v>1</v>
          </cell>
        </row>
        <row r="14589">
          <cell r="A14589" t="str">
            <v>IS_alqt_plus</v>
          </cell>
          <cell r="K14589" t="str">
            <v>VVV</v>
          </cell>
          <cell r="M14589" t="str">
            <v>F</v>
          </cell>
          <cell r="AB14589" t="str">
            <v>WB</v>
          </cell>
          <cell r="AF14589">
            <v>1</v>
          </cell>
        </row>
        <row r="14590">
          <cell r="A14590" t="str">
            <v>IS_alqt_plus</v>
          </cell>
          <cell r="K14590" t="str">
            <v>VVV</v>
          </cell>
          <cell r="M14590" t="str">
            <v>F</v>
          </cell>
          <cell r="AB14590" t="str">
            <v>WB</v>
          </cell>
          <cell r="AF14590">
            <v>0.6</v>
          </cell>
        </row>
        <row r="14591">
          <cell r="A14591" t="str">
            <v>IS_alqt_plus</v>
          </cell>
          <cell r="K14591" t="str">
            <v>VRUB</v>
          </cell>
          <cell r="M14591" t="str">
            <v>F</v>
          </cell>
          <cell r="AB14591" t="str">
            <v>WB</v>
          </cell>
          <cell r="AF14591">
            <v>0.2</v>
          </cell>
        </row>
        <row r="14592">
          <cell r="A14592" t="str">
            <v>IS_alqt_plus</v>
          </cell>
          <cell r="K14592" t="str">
            <v>VRUB</v>
          </cell>
          <cell r="M14592" t="str">
            <v>F</v>
          </cell>
          <cell r="AB14592" t="str">
            <v>WB</v>
          </cell>
          <cell r="AF14592">
            <v>0.2</v>
          </cell>
        </row>
        <row r="14593">
          <cell r="A14593" t="str">
            <v>IS_alqt_plus</v>
          </cell>
          <cell r="K14593" t="str">
            <v>VRUB</v>
          </cell>
          <cell r="M14593" t="str">
            <v>F</v>
          </cell>
          <cell r="AB14593" t="str">
            <v>WB</v>
          </cell>
          <cell r="AF14593">
            <v>0.4</v>
          </cell>
        </row>
        <row r="14594">
          <cell r="A14594" t="str">
            <v>IS_alqt_plus</v>
          </cell>
          <cell r="K14594" t="str">
            <v>VRUB</v>
          </cell>
          <cell r="M14594" t="str">
            <v>F</v>
          </cell>
          <cell r="AB14594" t="str">
            <v>WB</v>
          </cell>
          <cell r="AF14594">
            <v>0.6</v>
          </cell>
        </row>
        <row r="14595">
          <cell r="A14595" t="str">
            <v>IS_alqt_plus</v>
          </cell>
          <cell r="K14595" t="str">
            <v>VRUB</v>
          </cell>
          <cell r="M14595" t="str">
            <v>F</v>
          </cell>
          <cell r="AB14595" t="str">
            <v>serum</v>
          </cell>
          <cell r="AF14595">
            <v>0.2</v>
          </cell>
        </row>
        <row r="14596">
          <cell r="A14596" t="str">
            <v>IS_alqt_plus</v>
          </cell>
          <cell r="K14596" t="str">
            <v>VRUB</v>
          </cell>
          <cell r="M14596" t="str">
            <v>F</v>
          </cell>
          <cell r="AB14596" t="str">
            <v>serum</v>
          </cell>
          <cell r="AF14596">
            <v>0.4</v>
          </cell>
        </row>
        <row r="14597">
          <cell r="A14597" t="str">
            <v>IS_alqt_plus</v>
          </cell>
          <cell r="K14597" t="str">
            <v>VRUB</v>
          </cell>
          <cell r="M14597" t="str">
            <v>F</v>
          </cell>
          <cell r="AB14597" t="str">
            <v>serum</v>
          </cell>
          <cell r="AF14597">
            <v>0.6</v>
          </cell>
        </row>
        <row r="14598">
          <cell r="A14598" t="str">
            <v>IS_alqt_plus</v>
          </cell>
          <cell r="K14598" t="str">
            <v>VVV</v>
          </cell>
          <cell r="M14598" t="str">
            <v>F</v>
          </cell>
          <cell r="AB14598" t="str">
            <v>serum</v>
          </cell>
          <cell r="AF14598">
            <v>0.4</v>
          </cell>
        </row>
        <row r="14599">
          <cell r="A14599" t="str">
            <v>IS_alqt_plus</v>
          </cell>
          <cell r="K14599" t="str">
            <v>VVV</v>
          </cell>
          <cell r="M14599" t="str">
            <v>F</v>
          </cell>
          <cell r="AB14599" t="str">
            <v>serum</v>
          </cell>
          <cell r="AF14599">
            <v>0.2</v>
          </cell>
        </row>
        <row r="14600">
          <cell r="A14600" t="str">
            <v>IS_alqt_plus</v>
          </cell>
          <cell r="K14600" t="str">
            <v>VVV</v>
          </cell>
          <cell r="M14600" t="str">
            <v>F</v>
          </cell>
          <cell r="AB14600" t="str">
            <v>WB</v>
          </cell>
          <cell r="AF14600">
            <v>1</v>
          </cell>
        </row>
        <row r="14601">
          <cell r="A14601" t="str">
            <v>IS_alqt_plus</v>
          </cell>
          <cell r="K14601" t="str">
            <v>VVV</v>
          </cell>
          <cell r="M14601" t="str">
            <v>F</v>
          </cell>
          <cell r="AB14601" t="str">
            <v>WB</v>
          </cell>
          <cell r="AF14601">
            <v>0.6</v>
          </cell>
        </row>
        <row r="14602">
          <cell r="A14602" t="str">
            <v>IS_alqt_plus</v>
          </cell>
          <cell r="K14602" t="str">
            <v>EMON</v>
          </cell>
          <cell r="M14602" t="str">
            <v>F</v>
          </cell>
          <cell r="AB14602" t="str">
            <v>WB</v>
          </cell>
          <cell r="AF14602">
            <v>0.2</v>
          </cell>
        </row>
        <row r="14603">
          <cell r="A14603" t="str">
            <v>IS_alqt_plus</v>
          </cell>
          <cell r="K14603" t="str">
            <v>EMON</v>
          </cell>
          <cell r="M14603" t="str">
            <v>F</v>
          </cell>
          <cell r="AB14603" t="str">
            <v>WB</v>
          </cell>
          <cell r="AF14603">
            <v>0.4</v>
          </cell>
        </row>
        <row r="14604">
          <cell r="A14604" t="str">
            <v>IS_alqt_plus</v>
          </cell>
          <cell r="K14604" t="str">
            <v>EMON</v>
          </cell>
          <cell r="M14604" t="str">
            <v>F</v>
          </cell>
          <cell r="AB14604" t="str">
            <v>WB</v>
          </cell>
          <cell r="AF14604">
            <v>0.4</v>
          </cell>
        </row>
        <row r="14605">
          <cell r="A14605" t="str">
            <v>IS_alqt_plus</v>
          </cell>
          <cell r="K14605" t="str">
            <v>EMON</v>
          </cell>
          <cell r="M14605" t="str">
            <v>F</v>
          </cell>
          <cell r="AB14605" t="str">
            <v>WB</v>
          </cell>
          <cell r="AF14605">
            <v>0.6</v>
          </cell>
        </row>
        <row r="14606">
          <cell r="A14606" t="str">
            <v>IS_alqt_plus</v>
          </cell>
          <cell r="K14606" t="str">
            <v>EMON</v>
          </cell>
          <cell r="M14606" t="str">
            <v>F</v>
          </cell>
          <cell r="AB14606" t="str">
            <v>serum</v>
          </cell>
          <cell r="AF14606">
            <v>0.2</v>
          </cell>
        </row>
        <row r="14607">
          <cell r="A14607" t="str">
            <v>IS_alqt_plus</v>
          </cell>
          <cell r="K14607" t="str">
            <v>EMON</v>
          </cell>
          <cell r="M14607" t="str">
            <v>F</v>
          </cell>
          <cell r="AB14607" t="str">
            <v>serum</v>
          </cell>
          <cell r="AF14607">
            <v>0.4</v>
          </cell>
        </row>
        <row r="14608">
          <cell r="A14608" t="str">
            <v>IS_alqt_plus</v>
          </cell>
          <cell r="K14608" t="str">
            <v>EMON</v>
          </cell>
          <cell r="M14608" t="str">
            <v>F</v>
          </cell>
          <cell r="AB14608" t="str">
            <v>serum</v>
          </cell>
          <cell r="AF14608">
            <v>0.4</v>
          </cell>
        </row>
        <row r="14609">
          <cell r="A14609" t="str">
            <v>IS_alqt_plus</v>
          </cell>
          <cell r="K14609" t="str">
            <v>VVV</v>
          </cell>
          <cell r="M14609" t="str">
            <v>F</v>
          </cell>
          <cell r="AB14609" t="str">
            <v>WB</v>
          </cell>
          <cell r="AF14609">
            <v>0.2</v>
          </cell>
        </row>
        <row r="14610">
          <cell r="A14610" t="str">
            <v>IS_alqt_plus</v>
          </cell>
          <cell r="K14610" t="str">
            <v>VVV</v>
          </cell>
          <cell r="M14610" t="str">
            <v>F</v>
          </cell>
          <cell r="AB14610" t="str">
            <v>WB</v>
          </cell>
          <cell r="AF14610">
            <v>0.2</v>
          </cell>
        </row>
        <row r="14611">
          <cell r="A14611" t="str">
            <v>IS_alqt_plus</v>
          </cell>
          <cell r="K14611" t="str">
            <v>VVV</v>
          </cell>
          <cell r="M14611" t="str">
            <v>F</v>
          </cell>
          <cell r="AB14611" t="str">
            <v>WB</v>
          </cell>
          <cell r="AF14611">
            <v>0.4</v>
          </cell>
        </row>
        <row r="14612">
          <cell r="A14612" t="str">
            <v>IS_alqt_plus</v>
          </cell>
          <cell r="K14612" t="str">
            <v>VVV</v>
          </cell>
          <cell r="M14612" t="str">
            <v>F</v>
          </cell>
          <cell r="AB14612" t="str">
            <v>WB</v>
          </cell>
          <cell r="AF14612">
            <v>0.4</v>
          </cell>
        </row>
        <row r="14613">
          <cell r="A14613" t="str">
            <v>IS_alqt_plus</v>
          </cell>
          <cell r="K14613" t="str">
            <v>VVV</v>
          </cell>
          <cell r="M14613" t="str">
            <v>F</v>
          </cell>
          <cell r="AB14613" t="str">
            <v>WB</v>
          </cell>
          <cell r="AF14613">
            <v>0.4</v>
          </cell>
        </row>
        <row r="14614">
          <cell r="A14614" t="str">
            <v>IS_alqt_plus</v>
          </cell>
          <cell r="K14614" t="str">
            <v>VVV</v>
          </cell>
          <cell r="M14614" t="str">
            <v>F</v>
          </cell>
          <cell r="AB14614" t="str">
            <v>serum</v>
          </cell>
          <cell r="AF14614">
            <v>0.2</v>
          </cell>
        </row>
        <row r="14615">
          <cell r="A14615" t="str">
            <v>IS_alqt_plus</v>
          </cell>
          <cell r="K14615" t="str">
            <v>VVV</v>
          </cell>
          <cell r="M14615" t="str">
            <v>F</v>
          </cell>
          <cell r="AB14615" t="str">
            <v>serum</v>
          </cell>
          <cell r="AF14615">
            <v>0.2</v>
          </cell>
        </row>
        <row r="14616">
          <cell r="A14616" t="str">
            <v>IS_alqt_plus</v>
          </cell>
          <cell r="K14616" t="str">
            <v>VVV</v>
          </cell>
          <cell r="M14616" t="str">
            <v>F</v>
          </cell>
          <cell r="AB14616" t="str">
            <v>serum</v>
          </cell>
          <cell r="AF14616">
            <v>0.4</v>
          </cell>
        </row>
        <row r="14617">
          <cell r="A14617" t="str">
            <v>IS_alqt_plus</v>
          </cell>
          <cell r="K14617" t="str">
            <v>VVV</v>
          </cell>
          <cell r="M14617" t="str">
            <v>F</v>
          </cell>
          <cell r="AB14617" t="str">
            <v>serum</v>
          </cell>
          <cell r="AF14617">
            <v>0.4</v>
          </cell>
        </row>
        <row r="14618">
          <cell r="A14618" t="str">
            <v>IS_alqt_plus</v>
          </cell>
          <cell r="K14618" t="str">
            <v>PCOQ</v>
          </cell>
          <cell r="M14618" t="str">
            <v>M</v>
          </cell>
          <cell r="AB14618" t="str">
            <v>serum</v>
          </cell>
          <cell r="AF14618">
            <v>1</v>
          </cell>
        </row>
        <row r="14619">
          <cell r="A14619" t="str">
            <v>IS_alqt_plus</v>
          </cell>
          <cell r="K14619" t="str">
            <v>PCOQ</v>
          </cell>
          <cell r="M14619" t="str">
            <v>M</v>
          </cell>
          <cell r="AB14619" t="str">
            <v>WB</v>
          </cell>
          <cell r="AF14619">
            <v>1</v>
          </cell>
        </row>
        <row r="14620">
          <cell r="A14620" t="str">
            <v>IS_alqt_plus</v>
          </cell>
          <cell r="K14620" t="str">
            <v>PCOQ</v>
          </cell>
          <cell r="M14620" t="str">
            <v>M</v>
          </cell>
          <cell r="AB14620" t="str">
            <v>WB</v>
          </cell>
          <cell r="AF14620">
            <v>0.2</v>
          </cell>
        </row>
        <row r="14621">
          <cell r="A14621" t="str">
            <v>IS_alqt_plus</v>
          </cell>
          <cell r="K14621" t="str">
            <v>PCOQ</v>
          </cell>
          <cell r="M14621" t="str">
            <v>M</v>
          </cell>
          <cell r="AB14621" t="str">
            <v>WB</v>
          </cell>
          <cell r="AF14621">
            <v>0.2</v>
          </cell>
        </row>
        <row r="14622">
          <cell r="A14622" t="str">
            <v>IS_alqt_plus</v>
          </cell>
          <cell r="K14622" t="str">
            <v>PCOQ</v>
          </cell>
          <cell r="M14622" t="str">
            <v>M</v>
          </cell>
          <cell r="AB14622" t="str">
            <v>WB</v>
          </cell>
          <cell r="AF14622">
            <v>0.2</v>
          </cell>
        </row>
        <row r="14623">
          <cell r="A14623" t="str">
            <v>IS_alqt_plus</v>
          </cell>
          <cell r="K14623" t="str">
            <v>PCOQ</v>
          </cell>
          <cell r="M14623" t="str">
            <v>M</v>
          </cell>
          <cell r="AB14623" t="str">
            <v>WB</v>
          </cell>
          <cell r="AF14623">
            <v>0.2</v>
          </cell>
        </row>
        <row r="14624">
          <cell r="A14624" t="str">
            <v>IS_alqt_plus</v>
          </cell>
          <cell r="K14624" t="str">
            <v>PCOQ</v>
          </cell>
          <cell r="M14624" t="str">
            <v>F</v>
          </cell>
          <cell r="AB14624" t="str">
            <v>WB</v>
          </cell>
          <cell r="AF14624">
            <v>0.2</v>
          </cell>
        </row>
        <row r="14625">
          <cell r="A14625" t="str">
            <v>IS_alqt_plus</v>
          </cell>
          <cell r="K14625" t="str">
            <v>PCOQ</v>
          </cell>
          <cell r="M14625" t="str">
            <v>F</v>
          </cell>
          <cell r="AB14625" t="str">
            <v>WB</v>
          </cell>
          <cell r="AF14625">
            <v>0.2</v>
          </cell>
        </row>
        <row r="14626">
          <cell r="A14626" t="str">
            <v>IS_alqt_plus</v>
          </cell>
          <cell r="K14626" t="str">
            <v>PCOQ</v>
          </cell>
          <cell r="M14626" t="str">
            <v>F</v>
          </cell>
          <cell r="AB14626" t="str">
            <v>WB</v>
          </cell>
          <cell r="AF14626">
            <v>0.4</v>
          </cell>
        </row>
        <row r="14627">
          <cell r="A14627" t="str">
            <v>IS_alqt_plus</v>
          </cell>
          <cell r="K14627" t="str">
            <v>PCOQ</v>
          </cell>
          <cell r="M14627" t="str">
            <v>F</v>
          </cell>
          <cell r="AB14627" t="str">
            <v>WB</v>
          </cell>
          <cell r="AF14627">
            <v>0.4</v>
          </cell>
        </row>
        <row r="14628">
          <cell r="A14628" t="str">
            <v>IS_alqt_plus</v>
          </cell>
          <cell r="K14628" t="str">
            <v>PCOQ</v>
          </cell>
          <cell r="M14628" t="str">
            <v>F</v>
          </cell>
          <cell r="AB14628" t="str">
            <v>WB</v>
          </cell>
          <cell r="AF14628">
            <v>0.6</v>
          </cell>
        </row>
        <row r="14629">
          <cell r="A14629" t="str">
            <v>IS_alqt_plus</v>
          </cell>
          <cell r="K14629" t="str">
            <v>PCOQ</v>
          </cell>
          <cell r="M14629" t="str">
            <v>F</v>
          </cell>
          <cell r="AB14629" t="str">
            <v>WB</v>
          </cell>
          <cell r="AF14629">
            <v>0.6</v>
          </cell>
        </row>
        <row r="14630">
          <cell r="A14630" t="str">
            <v>IS_alqt_plus</v>
          </cell>
          <cell r="K14630" t="str">
            <v>PCOQ</v>
          </cell>
          <cell r="M14630" t="str">
            <v>F</v>
          </cell>
          <cell r="AB14630" t="str">
            <v>WB</v>
          </cell>
          <cell r="AF14630">
            <v>0.8</v>
          </cell>
        </row>
        <row r="14631">
          <cell r="A14631" t="str">
            <v>IS_alqt_plus</v>
          </cell>
          <cell r="K14631" t="str">
            <v>PCOQ</v>
          </cell>
          <cell r="M14631" t="str">
            <v>F</v>
          </cell>
          <cell r="AB14631" t="str">
            <v>serum</v>
          </cell>
          <cell r="AF14631">
            <v>0.2</v>
          </cell>
        </row>
        <row r="14632">
          <cell r="A14632" t="str">
            <v>IS_alqt_plus</v>
          </cell>
          <cell r="K14632" t="str">
            <v>PCOQ</v>
          </cell>
          <cell r="M14632" t="str">
            <v>F</v>
          </cell>
          <cell r="AB14632" t="str">
            <v>serum</v>
          </cell>
          <cell r="AF14632">
            <v>0.2</v>
          </cell>
        </row>
        <row r="14633">
          <cell r="A14633" t="str">
            <v>IS_alqt_plus</v>
          </cell>
          <cell r="K14633" t="str">
            <v>PCOQ</v>
          </cell>
          <cell r="M14633" t="str">
            <v>F</v>
          </cell>
          <cell r="AB14633" t="str">
            <v>serum</v>
          </cell>
          <cell r="AF14633">
            <v>0.2</v>
          </cell>
        </row>
        <row r="14634">
          <cell r="A14634" t="str">
            <v>IS_alqt_plus</v>
          </cell>
          <cell r="K14634" t="str">
            <v>PCOQ</v>
          </cell>
          <cell r="M14634" t="str">
            <v>F</v>
          </cell>
          <cell r="AB14634" t="str">
            <v>serum</v>
          </cell>
          <cell r="AF14634">
            <v>0.4</v>
          </cell>
        </row>
        <row r="14635">
          <cell r="A14635" t="str">
            <v>IS_alqt_plus</v>
          </cell>
          <cell r="K14635" t="str">
            <v>PCOQ</v>
          </cell>
          <cell r="M14635" t="str">
            <v>F</v>
          </cell>
          <cell r="AB14635" t="str">
            <v>serum</v>
          </cell>
          <cell r="AF14635">
            <v>0.4</v>
          </cell>
        </row>
        <row r="14636">
          <cell r="A14636" t="str">
            <v>IS_alqt_plus</v>
          </cell>
          <cell r="K14636" t="str">
            <v>LCAT</v>
          </cell>
          <cell r="M14636" t="str">
            <v>F</v>
          </cell>
          <cell r="AB14636" t="str">
            <v>WB</v>
          </cell>
          <cell r="AF14636">
            <v>0.2</v>
          </cell>
        </row>
        <row r="14637">
          <cell r="A14637" t="str">
            <v>IS_alqt_plus</v>
          </cell>
          <cell r="K14637" t="str">
            <v>LCAT</v>
          </cell>
          <cell r="M14637" t="str">
            <v>F</v>
          </cell>
          <cell r="AB14637" t="str">
            <v>WB</v>
          </cell>
          <cell r="AF14637">
            <v>0.2</v>
          </cell>
        </row>
        <row r="14638">
          <cell r="A14638" t="str">
            <v>IS_alqt_plus</v>
          </cell>
          <cell r="K14638" t="str">
            <v>LCAT</v>
          </cell>
          <cell r="M14638" t="str">
            <v>F</v>
          </cell>
          <cell r="AB14638" t="str">
            <v>WB</v>
          </cell>
          <cell r="AF14638">
            <v>0.4</v>
          </cell>
        </row>
        <row r="14639">
          <cell r="A14639" t="str">
            <v>IS_alqt_plus</v>
          </cell>
          <cell r="K14639" t="str">
            <v>LCAT</v>
          </cell>
          <cell r="M14639" t="str">
            <v>F</v>
          </cell>
          <cell r="AB14639" t="str">
            <v>WB</v>
          </cell>
          <cell r="AF14639">
            <v>0.4</v>
          </cell>
        </row>
        <row r="14640">
          <cell r="A14640" t="str">
            <v>IS_alqt_plus</v>
          </cell>
          <cell r="K14640" t="str">
            <v>LCAT</v>
          </cell>
          <cell r="M14640" t="str">
            <v>F</v>
          </cell>
          <cell r="AB14640" t="str">
            <v>WB</v>
          </cell>
          <cell r="AF14640">
            <v>0.4</v>
          </cell>
        </row>
        <row r="14641">
          <cell r="A14641" t="str">
            <v>IS_alqt_plus</v>
          </cell>
          <cell r="K14641" t="str">
            <v>LCAT</v>
          </cell>
          <cell r="M14641" t="str">
            <v>F</v>
          </cell>
          <cell r="AB14641" t="str">
            <v>WB</v>
          </cell>
          <cell r="AF14641">
            <v>0.6</v>
          </cell>
        </row>
        <row r="14642">
          <cell r="A14642" t="str">
            <v>IS_alqt_plus</v>
          </cell>
          <cell r="K14642" t="str">
            <v>LCAT</v>
          </cell>
          <cell r="M14642" t="str">
            <v>F</v>
          </cell>
          <cell r="AB14642" t="str">
            <v>WB</v>
          </cell>
          <cell r="AF14642">
            <v>0.6</v>
          </cell>
        </row>
        <row r="14643">
          <cell r="A14643" t="str">
            <v>IS_alqt_plus</v>
          </cell>
          <cell r="K14643" t="str">
            <v>LCAT</v>
          </cell>
          <cell r="M14643" t="str">
            <v>F</v>
          </cell>
          <cell r="AB14643" t="str">
            <v>serum</v>
          </cell>
          <cell r="AF14643">
            <v>0.2</v>
          </cell>
        </row>
        <row r="14644">
          <cell r="A14644" t="str">
            <v>IS_alqt_plus</v>
          </cell>
          <cell r="K14644" t="str">
            <v>LCAT</v>
          </cell>
          <cell r="M14644" t="str">
            <v>F</v>
          </cell>
          <cell r="AB14644" t="str">
            <v>serum</v>
          </cell>
          <cell r="AF14644">
            <v>0.2</v>
          </cell>
        </row>
        <row r="14645">
          <cell r="A14645" t="str">
            <v>IS_alqt_plus</v>
          </cell>
          <cell r="K14645" t="str">
            <v>LCAT</v>
          </cell>
          <cell r="M14645" t="str">
            <v>F</v>
          </cell>
          <cell r="AB14645" t="str">
            <v>serum</v>
          </cell>
          <cell r="AF14645">
            <v>0.2</v>
          </cell>
        </row>
        <row r="14646">
          <cell r="A14646" t="str">
            <v>IS_alqt_plus</v>
          </cell>
          <cell r="K14646" t="str">
            <v>LCAT</v>
          </cell>
          <cell r="M14646" t="str">
            <v>F</v>
          </cell>
          <cell r="AB14646" t="str">
            <v>serum</v>
          </cell>
          <cell r="AF14646">
            <v>0.4</v>
          </cell>
        </row>
        <row r="14647">
          <cell r="A14647" t="str">
            <v>IS_alqt_plus</v>
          </cell>
          <cell r="K14647" t="str">
            <v>LCAT</v>
          </cell>
          <cell r="M14647" t="str">
            <v>F</v>
          </cell>
          <cell r="AB14647" t="str">
            <v>serum</v>
          </cell>
          <cell r="AF14647">
            <v>0.4</v>
          </cell>
        </row>
        <row r="14648">
          <cell r="A14648" t="str">
            <v>IS_alqt_plus</v>
          </cell>
          <cell r="K14648" t="str">
            <v>VVV</v>
          </cell>
          <cell r="M14648" t="str">
            <v>M</v>
          </cell>
          <cell r="AB14648" t="str">
            <v>WB</v>
          </cell>
          <cell r="AF14648">
            <v>0.2</v>
          </cell>
        </row>
        <row r="14649">
          <cell r="A14649" t="str">
            <v>IS_alqt_plus</v>
          </cell>
          <cell r="K14649" t="str">
            <v>VVV</v>
          </cell>
          <cell r="M14649" t="str">
            <v>M</v>
          </cell>
          <cell r="AB14649" t="str">
            <v>WB</v>
          </cell>
          <cell r="AF14649">
            <v>0.2</v>
          </cell>
        </row>
        <row r="14650">
          <cell r="A14650" t="str">
            <v>IS_alqt_plus</v>
          </cell>
          <cell r="K14650" t="str">
            <v>VVV</v>
          </cell>
          <cell r="M14650" t="str">
            <v>M</v>
          </cell>
          <cell r="AB14650" t="str">
            <v>WB</v>
          </cell>
          <cell r="AF14650">
            <v>0.4</v>
          </cell>
        </row>
        <row r="14651">
          <cell r="A14651" t="str">
            <v>IS_alqt_plus</v>
          </cell>
          <cell r="K14651" t="str">
            <v>VVV</v>
          </cell>
          <cell r="M14651" t="str">
            <v>M</v>
          </cell>
          <cell r="AB14651" t="str">
            <v>WB</v>
          </cell>
          <cell r="AF14651">
            <v>0.4</v>
          </cell>
        </row>
        <row r="14652">
          <cell r="A14652" t="str">
            <v>IS_alqt_plus</v>
          </cell>
          <cell r="K14652" t="str">
            <v>VVV</v>
          </cell>
          <cell r="M14652" t="str">
            <v>M</v>
          </cell>
          <cell r="AB14652" t="str">
            <v>WB</v>
          </cell>
          <cell r="AF14652">
            <v>0.6</v>
          </cell>
        </row>
        <row r="14653">
          <cell r="A14653" t="str">
            <v>IS_alqt_plus</v>
          </cell>
          <cell r="K14653" t="str">
            <v>VVV</v>
          </cell>
          <cell r="M14653" t="str">
            <v>M</v>
          </cell>
          <cell r="AB14653" t="str">
            <v>serum</v>
          </cell>
          <cell r="AF14653">
            <v>0.2</v>
          </cell>
        </row>
        <row r="14654">
          <cell r="A14654" t="str">
            <v>IS_alqt_plus</v>
          </cell>
          <cell r="K14654" t="str">
            <v>VVV</v>
          </cell>
          <cell r="M14654" t="str">
            <v>M</v>
          </cell>
          <cell r="AB14654" t="str">
            <v>serum</v>
          </cell>
          <cell r="AF14654">
            <v>0.4</v>
          </cell>
        </row>
        <row r="14655">
          <cell r="A14655" t="str">
            <v>IS_alqt_plus</v>
          </cell>
          <cell r="K14655" t="str">
            <v>PCOQ</v>
          </cell>
          <cell r="M14655" t="str">
            <v>M</v>
          </cell>
          <cell r="AB14655" t="str">
            <v>WB</v>
          </cell>
          <cell r="AF14655">
            <v>0.2</v>
          </cell>
        </row>
        <row r="14656">
          <cell r="A14656" t="str">
            <v>IS_alqt_plus</v>
          </cell>
          <cell r="K14656" t="str">
            <v>PCOQ</v>
          </cell>
          <cell r="M14656" t="str">
            <v>M</v>
          </cell>
          <cell r="AB14656" t="str">
            <v>WB</v>
          </cell>
          <cell r="AF14656">
            <v>0.2</v>
          </cell>
        </row>
        <row r="14657">
          <cell r="A14657" t="str">
            <v>IS_alqt_plus</v>
          </cell>
          <cell r="K14657" t="str">
            <v>PCOQ</v>
          </cell>
          <cell r="M14657" t="str">
            <v>M</v>
          </cell>
          <cell r="AB14657" t="str">
            <v>WB</v>
          </cell>
          <cell r="AF14657">
            <v>0.56999999999999995</v>
          </cell>
        </row>
        <row r="14658">
          <cell r="A14658" t="str">
            <v>IS_alqt_plus</v>
          </cell>
          <cell r="K14658" t="str">
            <v>PCOQ</v>
          </cell>
          <cell r="M14658" t="str">
            <v>M</v>
          </cell>
          <cell r="AB14658" t="str">
            <v>serum</v>
          </cell>
          <cell r="AF14658">
            <v>0.2</v>
          </cell>
        </row>
        <row r="14659">
          <cell r="A14659" t="str">
            <v>IS_alqt_plus</v>
          </cell>
          <cell r="K14659" t="str">
            <v>PCOQ</v>
          </cell>
          <cell r="M14659" t="str">
            <v>M</v>
          </cell>
          <cell r="AB14659" t="str">
            <v>serum</v>
          </cell>
          <cell r="AF14659">
            <v>0.2</v>
          </cell>
        </row>
        <row r="14660">
          <cell r="A14660" t="str">
            <v>IS_alqt_plus</v>
          </cell>
          <cell r="K14660" t="str">
            <v>PCOQ</v>
          </cell>
          <cell r="M14660" t="str">
            <v>M</v>
          </cell>
          <cell r="AB14660" t="str">
            <v>serum</v>
          </cell>
          <cell r="AF14660">
            <v>0.5</v>
          </cell>
        </row>
        <row r="14661">
          <cell r="A14661" t="str">
            <v>IS_alqt_plus</v>
          </cell>
          <cell r="K14661" t="str">
            <v>EFLA</v>
          </cell>
          <cell r="M14661" t="str">
            <v>F</v>
          </cell>
          <cell r="AB14661" t="str">
            <v>WB</v>
          </cell>
          <cell r="AF14661">
            <v>0.2</v>
          </cell>
        </row>
        <row r="14662">
          <cell r="A14662" t="str">
            <v>IS_alqt_plus</v>
          </cell>
          <cell r="K14662" t="str">
            <v>EFLA</v>
          </cell>
          <cell r="M14662" t="str">
            <v>F</v>
          </cell>
          <cell r="AB14662" t="str">
            <v>WB</v>
          </cell>
          <cell r="AF14662">
            <v>0.2</v>
          </cell>
        </row>
        <row r="14663">
          <cell r="A14663" t="str">
            <v>IS_alqt_plus</v>
          </cell>
          <cell r="K14663" t="str">
            <v>EFLA</v>
          </cell>
          <cell r="M14663" t="str">
            <v>F</v>
          </cell>
          <cell r="AB14663" t="str">
            <v>WB</v>
          </cell>
          <cell r="AF14663">
            <v>0.2</v>
          </cell>
        </row>
        <row r="14664">
          <cell r="A14664" t="str">
            <v>IS_alqt_plus</v>
          </cell>
          <cell r="K14664" t="str">
            <v>EFLA</v>
          </cell>
          <cell r="M14664" t="str">
            <v>F</v>
          </cell>
          <cell r="AB14664" t="str">
            <v>WB</v>
          </cell>
          <cell r="AF14664">
            <v>0.4</v>
          </cell>
        </row>
        <row r="14665">
          <cell r="A14665" t="str">
            <v>IS_alqt_plus</v>
          </cell>
          <cell r="K14665" t="str">
            <v>EFLA</v>
          </cell>
          <cell r="M14665" t="str">
            <v>F</v>
          </cell>
          <cell r="AB14665" t="str">
            <v>WB</v>
          </cell>
          <cell r="AF14665">
            <v>0.6</v>
          </cell>
        </row>
        <row r="14666">
          <cell r="A14666" t="str">
            <v>IS_alqt_plus</v>
          </cell>
          <cell r="K14666" t="str">
            <v>EFLA</v>
          </cell>
          <cell r="M14666" t="str">
            <v>F</v>
          </cell>
          <cell r="AB14666" t="str">
            <v>serum</v>
          </cell>
          <cell r="AF14666">
            <v>0.2</v>
          </cell>
        </row>
        <row r="14667">
          <cell r="A14667" t="str">
            <v>IS_alqt_plus</v>
          </cell>
          <cell r="K14667" t="str">
            <v>EFLA</v>
          </cell>
          <cell r="M14667" t="str">
            <v>F</v>
          </cell>
          <cell r="AB14667" t="str">
            <v>serum</v>
          </cell>
          <cell r="AF14667">
            <v>0.2</v>
          </cell>
        </row>
        <row r="14668">
          <cell r="A14668" t="str">
            <v>IS_alqt_plus</v>
          </cell>
          <cell r="K14668" t="str">
            <v>EFLA</v>
          </cell>
          <cell r="M14668" t="str">
            <v>F</v>
          </cell>
          <cell r="AB14668" t="str">
            <v>serum</v>
          </cell>
          <cell r="AF14668">
            <v>0.4</v>
          </cell>
        </row>
        <row r="14669">
          <cell r="A14669" t="str">
            <v>IS_alqt_plus</v>
          </cell>
          <cell r="K14669" t="str">
            <v>PCOQ</v>
          </cell>
          <cell r="M14669" t="str">
            <v>M</v>
          </cell>
          <cell r="AB14669" t="str">
            <v>WB</v>
          </cell>
          <cell r="AF14669">
            <v>0.2</v>
          </cell>
        </row>
        <row r="14670">
          <cell r="A14670" t="str">
            <v>IS_alqt_plus</v>
          </cell>
          <cell r="K14670" t="str">
            <v>PCOQ</v>
          </cell>
          <cell r="M14670" t="str">
            <v>M</v>
          </cell>
          <cell r="AB14670" t="str">
            <v>WB</v>
          </cell>
          <cell r="AF14670">
            <v>0.2</v>
          </cell>
        </row>
        <row r="14671">
          <cell r="A14671" t="str">
            <v>IS_alqt_plus</v>
          </cell>
          <cell r="K14671" t="str">
            <v>PCOQ</v>
          </cell>
          <cell r="M14671" t="str">
            <v>M</v>
          </cell>
          <cell r="AB14671" t="str">
            <v>WB</v>
          </cell>
          <cell r="AF14671">
            <v>0.4</v>
          </cell>
        </row>
        <row r="14672">
          <cell r="A14672" t="str">
            <v>IS_alqt_plus</v>
          </cell>
          <cell r="K14672" t="str">
            <v>PCOQ</v>
          </cell>
          <cell r="M14672" t="str">
            <v>M</v>
          </cell>
          <cell r="AB14672" t="str">
            <v>WB</v>
          </cell>
          <cell r="AF14672">
            <v>0.6</v>
          </cell>
        </row>
        <row r="14673">
          <cell r="A14673" t="str">
            <v>IS_alqt_plus</v>
          </cell>
          <cell r="K14673" t="str">
            <v>PCOQ</v>
          </cell>
          <cell r="M14673" t="str">
            <v>M</v>
          </cell>
          <cell r="AB14673" t="str">
            <v>serum</v>
          </cell>
          <cell r="AF14673">
            <v>0.2</v>
          </cell>
        </row>
        <row r="14674">
          <cell r="A14674" t="str">
            <v>IS_alqt_plus</v>
          </cell>
          <cell r="K14674" t="str">
            <v>PCOQ</v>
          </cell>
          <cell r="M14674" t="str">
            <v>M</v>
          </cell>
          <cell r="AB14674" t="str">
            <v>serum</v>
          </cell>
          <cell r="AF14674">
            <v>0.4</v>
          </cell>
        </row>
        <row r="14675">
          <cell r="A14675" t="str">
            <v>IS_alqt_plus</v>
          </cell>
          <cell r="K14675" t="str">
            <v>PCOQ</v>
          </cell>
          <cell r="M14675" t="str">
            <v>M</v>
          </cell>
          <cell r="AB14675" t="str">
            <v>serum</v>
          </cell>
          <cell r="AF14675">
            <v>0.6</v>
          </cell>
        </row>
        <row r="14676">
          <cell r="A14676" t="str">
            <v>IS_alqt_plus</v>
          </cell>
          <cell r="K14676" t="str">
            <v>PCOQ</v>
          </cell>
          <cell r="M14676" t="str">
            <v>M</v>
          </cell>
          <cell r="AB14676" t="str">
            <v>WB</v>
          </cell>
          <cell r="AF14676">
            <v>0.2</v>
          </cell>
        </row>
        <row r="14677">
          <cell r="A14677" t="str">
            <v>IS_alqt_plus</v>
          </cell>
          <cell r="K14677" t="str">
            <v>PCOQ</v>
          </cell>
          <cell r="M14677" t="str">
            <v>M</v>
          </cell>
          <cell r="AB14677" t="str">
            <v>WB</v>
          </cell>
          <cell r="AF14677">
            <v>0.4</v>
          </cell>
        </row>
        <row r="14678">
          <cell r="A14678" t="str">
            <v>IS_alqt_plus</v>
          </cell>
          <cell r="K14678" t="str">
            <v>PCOQ</v>
          </cell>
          <cell r="M14678" t="str">
            <v>M</v>
          </cell>
          <cell r="AB14678" t="str">
            <v>WB</v>
          </cell>
          <cell r="AF14678">
            <v>0.4</v>
          </cell>
        </row>
        <row r="14679">
          <cell r="A14679" t="str">
            <v>IS_alqt_plus</v>
          </cell>
          <cell r="K14679" t="str">
            <v>PCOQ</v>
          </cell>
          <cell r="M14679" t="str">
            <v>M</v>
          </cell>
          <cell r="AB14679" t="str">
            <v>serum</v>
          </cell>
          <cell r="AF14679">
            <v>0.2</v>
          </cell>
        </row>
        <row r="14680">
          <cell r="A14680" t="str">
            <v>IS_alqt_plus</v>
          </cell>
          <cell r="K14680" t="str">
            <v>PCOQ</v>
          </cell>
          <cell r="M14680" t="str">
            <v>M</v>
          </cell>
          <cell r="AB14680" t="str">
            <v>serum</v>
          </cell>
          <cell r="AF14680">
            <v>0.2</v>
          </cell>
        </row>
        <row r="14681">
          <cell r="A14681" t="str">
            <v>IS_alqt_plus</v>
          </cell>
          <cell r="K14681" t="str">
            <v>PCOQ</v>
          </cell>
          <cell r="M14681" t="str">
            <v>M</v>
          </cell>
          <cell r="AB14681" t="str">
            <v>serum</v>
          </cell>
          <cell r="AF14681">
            <v>0.4</v>
          </cell>
        </row>
        <row r="14682">
          <cell r="A14682" t="str">
            <v>IS_alqt_plus</v>
          </cell>
          <cell r="K14682" t="str">
            <v>PCOQ</v>
          </cell>
          <cell r="M14682" t="str">
            <v>M</v>
          </cell>
          <cell r="AB14682" t="str">
            <v>serum</v>
          </cell>
          <cell r="AF14682">
            <v>0.4</v>
          </cell>
        </row>
        <row r="14683">
          <cell r="A14683" t="str">
            <v>IS_alqt_plus</v>
          </cell>
          <cell r="K14683" t="str">
            <v>PCOQ</v>
          </cell>
          <cell r="M14683" t="str">
            <v>M</v>
          </cell>
          <cell r="AB14683" t="str">
            <v>serum</v>
          </cell>
          <cell r="AF14683">
            <v>0.4</v>
          </cell>
        </row>
        <row r="14684">
          <cell r="A14684" t="str">
            <v>IS_alqt_plus</v>
          </cell>
          <cell r="K14684" t="str">
            <v>PCOQ</v>
          </cell>
          <cell r="M14684" t="str">
            <v>M</v>
          </cell>
          <cell r="AB14684" t="str">
            <v>serum</v>
          </cell>
          <cell r="AF14684">
            <v>0.6</v>
          </cell>
        </row>
        <row r="14685">
          <cell r="A14685" t="str">
            <v>IS_alqt_plus</v>
          </cell>
          <cell r="K14685" t="str">
            <v>LCAT</v>
          </cell>
          <cell r="M14685" t="str">
            <v>F</v>
          </cell>
          <cell r="AB14685" t="str">
            <v>WB</v>
          </cell>
          <cell r="AF14685">
            <v>0.6</v>
          </cell>
        </row>
        <row r="14686">
          <cell r="A14686" t="str">
            <v>IS_alqt_plus</v>
          </cell>
          <cell r="K14686" t="str">
            <v>LCAT</v>
          </cell>
          <cell r="M14686" t="str">
            <v>F</v>
          </cell>
          <cell r="AB14686" t="str">
            <v>WB</v>
          </cell>
          <cell r="AF14686">
            <v>0.6</v>
          </cell>
        </row>
        <row r="14687">
          <cell r="A14687" t="str">
            <v>IS_alqt_plus</v>
          </cell>
          <cell r="K14687" t="str">
            <v>LCAT</v>
          </cell>
          <cell r="M14687" t="str">
            <v>F</v>
          </cell>
          <cell r="AB14687" t="str">
            <v>WB</v>
          </cell>
          <cell r="AF14687">
            <v>0.2</v>
          </cell>
        </row>
        <row r="14688">
          <cell r="A14688" t="str">
            <v>IS_alqt_plus</v>
          </cell>
          <cell r="K14688" t="str">
            <v>LCAT</v>
          </cell>
          <cell r="M14688" t="str">
            <v>F</v>
          </cell>
          <cell r="AB14688" t="str">
            <v>WB</v>
          </cell>
          <cell r="AF14688">
            <v>0.4</v>
          </cell>
        </row>
        <row r="14689">
          <cell r="A14689" t="str">
            <v>IS_alqt_plus</v>
          </cell>
          <cell r="K14689" t="str">
            <v>LCAT</v>
          </cell>
          <cell r="M14689" t="str">
            <v>F</v>
          </cell>
          <cell r="AB14689" t="str">
            <v>WB</v>
          </cell>
          <cell r="AF14689">
            <v>0.4</v>
          </cell>
        </row>
        <row r="14690">
          <cell r="A14690" t="str">
            <v>IS_alqt_plus</v>
          </cell>
          <cell r="K14690" t="str">
            <v>LCAT</v>
          </cell>
          <cell r="M14690" t="str">
            <v>F</v>
          </cell>
          <cell r="AB14690" t="str">
            <v>WB</v>
          </cell>
          <cell r="AF14690">
            <v>0.4</v>
          </cell>
        </row>
        <row r="14691">
          <cell r="A14691" t="str">
            <v>IS_alqt_plus</v>
          </cell>
          <cell r="K14691" t="str">
            <v>LCAT</v>
          </cell>
          <cell r="M14691" t="str">
            <v>F</v>
          </cell>
          <cell r="AB14691" t="str">
            <v>WB</v>
          </cell>
          <cell r="AF14691">
            <v>0.6</v>
          </cell>
        </row>
        <row r="14692">
          <cell r="A14692" t="str">
            <v>IS_alqt_plus</v>
          </cell>
          <cell r="K14692" t="str">
            <v>LCAT</v>
          </cell>
          <cell r="M14692" t="str">
            <v>F</v>
          </cell>
          <cell r="AB14692" t="str">
            <v>WB</v>
          </cell>
          <cell r="AF14692">
            <v>0.6</v>
          </cell>
        </row>
        <row r="14693">
          <cell r="A14693" t="str">
            <v>IS_alqt_plus</v>
          </cell>
          <cell r="K14693" t="str">
            <v>LCAT</v>
          </cell>
          <cell r="M14693" t="str">
            <v>F</v>
          </cell>
          <cell r="AB14693" t="str">
            <v>WB</v>
          </cell>
          <cell r="AF14693">
            <v>0.6</v>
          </cell>
        </row>
        <row r="14694">
          <cell r="A14694" t="str">
            <v>IS_alqt_plus</v>
          </cell>
          <cell r="K14694" t="str">
            <v>LCAT</v>
          </cell>
          <cell r="M14694" t="str">
            <v>F</v>
          </cell>
          <cell r="AB14694" t="str">
            <v>WB</v>
          </cell>
          <cell r="AF14694">
            <v>0.6</v>
          </cell>
        </row>
        <row r="14695">
          <cell r="A14695" t="str">
            <v>IS_alqt_plus</v>
          </cell>
          <cell r="K14695" t="str">
            <v>LCAT</v>
          </cell>
          <cell r="M14695" t="str">
            <v>F</v>
          </cell>
          <cell r="AB14695" t="str">
            <v>WB</v>
          </cell>
          <cell r="AF14695">
            <v>1</v>
          </cell>
        </row>
        <row r="14696">
          <cell r="A14696" t="str">
            <v>IS_alqt_plus</v>
          </cell>
          <cell r="K14696" t="str">
            <v>LCAT</v>
          </cell>
          <cell r="M14696" t="str">
            <v>F</v>
          </cell>
          <cell r="AB14696" t="str">
            <v>WB</v>
          </cell>
          <cell r="AF14696">
            <v>1</v>
          </cell>
        </row>
        <row r="14697">
          <cell r="A14697" t="str">
            <v>IS_alqt_plus</v>
          </cell>
          <cell r="K14697" t="str">
            <v>LCAT</v>
          </cell>
          <cell r="M14697" t="str">
            <v>F</v>
          </cell>
          <cell r="AB14697" t="str">
            <v>WB</v>
          </cell>
          <cell r="AF14697">
            <v>1</v>
          </cell>
        </row>
        <row r="14698">
          <cell r="A14698" t="str">
            <v>IS_alqt_plus</v>
          </cell>
          <cell r="K14698" t="str">
            <v>LCAT</v>
          </cell>
          <cell r="M14698" t="str">
            <v>F</v>
          </cell>
          <cell r="AB14698" t="str">
            <v>WB</v>
          </cell>
          <cell r="AF14698">
            <v>0.4</v>
          </cell>
        </row>
        <row r="14699">
          <cell r="A14699" t="str">
            <v>IS_alqt_plus</v>
          </cell>
          <cell r="K14699" t="str">
            <v>LCAT</v>
          </cell>
          <cell r="M14699" t="str">
            <v>F</v>
          </cell>
          <cell r="AB14699" t="str">
            <v>serum</v>
          </cell>
          <cell r="AF14699">
            <v>0.2</v>
          </cell>
        </row>
        <row r="14700">
          <cell r="A14700" t="str">
            <v>IS_alqt_plus</v>
          </cell>
          <cell r="K14700" t="str">
            <v>LCAT</v>
          </cell>
          <cell r="M14700" t="str">
            <v>F</v>
          </cell>
          <cell r="AB14700" t="str">
            <v>serum</v>
          </cell>
          <cell r="AF14700">
            <v>0.2</v>
          </cell>
        </row>
        <row r="14701">
          <cell r="A14701" t="str">
            <v>IS_alqt_plus</v>
          </cell>
          <cell r="K14701" t="str">
            <v>LCAT</v>
          </cell>
          <cell r="M14701" t="str">
            <v>F</v>
          </cell>
          <cell r="AB14701" t="str">
            <v>serum</v>
          </cell>
          <cell r="AF14701">
            <v>0.2</v>
          </cell>
        </row>
        <row r="14702">
          <cell r="A14702" t="str">
            <v>IS_alqt_plus</v>
          </cell>
          <cell r="K14702" t="str">
            <v>LCAT</v>
          </cell>
          <cell r="M14702" t="str">
            <v>F</v>
          </cell>
          <cell r="AB14702" t="str">
            <v>serum</v>
          </cell>
          <cell r="AF14702">
            <v>0.4</v>
          </cell>
        </row>
        <row r="14703">
          <cell r="A14703" t="str">
            <v>IS_alqt_plus</v>
          </cell>
          <cell r="K14703" t="str">
            <v>LCAT</v>
          </cell>
          <cell r="M14703" t="str">
            <v>F</v>
          </cell>
          <cell r="AB14703" t="str">
            <v>serum</v>
          </cell>
          <cell r="AF14703">
            <v>0.4</v>
          </cell>
        </row>
        <row r="14704">
          <cell r="A14704" t="str">
            <v>IS_alqt_plus</v>
          </cell>
          <cell r="K14704" t="str">
            <v>LCAT</v>
          </cell>
          <cell r="M14704" t="str">
            <v>F</v>
          </cell>
          <cell r="AB14704" t="str">
            <v>serum</v>
          </cell>
          <cell r="AF14704">
            <v>0.4</v>
          </cell>
        </row>
        <row r="14705">
          <cell r="A14705" t="str">
            <v>IS_alqt_plus</v>
          </cell>
          <cell r="K14705" t="str">
            <v>LCAT</v>
          </cell>
          <cell r="M14705" t="str">
            <v>F</v>
          </cell>
          <cell r="AB14705" t="str">
            <v>serum</v>
          </cell>
          <cell r="AF14705">
            <v>0.6</v>
          </cell>
        </row>
        <row r="14706">
          <cell r="A14706" t="str">
            <v>IS_alqt_plus</v>
          </cell>
          <cell r="K14706" t="str">
            <v>LCAT</v>
          </cell>
          <cell r="M14706" t="str">
            <v>F</v>
          </cell>
          <cell r="AB14706" t="str">
            <v>serum</v>
          </cell>
          <cell r="AF14706">
            <v>0.6</v>
          </cell>
        </row>
        <row r="14707">
          <cell r="A14707" t="str">
            <v>IS_alqt_plus</v>
          </cell>
          <cell r="K14707" t="str">
            <v>LCAT</v>
          </cell>
          <cell r="M14707" t="str">
            <v>F</v>
          </cell>
          <cell r="AB14707" t="str">
            <v>serum</v>
          </cell>
          <cell r="AF14707">
            <v>0.6</v>
          </cell>
        </row>
        <row r="14708">
          <cell r="A14708" t="str">
            <v>IS_alqt_plus</v>
          </cell>
          <cell r="K14708" t="str">
            <v>LCAT</v>
          </cell>
          <cell r="M14708" t="str">
            <v>F</v>
          </cell>
          <cell r="AB14708" t="str">
            <v>serum</v>
          </cell>
          <cell r="AF14708">
            <v>1</v>
          </cell>
        </row>
        <row r="14709">
          <cell r="A14709" t="str">
            <v>IS_alqt_plus</v>
          </cell>
          <cell r="K14709" t="str">
            <v>LCAT</v>
          </cell>
          <cell r="M14709" t="str">
            <v>F</v>
          </cell>
          <cell r="AB14709" t="str">
            <v>serum</v>
          </cell>
          <cell r="AF14709">
            <v>1</v>
          </cell>
        </row>
        <row r="14710">
          <cell r="A14710" t="str">
            <v>IS_alqt_plus</v>
          </cell>
          <cell r="K14710" t="str">
            <v>LCAT</v>
          </cell>
          <cell r="M14710" t="str">
            <v>F</v>
          </cell>
          <cell r="AB14710" t="str">
            <v>serum</v>
          </cell>
          <cell r="AF14710">
            <v>0.4</v>
          </cell>
        </row>
        <row r="14711">
          <cell r="A14711" t="str">
            <v>IS_alqt_plus</v>
          </cell>
          <cell r="K14711" t="str">
            <v>LCAT</v>
          </cell>
          <cell r="M14711" t="str">
            <v>M</v>
          </cell>
          <cell r="AB14711" t="str">
            <v>serum</v>
          </cell>
          <cell r="AF14711">
            <v>0.4</v>
          </cell>
        </row>
        <row r="14712">
          <cell r="A14712" t="str">
            <v>IS_alqt_plus</v>
          </cell>
          <cell r="K14712" t="str">
            <v>LCAT</v>
          </cell>
          <cell r="M14712" t="str">
            <v>M</v>
          </cell>
          <cell r="AB14712" t="str">
            <v>serum</v>
          </cell>
          <cell r="AF14712">
            <v>0.6</v>
          </cell>
        </row>
        <row r="14713">
          <cell r="A14713" t="str">
            <v>IS_alqt_plus</v>
          </cell>
          <cell r="K14713" t="str">
            <v>LCAT</v>
          </cell>
          <cell r="M14713" t="str">
            <v>M</v>
          </cell>
          <cell r="AB14713" t="str">
            <v>WB</v>
          </cell>
          <cell r="AF14713">
            <v>1</v>
          </cell>
        </row>
        <row r="14714">
          <cell r="A14714" t="str">
            <v>IS_alqt_plus</v>
          </cell>
          <cell r="K14714" t="str">
            <v>LCAT</v>
          </cell>
          <cell r="M14714" t="str">
            <v>M</v>
          </cell>
          <cell r="AB14714" t="str">
            <v>WB</v>
          </cell>
          <cell r="AF14714">
            <v>1</v>
          </cell>
        </row>
        <row r="14715">
          <cell r="A14715" t="str">
            <v>IS_alqt_plus</v>
          </cell>
          <cell r="K14715" t="str">
            <v>LCAT</v>
          </cell>
          <cell r="M14715" t="str">
            <v>M</v>
          </cell>
          <cell r="AB14715" t="str">
            <v>WB</v>
          </cell>
          <cell r="AF14715">
            <v>0.4</v>
          </cell>
        </row>
        <row r="14716">
          <cell r="A14716" t="str">
            <v>IS_alqt_plus</v>
          </cell>
          <cell r="K14716" t="str">
            <v>LCAT</v>
          </cell>
          <cell r="M14716" t="str">
            <v>M</v>
          </cell>
          <cell r="AB14716" t="str">
            <v>WB</v>
          </cell>
          <cell r="AF14716">
            <v>0.4</v>
          </cell>
        </row>
        <row r="14717">
          <cell r="A14717" t="str">
            <v>IS_alqt_plus</v>
          </cell>
          <cell r="K14717" t="str">
            <v>LCAT</v>
          </cell>
          <cell r="M14717" t="str">
            <v>M</v>
          </cell>
          <cell r="AB14717" t="str">
            <v>serum</v>
          </cell>
          <cell r="AF14717">
            <v>0.6</v>
          </cell>
        </row>
        <row r="14718">
          <cell r="A14718" t="str">
            <v>IS_alqt_plus</v>
          </cell>
          <cell r="K14718" t="str">
            <v>LCAT</v>
          </cell>
          <cell r="M14718" t="str">
            <v>M</v>
          </cell>
          <cell r="AB14718" t="str">
            <v>serum</v>
          </cell>
          <cell r="AF14718">
            <v>0.7</v>
          </cell>
        </row>
        <row r="14719">
          <cell r="A14719" t="str">
            <v>IS_alqt_plus</v>
          </cell>
          <cell r="K14719" t="str">
            <v>LCAT</v>
          </cell>
          <cell r="M14719" t="str">
            <v>M</v>
          </cell>
          <cell r="AB14719" t="str">
            <v>WB</v>
          </cell>
          <cell r="AF14719">
            <v>1.2</v>
          </cell>
        </row>
        <row r="14720">
          <cell r="A14720" t="str">
            <v>IS_alqt_minus</v>
          </cell>
          <cell r="K14720" t="str">
            <v>GMOH</v>
          </cell>
          <cell r="M14720" t="str">
            <v>F</v>
          </cell>
          <cell r="AB14720" t="str">
            <v>WB</v>
          </cell>
          <cell r="AF14720">
            <v>0.1</v>
          </cell>
        </row>
        <row r="14721">
          <cell r="A14721" t="str">
            <v>IS_alqt_minus</v>
          </cell>
          <cell r="K14721" t="str">
            <v>ECOR</v>
          </cell>
          <cell r="M14721" t="str">
            <v>M</v>
          </cell>
          <cell r="AB14721" t="str">
            <v>serum</v>
          </cell>
          <cell r="AF14721">
            <v>0.9</v>
          </cell>
        </row>
        <row r="14722">
          <cell r="A14722" t="str">
            <v>IS_alqt_minus</v>
          </cell>
          <cell r="K14722" t="str">
            <v>ECOR</v>
          </cell>
          <cell r="M14722" t="str">
            <v>M</v>
          </cell>
          <cell r="AB14722" t="str">
            <v>WB</v>
          </cell>
          <cell r="AF14722">
            <v>1</v>
          </cell>
        </row>
        <row r="14723">
          <cell r="A14723" t="str">
            <v>IS_alqt_plus</v>
          </cell>
          <cell r="K14723" t="str">
            <v>EFLA</v>
          </cell>
          <cell r="M14723" t="str">
            <v>F</v>
          </cell>
          <cell r="AB14723" t="str">
            <v>serum</v>
          </cell>
          <cell r="AF14723">
            <v>0.2</v>
          </cell>
        </row>
        <row r="14724">
          <cell r="A14724" t="str">
            <v>IS_alqt_plus</v>
          </cell>
          <cell r="K14724" t="str">
            <v>EFLA</v>
          </cell>
          <cell r="M14724" t="str">
            <v>F</v>
          </cell>
          <cell r="AB14724" t="str">
            <v>serum</v>
          </cell>
          <cell r="AF14724">
            <v>0.4</v>
          </cell>
        </row>
        <row r="14725">
          <cell r="A14725" t="str">
            <v>IS_alqt_plus</v>
          </cell>
          <cell r="K14725" t="str">
            <v>EFLA</v>
          </cell>
          <cell r="M14725" t="str">
            <v>F</v>
          </cell>
          <cell r="AB14725" t="str">
            <v>serum</v>
          </cell>
          <cell r="AF14725">
            <v>0.6</v>
          </cell>
        </row>
        <row r="14726">
          <cell r="A14726" t="str">
            <v>IS_alqt_plus</v>
          </cell>
          <cell r="K14726" t="str">
            <v>EFLA</v>
          </cell>
          <cell r="M14726" t="str">
            <v>F</v>
          </cell>
          <cell r="AB14726" t="str">
            <v>serum</v>
          </cell>
          <cell r="AF14726">
            <v>1</v>
          </cell>
        </row>
        <row r="14727">
          <cell r="A14727" t="str">
            <v>IS_alqt_plus</v>
          </cell>
          <cell r="K14727" t="str">
            <v>EFLA</v>
          </cell>
          <cell r="M14727" t="str">
            <v>F</v>
          </cell>
          <cell r="AB14727" t="str">
            <v>serum</v>
          </cell>
          <cell r="AF14727">
            <v>1</v>
          </cell>
        </row>
        <row r="14728">
          <cell r="A14728" t="str">
            <v>IS_alqt_plus</v>
          </cell>
          <cell r="K14728" t="str">
            <v>EFLA</v>
          </cell>
          <cell r="M14728" t="str">
            <v>F</v>
          </cell>
          <cell r="AB14728" t="str">
            <v>serum</v>
          </cell>
          <cell r="AF14728">
            <v>1</v>
          </cell>
        </row>
        <row r="14729">
          <cell r="A14729" t="str">
            <v>IS_alqt_plus</v>
          </cell>
          <cell r="K14729" t="str">
            <v>PCOQ</v>
          </cell>
          <cell r="M14729" t="str">
            <v>F</v>
          </cell>
          <cell r="AB14729" t="str">
            <v>serum</v>
          </cell>
          <cell r="AF14729">
            <v>0.2</v>
          </cell>
        </row>
        <row r="14730">
          <cell r="A14730" t="str">
            <v>IS_alqt_plus</v>
          </cell>
          <cell r="K14730" t="str">
            <v>PCOQ</v>
          </cell>
          <cell r="M14730" t="str">
            <v>F</v>
          </cell>
          <cell r="AB14730" t="str">
            <v>WB</v>
          </cell>
          <cell r="AF14730">
            <v>0.2</v>
          </cell>
        </row>
        <row r="14731">
          <cell r="A14731" t="str">
            <v>IS_alqt_plus</v>
          </cell>
          <cell r="K14731" t="str">
            <v>PCOQ</v>
          </cell>
          <cell r="M14731" t="str">
            <v>F</v>
          </cell>
          <cell r="AB14731" t="str">
            <v>WB</v>
          </cell>
          <cell r="AF14731">
            <v>0.2</v>
          </cell>
        </row>
        <row r="14732">
          <cell r="A14732" t="str">
            <v>IS_alqt_plus</v>
          </cell>
          <cell r="K14732" t="str">
            <v>PCOQ</v>
          </cell>
          <cell r="M14732" t="str">
            <v>F</v>
          </cell>
          <cell r="AB14732" t="str">
            <v>WB</v>
          </cell>
          <cell r="AF14732">
            <v>0.4</v>
          </cell>
        </row>
        <row r="14733">
          <cell r="A14733" t="str">
            <v>IS_alqt_plus</v>
          </cell>
          <cell r="K14733" t="str">
            <v>PCOQ</v>
          </cell>
          <cell r="M14733" t="str">
            <v>F</v>
          </cell>
          <cell r="AB14733" t="str">
            <v>WB</v>
          </cell>
          <cell r="AF14733">
            <v>0.4</v>
          </cell>
        </row>
        <row r="14734">
          <cell r="A14734" t="str">
            <v>gone</v>
          </cell>
          <cell r="K14734" t="str">
            <v>PCOQ</v>
          </cell>
          <cell r="M14734" t="str">
            <v>M</v>
          </cell>
          <cell r="AB14734" t="str">
            <v>serum</v>
          </cell>
          <cell r="AF14734">
            <v>0</v>
          </cell>
        </row>
        <row r="14735">
          <cell r="A14735" t="str">
            <v>gone</v>
          </cell>
          <cell r="K14735" t="str">
            <v>PCOQ</v>
          </cell>
          <cell r="M14735" t="str">
            <v>M</v>
          </cell>
          <cell r="AB14735" t="str">
            <v>serum</v>
          </cell>
          <cell r="AF14735">
            <v>0</v>
          </cell>
        </row>
        <row r="14736">
          <cell r="A14736" t="str">
            <v>IS_alqt_plus</v>
          </cell>
          <cell r="K14736" t="str">
            <v>PCOQ</v>
          </cell>
          <cell r="M14736" t="str">
            <v>M</v>
          </cell>
          <cell r="AB14736" t="str">
            <v>serum</v>
          </cell>
          <cell r="AF14736">
            <v>1.4</v>
          </cell>
        </row>
        <row r="14737">
          <cell r="A14737" t="str">
            <v>IS_alqt_plus</v>
          </cell>
          <cell r="K14737" t="str">
            <v>PCOQ</v>
          </cell>
          <cell r="M14737" t="str">
            <v>M</v>
          </cell>
          <cell r="AB14737" t="str">
            <v>WB</v>
          </cell>
          <cell r="AF14737">
            <v>0.2</v>
          </cell>
        </row>
        <row r="14738">
          <cell r="A14738" t="str">
            <v>IS_alqt_plus</v>
          </cell>
          <cell r="K14738" t="str">
            <v>PCOQ</v>
          </cell>
          <cell r="M14738" t="str">
            <v>M</v>
          </cell>
          <cell r="AB14738" t="str">
            <v>WB</v>
          </cell>
          <cell r="AF14738">
            <v>0.2</v>
          </cell>
        </row>
        <row r="14739">
          <cell r="A14739" t="str">
            <v>IS_alqt_plus</v>
          </cell>
          <cell r="K14739" t="str">
            <v>PCOQ</v>
          </cell>
          <cell r="M14739" t="str">
            <v>M</v>
          </cell>
          <cell r="AB14739" t="str">
            <v>WB</v>
          </cell>
          <cell r="AF14739">
            <v>0.6</v>
          </cell>
        </row>
        <row r="14740">
          <cell r="A14740" t="str">
            <v>IS_alqt_plus</v>
          </cell>
          <cell r="K14740" t="str">
            <v>PCOQ</v>
          </cell>
          <cell r="M14740" t="str">
            <v>M</v>
          </cell>
          <cell r="AB14740" t="str">
            <v>WB</v>
          </cell>
          <cell r="AF14740">
            <v>0.6</v>
          </cell>
        </row>
        <row r="14741">
          <cell r="A14741" t="str">
            <v>IS_alqt_plus</v>
          </cell>
          <cell r="K14741" t="str">
            <v>PCOQ</v>
          </cell>
          <cell r="M14741" t="str">
            <v>M</v>
          </cell>
          <cell r="AB14741" t="str">
            <v>WB</v>
          </cell>
          <cell r="AF14741">
            <v>0.5</v>
          </cell>
        </row>
        <row r="14742">
          <cell r="A14742" t="str">
            <v>IS_alqt_plus</v>
          </cell>
          <cell r="K14742" t="str">
            <v>PCOQ</v>
          </cell>
          <cell r="M14742" t="str">
            <v>M</v>
          </cell>
          <cell r="AB14742" t="str">
            <v>WB</v>
          </cell>
          <cell r="AF14742">
            <v>0.2</v>
          </cell>
        </row>
        <row r="14743">
          <cell r="A14743" t="str">
            <v>IS_alqt_plus</v>
          </cell>
          <cell r="K14743" t="str">
            <v>PCOQ</v>
          </cell>
          <cell r="M14743" t="str">
            <v>M</v>
          </cell>
          <cell r="AB14743" t="str">
            <v>WB</v>
          </cell>
          <cell r="AF14743">
            <v>0.2</v>
          </cell>
        </row>
        <row r="14744">
          <cell r="A14744" t="str">
            <v>IS_alqt_plus</v>
          </cell>
          <cell r="K14744" t="str">
            <v>PCOQ</v>
          </cell>
          <cell r="M14744" t="str">
            <v>M</v>
          </cell>
          <cell r="AB14744" t="str">
            <v>WB</v>
          </cell>
          <cell r="AF14744">
            <v>0.2</v>
          </cell>
        </row>
        <row r="14745">
          <cell r="A14745" t="str">
            <v>IS_alqt_plus</v>
          </cell>
          <cell r="K14745" t="str">
            <v>PCOQ</v>
          </cell>
          <cell r="M14745" t="str">
            <v>M</v>
          </cell>
          <cell r="AB14745" t="str">
            <v>WB</v>
          </cell>
          <cell r="AF14745">
            <v>0.4</v>
          </cell>
        </row>
        <row r="14746">
          <cell r="A14746" t="str">
            <v>IS_alqt_plus</v>
          </cell>
          <cell r="K14746" t="str">
            <v>PCOQ</v>
          </cell>
          <cell r="M14746" t="str">
            <v>M</v>
          </cell>
          <cell r="AB14746" t="str">
            <v>WB</v>
          </cell>
          <cell r="AF14746">
            <v>0.4</v>
          </cell>
        </row>
        <row r="14747">
          <cell r="A14747" t="str">
            <v>IS_alqt_plus</v>
          </cell>
          <cell r="K14747" t="str">
            <v>PCOQ</v>
          </cell>
          <cell r="M14747" t="str">
            <v>M</v>
          </cell>
          <cell r="AB14747" t="str">
            <v>WB</v>
          </cell>
          <cell r="AF14747">
            <v>0.4</v>
          </cell>
        </row>
        <row r="14748">
          <cell r="A14748" t="str">
            <v>IS_alqt_plus</v>
          </cell>
          <cell r="K14748" t="str">
            <v>PCOQ</v>
          </cell>
          <cell r="M14748" t="str">
            <v>M</v>
          </cell>
          <cell r="AB14748" t="str">
            <v>WB</v>
          </cell>
          <cell r="AF14748">
            <v>0.4</v>
          </cell>
        </row>
        <row r="14749">
          <cell r="A14749" t="str">
            <v>IS_alqt_plus</v>
          </cell>
          <cell r="K14749" t="str">
            <v>PCOQ</v>
          </cell>
          <cell r="M14749" t="str">
            <v>M</v>
          </cell>
          <cell r="AB14749" t="str">
            <v>WB</v>
          </cell>
          <cell r="AF14749">
            <v>0.4</v>
          </cell>
        </row>
        <row r="14750">
          <cell r="A14750" t="str">
            <v>IS_alqt_plus</v>
          </cell>
          <cell r="K14750" t="str">
            <v>PCOQ</v>
          </cell>
          <cell r="M14750" t="str">
            <v>M</v>
          </cell>
          <cell r="AB14750" t="str">
            <v>WB</v>
          </cell>
          <cell r="AF14750">
            <v>0.6</v>
          </cell>
        </row>
        <row r="14751">
          <cell r="A14751" t="str">
            <v>IS_alqt_plus</v>
          </cell>
          <cell r="K14751" t="str">
            <v>PCOQ</v>
          </cell>
          <cell r="M14751" t="str">
            <v>M</v>
          </cell>
          <cell r="AB14751" t="str">
            <v>WB</v>
          </cell>
          <cell r="AF14751">
            <v>0.6</v>
          </cell>
        </row>
        <row r="14752">
          <cell r="A14752" t="str">
            <v>IS_alqt_plus</v>
          </cell>
          <cell r="K14752" t="str">
            <v>PCOQ</v>
          </cell>
          <cell r="M14752" t="str">
            <v>M</v>
          </cell>
          <cell r="AB14752" t="str">
            <v>WB</v>
          </cell>
          <cell r="AF14752">
            <v>0.6</v>
          </cell>
        </row>
        <row r="14753">
          <cell r="A14753" t="str">
            <v>IS_alqt_plus</v>
          </cell>
          <cell r="K14753" t="str">
            <v>PCOQ</v>
          </cell>
          <cell r="M14753" t="str">
            <v>M</v>
          </cell>
          <cell r="AB14753" t="str">
            <v>WB</v>
          </cell>
          <cell r="AF14753">
            <v>0.6</v>
          </cell>
        </row>
        <row r="14754">
          <cell r="A14754" t="str">
            <v>IS_alqt_plus</v>
          </cell>
          <cell r="K14754" t="str">
            <v>PCOQ</v>
          </cell>
          <cell r="M14754" t="str">
            <v>M</v>
          </cell>
          <cell r="AB14754" t="str">
            <v>WB</v>
          </cell>
          <cell r="AF14754">
            <v>0.6</v>
          </cell>
        </row>
        <row r="14755">
          <cell r="A14755" t="str">
            <v>IS_alqt_plus</v>
          </cell>
          <cell r="K14755" t="str">
            <v>PCOQ</v>
          </cell>
          <cell r="M14755" t="str">
            <v>M</v>
          </cell>
          <cell r="AB14755" t="str">
            <v>WB</v>
          </cell>
          <cell r="AF14755">
            <v>0.6</v>
          </cell>
        </row>
        <row r="14756">
          <cell r="A14756" t="str">
            <v>IS_alqt_plus</v>
          </cell>
          <cell r="K14756" t="str">
            <v>PCOQ</v>
          </cell>
          <cell r="M14756" t="str">
            <v>M</v>
          </cell>
          <cell r="AB14756" t="str">
            <v>WB</v>
          </cell>
          <cell r="AF14756">
            <v>0.6</v>
          </cell>
        </row>
        <row r="14757">
          <cell r="A14757" t="str">
            <v>IS_alqt_plus</v>
          </cell>
          <cell r="K14757" t="str">
            <v>PCOQ</v>
          </cell>
          <cell r="M14757" t="str">
            <v>M</v>
          </cell>
          <cell r="AB14757" t="str">
            <v>WB</v>
          </cell>
          <cell r="AF14757">
            <v>0.6</v>
          </cell>
        </row>
        <row r="14758">
          <cell r="A14758" t="str">
            <v>gone</v>
          </cell>
          <cell r="K14758" t="str">
            <v>PCOQ</v>
          </cell>
          <cell r="M14758" t="str">
            <v>M</v>
          </cell>
          <cell r="AB14758" t="str">
            <v>WB</v>
          </cell>
          <cell r="AF14758">
            <v>0</v>
          </cell>
        </row>
        <row r="14759">
          <cell r="A14759" t="str">
            <v>gone</v>
          </cell>
          <cell r="K14759" t="str">
            <v>PCOQ</v>
          </cell>
          <cell r="M14759" t="str">
            <v>M</v>
          </cell>
          <cell r="AB14759" t="str">
            <v>WB</v>
          </cell>
          <cell r="AF14759">
            <v>0</v>
          </cell>
        </row>
        <row r="14760">
          <cell r="A14760" t="str">
            <v>IS_alqt_plus</v>
          </cell>
          <cell r="K14760" t="str">
            <v>PCOQ</v>
          </cell>
          <cell r="M14760" t="str">
            <v>M</v>
          </cell>
          <cell r="AB14760" t="str">
            <v>WB</v>
          </cell>
          <cell r="AF14760">
            <v>1</v>
          </cell>
        </row>
        <row r="14761">
          <cell r="A14761" t="str">
            <v>IS_alqt_plus</v>
          </cell>
          <cell r="K14761" t="str">
            <v>PCOQ</v>
          </cell>
          <cell r="M14761" t="str">
            <v>M</v>
          </cell>
          <cell r="AB14761" t="str">
            <v>WB</v>
          </cell>
          <cell r="AF14761">
            <v>1</v>
          </cell>
        </row>
        <row r="14762">
          <cell r="A14762" t="str">
            <v>IS_alqt_plus</v>
          </cell>
          <cell r="K14762" t="str">
            <v>PCOQ</v>
          </cell>
          <cell r="M14762" t="str">
            <v>M</v>
          </cell>
          <cell r="AB14762" t="str">
            <v>WB</v>
          </cell>
          <cell r="AF14762">
            <v>1</v>
          </cell>
        </row>
        <row r="14763">
          <cell r="A14763" t="str">
            <v>IS_alqt_plus</v>
          </cell>
          <cell r="K14763" t="str">
            <v>PCOQ</v>
          </cell>
          <cell r="M14763" t="str">
            <v>M</v>
          </cell>
          <cell r="AB14763" t="str">
            <v>WB</v>
          </cell>
          <cell r="AF14763">
            <v>1</v>
          </cell>
        </row>
        <row r="14764">
          <cell r="A14764" t="str">
            <v>IS_alqt_plus</v>
          </cell>
          <cell r="K14764" t="str">
            <v>PCOQ</v>
          </cell>
          <cell r="M14764" t="str">
            <v>M</v>
          </cell>
          <cell r="AB14764" t="str">
            <v>WB</v>
          </cell>
          <cell r="AF14764">
            <v>1</v>
          </cell>
        </row>
        <row r="14765">
          <cell r="A14765" t="str">
            <v>IS_alqt_plus</v>
          </cell>
          <cell r="K14765" t="str">
            <v>PCOQ</v>
          </cell>
          <cell r="M14765" t="str">
            <v>M</v>
          </cell>
          <cell r="AB14765" t="str">
            <v>WB</v>
          </cell>
          <cell r="AF14765">
            <v>1</v>
          </cell>
        </row>
        <row r="14766">
          <cell r="A14766" t="str">
            <v>IS_alqt_plus</v>
          </cell>
          <cell r="K14766" t="str">
            <v>PCOQ</v>
          </cell>
          <cell r="M14766" t="str">
            <v>M</v>
          </cell>
          <cell r="AB14766" t="str">
            <v>WB</v>
          </cell>
          <cell r="AF14766">
            <v>1</v>
          </cell>
        </row>
        <row r="14767">
          <cell r="A14767" t="str">
            <v>IS_alqt_plus</v>
          </cell>
          <cell r="K14767" t="str">
            <v>PCOQ</v>
          </cell>
          <cell r="M14767" t="str">
            <v>M</v>
          </cell>
          <cell r="AB14767" t="str">
            <v>WB</v>
          </cell>
          <cell r="AF14767">
            <v>1</v>
          </cell>
        </row>
        <row r="14768">
          <cell r="A14768" t="str">
            <v>IS_alqt_plus</v>
          </cell>
          <cell r="K14768" t="str">
            <v>PCOQ</v>
          </cell>
          <cell r="M14768" t="str">
            <v>M</v>
          </cell>
          <cell r="AB14768" t="str">
            <v>WB</v>
          </cell>
          <cell r="AF14768">
            <v>1</v>
          </cell>
        </row>
        <row r="14769">
          <cell r="A14769" t="str">
            <v>IS_alqt_plus</v>
          </cell>
          <cell r="K14769" t="str">
            <v>PCOQ</v>
          </cell>
          <cell r="M14769" t="str">
            <v>M</v>
          </cell>
          <cell r="AB14769" t="str">
            <v>WB</v>
          </cell>
          <cell r="AF14769">
            <v>1</v>
          </cell>
        </row>
        <row r="14770">
          <cell r="A14770" t="str">
            <v>IS_alqt_plus</v>
          </cell>
          <cell r="K14770" t="str">
            <v>PCOQ</v>
          </cell>
          <cell r="M14770" t="str">
            <v>M</v>
          </cell>
          <cell r="AB14770" t="str">
            <v>WB</v>
          </cell>
          <cell r="AF14770">
            <v>1</v>
          </cell>
        </row>
        <row r="14771">
          <cell r="A14771" t="str">
            <v>IS_alqt_plus</v>
          </cell>
          <cell r="K14771" t="str">
            <v>PCOQ</v>
          </cell>
          <cell r="M14771" t="str">
            <v>M</v>
          </cell>
          <cell r="AB14771" t="str">
            <v>WB</v>
          </cell>
          <cell r="AF14771">
            <v>1</v>
          </cell>
        </row>
        <row r="14772">
          <cell r="A14772" t="str">
            <v>IS_alqt_plus</v>
          </cell>
          <cell r="K14772" t="str">
            <v>PCOQ</v>
          </cell>
          <cell r="M14772" t="str">
            <v>M</v>
          </cell>
          <cell r="AB14772" t="str">
            <v>WB</v>
          </cell>
          <cell r="AF14772">
            <v>1</v>
          </cell>
        </row>
        <row r="14773">
          <cell r="A14773" t="str">
            <v>IS_alqt_plus</v>
          </cell>
          <cell r="K14773" t="str">
            <v>PCOQ</v>
          </cell>
          <cell r="M14773" t="str">
            <v>M</v>
          </cell>
          <cell r="AB14773" t="str">
            <v>WB</v>
          </cell>
          <cell r="AF14773">
            <v>1</v>
          </cell>
        </row>
        <row r="14774">
          <cell r="A14774" t="str">
            <v>IS_alqt_plus</v>
          </cell>
          <cell r="K14774" t="str">
            <v>PCOQ</v>
          </cell>
          <cell r="M14774" t="str">
            <v>M</v>
          </cell>
          <cell r="AB14774" t="str">
            <v>WB</v>
          </cell>
          <cell r="AF14774">
            <v>1</v>
          </cell>
        </row>
        <row r="14775">
          <cell r="A14775" t="str">
            <v>IS_alqt_plus</v>
          </cell>
          <cell r="K14775" t="str">
            <v>PCOQ</v>
          </cell>
          <cell r="M14775" t="str">
            <v>M</v>
          </cell>
          <cell r="AB14775" t="str">
            <v>WB</v>
          </cell>
          <cell r="AF14775">
            <v>1</v>
          </cell>
        </row>
        <row r="14776">
          <cell r="A14776" t="str">
            <v>IS_alqt_plus</v>
          </cell>
          <cell r="K14776" t="str">
            <v>PCOQ</v>
          </cell>
          <cell r="M14776" t="str">
            <v>M</v>
          </cell>
          <cell r="AB14776" t="str">
            <v>WB</v>
          </cell>
          <cell r="AF14776">
            <v>1</v>
          </cell>
        </row>
        <row r="14777">
          <cell r="A14777" t="str">
            <v>IS_alqt_plus</v>
          </cell>
          <cell r="K14777" t="str">
            <v>PCOQ</v>
          </cell>
          <cell r="M14777" t="str">
            <v>M</v>
          </cell>
          <cell r="AB14777" t="str">
            <v>WB</v>
          </cell>
          <cell r="AF14777">
            <v>1</v>
          </cell>
        </row>
        <row r="14778">
          <cell r="A14778" t="str">
            <v>IS_alqt_plus</v>
          </cell>
          <cell r="K14778" t="str">
            <v>PCOQ</v>
          </cell>
          <cell r="M14778" t="str">
            <v>M</v>
          </cell>
          <cell r="AB14778" t="str">
            <v>WB</v>
          </cell>
          <cell r="AF14778">
            <v>1.6</v>
          </cell>
        </row>
        <row r="14779">
          <cell r="A14779" t="str">
            <v>IS_alqt_plus</v>
          </cell>
          <cell r="K14779" t="str">
            <v>PCOQ</v>
          </cell>
          <cell r="M14779" t="str">
            <v>M</v>
          </cell>
          <cell r="AB14779" t="str">
            <v>WB</v>
          </cell>
          <cell r="AF14779">
            <v>1.6</v>
          </cell>
        </row>
        <row r="14780">
          <cell r="A14780" t="str">
            <v>IS_alqt_plus</v>
          </cell>
          <cell r="K14780" t="str">
            <v>PCOQ</v>
          </cell>
          <cell r="M14780" t="str">
            <v>M</v>
          </cell>
          <cell r="AB14780" t="str">
            <v>WB</v>
          </cell>
          <cell r="AF14780">
            <v>1.6</v>
          </cell>
        </row>
        <row r="14781">
          <cell r="A14781" t="str">
            <v>IS_alqt_plus</v>
          </cell>
          <cell r="K14781" t="str">
            <v>PCOQ</v>
          </cell>
          <cell r="M14781" t="str">
            <v>M</v>
          </cell>
          <cell r="AB14781" t="str">
            <v>WB</v>
          </cell>
          <cell r="AF14781">
            <v>1.6</v>
          </cell>
        </row>
        <row r="14782">
          <cell r="A14782" t="str">
            <v>IS_alqt_plus</v>
          </cell>
          <cell r="K14782" t="str">
            <v>PCOQ</v>
          </cell>
          <cell r="M14782" t="str">
            <v>M</v>
          </cell>
          <cell r="AB14782" t="str">
            <v>WB</v>
          </cell>
          <cell r="AF14782">
            <v>1.6</v>
          </cell>
        </row>
        <row r="14783">
          <cell r="A14783" t="str">
            <v>IS_alqt_plus</v>
          </cell>
          <cell r="K14783" t="str">
            <v>PCOQ</v>
          </cell>
          <cell r="M14783" t="str">
            <v>M</v>
          </cell>
          <cell r="AB14783" t="str">
            <v>WB</v>
          </cell>
          <cell r="AF14783">
            <v>0.6</v>
          </cell>
        </row>
        <row r="14784">
          <cell r="A14784" t="str">
            <v>IS_alqt_plus</v>
          </cell>
          <cell r="K14784" t="str">
            <v>PCOQ</v>
          </cell>
          <cell r="M14784" t="str">
            <v>M</v>
          </cell>
          <cell r="AB14784" t="str">
            <v>WB</v>
          </cell>
          <cell r="AF14784">
            <v>0.6</v>
          </cell>
        </row>
        <row r="14785">
          <cell r="A14785" t="str">
            <v>IS_alqt_plus</v>
          </cell>
          <cell r="K14785" t="str">
            <v>PCOQ</v>
          </cell>
          <cell r="M14785" t="str">
            <v>M</v>
          </cell>
          <cell r="AB14785" t="str">
            <v>WB</v>
          </cell>
          <cell r="AF14785">
            <v>0.6</v>
          </cell>
        </row>
        <row r="14786">
          <cell r="A14786" t="str">
            <v>IS_alqt_plus</v>
          </cell>
          <cell r="K14786" t="str">
            <v>PCOQ</v>
          </cell>
          <cell r="M14786" t="str">
            <v>M</v>
          </cell>
          <cell r="AB14786" t="str">
            <v>WB</v>
          </cell>
          <cell r="AF14786">
            <v>0.6</v>
          </cell>
        </row>
        <row r="14787">
          <cell r="A14787" t="str">
            <v>IS_alqt_plus</v>
          </cell>
          <cell r="K14787" t="str">
            <v>PCOQ</v>
          </cell>
          <cell r="M14787" t="str">
            <v>M</v>
          </cell>
          <cell r="AB14787" t="str">
            <v>WB</v>
          </cell>
          <cell r="AF14787">
            <v>0.2</v>
          </cell>
        </row>
        <row r="14788">
          <cell r="A14788" t="str">
            <v>IS_alqt_plus</v>
          </cell>
          <cell r="K14788" t="str">
            <v>PCOQ</v>
          </cell>
          <cell r="M14788" t="str">
            <v>M</v>
          </cell>
          <cell r="AB14788" t="str">
            <v>serum</v>
          </cell>
          <cell r="AF14788">
            <v>0.2</v>
          </cell>
        </row>
        <row r="14789">
          <cell r="A14789" t="str">
            <v>IS_alqt_plus</v>
          </cell>
          <cell r="K14789" t="str">
            <v>PCOQ</v>
          </cell>
          <cell r="M14789" t="str">
            <v>M</v>
          </cell>
          <cell r="AB14789" t="str">
            <v>serum</v>
          </cell>
          <cell r="AF14789">
            <v>0.2</v>
          </cell>
        </row>
        <row r="14790">
          <cell r="A14790" t="str">
            <v>IS_alqt_plus</v>
          </cell>
          <cell r="K14790" t="str">
            <v>PCOQ</v>
          </cell>
          <cell r="M14790" t="str">
            <v>M</v>
          </cell>
          <cell r="AB14790" t="str">
            <v>serum</v>
          </cell>
          <cell r="AF14790">
            <v>0.2</v>
          </cell>
        </row>
        <row r="14791">
          <cell r="A14791" t="str">
            <v>IS_alqt_plus</v>
          </cell>
          <cell r="K14791" t="str">
            <v>PCOQ</v>
          </cell>
          <cell r="M14791" t="str">
            <v>M</v>
          </cell>
          <cell r="AB14791" t="str">
            <v>serum</v>
          </cell>
          <cell r="AF14791">
            <v>0.2</v>
          </cell>
        </row>
        <row r="14792">
          <cell r="A14792" t="str">
            <v>IS_alqt_plus</v>
          </cell>
          <cell r="K14792" t="str">
            <v>PCOQ</v>
          </cell>
          <cell r="M14792" t="str">
            <v>M</v>
          </cell>
          <cell r="AB14792" t="str">
            <v>serum</v>
          </cell>
          <cell r="AF14792">
            <v>0.2</v>
          </cell>
        </row>
        <row r="14793">
          <cell r="A14793" t="str">
            <v>IS_alqt_plus</v>
          </cell>
          <cell r="K14793" t="str">
            <v>PCOQ</v>
          </cell>
          <cell r="M14793" t="str">
            <v>M</v>
          </cell>
          <cell r="AB14793" t="str">
            <v>serum</v>
          </cell>
          <cell r="AF14793">
            <v>0.2</v>
          </cell>
        </row>
        <row r="14794">
          <cell r="A14794" t="str">
            <v>IS_alqt_plus</v>
          </cell>
          <cell r="K14794" t="str">
            <v>PCOQ</v>
          </cell>
          <cell r="M14794" t="str">
            <v>M</v>
          </cell>
          <cell r="AB14794" t="str">
            <v>serum</v>
          </cell>
          <cell r="AF14794">
            <v>0.4</v>
          </cell>
        </row>
        <row r="14795">
          <cell r="A14795" t="str">
            <v>IS_alqt_plus</v>
          </cell>
          <cell r="K14795" t="str">
            <v>PCOQ</v>
          </cell>
          <cell r="M14795" t="str">
            <v>M</v>
          </cell>
          <cell r="AB14795" t="str">
            <v>serum</v>
          </cell>
          <cell r="AF14795">
            <v>0.4</v>
          </cell>
        </row>
        <row r="14796">
          <cell r="A14796" t="str">
            <v>IS_alqt_plus</v>
          </cell>
          <cell r="K14796" t="str">
            <v>PCOQ</v>
          </cell>
          <cell r="M14796" t="str">
            <v>M</v>
          </cell>
          <cell r="AB14796" t="str">
            <v>serum</v>
          </cell>
          <cell r="AF14796">
            <v>0.4</v>
          </cell>
        </row>
        <row r="14797">
          <cell r="A14797" t="str">
            <v>IS_alqt_plus</v>
          </cell>
          <cell r="K14797" t="str">
            <v>PCOQ</v>
          </cell>
          <cell r="M14797" t="str">
            <v>M</v>
          </cell>
          <cell r="AB14797" t="str">
            <v>serum</v>
          </cell>
          <cell r="AF14797">
            <v>0.4</v>
          </cell>
        </row>
        <row r="14798">
          <cell r="A14798" t="str">
            <v>IS_alqt_plus</v>
          </cell>
          <cell r="K14798" t="str">
            <v>PCOQ</v>
          </cell>
          <cell r="M14798" t="str">
            <v>M</v>
          </cell>
          <cell r="AB14798" t="str">
            <v>serum</v>
          </cell>
          <cell r="AF14798">
            <v>0.4</v>
          </cell>
        </row>
        <row r="14799">
          <cell r="A14799" t="str">
            <v>IS_alqt_plus</v>
          </cell>
          <cell r="K14799" t="str">
            <v>PCOQ</v>
          </cell>
          <cell r="M14799" t="str">
            <v>M</v>
          </cell>
          <cell r="AB14799" t="str">
            <v>serum</v>
          </cell>
          <cell r="AF14799">
            <v>0.4</v>
          </cell>
        </row>
        <row r="14800">
          <cell r="A14800" t="str">
            <v>IS_alqt_plus</v>
          </cell>
          <cell r="K14800" t="str">
            <v>PCOQ</v>
          </cell>
          <cell r="M14800" t="str">
            <v>M</v>
          </cell>
          <cell r="AB14800" t="str">
            <v>serum</v>
          </cell>
          <cell r="AF14800">
            <v>0.4</v>
          </cell>
        </row>
        <row r="14801">
          <cell r="A14801" t="str">
            <v>IS_alqt_plus</v>
          </cell>
          <cell r="K14801" t="str">
            <v>PCOQ</v>
          </cell>
          <cell r="M14801" t="str">
            <v>M</v>
          </cell>
          <cell r="AB14801" t="str">
            <v>serum</v>
          </cell>
          <cell r="AF14801">
            <v>0.6</v>
          </cell>
        </row>
        <row r="14802">
          <cell r="A14802" t="str">
            <v>IS_alqt_plus</v>
          </cell>
          <cell r="K14802" t="str">
            <v>PCOQ</v>
          </cell>
          <cell r="M14802" t="str">
            <v>M</v>
          </cell>
          <cell r="AB14802" t="str">
            <v>serum</v>
          </cell>
          <cell r="AF14802">
            <v>0.6</v>
          </cell>
        </row>
        <row r="14803">
          <cell r="A14803" t="str">
            <v>IS_alqt_plus</v>
          </cell>
          <cell r="K14803" t="str">
            <v>PCOQ</v>
          </cell>
          <cell r="M14803" t="str">
            <v>M</v>
          </cell>
          <cell r="AB14803" t="str">
            <v>serum</v>
          </cell>
          <cell r="AF14803">
            <v>0.6</v>
          </cell>
        </row>
        <row r="14804">
          <cell r="A14804" t="str">
            <v>IS_alqt_plus</v>
          </cell>
          <cell r="K14804" t="str">
            <v>PCOQ</v>
          </cell>
          <cell r="M14804" t="str">
            <v>M</v>
          </cell>
          <cell r="AB14804" t="str">
            <v>serum</v>
          </cell>
          <cell r="AF14804">
            <v>0.6</v>
          </cell>
        </row>
        <row r="14805">
          <cell r="A14805" t="str">
            <v>IS_alqt_plus</v>
          </cell>
          <cell r="K14805" t="str">
            <v>PCOQ</v>
          </cell>
          <cell r="M14805" t="str">
            <v>M</v>
          </cell>
          <cell r="AB14805" t="str">
            <v>serum</v>
          </cell>
          <cell r="AF14805">
            <v>0.6</v>
          </cell>
        </row>
        <row r="14806">
          <cell r="A14806" t="str">
            <v>IS_alqt_plus</v>
          </cell>
          <cell r="K14806" t="str">
            <v>PCOQ</v>
          </cell>
          <cell r="M14806" t="str">
            <v>M</v>
          </cell>
          <cell r="AB14806" t="str">
            <v>serum</v>
          </cell>
          <cell r="AF14806">
            <v>0.6</v>
          </cell>
        </row>
        <row r="14807">
          <cell r="A14807" t="str">
            <v>IS_alqt_plus</v>
          </cell>
          <cell r="K14807" t="str">
            <v>PCOQ</v>
          </cell>
          <cell r="M14807" t="str">
            <v>M</v>
          </cell>
          <cell r="AB14807" t="str">
            <v>serum</v>
          </cell>
          <cell r="AF14807">
            <v>0.6</v>
          </cell>
        </row>
        <row r="14808">
          <cell r="A14808" t="str">
            <v>gone</v>
          </cell>
          <cell r="K14808" t="str">
            <v>PCOQ</v>
          </cell>
          <cell r="M14808" t="str">
            <v>M</v>
          </cell>
          <cell r="AB14808" t="str">
            <v>serum</v>
          </cell>
          <cell r="AF14808">
            <v>0</v>
          </cell>
        </row>
        <row r="14809">
          <cell r="A14809" t="str">
            <v>IS_alqt_plus</v>
          </cell>
          <cell r="K14809" t="str">
            <v>PCOQ</v>
          </cell>
          <cell r="M14809" t="str">
            <v>M</v>
          </cell>
          <cell r="AB14809" t="str">
            <v>serum</v>
          </cell>
          <cell r="AF14809">
            <v>1</v>
          </cell>
        </row>
        <row r="14810">
          <cell r="A14810" t="str">
            <v>IS_alqt_plus</v>
          </cell>
          <cell r="K14810" t="str">
            <v>PCOQ</v>
          </cell>
          <cell r="M14810" t="str">
            <v>M</v>
          </cell>
          <cell r="AB14810" t="str">
            <v>serum</v>
          </cell>
          <cell r="AF14810">
            <v>1</v>
          </cell>
        </row>
        <row r="14811">
          <cell r="A14811" t="str">
            <v>IS_alqt_plus</v>
          </cell>
          <cell r="K14811" t="str">
            <v>PCOQ</v>
          </cell>
          <cell r="M14811" t="str">
            <v>M</v>
          </cell>
          <cell r="AB14811" t="str">
            <v>serum</v>
          </cell>
          <cell r="AF14811">
            <v>1</v>
          </cell>
        </row>
        <row r="14812">
          <cell r="A14812" t="str">
            <v>IS_alqt_plus</v>
          </cell>
          <cell r="K14812" t="str">
            <v>PCOQ</v>
          </cell>
          <cell r="M14812" t="str">
            <v>M</v>
          </cell>
          <cell r="AB14812" t="str">
            <v>serum</v>
          </cell>
          <cell r="AF14812">
            <v>1</v>
          </cell>
        </row>
        <row r="14813">
          <cell r="A14813" t="str">
            <v>IS_alqt_plus</v>
          </cell>
          <cell r="K14813" t="str">
            <v>PCOQ</v>
          </cell>
          <cell r="M14813" t="str">
            <v>M</v>
          </cell>
          <cell r="AB14813" t="str">
            <v>serum</v>
          </cell>
          <cell r="AF14813">
            <v>1</v>
          </cell>
        </row>
        <row r="14814">
          <cell r="A14814" t="str">
            <v>IS_alqt_plus</v>
          </cell>
          <cell r="K14814" t="str">
            <v>PCOQ</v>
          </cell>
          <cell r="M14814" t="str">
            <v>M</v>
          </cell>
          <cell r="AB14814" t="str">
            <v>serum</v>
          </cell>
          <cell r="AF14814">
            <v>0.2</v>
          </cell>
        </row>
        <row r="14815">
          <cell r="A14815" t="str">
            <v>IS_alqt_plus</v>
          </cell>
          <cell r="K14815" t="str">
            <v>PCOQ</v>
          </cell>
          <cell r="M14815" t="str">
            <v>M</v>
          </cell>
          <cell r="AB14815" t="str">
            <v>serum</v>
          </cell>
          <cell r="AF14815">
            <v>1</v>
          </cell>
        </row>
        <row r="14816">
          <cell r="A14816" t="str">
            <v>IS_alqt_plus</v>
          </cell>
          <cell r="K14816" t="str">
            <v>PCOQ</v>
          </cell>
          <cell r="M14816" t="str">
            <v>M</v>
          </cell>
          <cell r="AB14816" t="str">
            <v>serum</v>
          </cell>
          <cell r="AF14816">
            <v>0.6</v>
          </cell>
        </row>
        <row r="14817">
          <cell r="A14817" t="str">
            <v>IS_alqt_plus</v>
          </cell>
          <cell r="K14817" t="str">
            <v>PCOQ</v>
          </cell>
          <cell r="M14817" t="str">
            <v>F</v>
          </cell>
          <cell r="AB14817" t="str">
            <v>serum</v>
          </cell>
          <cell r="AF14817">
            <v>0.2</v>
          </cell>
        </row>
        <row r="14818">
          <cell r="A14818" t="str">
            <v>IS_alqt_plus</v>
          </cell>
          <cell r="K14818" t="str">
            <v>PCOQ</v>
          </cell>
          <cell r="M14818" t="str">
            <v>F</v>
          </cell>
          <cell r="AB14818" t="str">
            <v>serum</v>
          </cell>
          <cell r="AF14818">
            <v>0.2</v>
          </cell>
        </row>
        <row r="14819">
          <cell r="A14819" t="str">
            <v>IS_alqt_plus</v>
          </cell>
          <cell r="K14819" t="str">
            <v>PCOQ</v>
          </cell>
          <cell r="M14819" t="str">
            <v>F</v>
          </cell>
          <cell r="AB14819" t="str">
            <v>serum</v>
          </cell>
          <cell r="AF14819">
            <v>0.2</v>
          </cell>
        </row>
        <row r="14820">
          <cell r="A14820" t="str">
            <v>IS_alqt_plus</v>
          </cell>
          <cell r="K14820" t="str">
            <v>PCOQ</v>
          </cell>
          <cell r="M14820" t="str">
            <v>F</v>
          </cell>
          <cell r="AB14820" t="str">
            <v>serum</v>
          </cell>
          <cell r="AF14820">
            <v>0.4</v>
          </cell>
        </row>
        <row r="14821">
          <cell r="A14821" t="str">
            <v>IS_alqt_plus</v>
          </cell>
          <cell r="K14821" t="str">
            <v>PCOQ</v>
          </cell>
          <cell r="M14821" t="str">
            <v>F</v>
          </cell>
          <cell r="AB14821" t="str">
            <v>serum</v>
          </cell>
          <cell r="AF14821">
            <v>0.4</v>
          </cell>
        </row>
        <row r="14822">
          <cell r="A14822" t="str">
            <v>IS_alqt_plus</v>
          </cell>
          <cell r="K14822" t="str">
            <v>PCOQ</v>
          </cell>
          <cell r="M14822" t="str">
            <v>F</v>
          </cell>
          <cell r="AB14822" t="str">
            <v>WB</v>
          </cell>
          <cell r="AF14822">
            <v>0.2</v>
          </cell>
        </row>
        <row r="14823">
          <cell r="A14823" t="str">
            <v>IS_alqt_plus</v>
          </cell>
          <cell r="K14823" t="str">
            <v>PCOQ</v>
          </cell>
          <cell r="M14823" t="str">
            <v>F</v>
          </cell>
          <cell r="AB14823" t="str">
            <v>WB</v>
          </cell>
          <cell r="AF14823">
            <v>0.4</v>
          </cell>
        </row>
        <row r="14824">
          <cell r="A14824" t="str">
            <v>IS_alqt_plus</v>
          </cell>
          <cell r="K14824" t="str">
            <v>PCOQ</v>
          </cell>
          <cell r="M14824" t="str">
            <v>F</v>
          </cell>
          <cell r="AB14824" t="str">
            <v>WB</v>
          </cell>
          <cell r="AF14824">
            <v>0.4</v>
          </cell>
        </row>
        <row r="14825">
          <cell r="A14825" t="str">
            <v>IS_alqt_plus</v>
          </cell>
          <cell r="K14825" t="str">
            <v>VRUB</v>
          </cell>
          <cell r="M14825" t="str">
            <v>F</v>
          </cell>
          <cell r="AB14825" t="str">
            <v>WB</v>
          </cell>
          <cell r="AF14825">
            <v>0.2</v>
          </cell>
        </row>
        <row r="14826">
          <cell r="A14826" t="str">
            <v>IS_alqt_plus</v>
          </cell>
          <cell r="K14826" t="str">
            <v>VRUB</v>
          </cell>
          <cell r="M14826" t="str">
            <v>F</v>
          </cell>
          <cell r="AB14826" t="str">
            <v>WB</v>
          </cell>
          <cell r="AF14826">
            <v>0.2</v>
          </cell>
        </row>
        <row r="14827">
          <cell r="A14827" t="str">
            <v>IS_alqt_plus</v>
          </cell>
          <cell r="K14827" t="str">
            <v>VRUB</v>
          </cell>
          <cell r="M14827" t="str">
            <v>F</v>
          </cell>
          <cell r="AB14827" t="str">
            <v>WB</v>
          </cell>
          <cell r="AF14827">
            <v>0.2</v>
          </cell>
        </row>
        <row r="14828">
          <cell r="A14828" t="str">
            <v>IS_alqt_plus</v>
          </cell>
          <cell r="K14828" t="str">
            <v>VRUB</v>
          </cell>
          <cell r="M14828" t="str">
            <v>F</v>
          </cell>
          <cell r="AB14828" t="str">
            <v>WB</v>
          </cell>
          <cell r="AF14828">
            <v>0.2</v>
          </cell>
        </row>
        <row r="14829">
          <cell r="A14829" t="str">
            <v>IS_alqt_plus</v>
          </cell>
          <cell r="K14829" t="str">
            <v>VRUB</v>
          </cell>
          <cell r="M14829" t="str">
            <v>F</v>
          </cell>
          <cell r="AB14829" t="str">
            <v>WB</v>
          </cell>
          <cell r="AF14829">
            <v>0.4</v>
          </cell>
        </row>
        <row r="14830">
          <cell r="A14830" t="str">
            <v>IS_alqt_plus</v>
          </cell>
          <cell r="K14830" t="str">
            <v>VRUB</v>
          </cell>
          <cell r="M14830" t="str">
            <v>F</v>
          </cell>
          <cell r="AB14830" t="str">
            <v>WB</v>
          </cell>
          <cell r="AF14830">
            <v>0.4</v>
          </cell>
        </row>
        <row r="14831">
          <cell r="A14831" t="str">
            <v>IS_alqt_plus</v>
          </cell>
          <cell r="K14831" t="str">
            <v>VRUB</v>
          </cell>
          <cell r="M14831" t="str">
            <v>F</v>
          </cell>
          <cell r="AB14831" t="str">
            <v>WB</v>
          </cell>
          <cell r="AF14831">
            <v>0.4</v>
          </cell>
        </row>
        <row r="14832">
          <cell r="A14832" t="str">
            <v>IS_alqt_plus</v>
          </cell>
          <cell r="K14832" t="str">
            <v>VRUB</v>
          </cell>
          <cell r="M14832" t="str">
            <v>F</v>
          </cell>
          <cell r="AB14832" t="str">
            <v>WB</v>
          </cell>
          <cell r="AF14832">
            <v>0.6</v>
          </cell>
        </row>
        <row r="14833">
          <cell r="A14833" t="str">
            <v>IS_alqt_plus</v>
          </cell>
          <cell r="K14833" t="str">
            <v>VRUB</v>
          </cell>
          <cell r="M14833" t="str">
            <v>F</v>
          </cell>
          <cell r="AB14833" t="str">
            <v>WB</v>
          </cell>
          <cell r="AF14833">
            <v>0.6</v>
          </cell>
        </row>
        <row r="14834">
          <cell r="A14834" t="str">
            <v>IS_alqt_plus</v>
          </cell>
          <cell r="K14834" t="str">
            <v>VRUB</v>
          </cell>
          <cell r="M14834" t="str">
            <v>F</v>
          </cell>
          <cell r="AB14834" t="str">
            <v>serum</v>
          </cell>
          <cell r="AF14834">
            <v>0.4</v>
          </cell>
        </row>
        <row r="14835">
          <cell r="A14835" t="str">
            <v>IS_alqt_plus</v>
          </cell>
          <cell r="K14835" t="str">
            <v>VRUB</v>
          </cell>
          <cell r="M14835" t="str">
            <v>F</v>
          </cell>
          <cell r="AB14835" t="str">
            <v>serum</v>
          </cell>
          <cell r="AF14835">
            <v>0.4</v>
          </cell>
        </row>
        <row r="14836">
          <cell r="A14836" t="str">
            <v>IS_alqt_plus</v>
          </cell>
          <cell r="K14836" t="str">
            <v>VRUB</v>
          </cell>
          <cell r="M14836" t="str">
            <v>F</v>
          </cell>
          <cell r="AB14836" t="str">
            <v>serum</v>
          </cell>
          <cell r="AF14836">
            <v>0.4</v>
          </cell>
        </row>
        <row r="14837">
          <cell r="A14837" t="str">
            <v>IS_alqt_plus</v>
          </cell>
          <cell r="K14837" t="str">
            <v>VRUB</v>
          </cell>
          <cell r="M14837" t="str">
            <v>F</v>
          </cell>
          <cell r="AB14837" t="str">
            <v>serum</v>
          </cell>
          <cell r="AF14837">
            <v>0.4</v>
          </cell>
        </row>
        <row r="14838">
          <cell r="A14838" t="str">
            <v>IS_alqt_plus</v>
          </cell>
          <cell r="K14838" t="str">
            <v>VRUB</v>
          </cell>
          <cell r="M14838" t="str">
            <v>M</v>
          </cell>
          <cell r="AB14838" t="str">
            <v>WB</v>
          </cell>
          <cell r="AF14838">
            <v>0.2</v>
          </cell>
        </row>
        <row r="14839">
          <cell r="A14839" t="str">
            <v>IS_alqt_plus</v>
          </cell>
          <cell r="K14839" t="str">
            <v>VRUB</v>
          </cell>
          <cell r="M14839" t="str">
            <v>M</v>
          </cell>
          <cell r="AB14839" t="str">
            <v>WB</v>
          </cell>
          <cell r="AF14839">
            <v>0.2</v>
          </cell>
        </row>
        <row r="14840">
          <cell r="A14840" t="str">
            <v>IS_alqt_plus</v>
          </cell>
          <cell r="K14840" t="str">
            <v>VRUB</v>
          </cell>
          <cell r="M14840" t="str">
            <v>M</v>
          </cell>
          <cell r="AB14840" t="str">
            <v>WB</v>
          </cell>
          <cell r="AF14840">
            <v>0.2</v>
          </cell>
        </row>
        <row r="14841">
          <cell r="A14841" t="str">
            <v>IS_alqt_plus</v>
          </cell>
          <cell r="K14841" t="str">
            <v>VRUB</v>
          </cell>
          <cell r="M14841" t="str">
            <v>M</v>
          </cell>
          <cell r="AB14841" t="str">
            <v>WB</v>
          </cell>
          <cell r="AF14841">
            <v>0.4</v>
          </cell>
        </row>
        <row r="14842">
          <cell r="A14842" t="str">
            <v>IS_alqt_plus</v>
          </cell>
          <cell r="K14842" t="str">
            <v>VRUB</v>
          </cell>
          <cell r="M14842" t="str">
            <v>M</v>
          </cell>
          <cell r="AB14842" t="str">
            <v>WB</v>
          </cell>
          <cell r="AF14842">
            <v>0.4</v>
          </cell>
        </row>
        <row r="14843">
          <cell r="A14843" t="str">
            <v>IS_alqt_plus</v>
          </cell>
          <cell r="K14843" t="str">
            <v>VRUB</v>
          </cell>
          <cell r="M14843" t="str">
            <v>M</v>
          </cell>
          <cell r="AB14843" t="str">
            <v>WB</v>
          </cell>
          <cell r="AF14843">
            <v>0.4</v>
          </cell>
        </row>
        <row r="14844">
          <cell r="A14844" t="str">
            <v>IS_alqt_plus</v>
          </cell>
          <cell r="K14844" t="str">
            <v>VRUB</v>
          </cell>
          <cell r="M14844" t="str">
            <v>M</v>
          </cell>
          <cell r="AB14844" t="str">
            <v>WB</v>
          </cell>
          <cell r="AF14844">
            <v>0.4</v>
          </cell>
        </row>
        <row r="14845">
          <cell r="A14845" t="str">
            <v>IS_alqt_plus</v>
          </cell>
          <cell r="K14845" t="str">
            <v>VRUB</v>
          </cell>
          <cell r="M14845" t="str">
            <v>M</v>
          </cell>
          <cell r="AB14845" t="str">
            <v>serum</v>
          </cell>
          <cell r="AF14845">
            <v>0.2</v>
          </cell>
        </row>
        <row r="14846">
          <cell r="A14846" t="str">
            <v>IS_alqt_plus</v>
          </cell>
          <cell r="K14846" t="str">
            <v>VRUB</v>
          </cell>
          <cell r="M14846" t="str">
            <v>M</v>
          </cell>
          <cell r="AB14846" t="str">
            <v>serum</v>
          </cell>
          <cell r="AF14846">
            <v>0.4</v>
          </cell>
        </row>
        <row r="14847">
          <cell r="A14847" t="str">
            <v>IS_alqt_plus</v>
          </cell>
          <cell r="K14847" t="str">
            <v>VRUB</v>
          </cell>
          <cell r="M14847" t="str">
            <v>M</v>
          </cell>
          <cell r="AB14847" t="str">
            <v>serum</v>
          </cell>
          <cell r="AF14847">
            <v>0.4</v>
          </cell>
        </row>
        <row r="14848">
          <cell r="A14848" t="str">
            <v>IS_alqt_plus</v>
          </cell>
          <cell r="K14848" t="str">
            <v>VRUB</v>
          </cell>
          <cell r="M14848" t="str">
            <v>M</v>
          </cell>
          <cell r="AB14848" t="str">
            <v>serum</v>
          </cell>
          <cell r="AF14848">
            <v>0.4</v>
          </cell>
        </row>
        <row r="14849">
          <cell r="A14849" t="str">
            <v>IS_alqt_plus</v>
          </cell>
          <cell r="K14849" t="str">
            <v>PCOQ</v>
          </cell>
          <cell r="M14849" t="str">
            <v>M</v>
          </cell>
          <cell r="AB14849" t="str">
            <v>serum</v>
          </cell>
          <cell r="AF14849">
            <v>0.4</v>
          </cell>
        </row>
        <row r="14850">
          <cell r="A14850" t="str">
            <v>IS_alqt_plus</v>
          </cell>
          <cell r="K14850" t="str">
            <v>LCAT</v>
          </cell>
          <cell r="M14850" t="str">
            <v>F</v>
          </cell>
          <cell r="AB14850" t="str">
            <v>WB</v>
          </cell>
          <cell r="AF14850">
            <v>0.6</v>
          </cell>
        </row>
        <row r="14851">
          <cell r="A14851" t="str">
            <v>IS_alqt_plus</v>
          </cell>
          <cell r="K14851" t="str">
            <v>LCAT</v>
          </cell>
          <cell r="M14851" t="str">
            <v>F</v>
          </cell>
          <cell r="AB14851" t="str">
            <v>WB</v>
          </cell>
          <cell r="AF14851">
            <v>0.6</v>
          </cell>
        </row>
        <row r="14852">
          <cell r="A14852" t="str">
            <v>IS_alqt_plus</v>
          </cell>
          <cell r="K14852" t="str">
            <v>LCAT</v>
          </cell>
          <cell r="M14852" t="str">
            <v>F</v>
          </cell>
          <cell r="AB14852" t="str">
            <v>WB</v>
          </cell>
          <cell r="AF14852">
            <v>0.6</v>
          </cell>
        </row>
        <row r="14853">
          <cell r="A14853" t="str">
            <v>IS_alqt_plus</v>
          </cell>
          <cell r="K14853" t="str">
            <v>LCAT</v>
          </cell>
          <cell r="M14853" t="str">
            <v>F</v>
          </cell>
          <cell r="AB14853" t="str">
            <v>WB</v>
          </cell>
          <cell r="AF14853">
            <v>0.6</v>
          </cell>
        </row>
        <row r="14854">
          <cell r="A14854" t="str">
            <v>IS_alqt_plus</v>
          </cell>
          <cell r="K14854" t="str">
            <v>LCAT</v>
          </cell>
          <cell r="M14854" t="str">
            <v>F</v>
          </cell>
          <cell r="AB14854" t="str">
            <v>WB</v>
          </cell>
          <cell r="AF14854">
            <v>0.4</v>
          </cell>
        </row>
        <row r="14855">
          <cell r="A14855" t="str">
            <v>IS_alqt_plus</v>
          </cell>
          <cell r="K14855" t="str">
            <v>LCAT</v>
          </cell>
          <cell r="M14855" t="str">
            <v>F</v>
          </cell>
          <cell r="AB14855" t="str">
            <v>WB</v>
          </cell>
          <cell r="AF14855">
            <v>0.2</v>
          </cell>
        </row>
        <row r="14856">
          <cell r="A14856" t="str">
            <v>IS_alqt_plus</v>
          </cell>
          <cell r="K14856" t="str">
            <v>LCAT</v>
          </cell>
          <cell r="M14856" t="str">
            <v>F</v>
          </cell>
          <cell r="AB14856" t="str">
            <v>WB</v>
          </cell>
          <cell r="AF14856">
            <v>0.2</v>
          </cell>
        </row>
        <row r="14857">
          <cell r="A14857" t="str">
            <v>IS_alqt_plus</v>
          </cell>
          <cell r="K14857" t="str">
            <v>LCAT</v>
          </cell>
          <cell r="M14857" t="str">
            <v>F</v>
          </cell>
          <cell r="AB14857" t="str">
            <v>WB</v>
          </cell>
          <cell r="AF14857">
            <v>0.4</v>
          </cell>
        </row>
        <row r="14858">
          <cell r="A14858" t="str">
            <v>IS_alqt_plus</v>
          </cell>
          <cell r="K14858" t="str">
            <v>LCAT</v>
          </cell>
          <cell r="M14858" t="str">
            <v>F</v>
          </cell>
          <cell r="AB14858" t="str">
            <v>WB</v>
          </cell>
          <cell r="AF14858">
            <v>0.4</v>
          </cell>
        </row>
        <row r="14859">
          <cell r="A14859" t="str">
            <v>IS_alqt_plus</v>
          </cell>
          <cell r="K14859" t="str">
            <v>LCAT</v>
          </cell>
          <cell r="M14859" t="str">
            <v>F</v>
          </cell>
          <cell r="AB14859" t="str">
            <v>WB</v>
          </cell>
          <cell r="AF14859">
            <v>0.4</v>
          </cell>
        </row>
        <row r="14860">
          <cell r="A14860" t="str">
            <v>IS_alqt_plus</v>
          </cell>
          <cell r="K14860" t="str">
            <v>LCAT</v>
          </cell>
          <cell r="M14860" t="str">
            <v>F</v>
          </cell>
          <cell r="AB14860" t="str">
            <v>WB</v>
          </cell>
          <cell r="AF14860">
            <v>0.6</v>
          </cell>
        </row>
        <row r="14861">
          <cell r="A14861" t="str">
            <v>IS_alqt_plus</v>
          </cell>
          <cell r="K14861" t="str">
            <v>LCAT</v>
          </cell>
          <cell r="M14861" t="str">
            <v>F</v>
          </cell>
          <cell r="AB14861" t="str">
            <v>WB</v>
          </cell>
          <cell r="AF14861">
            <v>0.6</v>
          </cell>
        </row>
        <row r="14862">
          <cell r="A14862" t="str">
            <v>IS_alqt_plus</v>
          </cell>
          <cell r="K14862" t="str">
            <v>LCAT</v>
          </cell>
          <cell r="M14862" t="str">
            <v>F</v>
          </cell>
          <cell r="AB14862" t="str">
            <v>WB</v>
          </cell>
          <cell r="AF14862">
            <v>0.2</v>
          </cell>
        </row>
        <row r="14863">
          <cell r="A14863" t="str">
            <v>IS_alqt_plus</v>
          </cell>
          <cell r="K14863" t="str">
            <v>LCAT</v>
          </cell>
          <cell r="M14863" t="str">
            <v>F</v>
          </cell>
          <cell r="AB14863" t="str">
            <v>WB</v>
          </cell>
          <cell r="AF14863">
            <v>0.2</v>
          </cell>
        </row>
        <row r="14864">
          <cell r="A14864" t="str">
            <v>IS_alqt_plus</v>
          </cell>
          <cell r="K14864" t="str">
            <v>LCAT</v>
          </cell>
          <cell r="M14864" t="str">
            <v>F</v>
          </cell>
          <cell r="AB14864" t="str">
            <v>WB</v>
          </cell>
          <cell r="AF14864">
            <v>0.4</v>
          </cell>
        </row>
        <row r="14865">
          <cell r="A14865" t="str">
            <v>IS_alqt_plus</v>
          </cell>
          <cell r="K14865" t="str">
            <v>LCAT</v>
          </cell>
          <cell r="M14865" t="str">
            <v>F</v>
          </cell>
          <cell r="AB14865" t="str">
            <v>WB</v>
          </cell>
          <cell r="AF14865">
            <v>0.4</v>
          </cell>
        </row>
        <row r="14866">
          <cell r="A14866" t="str">
            <v>IS_alqt_plus</v>
          </cell>
          <cell r="K14866" t="str">
            <v>PCOQ</v>
          </cell>
          <cell r="M14866" t="str">
            <v>M</v>
          </cell>
          <cell r="AB14866" t="str">
            <v>serum</v>
          </cell>
          <cell r="AF14866">
            <v>0.2</v>
          </cell>
        </row>
        <row r="14867">
          <cell r="A14867" t="str">
            <v>IS_alqt_plus</v>
          </cell>
          <cell r="K14867" t="str">
            <v>PCOQ</v>
          </cell>
          <cell r="M14867" t="str">
            <v>M</v>
          </cell>
          <cell r="AB14867" t="str">
            <v>serum</v>
          </cell>
          <cell r="AF14867">
            <v>0.2</v>
          </cell>
        </row>
        <row r="14868">
          <cell r="A14868" t="str">
            <v>IS_alqt_plus</v>
          </cell>
          <cell r="K14868" t="str">
            <v>PCOQ</v>
          </cell>
          <cell r="M14868" t="str">
            <v>M</v>
          </cell>
          <cell r="AB14868" t="str">
            <v>serum</v>
          </cell>
          <cell r="AF14868">
            <v>0.4</v>
          </cell>
        </row>
        <row r="14869">
          <cell r="A14869" t="str">
            <v>IS_alqt_plus</v>
          </cell>
          <cell r="K14869" t="str">
            <v>DMAD</v>
          </cell>
          <cell r="M14869" t="str">
            <v>F</v>
          </cell>
          <cell r="AB14869" t="str">
            <v>WB</v>
          </cell>
          <cell r="AF14869">
            <v>0.2</v>
          </cell>
        </row>
        <row r="14870">
          <cell r="A14870" t="str">
            <v>IS_alqt_plus</v>
          </cell>
          <cell r="K14870" t="str">
            <v>DMAD</v>
          </cell>
          <cell r="M14870" t="str">
            <v>F</v>
          </cell>
          <cell r="AB14870" t="str">
            <v>WB</v>
          </cell>
          <cell r="AF14870">
            <v>0.2</v>
          </cell>
        </row>
        <row r="14871">
          <cell r="A14871" t="str">
            <v>IS_alqt_plus</v>
          </cell>
          <cell r="K14871" t="str">
            <v>DMAD</v>
          </cell>
          <cell r="M14871" t="str">
            <v>F</v>
          </cell>
          <cell r="AB14871" t="str">
            <v>WB</v>
          </cell>
          <cell r="AF14871">
            <v>0.2</v>
          </cell>
        </row>
        <row r="14872">
          <cell r="A14872" t="str">
            <v>IS_alqt_plus</v>
          </cell>
          <cell r="K14872" t="str">
            <v>DMAD</v>
          </cell>
          <cell r="M14872" t="str">
            <v>F</v>
          </cell>
          <cell r="AB14872" t="str">
            <v>WB</v>
          </cell>
          <cell r="AF14872">
            <v>0.4</v>
          </cell>
        </row>
        <row r="14873">
          <cell r="A14873" t="str">
            <v>IS_alqt_plus</v>
          </cell>
          <cell r="K14873" t="str">
            <v>DMAD</v>
          </cell>
          <cell r="M14873" t="str">
            <v>F</v>
          </cell>
          <cell r="AB14873" t="str">
            <v>WB</v>
          </cell>
          <cell r="AF14873">
            <v>0.4</v>
          </cell>
        </row>
        <row r="14874">
          <cell r="A14874" t="str">
            <v>IS_alqt_plus</v>
          </cell>
          <cell r="K14874" t="str">
            <v>DMAD</v>
          </cell>
          <cell r="M14874" t="str">
            <v>F</v>
          </cell>
          <cell r="AB14874" t="str">
            <v>WB</v>
          </cell>
          <cell r="AF14874">
            <v>0.4</v>
          </cell>
        </row>
        <row r="14875">
          <cell r="A14875" t="str">
            <v>IS_alqt_plus</v>
          </cell>
          <cell r="K14875" t="str">
            <v>DMAD</v>
          </cell>
          <cell r="M14875" t="str">
            <v>F</v>
          </cell>
          <cell r="AB14875" t="str">
            <v>WB</v>
          </cell>
          <cell r="AF14875">
            <v>0.4</v>
          </cell>
        </row>
        <row r="14876">
          <cell r="A14876" t="str">
            <v>IS_alqt_plus</v>
          </cell>
          <cell r="K14876" t="str">
            <v>DMAD</v>
          </cell>
          <cell r="M14876" t="str">
            <v>F</v>
          </cell>
          <cell r="AB14876" t="str">
            <v>WB</v>
          </cell>
          <cell r="AF14876">
            <v>0.6</v>
          </cell>
        </row>
        <row r="14877">
          <cell r="A14877" t="str">
            <v>IS_alqt_plus</v>
          </cell>
          <cell r="K14877" t="str">
            <v>DMAD</v>
          </cell>
          <cell r="M14877" t="str">
            <v>F</v>
          </cell>
          <cell r="AB14877" t="str">
            <v>WB</v>
          </cell>
          <cell r="AF14877">
            <v>0.6</v>
          </cell>
        </row>
        <row r="14878">
          <cell r="A14878" t="str">
            <v>IS_alqt_plus</v>
          </cell>
          <cell r="K14878" t="str">
            <v>DMAD</v>
          </cell>
          <cell r="M14878" t="str">
            <v>F</v>
          </cell>
          <cell r="AB14878" t="str">
            <v>serum</v>
          </cell>
          <cell r="AF14878">
            <v>0.2</v>
          </cell>
        </row>
        <row r="14879">
          <cell r="A14879" t="str">
            <v>IS_alqt_plus</v>
          </cell>
          <cell r="K14879" t="str">
            <v>DMAD</v>
          </cell>
          <cell r="M14879" t="str">
            <v>F</v>
          </cell>
          <cell r="AB14879" t="str">
            <v>serum</v>
          </cell>
          <cell r="AF14879">
            <v>0.2</v>
          </cell>
        </row>
        <row r="14880">
          <cell r="A14880" t="str">
            <v>IS_alqt_plus</v>
          </cell>
          <cell r="K14880" t="str">
            <v>DMAD</v>
          </cell>
          <cell r="M14880" t="str">
            <v>F</v>
          </cell>
          <cell r="AB14880" t="str">
            <v>serum</v>
          </cell>
          <cell r="AF14880">
            <v>0.2</v>
          </cell>
        </row>
        <row r="14881">
          <cell r="A14881" t="str">
            <v>IS_alqt_plus</v>
          </cell>
          <cell r="K14881" t="str">
            <v>DMAD</v>
          </cell>
          <cell r="M14881" t="str">
            <v>F</v>
          </cell>
          <cell r="AB14881" t="str">
            <v>serum</v>
          </cell>
          <cell r="AF14881">
            <v>0.4</v>
          </cell>
        </row>
        <row r="14882">
          <cell r="A14882" t="str">
            <v>IS_alqt_plus</v>
          </cell>
          <cell r="K14882" t="str">
            <v>LCAT</v>
          </cell>
          <cell r="M14882" t="str">
            <v>M</v>
          </cell>
          <cell r="AB14882" t="str">
            <v>WB</v>
          </cell>
          <cell r="AF14882">
            <v>0.6</v>
          </cell>
        </row>
        <row r="14883">
          <cell r="A14883" t="str">
            <v>IS_alqt_plus</v>
          </cell>
          <cell r="K14883" t="str">
            <v>LCAT</v>
          </cell>
          <cell r="M14883" t="str">
            <v>M</v>
          </cell>
          <cell r="AB14883" t="str">
            <v>WB</v>
          </cell>
          <cell r="AF14883">
            <v>0.6</v>
          </cell>
        </row>
        <row r="14884">
          <cell r="A14884" t="str">
            <v>IS_alqt_plus</v>
          </cell>
          <cell r="K14884" t="str">
            <v>LCAT</v>
          </cell>
          <cell r="M14884" t="str">
            <v>M</v>
          </cell>
          <cell r="AB14884" t="str">
            <v>WB</v>
          </cell>
          <cell r="AF14884">
            <v>0.33</v>
          </cell>
        </row>
        <row r="14885">
          <cell r="A14885" t="str">
            <v>IS_alqt_plus</v>
          </cell>
          <cell r="K14885" t="str">
            <v>LCAT</v>
          </cell>
          <cell r="M14885" t="str">
            <v>M</v>
          </cell>
          <cell r="AB14885" t="str">
            <v>WB</v>
          </cell>
          <cell r="AF14885">
            <v>0.3</v>
          </cell>
        </row>
        <row r="14886">
          <cell r="A14886" t="str">
            <v>IS_alqt_plus</v>
          </cell>
          <cell r="K14886" t="str">
            <v>LCAT</v>
          </cell>
          <cell r="M14886" t="str">
            <v>M</v>
          </cell>
          <cell r="AB14886" t="str">
            <v>serum</v>
          </cell>
          <cell r="AF14886">
            <v>0.2</v>
          </cell>
        </row>
        <row r="14887">
          <cell r="A14887" t="str">
            <v>IS_alqt_plus</v>
          </cell>
          <cell r="K14887" t="str">
            <v>LCAT</v>
          </cell>
          <cell r="M14887" t="str">
            <v>M</v>
          </cell>
          <cell r="AB14887" t="str">
            <v>serum</v>
          </cell>
          <cell r="AF14887">
            <v>0.2</v>
          </cell>
        </row>
        <row r="14888">
          <cell r="A14888" t="str">
            <v>IS_alqt_plus</v>
          </cell>
          <cell r="K14888" t="str">
            <v>LCAT</v>
          </cell>
          <cell r="M14888" t="str">
            <v>M</v>
          </cell>
          <cell r="AB14888" t="str">
            <v>serum</v>
          </cell>
          <cell r="AF14888">
            <v>0.2</v>
          </cell>
        </row>
        <row r="14889">
          <cell r="A14889" t="str">
            <v>IS_alqt_plus</v>
          </cell>
          <cell r="K14889" t="str">
            <v>LCAT</v>
          </cell>
          <cell r="M14889" t="str">
            <v>M</v>
          </cell>
          <cell r="AB14889" t="str">
            <v>serum</v>
          </cell>
          <cell r="AF14889">
            <v>0.2</v>
          </cell>
        </row>
        <row r="14890">
          <cell r="A14890" t="str">
            <v>IS_alqt_plus</v>
          </cell>
          <cell r="K14890" t="str">
            <v>LCAT</v>
          </cell>
          <cell r="M14890" t="str">
            <v>F</v>
          </cell>
          <cell r="AB14890" t="str">
            <v>WB</v>
          </cell>
          <cell r="AF14890">
            <v>0.6</v>
          </cell>
        </row>
        <row r="14891">
          <cell r="A14891" t="str">
            <v>IS_alqt_plus</v>
          </cell>
          <cell r="K14891" t="str">
            <v>LCAT</v>
          </cell>
          <cell r="M14891" t="str">
            <v>F</v>
          </cell>
          <cell r="AB14891" t="str">
            <v>WB</v>
          </cell>
          <cell r="AF14891">
            <v>0.6</v>
          </cell>
        </row>
        <row r="14892">
          <cell r="A14892" t="str">
            <v>IS_alqt_plus</v>
          </cell>
          <cell r="K14892" t="str">
            <v>LCAT</v>
          </cell>
          <cell r="M14892" t="str">
            <v>F</v>
          </cell>
          <cell r="AB14892" t="str">
            <v>WB</v>
          </cell>
          <cell r="AF14892">
            <v>0.33</v>
          </cell>
        </row>
        <row r="14893">
          <cell r="A14893" t="str">
            <v>IS_alqt_plus</v>
          </cell>
          <cell r="K14893" t="str">
            <v>LCAT</v>
          </cell>
          <cell r="M14893" t="str">
            <v>F</v>
          </cell>
          <cell r="AB14893" t="str">
            <v>serum</v>
          </cell>
          <cell r="AF14893">
            <v>1</v>
          </cell>
        </row>
        <row r="14894">
          <cell r="A14894" t="str">
            <v>IS_alqt_plus</v>
          </cell>
          <cell r="K14894" t="str">
            <v>LCAT</v>
          </cell>
          <cell r="M14894" t="str">
            <v>F</v>
          </cell>
          <cell r="AB14894" t="str">
            <v>WB</v>
          </cell>
          <cell r="AF14894">
            <v>1.2</v>
          </cell>
        </row>
        <row r="14895">
          <cell r="A14895" t="str">
            <v>IS_alqt_plus</v>
          </cell>
          <cell r="K14895" t="str">
            <v>PCOQ</v>
          </cell>
          <cell r="M14895" t="str">
            <v>F</v>
          </cell>
          <cell r="AB14895" t="str">
            <v>serum</v>
          </cell>
          <cell r="AF14895">
            <v>0.4</v>
          </cell>
        </row>
        <row r="14896">
          <cell r="A14896" t="str">
            <v>IS_alqt_plus</v>
          </cell>
          <cell r="K14896" t="str">
            <v>PCOQ</v>
          </cell>
          <cell r="M14896" t="str">
            <v>F</v>
          </cell>
          <cell r="AB14896" t="str">
            <v>WB</v>
          </cell>
          <cell r="AF14896">
            <v>1</v>
          </cell>
        </row>
        <row r="14897">
          <cell r="A14897" t="str">
            <v>IS_alqt_plus</v>
          </cell>
          <cell r="K14897" t="str">
            <v>PCOQ</v>
          </cell>
          <cell r="M14897" t="str">
            <v>F</v>
          </cell>
          <cell r="AB14897" t="str">
            <v>WB</v>
          </cell>
          <cell r="AF14897">
            <v>0.4</v>
          </cell>
        </row>
        <row r="14898">
          <cell r="A14898" t="str">
            <v>IS_alqt_plus</v>
          </cell>
          <cell r="K14898" t="str">
            <v>LCAT</v>
          </cell>
          <cell r="M14898" t="str">
            <v>F</v>
          </cell>
          <cell r="AB14898" t="str">
            <v>WB</v>
          </cell>
          <cell r="AF14898">
            <v>0.6</v>
          </cell>
        </row>
        <row r="14899">
          <cell r="A14899" t="str">
            <v>IS_alqt_plus</v>
          </cell>
          <cell r="K14899" t="str">
            <v>LCAT</v>
          </cell>
          <cell r="M14899" t="str">
            <v>F</v>
          </cell>
          <cell r="AB14899" t="str">
            <v>WB</v>
          </cell>
          <cell r="AF14899">
            <v>0.6</v>
          </cell>
        </row>
        <row r="14900">
          <cell r="A14900" t="str">
            <v>IS_alqt_plus</v>
          </cell>
          <cell r="K14900" t="str">
            <v>LCAT</v>
          </cell>
          <cell r="M14900" t="str">
            <v>F</v>
          </cell>
          <cell r="AB14900" t="str">
            <v>WB</v>
          </cell>
          <cell r="AF14900">
            <v>0.6</v>
          </cell>
        </row>
        <row r="14901">
          <cell r="A14901" t="str">
            <v>IS_alqt_plus</v>
          </cell>
          <cell r="K14901" t="str">
            <v>LCAT</v>
          </cell>
          <cell r="M14901" t="str">
            <v>F</v>
          </cell>
          <cell r="AB14901" t="str">
            <v>WB</v>
          </cell>
          <cell r="AF14901">
            <v>0.6</v>
          </cell>
        </row>
        <row r="14902">
          <cell r="A14902" t="str">
            <v>IS_alqt_plus</v>
          </cell>
          <cell r="K14902" t="str">
            <v>LCAT</v>
          </cell>
          <cell r="M14902" t="str">
            <v>F</v>
          </cell>
          <cell r="AB14902" t="str">
            <v>WB</v>
          </cell>
          <cell r="AF14902">
            <v>0.6</v>
          </cell>
        </row>
        <row r="14903">
          <cell r="A14903" t="str">
            <v>IS_alqt_plus</v>
          </cell>
          <cell r="K14903" t="str">
            <v>LCAT</v>
          </cell>
          <cell r="M14903" t="str">
            <v>F</v>
          </cell>
          <cell r="AB14903" t="str">
            <v>WB</v>
          </cell>
          <cell r="AF14903">
            <v>0.6</v>
          </cell>
        </row>
        <row r="14904">
          <cell r="A14904" t="str">
            <v>IS_alqt_plus</v>
          </cell>
          <cell r="K14904" t="str">
            <v>LCAT</v>
          </cell>
          <cell r="M14904" t="str">
            <v>F</v>
          </cell>
          <cell r="AB14904" t="str">
            <v>WB</v>
          </cell>
          <cell r="AF14904">
            <v>0.33</v>
          </cell>
        </row>
        <row r="14905">
          <cell r="A14905" t="str">
            <v>IS_alqt_plus</v>
          </cell>
          <cell r="K14905" t="str">
            <v>LCAT</v>
          </cell>
          <cell r="M14905" t="str">
            <v>F</v>
          </cell>
          <cell r="AB14905" t="str">
            <v>WB</v>
          </cell>
          <cell r="AF14905">
            <v>0.6</v>
          </cell>
        </row>
        <row r="14906">
          <cell r="A14906" t="str">
            <v>IS_alqt_plus</v>
          </cell>
          <cell r="K14906" t="str">
            <v>LCAT</v>
          </cell>
          <cell r="M14906" t="str">
            <v>F</v>
          </cell>
          <cell r="AB14906" t="str">
            <v>WB</v>
          </cell>
          <cell r="AF14906">
            <v>0.6</v>
          </cell>
        </row>
        <row r="14907">
          <cell r="A14907" t="str">
            <v>IS_alqt_plus</v>
          </cell>
          <cell r="K14907" t="str">
            <v>LCAT</v>
          </cell>
          <cell r="M14907" t="str">
            <v>F</v>
          </cell>
          <cell r="AB14907" t="str">
            <v>WB</v>
          </cell>
          <cell r="AF14907">
            <v>1.2</v>
          </cell>
        </row>
        <row r="14908">
          <cell r="A14908" t="str">
            <v>IS_alqt_plus</v>
          </cell>
          <cell r="K14908" t="str">
            <v>LCAT</v>
          </cell>
          <cell r="M14908" t="str">
            <v>F</v>
          </cell>
          <cell r="AB14908" t="str">
            <v>WB</v>
          </cell>
          <cell r="AF14908">
            <v>0.2</v>
          </cell>
        </row>
        <row r="14909">
          <cell r="A14909" t="str">
            <v>IS_alqt_plus</v>
          </cell>
          <cell r="K14909" t="str">
            <v>LCAT</v>
          </cell>
          <cell r="M14909" t="str">
            <v>F</v>
          </cell>
          <cell r="AB14909" t="str">
            <v>WB</v>
          </cell>
          <cell r="AF14909">
            <v>0.4</v>
          </cell>
        </row>
        <row r="14910">
          <cell r="A14910" t="str">
            <v>IS_alqt_plus</v>
          </cell>
          <cell r="K14910" t="str">
            <v>LCAT</v>
          </cell>
          <cell r="M14910" t="str">
            <v>F</v>
          </cell>
          <cell r="AB14910" t="str">
            <v>WB</v>
          </cell>
          <cell r="AF14910">
            <v>0.3</v>
          </cell>
        </row>
        <row r="14911">
          <cell r="A14911" t="str">
            <v>IS_alqt_plus</v>
          </cell>
          <cell r="K14911" t="str">
            <v>LCAT</v>
          </cell>
          <cell r="M14911" t="str">
            <v>F</v>
          </cell>
          <cell r="AB14911" t="str">
            <v>WB</v>
          </cell>
          <cell r="AF14911">
            <v>0.6</v>
          </cell>
        </row>
        <row r="14912">
          <cell r="A14912" t="str">
            <v>IS_alqt_plus</v>
          </cell>
          <cell r="K14912" t="str">
            <v>LCAT</v>
          </cell>
          <cell r="M14912" t="str">
            <v>F</v>
          </cell>
          <cell r="AB14912" t="str">
            <v>WB</v>
          </cell>
          <cell r="AF14912">
            <v>0.6</v>
          </cell>
        </row>
        <row r="14913">
          <cell r="A14913" t="str">
            <v>IS_alqt_plus</v>
          </cell>
          <cell r="K14913" t="str">
            <v>LCAT</v>
          </cell>
          <cell r="M14913" t="str">
            <v>F</v>
          </cell>
          <cell r="AB14913" t="str">
            <v>WB</v>
          </cell>
          <cell r="AF14913">
            <v>0.33</v>
          </cell>
        </row>
        <row r="14914">
          <cell r="A14914" t="str">
            <v>IS_alqt_plus</v>
          </cell>
          <cell r="K14914" t="str">
            <v>LCAT</v>
          </cell>
          <cell r="M14914" t="str">
            <v>F</v>
          </cell>
          <cell r="AB14914" t="str">
            <v>WB</v>
          </cell>
          <cell r="AF14914">
            <v>0.2</v>
          </cell>
        </row>
        <row r="14915">
          <cell r="A14915" t="str">
            <v>IS_alqt_plus</v>
          </cell>
          <cell r="K14915" t="str">
            <v>LCAT</v>
          </cell>
          <cell r="M14915" t="str">
            <v>F</v>
          </cell>
          <cell r="AB14915" t="str">
            <v>WB</v>
          </cell>
          <cell r="AF14915">
            <v>0.4</v>
          </cell>
        </row>
        <row r="14916">
          <cell r="A14916" t="str">
            <v>IS_alqt_plus</v>
          </cell>
          <cell r="K14916" t="str">
            <v>LCAT</v>
          </cell>
          <cell r="M14916" t="str">
            <v>F</v>
          </cell>
          <cell r="AB14916" t="str">
            <v>WB</v>
          </cell>
          <cell r="AF14916">
            <v>0.4</v>
          </cell>
        </row>
        <row r="14917">
          <cell r="A14917" t="str">
            <v>IS_alqt_plus</v>
          </cell>
          <cell r="K14917" t="str">
            <v>LCAT</v>
          </cell>
          <cell r="M14917" t="str">
            <v>F</v>
          </cell>
          <cell r="AB14917" t="str">
            <v>WB</v>
          </cell>
          <cell r="AF14917">
            <v>0.6</v>
          </cell>
        </row>
        <row r="14918">
          <cell r="A14918" t="str">
            <v>IS_alqt_plus</v>
          </cell>
          <cell r="K14918" t="str">
            <v>LCAT</v>
          </cell>
          <cell r="M14918" t="str">
            <v>F</v>
          </cell>
          <cell r="AB14918" t="str">
            <v>WB</v>
          </cell>
          <cell r="AF14918">
            <v>0.6</v>
          </cell>
        </row>
        <row r="14919">
          <cell r="A14919" t="str">
            <v>IS_alqt_plus</v>
          </cell>
          <cell r="K14919" t="str">
            <v>LCAT</v>
          </cell>
          <cell r="M14919" t="str">
            <v>F</v>
          </cell>
          <cell r="AB14919" t="str">
            <v>WB</v>
          </cell>
          <cell r="AF14919">
            <v>0.33</v>
          </cell>
        </row>
        <row r="14920">
          <cell r="A14920" t="str">
            <v>IS_alqt_plus</v>
          </cell>
          <cell r="K14920" t="str">
            <v>LCAT</v>
          </cell>
          <cell r="M14920" t="str">
            <v>F</v>
          </cell>
          <cell r="AB14920" t="str">
            <v>WB</v>
          </cell>
          <cell r="AF14920">
            <v>0.2</v>
          </cell>
        </row>
        <row r="14921">
          <cell r="A14921" t="str">
            <v>IS_alqt_plus</v>
          </cell>
          <cell r="K14921" t="str">
            <v>LCAT</v>
          </cell>
          <cell r="M14921" t="str">
            <v>F</v>
          </cell>
          <cell r="AB14921" t="str">
            <v>WB</v>
          </cell>
          <cell r="AF14921">
            <v>0.2</v>
          </cell>
        </row>
        <row r="14922">
          <cell r="A14922" t="str">
            <v>IS_alqt_plus</v>
          </cell>
          <cell r="K14922" t="str">
            <v>LCAT</v>
          </cell>
          <cell r="M14922" t="str">
            <v>F</v>
          </cell>
          <cell r="AB14922" t="str">
            <v>WB</v>
          </cell>
          <cell r="AF14922">
            <v>0.2</v>
          </cell>
        </row>
        <row r="14923">
          <cell r="A14923" t="str">
            <v>IS_alqt_plus</v>
          </cell>
          <cell r="K14923" t="str">
            <v>LCAT</v>
          </cell>
          <cell r="M14923" t="str">
            <v>F</v>
          </cell>
          <cell r="AB14923" t="str">
            <v>WB</v>
          </cell>
          <cell r="AF14923">
            <v>0.4</v>
          </cell>
        </row>
        <row r="14924">
          <cell r="A14924" t="str">
            <v>IS_alqt_plus</v>
          </cell>
          <cell r="K14924" t="str">
            <v>LCAT</v>
          </cell>
          <cell r="M14924" t="str">
            <v>F</v>
          </cell>
          <cell r="AB14924" t="str">
            <v>WB</v>
          </cell>
          <cell r="AF14924">
            <v>0.4</v>
          </cell>
        </row>
        <row r="14925">
          <cell r="A14925" t="str">
            <v>IS_alqt_plus</v>
          </cell>
          <cell r="K14925" t="str">
            <v>LCAT</v>
          </cell>
          <cell r="M14925" t="str">
            <v>F</v>
          </cell>
          <cell r="AB14925" t="str">
            <v>WB</v>
          </cell>
          <cell r="AF14925">
            <v>1</v>
          </cell>
        </row>
        <row r="14926">
          <cell r="A14926" t="str">
            <v>IS_alqt_plus</v>
          </cell>
          <cell r="K14926" t="str">
            <v>LCAT</v>
          </cell>
          <cell r="M14926" t="str">
            <v>F</v>
          </cell>
          <cell r="AB14926" t="str">
            <v>WB</v>
          </cell>
          <cell r="AF14926">
            <v>0.2</v>
          </cell>
        </row>
        <row r="14927">
          <cell r="A14927" t="str">
            <v>IS_alqt_plus</v>
          </cell>
          <cell r="K14927" t="str">
            <v>LCAT</v>
          </cell>
          <cell r="M14927" t="str">
            <v>F</v>
          </cell>
          <cell r="AB14927" t="str">
            <v>WB</v>
          </cell>
          <cell r="AF14927">
            <v>1</v>
          </cell>
        </row>
        <row r="14928">
          <cell r="A14928" t="str">
            <v>IS_alqt_plus</v>
          </cell>
          <cell r="K14928" t="str">
            <v>LCAT</v>
          </cell>
          <cell r="M14928" t="str">
            <v>F</v>
          </cell>
          <cell r="AB14928" t="str">
            <v>WB</v>
          </cell>
          <cell r="AF14928">
            <v>0.2</v>
          </cell>
        </row>
        <row r="14929">
          <cell r="A14929" t="str">
            <v>IS_alqt_plus</v>
          </cell>
          <cell r="K14929" t="str">
            <v>LCAT</v>
          </cell>
          <cell r="M14929" t="str">
            <v>F</v>
          </cell>
          <cell r="AB14929" t="str">
            <v>WB</v>
          </cell>
          <cell r="AF14929">
            <v>1</v>
          </cell>
        </row>
        <row r="14930">
          <cell r="A14930" t="str">
            <v>IS_alqt_plus</v>
          </cell>
          <cell r="K14930" t="str">
            <v>LCAT</v>
          </cell>
          <cell r="M14930" t="str">
            <v>F</v>
          </cell>
          <cell r="AB14930" t="str">
            <v>WB</v>
          </cell>
          <cell r="AF14930">
            <v>0.8</v>
          </cell>
        </row>
        <row r="14931">
          <cell r="A14931" t="str">
            <v>IS_alqt_plus</v>
          </cell>
          <cell r="K14931" t="str">
            <v>LCAT</v>
          </cell>
          <cell r="M14931" t="str">
            <v>M</v>
          </cell>
          <cell r="AB14931" t="str">
            <v>WB</v>
          </cell>
          <cell r="AF14931">
            <v>1</v>
          </cell>
        </row>
        <row r="14932">
          <cell r="A14932" t="str">
            <v>IS_alqt_plus</v>
          </cell>
          <cell r="K14932" t="str">
            <v>LCAT</v>
          </cell>
          <cell r="M14932" t="str">
            <v>M</v>
          </cell>
          <cell r="AB14932" t="str">
            <v>WB</v>
          </cell>
          <cell r="AF14932">
            <v>0.25</v>
          </cell>
        </row>
        <row r="14933">
          <cell r="A14933" t="str">
            <v>IS_alqt_plus</v>
          </cell>
          <cell r="K14933" t="str">
            <v>LCAT</v>
          </cell>
          <cell r="M14933" t="str">
            <v>F</v>
          </cell>
          <cell r="AB14933" t="str">
            <v>WB</v>
          </cell>
          <cell r="AF14933">
            <v>0.3</v>
          </cell>
        </row>
        <row r="14934">
          <cell r="A14934" t="str">
            <v>IS_alqt_plus</v>
          </cell>
          <cell r="K14934" t="str">
            <v>LCAT</v>
          </cell>
          <cell r="M14934" t="str">
            <v>F</v>
          </cell>
          <cell r="AB14934" t="str">
            <v>WB</v>
          </cell>
          <cell r="AF14934">
            <v>0.3</v>
          </cell>
        </row>
        <row r="14935">
          <cell r="A14935" t="str">
            <v>IS_alqt_plus</v>
          </cell>
          <cell r="K14935" t="str">
            <v>LCAT</v>
          </cell>
          <cell r="M14935" t="str">
            <v>F</v>
          </cell>
          <cell r="AB14935" t="str">
            <v>WB</v>
          </cell>
          <cell r="AF14935">
            <v>0.3</v>
          </cell>
        </row>
        <row r="14936">
          <cell r="A14936" t="str">
            <v>IS_alqt_plus</v>
          </cell>
          <cell r="K14936" t="str">
            <v>LCAT</v>
          </cell>
          <cell r="M14936" t="str">
            <v>F</v>
          </cell>
          <cell r="AB14936" t="str">
            <v>WB</v>
          </cell>
          <cell r="AF14936">
            <v>0.3</v>
          </cell>
        </row>
        <row r="14937">
          <cell r="A14937" t="str">
            <v>IS_alqt_plus</v>
          </cell>
          <cell r="K14937" t="str">
            <v>LCAT</v>
          </cell>
          <cell r="M14937" t="str">
            <v>F</v>
          </cell>
          <cell r="AB14937" t="str">
            <v>WB</v>
          </cell>
          <cell r="AF14937">
            <v>0.3</v>
          </cell>
        </row>
        <row r="14938">
          <cell r="A14938" t="str">
            <v>IS_alqt_plus</v>
          </cell>
          <cell r="K14938" t="str">
            <v>LCAT</v>
          </cell>
          <cell r="M14938" t="str">
            <v>F</v>
          </cell>
          <cell r="AB14938" t="str">
            <v>WB</v>
          </cell>
          <cell r="AF14938">
            <v>0.3</v>
          </cell>
        </row>
        <row r="14939">
          <cell r="A14939" t="str">
            <v>IS_alqt_plus</v>
          </cell>
          <cell r="K14939" t="str">
            <v>LCAT</v>
          </cell>
          <cell r="M14939" t="str">
            <v>F</v>
          </cell>
          <cell r="AB14939" t="str">
            <v>WB</v>
          </cell>
          <cell r="AF14939">
            <v>0.3</v>
          </cell>
        </row>
        <row r="14940">
          <cell r="A14940" t="str">
            <v>IS_alqt_plus</v>
          </cell>
          <cell r="K14940" t="str">
            <v>LCAT</v>
          </cell>
          <cell r="M14940" t="str">
            <v>F</v>
          </cell>
          <cell r="AB14940" t="str">
            <v>WB</v>
          </cell>
          <cell r="AF14940">
            <v>0.3</v>
          </cell>
        </row>
        <row r="14941">
          <cell r="A14941" t="str">
            <v>IS_alqt_plus</v>
          </cell>
          <cell r="K14941" t="str">
            <v>LCAT</v>
          </cell>
          <cell r="M14941" t="str">
            <v>F</v>
          </cell>
          <cell r="AB14941" t="str">
            <v>WB</v>
          </cell>
          <cell r="AF14941">
            <v>0.3</v>
          </cell>
        </row>
        <row r="14942">
          <cell r="A14942" t="str">
            <v>IS_alqt_plus</v>
          </cell>
          <cell r="K14942" t="str">
            <v>LCAT</v>
          </cell>
          <cell r="M14942" t="str">
            <v>F</v>
          </cell>
          <cell r="AB14942" t="str">
            <v>WB</v>
          </cell>
          <cell r="AF14942">
            <v>0.3</v>
          </cell>
        </row>
        <row r="14943">
          <cell r="A14943" t="str">
            <v>IS_alqt_plus</v>
          </cell>
          <cell r="K14943" t="str">
            <v>LCAT</v>
          </cell>
          <cell r="M14943" t="str">
            <v>F</v>
          </cell>
          <cell r="AB14943" t="str">
            <v>WB</v>
          </cell>
          <cell r="AF14943">
            <v>0.3</v>
          </cell>
        </row>
        <row r="14944">
          <cell r="A14944" t="str">
            <v>IS_alqt_plus</v>
          </cell>
          <cell r="K14944" t="str">
            <v>LCAT</v>
          </cell>
          <cell r="M14944" t="str">
            <v>F</v>
          </cell>
          <cell r="AB14944" t="str">
            <v>WB</v>
          </cell>
          <cell r="AF14944">
            <v>0.3</v>
          </cell>
        </row>
        <row r="14945">
          <cell r="A14945" t="str">
            <v>IS_alqt_plus</v>
          </cell>
          <cell r="K14945" t="str">
            <v>LCAT</v>
          </cell>
          <cell r="M14945" t="str">
            <v>F</v>
          </cell>
          <cell r="AB14945" t="str">
            <v>WB</v>
          </cell>
          <cell r="AF14945">
            <v>0.3</v>
          </cell>
        </row>
        <row r="14946">
          <cell r="A14946" t="str">
            <v>IS_alqt_plus</v>
          </cell>
          <cell r="K14946" t="str">
            <v>LCAT</v>
          </cell>
          <cell r="M14946" t="str">
            <v>F</v>
          </cell>
          <cell r="AB14946" t="str">
            <v>WB</v>
          </cell>
          <cell r="AF14946">
            <v>0.3</v>
          </cell>
        </row>
        <row r="14947">
          <cell r="A14947" t="str">
            <v>IS_alqt_plus</v>
          </cell>
          <cell r="K14947" t="str">
            <v>LCAT</v>
          </cell>
          <cell r="M14947" t="str">
            <v>F</v>
          </cell>
          <cell r="AB14947" t="str">
            <v>WB</v>
          </cell>
          <cell r="AF14947">
            <v>0.3</v>
          </cell>
        </row>
        <row r="14948">
          <cell r="A14948" t="str">
            <v>IS_alqt_plus</v>
          </cell>
          <cell r="K14948" t="str">
            <v>LCAT</v>
          </cell>
          <cell r="M14948" t="str">
            <v>M</v>
          </cell>
          <cell r="AB14948" t="str">
            <v>WB</v>
          </cell>
          <cell r="AF14948">
            <v>0.3</v>
          </cell>
        </row>
        <row r="14949">
          <cell r="A14949" t="str">
            <v>IS_alqt_plus</v>
          </cell>
          <cell r="K14949" t="str">
            <v>LCAT</v>
          </cell>
          <cell r="M14949" t="str">
            <v>M</v>
          </cell>
          <cell r="AB14949" t="str">
            <v>WB</v>
          </cell>
          <cell r="AF14949">
            <v>0.3</v>
          </cell>
        </row>
        <row r="14950">
          <cell r="A14950" t="str">
            <v>IS_alqt_plus</v>
          </cell>
          <cell r="K14950" t="str">
            <v>LCAT</v>
          </cell>
          <cell r="M14950" t="str">
            <v>M</v>
          </cell>
          <cell r="AB14950" t="str">
            <v>WB</v>
          </cell>
          <cell r="AF14950">
            <v>0.3</v>
          </cell>
        </row>
        <row r="14951">
          <cell r="A14951" t="str">
            <v>IS_alqt_plus</v>
          </cell>
          <cell r="K14951" t="str">
            <v>LCAT</v>
          </cell>
          <cell r="M14951" t="str">
            <v>M</v>
          </cell>
          <cell r="AB14951" t="str">
            <v>WB</v>
          </cell>
          <cell r="AF14951">
            <v>0.3</v>
          </cell>
        </row>
        <row r="14952">
          <cell r="A14952" t="str">
            <v>IS_alqt_plus</v>
          </cell>
          <cell r="K14952" t="str">
            <v>LCAT</v>
          </cell>
          <cell r="M14952" t="str">
            <v>M</v>
          </cell>
          <cell r="AB14952" t="str">
            <v>WB</v>
          </cell>
          <cell r="AF14952">
            <v>0.3</v>
          </cell>
        </row>
        <row r="14953">
          <cell r="A14953" t="str">
            <v>IS_alqt_plus</v>
          </cell>
          <cell r="K14953" t="str">
            <v>LCAT</v>
          </cell>
          <cell r="M14953" t="str">
            <v>F</v>
          </cell>
          <cell r="AB14953" t="str">
            <v>WB</v>
          </cell>
          <cell r="AF14953">
            <v>0.6</v>
          </cell>
        </row>
        <row r="14954">
          <cell r="A14954" t="str">
            <v>IS_alqt_plus</v>
          </cell>
          <cell r="K14954" t="str">
            <v>LCAT</v>
          </cell>
          <cell r="M14954" t="str">
            <v>F</v>
          </cell>
          <cell r="AB14954" t="str">
            <v>WB</v>
          </cell>
          <cell r="AF14954">
            <v>0.6</v>
          </cell>
        </row>
        <row r="14955">
          <cell r="A14955" t="str">
            <v>IS_alqt_plus</v>
          </cell>
          <cell r="K14955" t="str">
            <v>LCAT</v>
          </cell>
          <cell r="M14955" t="str">
            <v>F</v>
          </cell>
          <cell r="AB14955" t="str">
            <v>WB</v>
          </cell>
          <cell r="AF14955">
            <v>0.33</v>
          </cell>
        </row>
        <row r="14956">
          <cell r="A14956" t="str">
            <v>IS_alqt_plus</v>
          </cell>
          <cell r="K14956" t="str">
            <v>LCAT</v>
          </cell>
          <cell r="M14956" t="str">
            <v>F</v>
          </cell>
          <cell r="AB14956" t="str">
            <v>WB</v>
          </cell>
          <cell r="AF14956">
            <v>0.22</v>
          </cell>
        </row>
        <row r="14957">
          <cell r="A14957" t="str">
            <v>IS_alqt_plus</v>
          </cell>
          <cell r="K14957" t="str">
            <v>LCAT</v>
          </cell>
          <cell r="M14957" t="str">
            <v>F</v>
          </cell>
          <cell r="AB14957" t="str">
            <v>WB</v>
          </cell>
          <cell r="AF14957">
            <v>0.6</v>
          </cell>
        </row>
        <row r="14958">
          <cell r="A14958" t="str">
            <v>IS_alqt_plus</v>
          </cell>
          <cell r="K14958" t="str">
            <v>LCAT</v>
          </cell>
          <cell r="M14958" t="str">
            <v>F</v>
          </cell>
          <cell r="AB14958" t="str">
            <v>WB</v>
          </cell>
          <cell r="AF14958">
            <v>0.6</v>
          </cell>
        </row>
        <row r="14959">
          <cell r="A14959" t="str">
            <v>IS_alqt_plus</v>
          </cell>
          <cell r="K14959" t="str">
            <v>LCAT</v>
          </cell>
          <cell r="M14959" t="str">
            <v>F</v>
          </cell>
          <cell r="AB14959" t="str">
            <v>WB</v>
          </cell>
          <cell r="AF14959">
            <v>0.4</v>
          </cell>
        </row>
        <row r="14960">
          <cell r="A14960" t="str">
            <v>IS_alqt_plus</v>
          </cell>
          <cell r="K14960" t="str">
            <v>LCAT</v>
          </cell>
          <cell r="M14960" t="str">
            <v>F</v>
          </cell>
          <cell r="AB14960" t="str">
            <v>WB</v>
          </cell>
          <cell r="AF14960">
            <v>0.2</v>
          </cell>
        </row>
        <row r="14961">
          <cell r="A14961" t="str">
            <v>IS_alqt_plus</v>
          </cell>
          <cell r="K14961" t="str">
            <v>LCAT</v>
          </cell>
          <cell r="M14961" t="str">
            <v>F</v>
          </cell>
          <cell r="AB14961" t="str">
            <v>WB</v>
          </cell>
          <cell r="AF14961">
            <v>0.2</v>
          </cell>
        </row>
        <row r="14962">
          <cell r="A14962" t="str">
            <v>IS_alqt_plus</v>
          </cell>
          <cell r="K14962" t="str">
            <v>LCAT</v>
          </cell>
          <cell r="M14962" t="str">
            <v>F</v>
          </cell>
          <cell r="AB14962" t="str">
            <v>WB</v>
          </cell>
          <cell r="AF14962">
            <v>0.4</v>
          </cell>
        </row>
        <row r="14963">
          <cell r="A14963" t="str">
            <v>IS_alqt_plus</v>
          </cell>
          <cell r="K14963" t="str">
            <v>LCAT</v>
          </cell>
          <cell r="M14963" t="str">
            <v>F</v>
          </cell>
          <cell r="AB14963" t="str">
            <v>WB</v>
          </cell>
          <cell r="AF14963">
            <v>0.4</v>
          </cell>
        </row>
        <row r="14964">
          <cell r="A14964" t="str">
            <v>IS_alqt_plus</v>
          </cell>
          <cell r="K14964" t="str">
            <v>LCAT</v>
          </cell>
          <cell r="M14964" t="str">
            <v>F</v>
          </cell>
          <cell r="AB14964" t="str">
            <v>WB</v>
          </cell>
          <cell r="AF14964">
            <v>0.6</v>
          </cell>
        </row>
        <row r="14965">
          <cell r="A14965" t="str">
            <v>IS_alqt_plus</v>
          </cell>
          <cell r="K14965" t="str">
            <v>LCAT</v>
          </cell>
          <cell r="M14965" t="str">
            <v>F</v>
          </cell>
          <cell r="AB14965" t="str">
            <v>WB</v>
          </cell>
          <cell r="AF14965">
            <v>0.6</v>
          </cell>
        </row>
        <row r="14966">
          <cell r="A14966" t="str">
            <v>IS_alqt_plus</v>
          </cell>
          <cell r="K14966" t="str">
            <v>LCAT</v>
          </cell>
          <cell r="M14966" t="str">
            <v>F</v>
          </cell>
          <cell r="AB14966" t="str">
            <v>WB</v>
          </cell>
          <cell r="AF14966">
            <v>0.33</v>
          </cell>
        </row>
        <row r="14967">
          <cell r="A14967" t="str">
            <v>IS_alqt_plus</v>
          </cell>
          <cell r="K14967" t="str">
            <v>LCAT</v>
          </cell>
          <cell r="M14967" t="str">
            <v>F</v>
          </cell>
          <cell r="AB14967" t="str">
            <v>WB</v>
          </cell>
          <cell r="AF14967">
            <v>0.2</v>
          </cell>
        </row>
        <row r="14968">
          <cell r="A14968" t="str">
            <v>IS_alqt_plus</v>
          </cell>
          <cell r="K14968" t="str">
            <v>LCAT</v>
          </cell>
          <cell r="M14968" t="str">
            <v>F</v>
          </cell>
          <cell r="AB14968" t="str">
            <v>WB</v>
          </cell>
          <cell r="AF14968">
            <v>0.2</v>
          </cell>
        </row>
        <row r="14969">
          <cell r="A14969" t="str">
            <v>IS_alqt_plus</v>
          </cell>
          <cell r="K14969" t="str">
            <v>LCAT</v>
          </cell>
          <cell r="M14969" t="str">
            <v>F</v>
          </cell>
          <cell r="AB14969" t="str">
            <v>WB</v>
          </cell>
          <cell r="AF14969">
            <v>0.2</v>
          </cell>
        </row>
        <row r="14970">
          <cell r="A14970" t="str">
            <v>IS_alqt_plus</v>
          </cell>
          <cell r="K14970" t="str">
            <v>LCAT</v>
          </cell>
          <cell r="M14970" t="str">
            <v>F</v>
          </cell>
          <cell r="AB14970" t="str">
            <v>WB</v>
          </cell>
          <cell r="AF14970">
            <v>0.6</v>
          </cell>
        </row>
        <row r="14971">
          <cell r="A14971" t="str">
            <v>IS_alqt_plus</v>
          </cell>
          <cell r="K14971" t="str">
            <v>LCAT</v>
          </cell>
          <cell r="M14971" t="str">
            <v>F</v>
          </cell>
          <cell r="AB14971" t="str">
            <v>WB</v>
          </cell>
          <cell r="AF14971">
            <v>0.6</v>
          </cell>
        </row>
        <row r="14972">
          <cell r="A14972" t="str">
            <v>IS_alqt_plus</v>
          </cell>
          <cell r="K14972" t="str">
            <v>LCAT</v>
          </cell>
          <cell r="M14972" t="str">
            <v>F</v>
          </cell>
          <cell r="AB14972" t="str">
            <v>WB</v>
          </cell>
          <cell r="AF14972">
            <v>0.33</v>
          </cell>
        </row>
        <row r="14973">
          <cell r="A14973" t="str">
            <v>IS_alqt_plus</v>
          </cell>
          <cell r="K14973" t="str">
            <v>LCAT</v>
          </cell>
          <cell r="M14973" t="str">
            <v>F</v>
          </cell>
          <cell r="AB14973" t="str">
            <v>WB</v>
          </cell>
          <cell r="AF14973">
            <v>0.2</v>
          </cell>
        </row>
        <row r="14974">
          <cell r="A14974" t="str">
            <v>IS_alqt_plus</v>
          </cell>
          <cell r="K14974" t="str">
            <v>LCAT</v>
          </cell>
          <cell r="M14974" t="str">
            <v>F</v>
          </cell>
          <cell r="AB14974" t="str">
            <v>WB</v>
          </cell>
          <cell r="AF14974">
            <v>0.2</v>
          </cell>
        </row>
        <row r="14975">
          <cell r="A14975" t="str">
            <v>IS_alqt_plus</v>
          </cell>
          <cell r="K14975" t="str">
            <v>LCAT</v>
          </cell>
          <cell r="M14975" t="str">
            <v>F</v>
          </cell>
          <cell r="AB14975" t="str">
            <v>WB</v>
          </cell>
          <cell r="AF14975">
            <v>0.2</v>
          </cell>
        </row>
        <row r="14976">
          <cell r="A14976" t="str">
            <v>IS_alqt_minus</v>
          </cell>
          <cell r="K14976" t="str">
            <v>MMUR</v>
          </cell>
          <cell r="M14976" t="str">
            <v>F</v>
          </cell>
          <cell r="AB14976" t="str">
            <v>WB</v>
          </cell>
          <cell r="AF14976">
            <v>6.5000000000000002E-2</v>
          </cell>
        </row>
        <row r="14977">
          <cell r="A14977" t="str">
            <v>IS_alqt_plus</v>
          </cell>
          <cell r="K14977" t="str">
            <v>LCAT</v>
          </cell>
          <cell r="M14977" t="str">
            <v>F</v>
          </cell>
          <cell r="AB14977" t="str">
            <v>serum</v>
          </cell>
          <cell r="AF14977">
            <v>1</v>
          </cell>
        </row>
        <row r="14978">
          <cell r="A14978" t="str">
            <v>IS_alqt_plus</v>
          </cell>
          <cell r="K14978" t="str">
            <v>LCAT</v>
          </cell>
          <cell r="M14978" t="str">
            <v>F</v>
          </cell>
          <cell r="AB14978" t="str">
            <v>serum</v>
          </cell>
          <cell r="AF14978">
            <v>0.3</v>
          </cell>
        </row>
        <row r="14979">
          <cell r="A14979" t="str">
            <v>IS_alqt_plus</v>
          </cell>
          <cell r="K14979" t="str">
            <v>LCAT</v>
          </cell>
          <cell r="M14979" t="str">
            <v>F</v>
          </cell>
          <cell r="AB14979" t="str">
            <v>WB</v>
          </cell>
          <cell r="AF14979">
            <v>1</v>
          </cell>
        </row>
        <row r="14980">
          <cell r="A14980" t="str">
            <v>IS_alqt_plus</v>
          </cell>
          <cell r="K14980" t="str">
            <v>LCAT</v>
          </cell>
          <cell r="M14980" t="str">
            <v>F</v>
          </cell>
          <cell r="AB14980" t="str">
            <v>WB</v>
          </cell>
          <cell r="AF14980">
            <v>0.4</v>
          </cell>
        </row>
        <row r="14981">
          <cell r="A14981" t="str">
            <v>IS_alqt_plus</v>
          </cell>
          <cell r="K14981" t="str">
            <v>LCAT</v>
          </cell>
          <cell r="M14981" t="str">
            <v>M</v>
          </cell>
          <cell r="AB14981" t="str">
            <v>serum</v>
          </cell>
          <cell r="AF14981">
            <v>1.2</v>
          </cell>
        </row>
        <row r="14982">
          <cell r="A14982" t="str">
            <v>IS_alqt_plus</v>
          </cell>
          <cell r="K14982" t="str">
            <v>LCAT</v>
          </cell>
          <cell r="M14982" t="str">
            <v>M</v>
          </cell>
          <cell r="AB14982" t="str">
            <v>WB</v>
          </cell>
          <cell r="AF14982">
            <v>1</v>
          </cell>
        </row>
        <row r="14983">
          <cell r="A14983" t="str">
            <v>IS_alqt_plus</v>
          </cell>
          <cell r="K14983" t="str">
            <v>LCAT</v>
          </cell>
          <cell r="M14983" t="str">
            <v>M</v>
          </cell>
          <cell r="AB14983" t="str">
            <v>WB</v>
          </cell>
          <cell r="AF14983">
            <v>0.45</v>
          </cell>
        </row>
        <row r="14984">
          <cell r="A14984" t="str">
            <v>IS_alqt_plus</v>
          </cell>
          <cell r="K14984" t="str">
            <v>EFLA</v>
          </cell>
          <cell r="M14984" t="str">
            <v>F</v>
          </cell>
          <cell r="AB14984" t="str">
            <v>serum</v>
          </cell>
          <cell r="AF14984">
            <v>1</v>
          </cell>
        </row>
        <row r="14985">
          <cell r="A14985" t="str">
            <v>IS_alqt_plus</v>
          </cell>
          <cell r="K14985" t="str">
            <v>EFLA</v>
          </cell>
          <cell r="M14985" t="str">
            <v>F</v>
          </cell>
          <cell r="AB14985" t="str">
            <v>serum</v>
          </cell>
          <cell r="AF14985">
            <v>0.3</v>
          </cell>
        </row>
        <row r="14986">
          <cell r="A14986" t="str">
            <v>IS_alqt_plus</v>
          </cell>
          <cell r="K14986" t="str">
            <v>EFLA</v>
          </cell>
          <cell r="M14986" t="str">
            <v>F</v>
          </cell>
          <cell r="AB14986" t="str">
            <v>WB</v>
          </cell>
          <cell r="AF14986">
            <v>1</v>
          </cell>
        </row>
        <row r="14987">
          <cell r="A14987" t="str">
            <v>IS_alqt_plus</v>
          </cell>
          <cell r="K14987" t="str">
            <v>EFLA</v>
          </cell>
          <cell r="M14987" t="str">
            <v>F</v>
          </cell>
          <cell r="AB14987" t="str">
            <v>WB</v>
          </cell>
          <cell r="AF14987">
            <v>0.6</v>
          </cell>
        </row>
        <row r="14988">
          <cell r="A14988" t="str">
            <v>IS_alqt_plus</v>
          </cell>
          <cell r="K14988" t="str">
            <v>VRUB</v>
          </cell>
          <cell r="M14988" t="str">
            <v>F</v>
          </cell>
          <cell r="AB14988" t="str">
            <v>serum</v>
          </cell>
          <cell r="AF14988">
            <v>1</v>
          </cell>
        </row>
        <row r="14989">
          <cell r="A14989" t="str">
            <v>IS_alqt_plus</v>
          </cell>
          <cell r="K14989" t="str">
            <v>VRUB</v>
          </cell>
          <cell r="M14989" t="str">
            <v>F</v>
          </cell>
          <cell r="AB14989" t="str">
            <v>serum</v>
          </cell>
          <cell r="AF14989">
            <v>0.45</v>
          </cell>
        </row>
        <row r="14990">
          <cell r="A14990" t="str">
            <v>IS_alqt_plus</v>
          </cell>
          <cell r="K14990" t="str">
            <v>VRUB</v>
          </cell>
          <cell r="M14990" t="str">
            <v>F</v>
          </cell>
          <cell r="AB14990" t="str">
            <v>WB</v>
          </cell>
          <cell r="AF14990">
            <v>1</v>
          </cell>
        </row>
        <row r="14991">
          <cell r="A14991" t="str">
            <v>IS_alqt_plus</v>
          </cell>
          <cell r="K14991" t="str">
            <v>VRUB</v>
          </cell>
          <cell r="M14991" t="str">
            <v>F</v>
          </cell>
          <cell r="AB14991" t="str">
            <v>WB</v>
          </cell>
          <cell r="AF14991">
            <v>1</v>
          </cell>
        </row>
        <row r="14992">
          <cell r="A14992" t="str">
            <v>IS_alqt_plus</v>
          </cell>
          <cell r="K14992" t="str">
            <v>VRUB</v>
          </cell>
          <cell r="M14992" t="str">
            <v>F</v>
          </cell>
          <cell r="AB14992" t="str">
            <v>WB</v>
          </cell>
          <cell r="AF14992">
            <v>0.2</v>
          </cell>
        </row>
        <row r="14993">
          <cell r="A14993" t="str">
            <v>IS_alqt_plus</v>
          </cell>
          <cell r="K14993" t="str">
            <v>LCAT</v>
          </cell>
          <cell r="M14993" t="str">
            <v>F</v>
          </cell>
          <cell r="AB14993" t="str">
            <v>serum</v>
          </cell>
          <cell r="AF14993">
            <v>1.1000000000000001</v>
          </cell>
        </row>
        <row r="14994">
          <cell r="A14994" t="str">
            <v>IS_alqt_plus</v>
          </cell>
          <cell r="K14994" t="str">
            <v>VRUB</v>
          </cell>
          <cell r="M14994" t="str">
            <v>M</v>
          </cell>
          <cell r="AB14994" t="str">
            <v>serum</v>
          </cell>
          <cell r="AF14994">
            <v>1.2</v>
          </cell>
        </row>
        <row r="14995">
          <cell r="A14995" t="str">
            <v>IS_alqt_plus</v>
          </cell>
          <cell r="K14995" t="str">
            <v>VRUB</v>
          </cell>
          <cell r="M14995" t="str">
            <v>M</v>
          </cell>
          <cell r="AB14995" t="str">
            <v>WB</v>
          </cell>
          <cell r="AF14995">
            <v>1</v>
          </cell>
        </row>
        <row r="14996">
          <cell r="A14996" t="str">
            <v>IS_alqt_plus</v>
          </cell>
          <cell r="K14996" t="str">
            <v>VRUB</v>
          </cell>
          <cell r="M14996" t="str">
            <v>M</v>
          </cell>
          <cell r="AB14996" t="str">
            <v>WB</v>
          </cell>
          <cell r="AF14996">
            <v>0.8</v>
          </cell>
        </row>
        <row r="14997">
          <cell r="A14997" t="str">
            <v>IS_alqt_minus</v>
          </cell>
          <cell r="K14997" t="str">
            <v>CMED</v>
          </cell>
          <cell r="M14997" t="str">
            <v>M</v>
          </cell>
          <cell r="AB14997" t="str">
            <v>WB</v>
          </cell>
          <cell r="AF14997">
            <v>0.06</v>
          </cell>
        </row>
        <row r="14998">
          <cell r="A14998" t="str">
            <v>IS_alqt_plus</v>
          </cell>
          <cell r="K14998" t="str">
            <v>LCAT</v>
          </cell>
          <cell r="M14998" t="str">
            <v>F</v>
          </cell>
          <cell r="AB14998" t="str">
            <v>WB</v>
          </cell>
          <cell r="AF14998">
            <v>0.2</v>
          </cell>
        </row>
        <row r="14999">
          <cell r="A14999" t="str">
            <v>IS_alqt_plus</v>
          </cell>
          <cell r="K14999" t="str">
            <v>LCAT</v>
          </cell>
          <cell r="M14999" t="str">
            <v>F</v>
          </cell>
          <cell r="AB14999" t="str">
            <v>WB</v>
          </cell>
          <cell r="AF14999">
            <v>0.2</v>
          </cell>
        </row>
        <row r="15000">
          <cell r="A15000" t="str">
            <v>IS_alqt_plus</v>
          </cell>
          <cell r="K15000" t="str">
            <v>LCAT</v>
          </cell>
          <cell r="M15000" t="str">
            <v>F</v>
          </cell>
          <cell r="AB15000" t="str">
            <v>WB</v>
          </cell>
          <cell r="AF15000">
            <v>0.4</v>
          </cell>
        </row>
        <row r="15001">
          <cell r="A15001" t="str">
            <v>IS_alqt_plus</v>
          </cell>
          <cell r="K15001" t="str">
            <v>LCAT</v>
          </cell>
          <cell r="M15001" t="str">
            <v>F</v>
          </cell>
          <cell r="AB15001" t="str">
            <v>WB</v>
          </cell>
          <cell r="AF15001">
            <v>0.6</v>
          </cell>
        </row>
        <row r="15002">
          <cell r="A15002" t="str">
            <v>IS_alqt_plus</v>
          </cell>
          <cell r="K15002" t="str">
            <v>LCAT</v>
          </cell>
          <cell r="M15002" t="str">
            <v>F</v>
          </cell>
          <cell r="AB15002" t="str">
            <v>serum</v>
          </cell>
          <cell r="AF15002">
            <v>0.2</v>
          </cell>
        </row>
        <row r="15003">
          <cell r="A15003" t="str">
            <v>IS_alqt_plus</v>
          </cell>
          <cell r="K15003" t="str">
            <v>LCAT</v>
          </cell>
          <cell r="M15003" t="str">
            <v>F</v>
          </cell>
          <cell r="AB15003" t="str">
            <v>serum</v>
          </cell>
          <cell r="AF15003">
            <v>0.2</v>
          </cell>
        </row>
        <row r="15004">
          <cell r="A15004" t="str">
            <v>IS_alqt_plus</v>
          </cell>
          <cell r="K15004" t="str">
            <v>LCAT</v>
          </cell>
          <cell r="M15004" t="str">
            <v>F</v>
          </cell>
          <cell r="AB15004" t="str">
            <v>serum</v>
          </cell>
          <cell r="AF15004">
            <v>0.4</v>
          </cell>
        </row>
        <row r="15005">
          <cell r="A15005" t="str">
            <v>IS_alqt_plus</v>
          </cell>
          <cell r="K15005" t="str">
            <v>LCAT</v>
          </cell>
          <cell r="M15005" t="str">
            <v>F</v>
          </cell>
          <cell r="AB15005" t="str">
            <v>serum</v>
          </cell>
          <cell r="AF15005">
            <v>0.4</v>
          </cell>
        </row>
        <row r="15006">
          <cell r="A15006" t="str">
            <v>IS_alqt_plus</v>
          </cell>
          <cell r="K15006" t="str">
            <v>PCOQ</v>
          </cell>
          <cell r="M15006" t="str">
            <v>M</v>
          </cell>
          <cell r="AB15006" t="str">
            <v>serum</v>
          </cell>
          <cell r="AF15006">
            <v>0.2</v>
          </cell>
        </row>
        <row r="15007">
          <cell r="A15007" t="str">
            <v>IS_alqt_plus</v>
          </cell>
          <cell r="K15007" t="str">
            <v>PCOQ</v>
          </cell>
          <cell r="M15007" t="str">
            <v>M</v>
          </cell>
          <cell r="AB15007" t="str">
            <v>serum</v>
          </cell>
          <cell r="AF15007">
            <v>0.2</v>
          </cell>
        </row>
        <row r="15008">
          <cell r="A15008" t="str">
            <v>IS_alqt_plus</v>
          </cell>
          <cell r="K15008" t="str">
            <v>PCOQ</v>
          </cell>
          <cell r="M15008" t="str">
            <v>M</v>
          </cell>
          <cell r="AB15008" t="str">
            <v>WB</v>
          </cell>
          <cell r="AF15008">
            <v>0.2</v>
          </cell>
        </row>
        <row r="15009">
          <cell r="A15009" t="str">
            <v>IS_alqt_plus</v>
          </cell>
          <cell r="K15009" t="str">
            <v>PCOQ</v>
          </cell>
          <cell r="M15009" t="str">
            <v>M</v>
          </cell>
          <cell r="AB15009" t="str">
            <v>WB</v>
          </cell>
          <cell r="AF15009">
            <v>0.4</v>
          </cell>
        </row>
        <row r="15010">
          <cell r="A15010" t="str">
            <v>IS_alqt_plus</v>
          </cell>
          <cell r="K15010" t="str">
            <v>PCOQ</v>
          </cell>
          <cell r="M15010" t="str">
            <v>M</v>
          </cell>
          <cell r="AB15010" t="str">
            <v>WB</v>
          </cell>
          <cell r="AF15010">
            <v>0.4</v>
          </cell>
        </row>
        <row r="15011">
          <cell r="A15011" t="str">
            <v>IS_alqt_plus</v>
          </cell>
          <cell r="K15011" t="str">
            <v>PCOQ</v>
          </cell>
          <cell r="M15011" t="str">
            <v>M</v>
          </cell>
          <cell r="AB15011" t="str">
            <v>WB</v>
          </cell>
          <cell r="AF15011">
            <v>1</v>
          </cell>
        </row>
        <row r="15012">
          <cell r="A15012" t="str">
            <v>IS_alqt_plus</v>
          </cell>
          <cell r="K15012" t="str">
            <v>PCOQ</v>
          </cell>
          <cell r="M15012" t="str">
            <v>M</v>
          </cell>
          <cell r="AB15012" t="str">
            <v>WB</v>
          </cell>
          <cell r="AF15012">
            <v>0.5</v>
          </cell>
        </row>
        <row r="15013">
          <cell r="A15013" t="str">
            <v>IS_alqt_plus</v>
          </cell>
          <cell r="K15013" t="str">
            <v>PCOQ</v>
          </cell>
          <cell r="M15013" t="str">
            <v>M</v>
          </cell>
          <cell r="AB15013" t="str">
            <v>serum</v>
          </cell>
          <cell r="AF15013">
            <v>0.2</v>
          </cell>
        </row>
        <row r="15014">
          <cell r="A15014" t="str">
            <v>IS_alqt_plus</v>
          </cell>
          <cell r="K15014" t="str">
            <v>PCOQ</v>
          </cell>
          <cell r="M15014" t="str">
            <v>M</v>
          </cell>
          <cell r="AB15014" t="str">
            <v>serum</v>
          </cell>
          <cell r="AF15014">
            <v>0.2</v>
          </cell>
        </row>
        <row r="15015">
          <cell r="A15015" t="str">
            <v>IS_alqt_plus</v>
          </cell>
          <cell r="K15015" t="str">
            <v>PCOQ</v>
          </cell>
          <cell r="M15015" t="str">
            <v>M</v>
          </cell>
          <cell r="AB15015" t="str">
            <v>serum</v>
          </cell>
          <cell r="AF15015">
            <v>0.6</v>
          </cell>
        </row>
        <row r="15016">
          <cell r="A15016" t="str">
            <v>IS_alqt_plus</v>
          </cell>
          <cell r="K15016" t="str">
            <v>PCOQ</v>
          </cell>
          <cell r="M15016" t="str">
            <v>M</v>
          </cell>
          <cell r="AB15016" t="str">
            <v>WB</v>
          </cell>
          <cell r="AF15016">
            <v>1</v>
          </cell>
        </row>
        <row r="15017">
          <cell r="A15017" t="str">
            <v>IS_alqt_plus</v>
          </cell>
          <cell r="K15017" t="str">
            <v>PCOQ</v>
          </cell>
          <cell r="M15017" t="str">
            <v>M</v>
          </cell>
          <cell r="AB15017" t="str">
            <v>WB</v>
          </cell>
          <cell r="AF15017">
            <v>1</v>
          </cell>
        </row>
        <row r="15018">
          <cell r="A15018" t="str">
            <v>IS_alqt_plus</v>
          </cell>
          <cell r="K15018" t="str">
            <v>LCAT</v>
          </cell>
          <cell r="M15018" t="str">
            <v>M</v>
          </cell>
          <cell r="AB15018" t="str">
            <v>serum</v>
          </cell>
          <cell r="AF15018">
            <v>1</v>
          </cell>
        </row>
        <row r="15019">
          <cell r="A15019" t="str">
            <v>IS_alqt_plus</v>
          </cell>
          <cell r="K15019" t="str">
            <v>LCAT</v>
          </cell>
          <cell r="M15019" t="str">
            <v>M</v>
          </cell>
          <cell r="AB15019" t="str">
            <v>WB</v>
          </cell>
          <cell r="AF15019">
            <v>1</v>
          </cell>
        </row>
        <row r="15020">
          <cell r="A15020" t="str">
            <v>IS_alqt_plus</v>
          </cell>
          <cell r="K15020" t="str">
            <v>LCAT</v>
          </cell>
          <cell r="M15020" t="str">
            <v>M</v>
          </cell>
          <cell r="AB15020" t="str">
            <v>WB</v>
          </cell>
          <cell r="AF15020">
            <v>1</v>
          </cell>
        </row>
        <row r="15021">
          <cell r="A15021" t="str">
            <v>IS_alqt_plus</v>
          </cell>
          <cell r="K15021" t="str">
            <v>LCAT</v>
          </cell>
          <cell r="M15021" t="str">
            <v>F</v>
          </cell>
          <cell r="AB15021" t="str">
            <v>serum</v>
          </cell>
          <cell r="AF15021">
            <v>0.9</v>
          </cell>
        </row>
        <row r="15022">
          <cell r="A15022" t="str">
            <v>IS_alqt_plus</v>
          </cell>
          <cell r="K15022" t="str">
            <v>LCAT</v>
          </cell>
          <cell r="M15022" t="str">
            <v>F</v>
          </cell>
          <cell r="AB15022" t="str">
            <v>WB</v>
          </cell>
          <cell r="AF15022">
            <v>1</v>
          </cell>
        </row>
        <row r="15023">
          <cell r="A15023" t="str">
            <v>IS_alqt_plus</v>
          </cell>
          <cell r="K15023" t="str">
            <v>LCAT</v>
          </cell>
          <cell r="M15023" t="str">
            <v>F</v>
          </cell>
          <cell r="AB15023" t="str">
            <v>WB</v>
          </cell>
          <cell r="AF15023">
            <v>0.6</v>
          </cell>
        </row>
        <row r="15024">
          <cell r="A15024" t="str">
            <v>IS_alqt_plus</v>
          </cell>
          <cell r="K15024" t="str">
            <v>PCOQ</v>
          </cell>
          <cell r="M15024" t="str">
            <v>F</v>
          </cell>
          <cell r="AB15024" t="str">
            <v>serum</v>
          </cell>
          <cell r="AF15024">
            <v>1</v>
          </cell>
        </row>
        <row r="15025">
          <cell r="A15025" t="str">
            <v>IS_alqt_plus</v>
          </cell>
          <cell r="K15025" t="str">
            <v>PCOQ</v>
          </cell>
          <cell r="M15025" t="str">
            <v>F</v>
          </cell>
          <cell r="AB15025" t="str">
            <v>serum</v>
          </cell>
          <cell r="AF15025">
            <v>0.6</v>
          </cell>
        </row>
        <row r="15026">
          <cell r="A15026" t="str">
            <v>IS_alqt_plus</v>
          </cell>
          <cell r="K15026" t="str">
            <v>PCOQ</v>
          </cell>
          <cell r="M15026" t="str">
            <v>F</v>
          </cell>
          <cell r="AB15026" t="str">
            <v>serum</v>
          </cell>
          <cell r="AF15026">
            <v>0.2</v>
          </cell>
        </row>
        <row r="15027">
          <cell r="A15027" t="str">
            <v>IS_alqt_plus</v>
          </cell>
          <cell r="K15027" t="str">
            <v>PCOQ</v>
          </cell>
          <cell r="M15027" t="str">
            <v>F</v>
          </cell>
          <cell r="AB15027" t="str">
            <v>WB</v>
          </cell>
          <cell r="AF15027">
            <v>1</v>
          </cell>
        </row>
        <row r="15028">
          <cell r="A15028" t="str">
            <v>IS_alqt_plus</v>
          </cell>
          <cell r="K15028" t="str">
            <v>PCOQ</v>
          </cell>
          <cell r="M15028" t="str">
            <v>F</v>
          </cell>
          <cell r="AB15028" t="str">
            <v>WB</v>
          </cell>
          <cell r="AF15028">
            <v>0.4</v>
          </cell>
        </row>
        <row r="15029">
          <cell r="A15029" t="str">
            <v>IS_alqt_plus</v>
          </cell>
          <cell r="K15029" t="str">
            <v>MMUR</v>
          </cell>
          <cell r="M15029" t="str">
            <v>F</v>
          </cell>
          <cell r="AB15029" t="str">
            <v>WB</v>
          </cell>
          <cell r="AF15029">
            <v>0.2</v>
          </cell>
        </row>
        <row r="15030">
          <cell r="A15030" t="str">
            <v>IS_alqt_plus</v>
          </cell>
          <cell r="K15030" t="str">
            <v>MMUR</v>
          </cell>
          <cell r="M15030" t="str">
            <v>F</v>
          </cell>
          <cell r="AB15030" t="str">
            <v>WB</v>
          </cell>
          <cell r="AF15030">
            <v>0.2</v>
          </cell>
        </row>
        <row r="15031">
          <cell r="A15031" t="str">
            <v>IS_alqt_plus</v>
          </cell>
          <cell r="K15031" t="str">
            <v>MMUR</v>
          </cell>
          <cell r="M15031" t="str">
            <v>F</v>
          </cell>
          <cell r="AB15031" t="str">
            <v>WB</v>
          </cell>
          <cell r="AF15031">
            <v>0.2</v>
          </cell>
        </row>
        <row r="15032">
          <cell r="A15032" t="str">
            <v>IS_alqt_plus</v>
          </cell>
          <cell r="K15032" t="str">
            <v>MMUR</v>
          </cell>
          <cell r="M15032" t="str">
            <v>F</v>
          </cell>
          <cell r="AB15032" t="str">
            <v>WB</v>
          </cell>
          <cell r="AF15032">
            <v>0.2</v>
          </cell>
        </row>
        <row r="15033">
          <cell r="A15033" t="str">
            <v>IS_alqt_plus</v>
          </cell>
          <cell r="K15033" t="str">
            <v>MMUR</v>
          </cell>
          <cell r="M15033" t="str">
            <v>F</v>
          </cell>
          <cell r="AB15033" t="str">
            <v>WB</v>
          </cell>
          <cell r="AF15033">
            <v>0.2</v>
          </cell>
        </row>
        <row r="15034">
          <cell r="A15034" t="str">
            <v>IS_alqt_plus</v>
          </cell>
          <cell r="K15034" t="str">
            <v>MMUR</v>
          </cell>
          <cell r="M15034" t="str">
            <v>F</v>
          </cell>
          <cell r="AB15034" t="str">
            <v>serum</v>
          </cell>
          <cell r="AF15034">
            <v>0.2</v>
          </cell>
        </row>
        <row r="15035">
          <cell r="A15035" t="str">
            <v>IS_alqt_plus</v>
          </cell>
          <cell r="K15035" t="str">
            <v>MMUR</v>
          </cell>
          <cell r="M15035" t="str">
            <v>F</v>
          </cell>
          <cell r="AB15035" t="str">
            <v>serum</v>
          </cell>
          <cell r="AF15035">
            <v>0.2</v>
          </cell>
        </row>
        <row r="15036">
          <cell r="A15036" t="str">
            <v>IS_alqt_plus</v>
          </cell>
          <cell r="K15036" t="str">
            <v>PCOQ</v>
          </cell>
          <cell r="M15036" t="str">
            <v>M</v>
          </cell>
          <cell r="AB15036" t="str">
            <v>WB</v>
          </cell>
          <cell r="AF15036">
            <v>0.2</v>
          </cell>
        </row>
        <row r="15037">
          <cell r="A15037" t="str">
            <v>IS_alqt_plus</v>
          </cell>
          <cell r="K15037" t="str">
            <v>PCOQ</v>
          </cell>
          <cell r="M15037" t="str">
            <v>M</v>
          </cell>
          <cell r="AB15037" t="str">
            <v>WB</v>
          </cell>
          <cell r="AF15037">
            <v>0.2</v>
          </cell>
        </row>
        <row r="15038">
          <cell r="A15038" t="str">
            <v>IS_alqt_minus</v>
          </cell>
          <cell r="K15038" t="str">
            <v>PCOQ</v>
          </cell>
          <cell r="M15038" t="str">
            <v>M</v>
          </cell>
          <cell r="AB15038" t="str">
            <v>serum</v>
          </cell>
          <cell r="AF15038">
            <v>0.18</v>
          </cell>
        </row>
        <row r="15039">
          <cell r="A15039" t="str">
            <v>IS_alqt_plus</v>
          </cell>
          <cell r="K15039" t="str">
            <v>LCAT</v>
          </cell>
          <cell r="M15039" t="str">
            <v>M</v>
          </cell>
          <cell r="AB15039" t="str">
            <v>WB</v>
          </cell>
          <cell r="AF15039">
            <v>1</v>
          </cell>
        </row>
        <row r="15040">
          <cell r="A15040" t="str">
            <v>IS_alqt_plus</v>
          </cell>
          <cell r="K15040" t="str">
            <v>LCAT</v>
          </cell>
          <cell r="M15040" t="str">
            <v>M</v>
          </cell>
          <cell r="AB15040" t="str">
            <v>WB</v>
          </cell>
          <cell r="AF15040">
            <v>0.6</v>
          </cell>
        </row>
        <row r="15041">
          <cell r="A15041" t="str">
            <v>IS_alqt_plus</v>
          </cell>
          <cell r="K15041" t="str">
            <v>LCAT</v>
          </cell>
          <cell r="M15041" t="str">
            <v>M</v>
          </cell>
          <cell r="AB15041" t="str">
            <v>serum</v>
          </cell>
          <cell r="AF15041">
            <v>1</v>
          </cell>
        </row>
        <row r="15042">
          <cell r="A15042" t="str">
            <v>IS_alqt_minus</v>
          </cell>
          <cell r="K15042" t="str">
            <v>MMUR</v>
          </cell>
          <cell r="M15042" t="str">
            <v>F</v>
          </cell>
          <cell r="AB15042" t="str">
            <v>WB</v>
          </cell>
          <cell r="AF15042">
            <v>0.05</v>
          </cell>
        </row>
        <row r="15043">
          <cell r="A15043" t="str">
            <v>IS_alqt_minus</v>
          </cell>
          <cell r="K15043" t="str">
            <v>MMUR</v>
          </cell>
          <cell r="M15043" t="str">
            <v>F</v>
          </cell>
          <cell r="AB15043" t="str">
            <v>WB</v>
          </cell>
          <cell r="AF15043">
            <v>0.08</v>
          </cell>
        </row>
        <row r="15044">
          <cell r="A15044" t="str">
            <v>IS_alqt_plus</v>
          </cell>
          <cell r="K15044" t="str">
            <v>PCOQ</v>
          </cell>
          <cell r="M15044" t="str">
            <v>M</v>
          </cell>
          <cell r="AB15044" t="str">
            <v>serum</v>
          </cell>
          <cell r="AF15044">
            <v>0.4</v>
          </cell>
        </row>
        <row r="15045">
          <cell r="A15045" t="str">
            <v>IS_alqt_plus</v>
          </cell>
          <cell r="K15045" t="str">
            <v>PCOQ</v>
          </cell>
          <cell r="M15045" t="str">
            <v>M</v>
          </cell>
          <cell r="AB15045" t="str">
            <v>WB</v>
          </cell>
          <cell r="AF15045">
            <v>1</v>
          </cell>
        </row>
        <row r="15046">
          <cell r="A15046" t="str">
            <v>IS_alqt_plus</v>
          </cell>
          <cell r="K15046" t="str">
            <v>PCOQ</v>
          </cell>
          <cell r="M15046" t="str">
            <v>M</v>
          </cell>
          <cell r="AB15046" t="str">
            <v>WB</v>
          </cell>
          <cell r="AF15046">
            <v>0.3</v>
          </cell>
        </row>
        <row r="15047">
          <cell r="A15047" t="str">
            <v>IS_alqt_plus</v>
          </cell>
          <cell r="K15047" t="str">
            <v>VVV</v>
          </cell>
          <cell r="M15047" t="str">
            <v>M</v>
          </cell>
          <cell r="AB15047" t="str">
            <v>serum</v>
          </cell>
          <cell r="AF15047">
            <v>1</v>
          </cell>
        </row>
        <row r="15048">
          <cell r="A15048" t="str">
            <v>IS_alqt_plus</v>
          </cell>
          <cell r="K15048" t="str">
            <v>VVV</v>
          </cell>
          <cell r="M15048" t="str">
            <v>M</v>
          </cell>
          <cell r="AB15048" t="str">
            <v>serum</v>
          </cell>
          <cell r="AF15048">
            <v>0.2</v>
          </cell>
        </row>
        <row r="15049">
          <cell r="A15049" t="str">
            <v>IS_alqt_plus</v>
          </cell>
          <cell r="K15049" t="str">
            <v>VVV</v>
          </cell>
          <cell r="M15049" t="str">
            <v>M</v>
          </cell>
          <cell r="AB15049" t="str">
            <v>WB</v>
          </cell>
          <cell r="AF15049">
            <v>1</v>
          </cell>
        </row>
        <row r="15050">
          <cell r="A15050" t="str">
            <v>IS_alqt_plus</v>
          </cell>
          <cell r="K15050" t="str">
            <v>VVV</v>
          </cell>
          <cell r="M15050" t="str">
            <v>M</v>
          </cell>
          <cell r="AB15050" t="str">
            <v>WB</v>
          </cell>
          <cell r="AF15050">
            <v>0.8</v>
          </cell>
        </row>
        <row r="15051">
          <cell r="A15051" t="str">
            <v>IS_alqt_plus</v>
          </cell>
          <cell r="K15051" t="str">
            <v>LCAT</v>
          </cell>
          <cell r="M15051" t="str">
            <v>F</v>
          </cell>
          <cell r="AB15051" t="str">
            <v>serum</v>
          </cell>
          <cell r="AF15051">
            <v>1</v>
          </cell>
        </row>
        <row r="15052">
          <cell r="A15052" t="str">
            <v>IS_alqt_plus</v>
          </cell>
          <cell r="K15052" t="str">
            <v>LCAT</v>
          </cell>
          <cell r="M15052" t="str">
            <v>F</v>
          </cell>
          <cell r="AB15052" t="str">
            <v>serum</v>
          </cell>
          <cell r="AF15052">
            <v>0.8</v>
          </cell>
        </row>
        <row r="15053">
          <cell r="A15053" t="str">
            <v>IS_alqt_plus</v>
          </cell>
          <cell r="K15053" t="str">
            <v>LCAT</v>
          </cell>
          <cell r="M15053" t="str">
            <v>F</v>
          </cell>
          <cell r="AB15053" t="str">
            <v>WB</v>
          </cell>
          <cell r="AF15053">
            <v>1</v>
          </cell>
        </row>
        <row r="15054">
          <cell r="A15054" t="str">
            <v>IS_alqt_plus</v>
          </cell>
          <cell r="K15054" t="str">
            <v>LCAT</v>
          </cell>
          <cell r="M15054" t="str">
            <v>F</v>
          </cell>
          <cell r="AB15054" t="str">
            <v>WB</v>
          </cell>
          <cell r="AF15054">
            <v>1</v>
          </cell>
        </row>
        <row r="15055">
          <cell r="A15055" t="str">
            <v>IS_alqt_plus</v>
          </cell>
          <cell r="K15055" t="str">
            <v>LCAT</v>
          </cell>
          <cell r="M15055" t="str">
            <v>F</v>
          </cell>
          <cell r="AB15055" t="str">
            <v>WB</v>
          </cell>
          <cell r="AF15055">
            <v>0.8</v>
          </cell>
        </row>
        <row r="15056">
          <cell r="A15056" t="str">
            <v>IS_alqt_plus</v>
          </cell>
          <cell r="K15056" t="str">
            <v>EFLA</v>
          </cell>
          <cell r="M15056" t="str">
            <v>F</v>
          </cell>
          <cell r="AB15056" t="str">
            <v>serum</v>
          </cell>
          <cell r="AF15056">
            <v>0.2</v>
          </cell>
        </row>
        <row r="15057">
          <cell r="A15057" t="str">
            <v>IS_alqt_plus</v>
          </cell>
          <cell r="K15057" t="str">
            <v>EFLA</v>
          </cell>
          <cell r="M15057" t="str">
            <v>F</v>
          </cell>
          <cell r="AB15057" t="str">
            <v>serum</v>
          </cell>
          <cell r="AF15057">
            <v>0.4</v>
          </cell>
        </row>
        <row r="15058">
          <cell r="A15058" t="str">
            <v>IS_alqt_plus</v>
          </cell>
          <cell r="K15058" t="str">
            <v>EFLA</v>
          </cell>
          <cell r="M15058" t="str">
            <v>F</v>
          </cell>
          <cell r="AB15058" t="str">
            <v>serum</v>
          </cell>
          <cell r="AF15058">
            <v>0.6</v>
          </cell>
        </row>
        <row r="15059">
          <cell r="A15059" t="str">
            <v>IS_alqt_plus</v>
          </cell>
          <cell r="K15059" t="str">
            <v>VRUB</v>
          </cell>
          <cell r="M15059" t="str">
            <v>M</v>
          </cell>
          <cell r="AB15059" t="str">
            <v>serum</v>
          </cell>
          <cell r="AF15059">
            <v>0.5</v>
          </cell>
        </row>
        <row r="15060">
          <cell r="A15060" t="str">
            <v>IS_alqt_plus</v>
          </cell>
          <cell r="K15060" t="str">
            <v>VRUB</v>
          </cell>
          <cell r="M15060" t="str">
            <v>M</v>
          </cell>
          <cell r="AB15060" t="str">
            <v>serum</v>
          </cell>
          <cell r="AF15060">
            <v>0.2</v>
          </cell>
        </row>
        <row r="15061">
          <cell r="A15061" t="str">
            <v>IS_alqt_plus</v>
          </cell>
          <cell r="K15061" t="str">
            <v>VRUB</v>
          </cell>
          <cell r="M15061" t="str">
            <v>M</v>
          </cell>
          <cell r="AB15061" t="str">
            <v>WB</v>
          </cell>
          <cell r="AF15061">
            <v>0.5</v>
          </cell>
        </row>
        <row r="15062">
          <cell r="A15062" t="str">
            <v>IS_alqt_plus</v>
          </cell>
          <cell r="K15062" t="str">
            <v>VRUB</v>
          </cell>
          <cell r="M15062" t="str">
            <v>M</v>
          </cell>
          <cell r="AB15062" t="str">
            <v>WB</v>
          </cell>
          <cell r="AF15062">
            <v>0.5</v>
          </cell>
        </row>
        <row r="15063">
          <cell r="A15063" t="str">
            <v>IS_alqt_plus</v>
          </cell>
          <cell r="K15063" t="str">
            <v>VVV</v>
          </cell>
          <cell r="M15063" t="str">
            <v>F</v>
          </cell>
          <cell r="AB15063" t="str">
            <v>serum</v>
          </cell>
          <cell r="AF15063">
            <v>0.25</v>
          </cell>
        </row>
        <row r="15064">
          <cell r="A15064" t="str">
            <v>IS_alqt_plus</v>
          </cell>
          <cell r="K15064" t="str">
            <v>VVV</v>
          </cell>
          <cell r="M15064" t="str">
            <v>F</v>
          </cell>
          <cell r="AB15064" t="str">
            <v>serum</v>
          </cell>
          <cell r="AF15064">
            <v>0.25</v>
          </cell>
        </row>
        <row r="15065">
          <cell r="A15065" t="str">
            <v>IS_alqt_plus</v>
          </cell>
          <cell r="K15065" t="str">
            <v>VVV</v>
          </cell>
          <cell r="M15065" t="str">
            <v>F</v>
          </cell>
          <cell r="AB15065" t="str">
            <v>serum</v>
          </cell>
          <cell r="AF15065">
            <v>0.25</v>
          </cell>
        </row>
        <row r="15066">
          <cell r="A15066" t="str">
            <v>IS_alqt_plus</v>
          </cell>
          <cell r="K15066" t="str">
            <v>VVV</v>
          </cell>
          <cell r="M15066" t="str">
            <v>F</v>
          </cell>
          <cell r="AB15066" t="str">
            <v>serum</v>
          </cell>
          <cell r="AF15066">
            <v>0.35</v>
          </cell>
        </row>
        <row r="15067">
          <cell r="A15067" t="str">
            <v>IS_alqt_plus</v>
          </cell>
          <cell r="K15067" t="str">
            <v>VVV</v>
          </cell>
          <cell r="M15067" t="str">
            <v>F</v>
          </cell>
          <cell r="AB15067" t="str">
            <v>WB</v>
          </cell>
          <cell r="AF15067">
            <v>0.25</v>
          </cell>
        </row>
        <row r="15068">
          <cell r="A15068" t="str">
            <v>IS_alqt_plus</v>
          </cell>
          <cell r="K15068" t="str">
            <v>VVV</v>
          </cell>
          <cell r="M15068" t="str">
            <v>F</v>
          </cell>
          <cell r="AB15068" t="str">
            <v>WB</v>
          </cell>
          <cell r="AF15068">
            <v>0.25</v>
          </cell>
        </row>
        <row r="15069">
          <cell r="A15069" t="str">
            <v>IS_alqt_plus</v>
          </cell>
          <cell r="K15069" t="str">
            <v>VVV</v>
          </cell>
          <cell r="M15069" t="str">
            <v>F</v>
          </cell>
          <cell r="AB15069" t="str">
            <v>WB</v>
          </cell>
          <cell r="AF15069">
            <v>0.25</v>
          </cell>
        </row>
        <row r="15070">
          <cell r="A15070" t="str">
            <v>IS_alqt_plus</v>
          </cell>
          <cell r="K15070" t="str">
            <v>EFLA</v>
          </cell>
          <cell r="M15070" t="str">
            <v>F</v>
          </cell>
          <cell r="AB15070" t="str">
            <v>WB</v>
          </cell>
          <cell r="AF15070">
            <v>0.4</v>
          </cell>
        </row>
        <row r="15071">
          <cell r="A15071" t="str">
            <v>IS_alqt_plus</v>
          </cell>
          <cell r="K15071" t="str">
            <v>EFLA</v>
          </cell>
          <cell r="M15071" t="str">
            <v>F</v>
          </cell>
          <cell r="AB15071" t="str">
            <v>WB</v>
          </cell>
          <cell r="AF15071">
            <v>0.4</v>
          </cell>
        </row>
        <row r="15072">
          <cell r="A15072" t="str">
            <v>IS_alqt_plus</v>
          </cell>
          <cell r="K15072" t="str">
            <v>LCAT</v>
          </cell>
          <cell r="M15072" t="str">
            <v>F</v>
          </cell>
          <cell r="AB15072" t="str">
            <v>WB</v>
          </cell>
          <cell r="AF15072">
            <v>0.2</v>
          </cell>
        </row>
        <row r="15073">
          <cell r="A15073" t="str">
            <v>IS_alqt_plus</v>
          </cell>
          <cell r="K15073" t="str">
            <v>LCAT</v>
          </cell>
          <cell r="M15073" t="str">
            <v>F</v>
          </cell>
          <cell r="AB15073" t="str">
            <v>WB</v>
          </cell>
          <cell r="AF15073">
            <v>0.2</v>
          </cell>
        </row>
        <row r="15074">
          <cell r="A15074" t="str">
            <v>IS_alqt_plus</v>
          </cell>
          <cell r="K15074" t="str">
            <v>LCAT</v>
          </cell>
          <cell r="M15074" t="str">
            <v>F</v>
          </cell>
          <cell r="AB15074" t="str">
            <v>WB</v>
          </cell>
          <cell r="AF15074">
            <v>0.2</v>
          </cell>
        </row>
        <row r="15075">
          <cell r="A15075" t="str">
            <v>IS_alqt_plus</v>
          </cell>
          <cell r="K15075" t="str">
            <v>LCAT</v>
          </cell>
          <cell r="M15075" t="str">
            <v>F</v>
          </cell>
          <cell r="AB15075" t="str">
            <v>WB</v>
          </cell>
          <cell r="AF15075">
            <v>0.2</v>
          </cell>
        </row>
        <row r="15076">
          <cell r="A15076" t="str">
            <v>IS_alqt_plus</v>
          </cell>
          <cell r="K15076" t="str">
            <v>LCAT</v>
          </cell>
          <cell r="M15076" t="str">
            <v>F</v>
          </cell>
          <cell r="AB15076" t="str">
            <v>WB</v>
          </cell>
          <cell r="AF15076">
            <v>0.2</v>
          </cell>
        </row>
        <row r="15077">
          <cell r="A15077" t="str">
            <v>IS_alqt_plus</v>
          </cell>
          <cell r="K15077" t="str">
            <v>LCAT</v>
          </cell>
          <cell r="M15077" t="str">
            <v>F</v>
          </cell>
          <cell r="AB15077" t="str">
            <v>WB</v>
          </cell>
          <cell r="AF15077">
            <v>0.6</v>
          </cell>
        </row>
        <row r="15078">
          <cell r="A15078" t="str">
            <v>IS_alqt_plus</v>
          </cell>
          <cell r="K15078" t="str">
            <v>LCAT</v>
          </cell>
          <cell r="M15078" t="str">
            <v>F</v>
          </cell>
          <cell r="AB15078" t="str">
            <v>WB</v>
          </cell>
          <cell r="AF15078">
            <v>0.6</v>
          </cell>
        </row>
        <row r="15079">
          <cell r="A15079" t="str">
            <v>IS_alqt_plus</v>
          </cell>
          <cell r="K15079" t="str">
            <v>LCAT</v>
          </cell>
          <cell r="M15079" t="str">
            <v>F</v>
          </cell>
          <cell r="AB15079" t="str">
            <v>WB</v>
          </cell>
          <cell r="AF15079">
            <v>0.6</v>
          </cell>
        </row>
        <row r="15080">
          <cell r="A15080" t="str">
            <v>IS_alqt_plus</v>
          </cell>
          <cell r="K15080" t="str">
            <v>LCAT</v>
          </cell>
          <cell r="M15080" t="str">
            <v>F</v>
          </cell>
          <cell r="AB15080" t="str">
            <v>WB</v>
          </cell>
          <cell r="AF15080">
            <v>0.6</v>
          </cell>
        </row>
        <row r="15081">
          <cell r="A15081" t="str">
            <v>IS_alqt_plus</v>
          </cell>
          <cell r="K15081" t="str">
            <v>LCAT</v>
          </cell>
          <cell r="M15081" t="str">
            <v>F</v>
          </cell>
          <cell r="AB15081" t="str">
            <v>WB</v>
          </cell>
          <cell r="AF15081">
            <v>0.6</v>
          </cell>
        </row>
        <row r="15082">
          <cell r="A15082" t="str">
            <v>IS_alqt_plus</v>
          </cell>
          <cell r="K15082" t="str">
            <v>LCAT</v>
          </cell>
          <cell r="M15082" t="str">
            <v>F</v>
          </cell>
          <cell r="AB15082" t="str">
            <v>WB</v>
          </cell>
          <cell r="AF15082">
            <v>0.6</v>
          </cell>
        </row>
        <row r="15083">
          <cell r="A15083" t="str">
            <v>IS_alqt_plus</v>
          </cell>
          <cell r="K15083" t="str">
            <v>LCAT</v>
          </cell>
          <cell r="M15083" t="str">
            <v>F</v>
          </cell>
          <cell r="AB15083" t="str">
            <v>WB</v>
          </cell>
          <cell r="AF15083">
            <v>0.6</v>
          </cell>
        </row>
        <row r="15084">
          <cell r="A15084" t="str">
            <v>IS_alqt_plus</v>
          </cell>
          <cell r="K15084" t="str">
            <v>LCAT</v>
          </cell>
          <cell r="M15084" t="str">
            <v>F</v>
          </cell>
          <cell r="AB15084" t="str">
            <v>WB</v>
          </cell>
          <cell r="AF15084">
            <v>0.6</v>
          </cell>
        </row>
        <row r="15085">
          <cell r="A15085" t="str">
            <v>IS_alqt_plus</v>
          </cell>
          <cell r="K15085" t="str">
            <v>LCAT</v>
          </cell>
          <cell r="M15085" t="str">
            <v>F</v>
          </cell>
          <cell r="AB15085" t="str">
            <v>WB</v>
          </cell>
          <cell r="AF15085">
            <v>0.6</v>
          </cell>
        </row>
        <row r="15086">
          <cell r="A15086" t="str">
            <v>IS_alqt_plus</v>
          </cell>
          <cell r="K15086" t="str">
            <v>LCAT</v>
          </cell>
          <cell r="M15086" t="str">
            <v>F</v>
          </cell>
          <cell r="AB15086" t="str">
            <v>WB</v>
          </cell>
          <cell r="AF15086">
            <v>0.6</v>
          </cell>
        </row>
        <row r="15087">
          <cell r="A15087" t="str">
            <v>IS_alqt_plus</v>
          </cell>
          <cell r="K15087" t="str">
            <v>LCAT</v>
          </cell>
          <cell r="M15087" t="str">
            <v>F</v>
          </cell>
          <cell r="AB15087" t="str">
            <v>WB</v>
          </cell>
          <cell r="AF15087">
            <v>0.6</v>
          </cell>
        </row>
        <row r="15088">
          <cell r="A15088" t="str">
            <v>IS_alqt_plus</v>
          </cell>
          <cell r="K15088" t="str">
            <v>LCAT</v>
          </cell>
          <cell r="M15088" t="str">
            <v>F</v>
          </cell>
          <cell r="AB15088" t="str">
            <v>WB</v>
          </cell>
          <cell r="AF15088">
            <v>0.6</v>
          </cell>
        </row>
        <row r="15089">
          <cell r="A15089" t="str">
            <v>IS_alqt_plus</v>
          </cell>
          <cell r="K15089" t="str">
            <v>LCAT</v>
          </cell>
          <cell r="M15089" t="str">
            <v>F</v>
          </cell>
          <cell r="AB15089" t="str">
            <v>WB</v>
          </cell>
          <cell r="AF15089">
            <v>0.6</v>
          </cell>
        </row>
        <row r="15090">
          <cell r="A15090" t="str">
            <v>IS_alqt_plus</v>
          </cell>
          <cell r="K15090" t="str">
            <v>LCAT</v>
          </cell>
          <cell r="M15090" t="str">
            <v>F</v>
          </cell>
          <cell r="AB15090" t="str">
            <v>WB</v>
          </cell>
          <cell r="AF15090">
            <v>0.6</v>
          </cell>
        </row>
        <row r="15091">
          <cell r="A15091" t="str">
            <v>IS_alqt_plus</v>
          </cell>
          <cell r="K15091" t="str">
            <v>LCAT</v>
          </cell>
          <cell r="M15091" t="str">
            <v>F</v>
          </cell>
          <cell r="AB15091" t="str">
            <v>WB</v>
          </cell>
          <cell r="AF15091">
            <v>0.6</v>
          </cell>
        </row>
        <row r="15092">
          <cell r="A15092" t="str">
            <v>IS_alqt_plus</v>
          </cell>
          <cell r="K15092" t="str">
            <v>LCAT</v>
          </cell>
          <cell r="M15092" t="str">
            <v>F</v>
          </cell>
          <cell r="AB15092" t="str">
            <v>WB</v>
          </cell>
          <cell r="AF15092">
            <v>0.6</v>
          </cell>
        </row>
        <row r="15093">
          <cell r="A15093" t="str">
            <v>IS_alqt_plus</v>
          </cell>
          <cell r="K15093" t="str">
            <v>LCAT</v>
          </cell>
          <cell r="M15093" t="str">
            <v>F</v>
          </cell>
          <cell r="AB15093" t="str">
            <v>WB</v>
          </cell>
          <cell r="AF15093">
            <v>0.6</v>
          </cell>
        </row>
        <row r="15094">
          <cell r="A15094" t="str">
            <v>IS_alqt_plus</v>
          </cell>
          <cell r="K15094" t="str">
            <v>LCAT</v>
          </cell>
          <cell r="M15094" t="str">
            <v>F</v>
          </cell>
          <cell r="AB15094" t="str">
            <v>WB</v>
          </cell>
          <cell r="AF15094">
            <v>0.6</v>
          </cell>
        </row>
        <row r="15095">
          <cell r="A15095" t="str">
            <v>IS_alqt_plus</v>
          </cell>
          <cell r="K15095" t="str">
            <v>LCAT</v>
          </cell>
          <cell r="M15095" t="str">
            <v>F</v>
          </cell>
          <cell r="AB15095" t="str">
            <v>WB</v>
          </cell>
          <cell r="AF15095">
            <v>0.6</v>
          </cell>
        </row>
        <row r="15096">
          <cell r="A15096" t="str">
            <v>IS_alqt_plus</v>
          </cell>
          <cell r="K15096" t="str">
            <v>LCAT</v>
          </cell>
          <cell r="M15096" t="str">
            <v>F</v>
          </cell>
          <cell r="AB15096" t="str">
            <v>WB</v>
          </cell>
          <cell r="AF15096">
            <v>1</v>
          </cell>
        </row>
        <row r="15097">
          <cell r="A15097" t="str">
            <v>IS_alqt_plus</v>
          </cell>
          <cell r="K15097" t="str">
            <v>LCAT</v>
          </cell>
          <cell r="M15097" t="str">
            <v>F</v>
          </cell>
          <cell r="AB15097" t="str">
            <v>WB</v>
          </cell>
          <cell r="AF15097">
            <v>1</v>
          </cell>
        </row>
        <row r="15098">
          <cell r="A15098" t="str">
            <v>IS_alqt_plus</v>
          </cell>
          <cell r="K15098" t="str">
            <v>LCAT</v>
          </cell>
          <cell r="M15098" t="str">
            <v>F</v>
          </cell>
          <cell r="AB15098" t="str">
            <v>WB</v>
          </cell>
          <cell r="AF15098">
            <v>1</v>
          </cell>
        </row>
        <row r="15099">
          <cell r="A15099" t="str">
            <v>IS_alqt_plus</v>
          </cell>
          <cell r="K15099" t="str">
            <v>LCAT</v>
          </cell>
          <cell r="M15099" t="str">
            <v>F</v>
          </cell>
          <cell r="AB15099" t="str">
            <v>WB</v>
          </cell>
          <cell r="AF15099">
            <v>1</v>
          </cell>
        </row>
        <row r="15100">
          <cell r="A15100" t="str">
            <v>IS_alqt_plus</v>
          </cell>
          <cell r="K15100" t="str">
            <v>LCAT</v>
          </cell>
          <cell r="M15100" t="str">
            <v>F</v>
          </cell>
          <cell r="AB15100" t="str">
            <v>WB</v>
          </cell>
          <cell r="AF15100">
            <v>1</v>
          </cell>
        </row>
        <row r="15101">
          <cell r="A15101" t="str">
            <v>IS_alqt_plus</v>
          </cell>
          <cell r="K15101" t="str">
            <v>LCAT</v>
          </cell>
          <cell r="M15101" t="str">
            <v>F</v>
          </cell>
          <cell r="AB15101" t="str">
            <v>WB</v>
          </cell>
          <cell r="AF15101">
            <v>1</v>
          </cell>
        </row>
        <row r="15102">
          <cell r="A15102" t="str">
            <v>IS_alqt_plus</v>
          </cell>
          <cell r="K15102" t="str">
            <v>LCAT</v>
          </cell>
          <cell r="M15102" t="str">
            <v>F</v>
          </cell>
          <cell r="AB15102" t="str">
            <v>WB</v>
          </cell>
          <cell r="AF15102">
            <v>1</v>
          </cell>
        </row>
        <row r="15103">
          <cell r="A15103" t="str">
            <v>IS_alqt_plus</v>
          </cell>
          <cell r="K15103" t="str">
            <v>LCAT</v>
          </cell>
          <cell r="M15103" t="str">
            <v>F</v>
          </cell>
          <cell r="AB15103" t="str">
            <v>WB</v>
          </cell>
          <cell r="AF15103">
            <v>1</v>
          </cell>
        </row>
        <row r="15104">
          <cell r="A15104" t="str">
            <v>IS_alqt_plus</v>
          </cell>
          <cell r="K15104" t="str">
            <v>LCAT</v>
          </cell>
          <cell r="M15104" t="str">
            <v>F</v>
          </cell>
          <cell r="AB15104" t="str">
            <v>WB</v>
          </cell>
          <cell r="AF15104">
            <v>1</v>
          </cell>
        </row>
        <row r="15105">
          <cell r="A15105" t="str">
            <v>IS_alqt_plus</v>
          </cell>
          <cell r="K15105" t="str">
            <v>LCAT</v>
          </cell>
          <cell r="M15105" t="str">
            <v>F</v>
          </cell>
          <cell r="AB15105" t="str">
            <v>WB</v>
          </cell>
          <cell r="AF15105">
            <v>1</v>
          </cell>
        </row>
        <row r="15106">
          <cell r="A15106" t="str">
            <v>IS_alqt_plus</v>
          </cell>
          <cell r="K15106" t="str">
            <v>LCAT</v>
          </cell>
          <cell r="M15106" t="str">
            <v>F</v>
          </cell>
          <cell r="AB15106" t="str">
            <v>WB</v>
          </cell>
          <cell r="AF15106">
            <v>1</v>
          </cell>
        </row>
        <row r="15107">
          <cell r="A15107" t="str">
            <v>IS_alqt_plus</v>
          </cell>
          <cell r="K15107" t="str">
            <v>LCAT</v>
          </cell>
          <cell r="M15107" t="str">
            <v>F</v>
          </cell>
          <cell r="AB15107" t="str">
            <v>WB</v>
          </cell>
          <cell r="AF15107">
            <v>1</v>
          </cell>
        </row>
        <row r="15108">
          <cell r="A15108" t="str">
            <v>IS_alqt_plus</v>
          </cell>
          <cell r="K15108" t="str">
            <v>LCAT</v>
          </cell>
          <cell r="M15108" t="str">
            <v>F</v>
          </cell>
          <cell r="AB15108" t="str">
            <v>WB</v>
          </cell>
          <cell r="AF15108">
            <v>1</v>
          </cell>
        </row>
        <row r="15109">
          <cell r="A15109" t="str">
            <v>IS_alqt_plus</v>
          </cell>
          <cell r="K15109" t="str">
            <v>LCAT</v>
          </cell>
          <cell r="M15109" t="str">
            <v>F</v>
          </cell>
          <cell r="AB15109" t="str">
            <v>WB</v>
          </cell>
          <cell r="AF15109">
            <v>1</v>
          </cell>
        </row>
        <row r="15110">
          <cell r="A15110" t="str">
            <v>IS_alqt_plus</v>
          </cell>
          <cell r="K15110" t="str">
            <v>LCAT</v>
          </cell>
          <cell r="M15110" t="str">
            <v>F</v>
          </cell>
          <cell r="AB15110" t="str">
            <v>WB</v>
          </cell>
          <cell r="AF15110">
            <v>1</v>
          </cell>
        </row>
        <row r="15111">
          <cell r="A15111" t="str">
            <v>IS_alqt_plus</v>
          </cell>
          <cell r="K15111" t="str">
            <v>LCAT</v>
          </cell>
          <cell r="M15111" t="str">
            <v>F</v>
          </cell>
          <cell r="AB15111" t="str">
            <v>serum</v>
          </cell>
          <cell r="AF15111">
            <v>1</v>
          </cell>
        </row>
        <row r="15112">
          <cell r="A15112" t="str">
            <v>IS_alqt_plus</v>
          </cell>
          <cell r="K15112" t="str">
            <v>LCAT</v>
          </cell>
          <cell r="M15112" t="str">
            <v>F</v>
          </cell>
          <cell r="AB15112" t="str">
            <v>serum</v>
          </cell>
          <cell r="AF15112">
            <v>1</v>
          </cell>
        </row>
        <row r="15113">
          <cell r="A15113" t="str">
            <v>IS_alqt_plus</v>
          </cell>
          <cell r="K15113" t="str">
            <v>LCAT</v>
          </cell>
          <cell r="M15113" t="str">
            <v>F</v>
          </cell>
          <cell r="AB15113" t="str">
            <v>serum</v>
          </cell>
          <cell r="AF15113">
            <v>1</v>
          </cell>
        </row>
        <row r="15114">
          <cell r="A15114" t="str">
            <v>IS_alqt_plus</v>
          </cell>
          <cell r="K15114" t="str">
            <v>LCAT</v>
          </cell>
          <cell r="M15114" t="str">
            <v>F</v>
          </cell>
          <cell r="AB15114" t="str">
            <v>serum</v>
          </cell>
          <cell r="AF15114">
            <v>1</v>
          </cell>
        </row>
        <row r="15115">
          <cell r="A15115" t="str">
            <v>IS_alqt_plus</v>
          </cell>
          <cell r="K15115" t="str">
            <v>LCAT</v>
          </cell>
          <cell r="M15115" t="str">
            <v>F</v>
          </cell>
          <cell r="AB15115" t="str">
            <v>serum</v>
          </cell>
          <cell r="AF15115">
            <v>1</v>
          </cell>
        </row>
        <row r="15116">
          <cell r="A15116" t="str">
            <v>IS_alqt_plus</v>
          </cell>
          <cell r="K15116" t="str">
            <v>LCAT</v>
          </cell>
          <cell r="M15116" t="str">
            <v>F</v>
          </cell>
          <cell r="AB15116" t="str">
            <v>serum</v>
          </cell>
          <cell r="AF15116">
            <v>1</v>
          </cell>
        </row>
        <row r="15117">
          <cell r="A15117" t="str">
            <v>IS_alqt_plus</v>
          </cell>
          <cell r="K15117" t="str">
            <v>LCAT</v>
          </cell>
          <cell r="M15117" t="str">
            <v>F</v>
          </cell>
          <cell r="AB15117" t="str">
            <v>serum</v>
          </cell>
          <cell r="AF15117">
            <v>1</v>
          </cell>
        </row>
        <row r="15118">
          <cell r="A15118" t="str">
            <v>IS_alqt_plus</v>
          </cell>
          <cell r="K15118" t="str">
            <v>LCAT</v>
          </cell>
          <cell r="M15118" t="str">
            <v>F</v>
          </cell>
          <cell r="AB15118" t="str">
            <v>serum</v>
          </cell>
          <cell r="AF15118">
            <v>1</v>
          </cell>
        </row>
        <row r="15119">
          <cell r="A15119" t="str">
            <v>IS_alqt_plus</v>
          </cell>
          <cell r="K15119" t="str">
            <v>LCAT</v>
          </cell>
          <cell r="M15119" t="str">
            <v>F</v>
          </cell>
          <cell r="AB15119" t="str">
            <v>serum</v>
          </cell>
          <cell r="AF15119">
            <v>1</v>
          </cell>
        </row>
        <row r="15120">
          <cell r="A15120" t="str">
            <v>IS_alqt_plus</v>
          </cell>
          <cell r="K15120" t="str">
            <v>LCAT</v>
          </cell>
          <cell r="M15120" t="str">
            <v>F</v>
          </cell>
          <cell r="AB15120" t="str">
            <v>serum</v>
          </cell>
          <cell r="AF15120">
            <v>1</v>
          </cell>
        </row>
        <row r="15121">
          <cell r="A15121" t="str">
            <v>IS_alqt_plus</v>
          </cell>
          <cell r="K15121" t="str">
            <v>LCAT</v>
          </cell>
          <cell r="M15121" t="str">
            <v>F</v>
          </cell>
          <cell r="AB15121" t="str">
            <v>serum</v>
          </cell>
          <cell r="AF15121">
            <v>1</v>
          </cell>
        </row>
        <row r="15122">
          <cell r="A15122" t="str">
            <v>IS_alqt_plus</v>
          </cell>
          <cell r="K15122" t="str">
            <v>LCAT</v>
          </cell>
          <cell r="M15122" t="str">
            <v>F</v>
          </cell>
          <cell r="AB15122" t="str">
            <v>serum</v>
          </cell>
          <cell r="AF15122">
            <v>1</v>
          </cell>
        </row>
        <row r="15123">
          <cell r="A15123" t="str">
            <v>IS_alqt_plus</v>
          </cell>
          <cell r="K15123" t="str">
            <v>LCAT</v>
          </cell>
          <cell r="M15123" t="str">
            <v>F</v>
          </cell>
          <cell r="AB15123" t="str">
            <v>serum</v>
          </cell>
          <cell r="AF15123">
            <v>1</v>
          </cell>
        </row>
        <row r="15124">
          <cell r="A15124" t="str">
            <v>IS_alqt_plus</v>
          </cell>
          <cell r="K15124" t="str">
            <v>LCAT</v>
          </cell>
          <cell r="M15124" t="str">
            <v>F</v>
          </cell>
          <cell r="AB15124" t="str">
            <v>serum</v>
          </cell>
          <cell r="AF15124">
            <v>1</v>
          </cell>
        </row>
        <row r="15125">
          <cell r="A15125" t="str">
            <v>IS_alqt_plus</v>
          </cell>
          <cell r="K15125" t="str">
            <v>LCAT</v>
          </cell>
          <cell r="M15125" t="str">
            <v>F</v>
          </cell>
          <cell r="AB15125" t="str">
            <v>serum</v>
          </cell>
          <cell r="AF15125">
            <v>1</v>
          </cell>
        </row>
        <row r="15126">
          <cell r="A15126" t="str">
            <v>IS_alqt_plus</v>
          </cell>
          <cell r="K15126" t="str">
            <v>LCAT</v>
          </cell>
          <cell r="M15126" t="str">
            <v>F</v>
          </cell>
          <cell r="AB15126" t="str">
            <v>serum</v>
          </cell>
          <cell r="AF15126">
            <v>1</v>
          </cell>
        </row>
        <row r="15127">
          <cell r="A15127" t="str">
            <v>IS_alqt_plus</v>
          </cell>
          <cell r="K15127" t="str">
            <v>LCAT</v>
          </cell>
          <cell r="M15127" t="str">
            <v>F</v>
          </cell>
          <cell r="AB15127" t="str">
            <v>serum</v>
          </cell>
          <cell r="AF15127">
            <v>1</v>
          </cell>
        </row>
        <row r="15128">
          <cell r="A15128" t="str">
            <v>IS_alqt_plus</v>
          </cell>
          <cell r="K15128" t="str">
            <v>LCAT</v>
          </cell>
          <cell r="M15128" t="str">
            <v>F</v>
          </cell>
          <cell r="AB15128" t="str">
            <v>serum</v>
          </cell>
          <cell r="AF15128">
            <v>1</v>
          </cell>
        </row>
        <row r="15129">
          <cell r="A15129" t="str">
            <v>IS_alqt_plus</v>
          </cell>
          <cell r="K15129" t="str">
            <v>LCAT</v>
          </cell>
          <cell r="M15129" t="str">
            <v>F</v>
          </cell>
          <cell r="AB15129" t="str">
            <v>serum</v>
          </cell>
          <cell r="AF15129">
            <v>1</v>
          </cell>
        </row>
        <row r="15130">
          <cell r="A15130" t="str">
            <v>IS_alqt_plus</v>
          </cell>
          <cell r="K15130" t="str">
            <v>LCAT</v>
          </cell>
          <cell r="M15130" t="str">
            <v>F</v>
          </cell>
          <cell r="AB15130" t="str">
            <v>serum</v>
          </cell>
          <cell r="AF15130">
            <v>1</v>
          </cell>
        </row>
        <row r="15131">
          <cell r="A15131" t="str">
            <v>IS_alqt_plus</v>
          </cell>
          <cell r="K15131" t="str">
            <v>LCAT</v>
          </cell>
          <cell r="M15131" t="str">
            <v>F</v>
          </cell>
          <cell r="AB15131" t="str">
            <v>serum</v>
          </cell>
          <cell r="AF15131">
            <v>1</v>
          </cell>
        </row>
        <row r="15132">
          <cell r="A15132" t="str">
            <v>IS_alqt_plus</v>
          </cell>
          <cell r="K15132" t="str">
            <v>LCAT</v>
          </cell>
          <cell r="M15132" t="str">
            <v>F</v>
          </cell>
          <cell r="AB15132" t="str">
            <v>serum</v>
          </cell>
          <cell r="AF15132">
            <v>1</v>
          </cell>
        </row>
        <row r="15133">
          <cell r="A15133" t="str">
            <v>IS_alqt_plus</v>
          </cell>
          <cell r="K15133" t="str">
            <v>LCAT</v>
          </cell>
          <cell r="M15133" t="str">
            <v>F</v>
          </cell>
          <cell r="AB15133" t="str">
            <v>serum</v>
          </cell>
          <cell r="AF15133">
            <v>1</v>
          </cell>
        </row>
        <row r="15134">
          <cell r="A15134" t="str">
            <v>IS_alqt_plus</v>
          </cell>
          <cell r="K15134" t="str">
            <v>LCAT</v>
          </cell>
          <cell r="M15134" t="str">
            <v>F</v>
          </cell>
          <cell r="AB15134" t="str">
            <v>serum</v>
          </cell>
          <cell r="AF15134">
            <v>1</v>
          </cell>
        </row>
        <row r="15135">
          <cell r="A15135" t="str">
            <v>IS_alqt_plus</v>
          </cell>
          <cell r="K15135" t="str">
            <v>LCAT</v>
          </cell>
          <cell r="M15135" t="str">
            <v>F</v>
          </cell>
          <cell r="AB15135" t="str">
            <v>serum</v>
          </cell>
          <cell r="AF15135">
            <v>1</v>
          </cell>
        </row>
        <row r="15136">
          <cell r="A15136" t="str">
            <v>IS_alqt_plus</v>
          </cell>
          <cell r="K15136" t="str">
            <v>LCAT</v>
          </cell>
          <cell r="M15136" t="str">
            <v>F</v>
          </cell>
          <cell r="AB15136" t="str">
            <v>serum</v>
          </cell>
          <cell r="AF15136">
            <v>1</v>
          </cell>
        </row>
        <row r="15137">
          <cell r="A15137" t="str">
            <v>IS_alqt_plus</v>
          </cell>
          <cell r="K15137" t="str">
            <v>LCAT</v>
          </cell>
          <cell r="M15137" t="str">
            <v>F</v>
          </cell>
          <cell r="AB15137" t="str">
            <v>serum</v>
          </cell>
          <cell r="AF15137">
            <v>1</v>
          </cell>
        </row>
        <row r="15138">
          <cell r="A15138" t="str">
            <v>IS_alqt_plus</v>
          </cell>
          <cell r="K15138" t="str">
            <v>LCAT</v>
          </cell>
          <cell r="M15138" t="str">
            <v>F</v>
          </cell>
          <cell r="AB15138" t="str">
            <v>serum</v>
          </cell>
          <cell r="AF15138">
            <v>1</v>
          </cell>
        </row>
        <row r="15139">
          <cell r="A15139" t="str">
            <v>IS_alqt_plus</v>
          </cell>
          <cell r="K15139" t="str">
            <v>LCAT</v>
          </cell>
          <cell r="M15139" t="str">
            <v>F</v>
          </cell>
          <cell r="AB15139" t="str">
            <v>serum</v>
          </cell>
          <cell r="AF15139">
            <v>0.6</v>
          </cell>
        </row>
        <row r="15140">
          <cell r="A15140" t="str">
            <v>IS_alqt_plus</v>
          </cell>
          <cell r="K15140" t="str">
            <v>LCAT</v>
          </cell>
          <cell r="M15140" t="str">
            <v>F</v>
          </cell>
          <cell r="AB15140" t="str">
            <v>serum</v>
          </cell>
          <cell r="AF15140">
            <v>0.6</v>
          </cell>
        </row>
        <row r="15141">
          <cell r="A15141" t="str">
            <v>IS_alqt_plus</v>
          </cell>
          <cell r="K15141" t="str">
            <v>LCAT</v>
          </cell>
          <cell r="M15141" t="str">
            <v>F</v>
          </cell>
          <cell r="AB15141" t="str">
            <v>serum</v>
          </cell>
          <cell r="AF15141">
            <v>0.6</v>
          </cell>
        </row>
        <row r="15142">
          <cell r="A15142" t="str">
            <v>IS_alqt_plus</v>
          </cell>
          <cell r="K15142" t="str">
            <v>LCAT</v>
          </cell>
          <cell r="M15142" t="str">
            <v>F</v>
          </cell>
          <cell r="AB15142" t="str">
            <v>serum</v>
          </cell>
          <cell r="AF15142">
            <v>0.6</v>
          </cell>
        </row>
        <row r="15143">
          <cell r="A15143" t="str">
            <v>IS_alqt_plus</v>
          </cell>
          <cell r="K15143" t="str">
            <v>LCAT</v>
          </cell>
          <cell r="M15143" t="str">
            <v>F</v>
          </cell>
          <cell r="AB15143" t="str">
            <v>serum</v>
          </cell>
          <cell r="AF15143">
            <v>0.6</v>
          </cell>
        </row>
        <row r="15144">
          <cell r="A15144" t="str">
            <v>IS_alqt_plus</v>
          </cell>
          <cell r="K15144" t="str">
            <v>LCAT</v>
          </cell>
          <cell r="M15144" t="str">
            <v>F</v>
          </cell>
          <cell r="AB15144" t="str">
            <v>serum</v>
          </cell>
          <cell r="AF15144">
            <v>0.6</v>
          </cell>
        </row>
        <row r="15145">
          <cell r="A15145" t="str">
            <v>IS_alqt_plus</v>
          </cell>
          <cell r="K15145" t="str">
            <v>LCAT</v>
          </cell>
          <cell r="M15145" t="str">
            <v>F</v>
          </cell>
          <cell r="AB15145" t="str">
            <v>serum</v>
          </cell>
          <cell r="AF15145">
            <v>0.6</v>
          </cell>
        </row>
        <row r="15146">
          <cell r="A15146" t="str">
            <v>IS_alqt_plus</v>
          </cell>
          <cell r="K15146" t="str">
            <v>LCAT</v>
          </cell>
          <cell r="M15146" t="str">
            <v>F</v>
          </cell>
          <cell r="AB15146" t="str">
            <v>serum</v>
          </cell>
          <cell r="AF15146">
            <v>0.6</v>
          </cell>
        </row>
        <row r="15147">
          <cell r="A15147" t="str">
            <v>IS_alqt_plus</v>
          </cell>
          <cell r="K15147" t="str">
            <v>EFLA</v>
          </cell>
          <cell r="M15147" t="str">
            <v>F</v>
          </cell>
          <cell r="AB15147" t="str">
            <v>serum</v>
          </cell>
          <cell r="AF15147">
            <v>0.2</v>
          </cell>
        </row>
        <row r="15148">
          <cell r="A15148" t="str">
            <v>IS_alqt_plus</v>
          </cell>
          <cell r="K15148" t="str">
            <v>EFLA</v>
          </cell>
          <cell r="M15148" t="str">
            <v>F</v>
          </cell>
          <cell r="AB15148" t="str">
            <v>serum</v>
          </cell>
          <cell r="AF15148">
            <v>0.2</v>
          </cell>
        </row>
        <row r="15149">
          <cell r="A15149" t="str">
            <v>IS_alqt_plus</v>
          </cell>
          <cell r="K15149" t="str">
            <v>EFLA</v>
          </cell>
          <cell r="M15149" t="str">
            <v>F</v>
          </cell>
          <cell r="AB15149" t="str">
            <v>serum</v>
          </cell>
          <cell r="AF15149">
            <v>0.2</v>
          </cell>
        </row>
        <row r="15150">
          <cell r="A15150" t="str">
            <v>IS_alqt_plus</v>
          </cell>
          <cell r="K15150" t="str">
            <v>EFLA</v>
          </cell>
          <cell r="M15150" t="str">
            <v>F</v>
          </cell>
          <cell r="AB15150" t="str">
            <v>serum</v>
          </cell>
          <cell r="AF15150">
            <v>0.6</v>
          </cell>
        </row>
        <row r="15151">
          <cell r="A15151" t="str">
            <v>gone</v>
          </cell>
          <cell r="K15151" t="str">
            <v>EFLA</v>
          </cell>
          <cell r="M15151" t="str">
            <v>F</v>
          </cell>
          <cell r="AB15151" t="str">
            <v>WB</v>
          </cell>
          <cell r="AF15151">
            <v>0</v>
          </cell>
        </row>
        <row r="15152">
          <cell r="A15152" t="str">
            <v>IS_alqt_plus</v>
          </cell>
          <cell r="K15152" t="str">
            <v>EFLA</v>
          </cell>
          <cell r="M15152" t="str">
            <v>F</v>
          </cell>
          <cell r="AB15152" t="str">
            <v>WB</v>
          </cell>
          <cell r="AF15152">
            <v>0.2</v>
          </cell>
        </row>
        <row r="15153">
          <cell r="A15153" t="str">
            <v>IS_alqt_plus</v>
          </cell>
          <cell r="K15153" t="str">
            <v>ECOR</v>
          </cell>
          <cell r="M15153" t="str">
            <v>F</v>
          </cell>
          <cell r="AB15153" t="str">
            <v>WB</v>
          </cell>
          <cell r="AF15153">
            <v>0.2</v>
          </cell>
        </row>
        <row r="15154">
          <cell r="A15154" t="str">
            <v>IS_alqt_plus</v>
          </cell>
          <cell r="K15154" t="str">
            <v>ECOR</v>
          </cell>
          <cell r="M15154" t="str">
            <v>F</v>
          </cell>
          <cell r="AB15154" t="str">
            <v>WB</v>
          </cell>
          <cell r="AF15154">
            <v>0.2</v>
          </cell>
        </row>
        <row r="15155">
          <cell r="A15155" t="str">
            <v>IS_alqt_plus</v>
          </cell>
          <cell r="K15155" t="str">
            <v>ECOR</v>
          </cell>
          <cell r="M15155" t="str">
            <v>F</v>
          </cell>
          <cell r="AB15155" t="str">
            <v>WB</v>
          </cell>
          <cell r="AF15155">
            <v>0.4</v>
          </cell>
        </row>
        <row r="15156">
          <cell r="A15156" t="str">
            <v>IS_alqt_plus</v>
          </cell>
          <cell r="K15156" t="str">
            <v>ECOR</v>
          </cell>
          <cell r="M15156" t="str">
            <v>F</v>
          </cell>
          <cell r="AB15156" t="str">
            <v>WB</v>
          </cell>
          <cell r="AF15156">
            <v>0.4</v>
          </cell>
        </row>
        <row r="15157">
          <cell r="A15157" t="str">
            <v>IS_alqt_plus</v>
          </cell>
          <cell r="K15157" t="str">
            <v>ECOR</v>
          </cell>
          <cell r="M15157" t="str">
            <v>F</v>
          </cell>
          <cell r="AB15157" t="str">
            <v>serum</v>
          </cell>
          <cell r="AF15157">
            <v>0.2</v>
          </cell>
        </row>
        <row r="15158">
          <cell r="A15158" t="str">
            <v>IS_alqt_plus</v>
          </cell>
          <cell r="K15158" t="str">
            <v>ECOR</v>
          </cell>
          <cell r="M15158" t="str">
            <v>F</v>
          </cell>
          <cell r="AB15158" t="str">
            <v>serum</v>
          </cell>
          <cell r="AF15158">
            <v>0.2</v>
          </cell>
        </row>
        <row r="15159">
          <cell r="A15159" t="str">
            <v>IS_alqt_plus</v>
          </cell>
          <cell r="K15159" t="str">
            <v>ECOR</v>
          </cell>
          <cell r="M15159" t="str">
            <v>F</v>
          </cell>
          <cell r="AB15159" t="str">
            <v>serum</v>
          </cell>
          <cell r="AF15159">
            <v>0.4</v>
          </cell>
        </row>
        <row r="15160">
          <cell r="A15160" t="str">
            <v>IS_alqt_plus</v>
          </cell>
          <cell r="K15160" t="str">
            <v>PCOQ</v>
          </cell>
          <cell r="M15160" t="str">
            <v>F</v>
          </cell>
          <cell r="AB15160" t="str">
            <v>WB</v>
          </cell>
          <cell r="AF15160">
            <v>1</v>
          </cell>
        </row>
        <row r="15161">
          <cell r="A15161" t="str">
            <v>IS_alqt_plus</v>
          </cell>
          <cell r="K15161" t="str">
            <v>PCOQ</v>
          </cell>
          <cell r="M15161" t="str">
            <v>F</v>
          </cell>
          <cell r="AB15161" t="str">
            <v>WB</v>
          </cell>
          <cell r="AF15161">
            <v>1</v>
          </cell>
        </row>
        <row r="15162">
          <cell r="A15162" t="str">
            <v>IS_alqt_plus</v>
          </cell>
          <cell r="K15162" t="str">
            <v>PCOQ</v>
          </cell>
          <cell r="M15162" t="str">
            <v>F</v>
          </cell>
          <cell r="AB15162" t="str">
            <v>serum</v>
          </cell>
          <cell r="AF15162">
            <v>1</v>
          </cell>
        </row>
        <row r="15163">
          <cell r="A15163" t="str">
            <v>IS_alqt_plus</v>
          </cell>
          <cell r="K15163" t="str">
            <v>PCOQ</v>
          </cell>
          <cell r="M15163" t="str">
            <v>F</v>
          </cell>
          <cell r="AB15163" t="str">
            <v>serum</v>
          </cell>
          <cell r="AF15163">
            <v>0.5</v>
          </cell>
        </row>
        <row r="15164">
          <cell r="A15164" t="str">
            <v>IS_alqt_plus</v>
          </cell>
          <cell r="K15164" t="str">
            <v>PCOQ</v>
          </cell>
          <cell r="M15164" t="str">
            <v>F</v>
          </cell>
          <cell r="AB15164" t="str">
            <v>serum</v>
          </cell>
          <cell r="AF15164">
            <v>0.5</v>
          </cell>
        </row>
        <row r="15165">
          <cell r="A15165" t="str">
            <v>IS_alqt_plus</v>
          </cell>
          <cell r="K15165" t="str">
            <v>LCAT</v>
          </cell>
          <cell r="M15165" t="str">
            <v>F</v>
          </cell>
          <cell r="AB15165" t="str">
            <v>WB</v>
          </cell>
          <cell r="AF15165">
            <v>0.2</v>
          </cell>
        </row>
        <row r="15166">
          <cell r="A15166" t="str">
            <v>IS_alqt_plus</v>
          </cell>
          <cell r="K15166" t="str">
            <v>LCAT</v>
          </cell>
          <cell r="M15166" t="str">
            <v>F</v>
          </cell>
          <cell r="AB15166" t="str">
            <v>WB</v>
          </cell>
          <cell r="AF15166">
            <v>0.4</v>
          </cell>
        </row>
        <row r="15167">
          <cell r="A15167" t="str">
            <v>IS_alqt_plus</v>
          </cell>
          <cell r="K15167" t="str">
            <v>LCAT</v>
          </cell>
          <cell r="M15167" t="str">
            <v>F</v>
          </cell>
          <cell r="AB15167" t="str">
            <v>serum</v>
          </cell>
          <cell r="AF15167">
            <v>0.7</v>
          </cell>
        </row>
        <row r="15168">
          <cell r="A15168" t="str">
            <v>IS_alqt_plus</v>
          </cell>
          <cell r="K15168" t="str">
            <v>LCAT</v>
          </cell>
          <cell r="M15168" t="str">
            <v>F</v>
          </cell>
          <cell r="AB15168" t="str">
            <v>WB</v>
          </cell>
          <cell r="AF15168">
            <v>1</v>
          </cell>
        </row>
        <row r="15169">
          <cell r="A15169" t="str">
            <v>IS_alqt_plus</v>
          </cell>
          <cell r="K15169" t="str">
            <v>LCAT</v>
          </cell>
          <cell r="M15169" t="str">
            <v>F</v>
          </cell>
          <cell r="AB15169" t="str">
            <v>WB</v>
          </cell>
          <cell r="AF15169">
            <v>0.6</v>
          </cell>
        </row>
        <row r="15170">
          <cell r="A15170" t="str">
            <v>IS_alqt_plus</v>
          </cell>
          <cell r="K15170" t="str">
            <v>DMAD</v>
          </cell>
          <cell r="M15170" t="str">
            <v>M</v>
          </cell>
          <cell r="AB15170" t="str">
            <v>serum</v>
          </cell>
          <cell r="AF15170">
            <v>0.4</v>
          </cell>
        </row>
        <row r="15171">
          <cell r="A15171" t="str">
            <v>IS_alqt_plus</v>
          </cell>
          <cell r="K15171" t="str">
            <v>DMAD</v>
          </cell>
          <cell r="M15171" t="str">
            <v>M</v>
          </cell>
          <cell r="AB15171" t="str">
            <v>serum</v>
          </cell>
          <cell r="AF15171">
            <v>0.4</v>
          </cell>
        </row>
        <row r="15172">
          <cell r="A15172" t="str">
            <v>IS_alqt_plus</v>
          </cell>
          <cell r="K15172" t="str">
            <v>DMAD</v>
          </cell>
          <cell r="M15172" t="str">
            <v>M</v>
          </cell>
          <cell r="AB15172" t="str">
            <v>serum</v>
          </cell>
          <cell r="AF15172">
            <v>0.2</v>
          </cell>
        </row>
        <row r="15173">
          <cell r="A15173" t="str">
            <v>IS_alqt_plus</v>
          </cell>
          <cell r="K15173" t="str">
            <v>DMAD</v>
          </cell>
          <cell r="M15173" t="str">
            <v>M</v>
          </cell>
          <cell r="AB15173" t="str">
            <v>WB</v>
          </cell>
          <cell r="AF15173">
            <v>0.8</v>
          </cell>
        </row>
        <row r="15174">
          <cell r="A15174" t="str">
            <v>IS_alqt_plus</v>
          </cell>
          <cell r="K15174" t="str">
            <v>DMAD</v>
          </cell>
          <cell r="M15174" t="str">
            <v>M</v>
          </cell>
          <cell r="AB15174" t="str">
            <v>WB</v>
          </cell>
          <cell r="AF15174">
            <v>0.7</v>
          </cell>
        </row>
        <row r="15175">
          <cell r="A15175" t="str">
            <v>IS_alqt_plus</v>
          </cell>
          <cell r="K15175" t="str">
            <v>DMAD</v>
          </cell>
          <cell r="M15175" t="str">
            <v>M</v>
          </cell>
          <cell r="AB15175" t="str">
            <v>WB</v>
          </cell>
          <cell r="AF15175">
            <v>0.6</v>
          </cell>
        </row>
        <row r="15176">
          <cell r="A15176" t="str">
            <v>IS_alqt_plus</v>
          </cell>
          <cell r="K15176" t="str">
            <v>DMAD</v>
          </cell>
          <cell r="M15176" t="str">
            <v>M</v>
          </cell>
          <cell r="AB15176" t="str">
            <v>WB</v>
          </cell>
          <cell r="AF15176">
            <v>0.4</v>
          </cell>
        </row>
        <row r="15177">
          <cell r="A15177" t="str">
            <v>IS_alqt_plus</v>
          </cell>
          <cell r="K15177" t="str">
            <v>DMAD</v>
          </cell>
          <cell r="M15177" t="str">
            <v>M</v>
          </cell>
          <cell r="AB15177" t="str">
            <v>WB</v>
          </cell>
          <cell r="AF15177">
            <v>0.2</v>
          </cell>
        </row>
        <row r="15178">
          <cell r="A15178" t="str">
            <v>IS_alqt_plus</v>
          </cell>
          <cell r="K15178" t="str">
            <v>DMAD</v>
          </cell>
          <cell r="M15178" t="str">
            <v>M</v>
          </cell>
          <cell r="AB15178" t="str">
            <v>WB</v>
          </cell>
          <cell r="AF15178">
            <v>0.2</v>
          </cell>
        </row>
        <row r="15179">
          <cell r="A15179" t="str">
            <v>IS_alqt_plus</v>
          </cell>
          <cell r="K15179" t="str">
            <v>VVV</v>
          </cell>
          <cell r="M15179" t="str">
            <v>F</v>
          </cell>
          <cell r="AB15179" t="str">
            <v>WB</v>
          </cell>
          <cell r="AF15179">
            <v>0.2</v>
          </cell>
        </row>
        <row r="15180">
          <cell r="A15180" t="str">
            <v>IS_alqt_plus</v>
          </cell>
          <cell r="K15180" t="str">
            <v>VVV</v>
          </cell>
          <cell r="M15180" t="str">
            <v>F</v>
          </cell>
          <cell r="AB15180" t="str">
            <v>WB</v>
          </cell>
          <cell r="AF15180">
            <v>0.2</v>
          </cell>
        </row>
        <row r="15181">
          <cell r="A15181" t="str">
            <v>IS_alqt_plus</v>
          </cell>
          <cell r="K15181" t="str">
            <v>VVV</v>
          </cell>
          <cell r="M15181" t="str">
            <v>F</v>
          </cell>
          <cell r="AB15181" t="str">
            <v>WB</v>
          </cell>
          <cell r="AF15181">
            <v>0.4</v>
          </cell>
        </row>
        <row r="15182">
          <cell r="A15182" t="str">
            <v>IS_alqt_plus</v>
          </cell>
          <cell r="K15182" t="str">
            <v>VVV</v>
          </cell>
          <cell r="M15182" t="str">
            <v>F</v>
          </cell>
          <cell r="AB15182" t="str">
            <v>WB</v>
          </cell>
          <cell r="AF15182">
            <v>0.6</v>
          </cell>
        </row>
        <row r="15183">
          <cell r="A15183" t="str">
            <v>IS_alqt_plus</v>
          </cell>
          <cell r="K15183" t="str">
            <v>VVV</v>
          </cell>
          <cell r="M15183" t="str">
            <v>F</v>
          </cell>
          <cell r="AB15183" t="str">
            <v>serum</v>
          </cell>
          <cell r="AF15183">
            <v>0.2</v>
          </cell>
        </row>
        <row r="15184">
          <cell r="A15184" t="str">
            <v>IS_alqt_plus</v>
          </cell>
          <cell r="K15184" t="str">
            <v>VVV</v>
          </cell>
          <cell r="M15184" t="str">
            <v>F</v>
          </cell>
          <cell r="AB15184" t="str">
            <v>serum</v>
          </cell>
          <cell r="AF15184">
            <v>0.4</v>
          </cell>
        </row>
        <row r="15185">
          <cell r="A15185" t="str">
            <v>IS_alqt_plus</v>
          </cell>
          <cell r="K15185" t="str">
            <v>VVV</v>
          </cell>
          <cell r="M15185" t="str">
            <v>F</v>
          </cell>
          <cell r="AB15185" t="str">
            <v>serum</v>
          </cell>
          <cell r="AF15185">
            <v>0.4</v>
          </cell>
        </row>
        <row r="15186">
          <cell r="A15186" t="str">
            <v>IS_alqt_plus</v>
          </cell>
          <cell r="K15186" t="str">
            <v>VVV</v>
          </cell>
          <cell r="M15186" t="str">
            <v>M</v>
          </cell>
          <cell r="AB15186" t="str">
            <v>WB</v>
          </cell>
          <cell r="AF15186">
            <v>0.2</v>
          </cell>
        </row>
        <row r="15187">
          <cell r="A15187" t="str">
            <v>IS_alqt_plus</v>
          </cell>
          <cell r="K15187" t="str">
            <v>VVV</v>
          </cell>
          <cell r="M15187" t="str">
            <v>M</v>
          </cell>
          <cell r="AB15187" t="str">
            <v>WB</v>
          </cell>
          <cell r="AF15187">
            <v>0.4</v>
          </cell>
        </row>
        <row r="15188">
          <cell r="A15188" t="str">
            <v>IS_alqt_plus</v>
          </cell>
          <cell r="K15188" t="str">
            <v>VVV</v>
          </cell>
          <cell r="M15188" t="str">
            <v>M</v>
          </cell>
          <cell r="AB15188" t="str">
            <v>WB</v>
          </cell>
          <cell r="AF15188">
            <v>0.4</v>
          </cell>
        </row>
        <row r="15189">
          <cell r="A15189" t="str">
            <v>IS_alqt_plus</v>
          </cell>
          <cell r="K15189" t="str">
            <v>VVV</v>
          </cell>
          <cell r="M15189" t="str">
            <v>M</v>
          </cell>
          <cell r="AB15189" t="str">
            <v>WB</v>
          </cell>
          <cell r="AF15189">
            <v>0.6</v>
          </cell>
        </row>
        <row r="15190">
          <cell r="A15190" t="str">
            <v>IS_alqt_plus</v>
          </cell>
          <cell r="K15190" t="str">
            <v>VVV</v>
          </cell>
          <cell r="M15190" t="str">
            <v>M</v>
          </cell>
          <cell r="AB15190" t="str">
            <v>serum</v>
          </cell>
          <cell r="AF15190">
            <v>0.2</v>
          </cell>
        </row>
        <row r="15191">
          <cell r="A15191" t="str">
            <v>IS_alqt_plus</v>
          </cell>
          <cell r="K15191" t="str">
            <v>VVV</v>
          </cell>
          <cell r="M15191" t="str">
            <v>M</v>
          </cell>
          <cell r="AB15191" t="str">
            <v>serum</v>
          </cell>
          <cell r="AF15191">
            <v>0.2</v>
          </cell>
        </row>
        <row r="15192">
          <cell r="A15192" t="str">
            <v>IS_alqt_plus</v>
          </cell>
          <cell r="K15192" t="str">
            <v>VVV</v>
          </cell>
          <cell r="M15192" t="str">
            <v>M</v>
          </cell>
          <cell r="AB15192" t="str">
            <v>serum</v>
          </cell>
          <cell r="AF15192">
            <v>0.4</v>
          </cell>
        </row>
        <row r="15193">
          <cell r="A15193" t="str">
            <v>IS_alqt_plus</v>
          </cell>
          <cell r="K15193" t="str">
            <v>PCOQ</v>
          </cell>
          <cell r="M15193" t="str">
            <v>M</v>
          </cell>
          <cell r="AB15193" t="str">
            <v>WB</v>
          </cell>
          <cell r="AF15193">
            <v>0.2</v>
          </cell>
        </row>
        <row r="15194">
          <cell r="A15194" t="str">
            <v>IS_alqt_plus</v>
          </cell>
          <cell r="K15194" t="str">
            <v>PCOQ</v>
          </cell>
          <cell r="M15194" t="str">
            <v>M</v>
          </cell>
          <cell r="AB15194" t="str">
            <v>WB</v>
          </cell>
          <cell r="AF15194">
            <v>0.2</v>
          </cell>
        </row>
        <row r="15195">
          <cell r="A15195" t="str">
            <v>IS_alqt_plus</v>
          </cell>
          <cell r="K15195" t="str">
            <v>PCOQ</v>
          </cell>
          <cell r="M15195" t="str">
            <v>M</v>
          </cell>
          <cell r="AB15195" t="str">
            <v>WB</v>
          </cell>
          <cell r="AF15195">
            <v>0.2</v>
          </cell>
        </row>
        <row r="15196">
          <cell r="A15196" t="str">
            <v>IS_alqt_plus</v>
          </cell>
          <cell r="K15196" t="str">
            <v>PCOQ</v>
          </cell>
          <cell r="M15196" t="str">
            <v>M</v>
          </cell>
          <cell r="AB15196" t="str">
            <v>WB</v>
          </cell>
          <cell r="AF15196">
            <v>0.4</v>
          </cell>
        </row>
        <row r="15197">
          <cell r="A15197" t="str">
            <v>IS_alqt_plus</v>
          </cell>
          <cell r="K15197" t="str">
            <v>PCOQ</v>
          </cell>
          <cell r="M15197" t="str">
            <v>M</v>
          </cell>
          <cell r="AB15197" t="str">
            <v>WB</v>
          </cell>
          <cell r="AF15197">
            <v>0.4</v>
          </cell>
        </row>
        <row r="15198">
          <cell r="A15198" t="str">
            <v>IS_alqt_plus</v>
          </cell>
          <cell r="K15198" t="str">
            <v>PCOQ</v>
          </cell>
          <cell r="M15198" t="str">
            <v>M</v>
          </cell>
          <cell r="AB15198" t="str">
            <v>WB</v>
          </cell>
          <cell r="AF15198">
            <v>0.4</v>
          </cell>
        </row>
        <row r="15199">
          <cell r="A15199" t="str">
            <v>IS_alqt_plus</v>
          </cell>
          <cell r="K15199" t="str">
            <v>PCOQ</v>
          </cell>
          <cell r="M15199" t="str">
            <v>M</v>
          </cell>
          <cell r="AB15199" t="str">
            <v>WB</v>
          </cell>
          <cell r="AF15199">
            <v>0.4</v>
          </cell>
        </row>
        <row r="15200">
          <cell r="A15200" t="str">
            <v>IS_alqt_plus</v>
          </cell>
          <cell r="K15200" t="str">
            <v>PCOQ</v>
          </cell>
          <cell r="M15200" t="str">
            <v>M</v>
          </cell>
          <cell r="AB15200" t="str">
            <v>WB</v>
          </cell>
          <cell r="AF15200">
            <v>0.6</v>
          </cell>
        </row>
        <row r="15201">
          <cell r="A15201" t="str">
            <v>IS_alqt_plus</v>
          </cell>
          <cell r="K15201" t="str">
            <v>PCOQ</v>
          </cell>
          <cell r="M15201" t="str">
            <v>M</v>
          </cell>
          <cell r="AB15201" t="str">
            <v>WB</v>
          </cell>
          <cell r="AF15201">
            <v>0.6</v>
          </cell>
        </row>
        <row r="15202">
          <cell r="A15202" t="str">
            <v>IS_alqt_plus</v>
          </cell>
          <cell r="K15202" t="str">
            <v>PCOQ</v>
          </cell>
          <cell r="M15202" t="str">
            <v>M</v>
          </cell>
          <cell r="AB15202" t="str">
            <v>serum</v>
          </cell>
          <cell r="AF15202">
            <v>0.2</v>
          </cell>
        </row>
        <row r="15203">
          <cell r="A15203" t="str">
            <v>IS_alqt_plus</v>
          </cell>
          <cell r="K15203" t="str">
            <v>PCOQ</v>
          </cell>
          <cell r="M15203" t="str">
            <v>M</v>
          </cell>
          <cell r="AB15203" t="str">
            <v>serum</v>
          </cell>
          <cell r="AF15203">
            <v>0.2</v>
          </cell>
        </row>
        <row r="15204">
          <cell r="A15204" t="str">
            <v>IS_alqt_plus</v>
          </cell>
          <cell r="K15204" t="str">
            <v>PCOQ</v>
          </cell>
          <cell r="M15204" t="str">
            <v>M</v>
          </cell>
          <cell r="AB15204" t="str">
            <v>serum</v>
          </cell>
          <cell r="AF15204">
            <v>0.4</v>
          </cell>
        </row>
        <row r="15205">
          <cell r="A15205" t="str">
            <v>IS_alqt_plus</v>
          </cell>
          <cell r="K15205" t="str">
            <v>PCOQ</v>
          </cell>
          <cell r="M15205" t="str">
            <v>M</v>
          </cell>
          <cell r="AB15205" t="str">
            <v>serum</v>
          </cell>
          <cell r="AF15205">
            <v>0.4</v>
          </cell>
        </row>
        <row r="15206">
          <cell r="A15206" t="str">
            <v>IS_alqt_plus</v>
          </cell>
          <cell r="K15206" t="str">
            <v>PCOQ</v>
          </cell>
          <cell r="M15206" t="str">
            <v>M</v>
          </cell>
          <cell r="AB15206" t="str">
            <v>serum</v>
          </cell>
          <cell r="AF15206">
            <v>0.4</v>
          </cell>
        </row>
        <row r="15207">
          <cell r="A15207" t="str">
            <v>IS_alqt_plus</v>
          </cell>
          <cell r="K15207" t="str">
            <v>PCOQ</v>
          </cell>
          <cell r="M15207" t="str">
            <v>M</v>
          </cell>
          <cell r="AB15207" t="str">
            <v>serum</v>
          </cell>
          <cell r="AF15207">
            <v>0.6</v>
          </cell>
        </row>
        <row r="15208">
          <cell r="A15208" t="str">
            <v>IS_alqt_plus</v>
          </cell>
          <cell r="K15208" t="str">
            <v>PCOQ</v>
          </cell>
          <cell r="M15208" t="str">
            <v>M</v>
          </cell>
          <cell r="AB15208" t="str">
            <v>serum</v>
          </cell>
          <cell r="AF15208">
            <v>0.2</v>
          </cell>
        </row>
        <row r="15209">
          <cell r="A15209" t="str">
            <v>IS_alqt_plus</v>
          </cell>
          <cell r="K15209" t="str">
            <v>PCOQ</v>
          </cell>
          <cell r="M15209" t="str">
            <v>M</v>
          </cell>
          <cell r="AB15209" t="str">
            <v>serum</v>
          </cell>
          <cell r="AF15209">
            <v>0.2</v>
          </cell>
        </row>
        <row r="15210">
          <cell r="A15210" t="str">
            <v>IS_alqt_plus</v>
          </cell>
          <cell r="K15210" t="str">
            <v>PCOQ</v>
          </cell>
          <cell r="M15210" t="str">
            <v>M</v>
          </cell>
          <cell r="AB15210" t="str">
            <v>WB</v>
          </cell>
          <cell r="AF15210">
            <v>0.4</v>
          </cell>
        </row>
        <row r="15211">
          <cell r="A15211" t="str">
            <v>IS_alqt_plus</v>
          </cell>
          <cell r="K15211" t="str">
            <v>PCOQ</v>
          </cell>
          <cell r="M15211" t="str">
            <v>M</v>
          </cell>
          <cell r="AB15211" t="str">
            <v>WB</v>
          </cell>
          <cell r="AF15211">
            <v>0.4</v>
          </cell>
        </row>
        <row r="15212">
          <cell r="A15212" t="str">
            <v>IS_alqt_plus</v>
          </cell>
          <cell r="K15212" t="str">
            <v>EFLA</v>
          </cell>
          <cell r="M15212" t="str">
            <v>M</v>
          </cell>
          <cell r="AB15212" t="str">
            <v>serum</v>
          </cell>
          <cell r="AF15212">
            <v>0.6</v>
          </cell>
        </row>
        <row r="15213">
          <cell r="A15213" t="str">
            <v>IS_alqt_plus</v>
          </cell>
          <cell r="K15213" t="str">
            <v>EFLA</v>
          </cell>
          <cell r="M15213" t="str">
            <v>M</v>
          </cell>
          <cell r="AB15213" t="str">
            <v>serum</v>
          </cell>
          <cell r="AF15213">
            <v>0.4</v>
          </cell>
        </row>
        <row r="15214">
          <cell r="A15214" t="str">
            <v>IS_alqt_plus</v>
          </cell>
          <cell r="K15214" t="str">
            <v>EFLA</v>
          </cell>
          <cell r="M15214" t="str">
            <v>M</v>
          </cell>
          <cell r="AB15214" t="str">
            <v>serum</v>
          </cell>
          <cell r="AF15214">
            <v>0.2</v>
          </cell>
        </row>
        <row r="15215">
          <cell r="A15215" t="str">
            <v>IS_alqt_plus</v>
          </cell>
          <cell r="K15215" t="str">
            <v>EFLA</v>
          </cell>
          <cell r="M15215" t="str">
            <v>M</v>
          </cell>
          <cell r="AB15215" t="str">
            <v>serum</v>
          </cell>
          <cell r="AF15215">
            <v>0.2</v>
          </cell>
        </row>
        <row r="15216">
          <cell r="A15216" t="str">
            <v>IS_alqt_plus</v>
          </cell>
          <cell r="K15216" t="str">
            <v>EFLA</v>
          </cell>
          <cell r="M15216" t="str">
            <v>M</v>
          </cell>
          <cell r="AB15216" t="str">
            <v>WB</v>
          </cell>
          <cell r="AF15216">
            <v>0.6</v>
          </cell>
        </row>
        <row r="15217">
          <cell r="A15217" t="str">
            <v>IS_alqt_plus</v>
          </cell>
          <cell r="K15217" t="str">
            <v>EFLA</v>
          </cell>
          <cell r="M15217" t="str">
            <v>M</v>
          </cell>
          <cell r="AB15217" t="str">
            <v>WB</v>
          </cell>
          <cell r="AF15217">
            <v>0.6</v>
          </cell>
        </row>
        <row r="15218">
          <cell r="A15218" t="str">
            <v>IS_alqt_plus</v>
          </cell>
          <cell r="K15218" t="str">
            <v>EFLA</v>
          </cell>
          <cell r="M15218" t="str">
            <v>M</v>
          </cell>
          <cell r="AB15218" t="str">
            <v>WB</v>
          </cell>
          <cell r="AF15218">
            <v>0.4</v>
          </cell>
        </row>
        <row r="15219">
          <cell r="A15219" t="str">
            <v>gone</v>
          </cell>
          <cell r="K15219" t="str">
            <v>EFLA</v>
          </cell>
          <cell r="M15219" t="str">
            <v>M</v>
          </cell>
          <cell r="AB15219" t="str">
            <v>WB</v>
          </cell>
          <cell r="AF15219">
            <v>0</v>
          </cell>
        </row>
        <row r="15220">
          <cell r="A15220" t="str">
            <v>IS_alqt_plus</v>
          </cell>
          <cell r="K15220" t="str">
            <v>DMAD</v>
          </cell>
          <cell r="M15220" t="str">
            <v>F</v>
          </cell>
          <cell r="AB15220" t="str">
            <v>WB</v>
          </cell>
          <cell r="AF15220">
            <v>0.2</v>
          </cell>
        </row>
        <row r="15221">
          <cell r="A15221" t="str">
            <v>IS_alqt_plus</v>
          </cell>
          <cell r="K15221" t="str">
            <v>DMAD</v>
          </cell>
          <cell r="M15221" t="str">
            <v>F</v>
          </cell>
          <cell r="AB15221" t="str">
            <v>WB</v>
          </cell>
          <cell r="AF15221">
            <v>0.2</v>
          </cell>
        </row>
        <row r="15222">
          <cell r="A15222" t="str">
            <v>IS_alqt_plus</v>
          </cell>
          <cell r="K15222" t="str">
            <v>DMAD</v>
          </cell>
          <cell r="M15222" t="str">
            <v>F</v>
          </cell>
          <cell r="AB15222" t="str">
            <v>WB</v>
          </cell>
          <cell r="AF15222">
            <v>0.4</v>
          </cell>
        </row>
        <row r="15223">
          <cell r="A15223" t="str">
            <v>IS_alqt_plus</v>
          </cell>
          <cell r="K15223" t="str">
            <v>EMON</v>
          </cell>
          <cell r="M15223" t="str">
            <v>F</v>
          </cell>
          <cell r="AB15223" t="str">
            <v>serum</v>
          </cell>
          <cell r="AF15223">
            <v>0.4</v>
          </cell>
        </row>
        <row r="15224">
          <cell r="A15224" t="str">
            <v>IS_alqt_plus</v>
          </cell>
          <cell r="K15224" t="str">
            <v>EMON</v>
          </cell>
          <cell r="M15224" t="str">
            <v>F</v>
          </cell>
          <cell r="AB15224" t="str">
            <v>serum</v>
          </cell>
          <cell r="AF15224">
            <v>0.4</v>
          </cell>
        </row>
        <row r="15225">
          <cell r="A15225" t="str">
            <v>IS_alqt_plus</v>
          </cell>
          <cell r="K15225" t="str">
            <v>EMON</v>
          </cell>
          <cell r="M15225" t="str">
            <v>F</v>
          </cell>
          <cell r="AB15225" t="str">
            <v>serum</v>
          </cell>
          <cell r="AF15225">
            <v>0.2</v>
          </cell>
        </row>
        <row r="15226">
          <cell r="A15226" t="str">
            <v>IS_alqt_plus</v>
          </cell>
          <cell r="K15226" t="str">
            <v>EMON</v>
          </cell>
          <cell r="M15226" t="str">
            <v>F</v>
          </cell>
          <cell r="AB15226" t="str">
            <v>WB</v>
          </cell>
          <cell r="AF15226">
            <v>0.8</v>
          </cell>
        </row>
        <row r="15227">
          <cell r="A15227" t="str">
            <v>IS_alqt_plus</v>
          </cell>
          <cell r="K15227" t="str">
            <v>EMON</v>
          </cell>
          <cell r="M15227" t="str">
            <v>F</v>
          </cell>
          <cell r="AB15227" t="str">
            <v>WB</v>
          </cell>
          <cell r="AF15227">
            <v>0.6</v>
          </cell>
        </row>
        <row r="15228">
          <cell r="A15228" t="str">
            <v>IS_alqt_minus</v>
          </cell>
          <cell r="K15228" t="str">
            <v>CMED</v>
          </cell>
          <cell r="M15228" t="str">
            <v>F</v>
          </cell>
          <cell r="AB15228" t="str">
            <v>WB</v>
          </cell>
          <cell r="AF15228">
            <v>1.4999999999999999E-2</v>
          </cell>
        </row>
        <row r="15229">
          <cell r="A15229" t="str">
            <v>IS_alqt_plus</v>
          </cell>
          <cell r="K15229" t="str">
            <v>EMON</v>
          </cell>
          <cell r="M15229" t="str">
            <v>F</v>
          </cell>
          <cell r="AB15229" t="str">
            <v>WB</v>
          </cell>
          <cell r="AF15229">
            <v>0.2</v>
          </cell>
        </row>
        <row r="15230">
          <cell r="A15230" t="str">
            <v>IS_alqt_plus</v>
          </cell>
          <cell r="K15230" t="str">
            <v>EMON</v>
          </cell>
          <cell r="M15230" t="str">
            <v>F</v>
          </cell>
          <cell r="AB15230" t="str">
            <v>WB</v>
          </cell>
          <cell r="AF15230">
            <v>0.2</v>
          </cell>
        </row>
        <row r="15231">
          <cell r="A15231" t="str">
            <v>IS_alqt_plus</v>
          </cell>
          <cell r="K15231" t="str">
            <v>EMON</v>
          </cell>
          <cell r="M15231" t="str">
            <v>F</v>
          </cell>
          <cell r="AB15231" t="str">
            <v>WB</v>
          </cell>
          <cell r="AF15231">
            <v>0.4</v>
          </cell>
        </row>
        <row r="15232">
          <cell r="A15232" t="str">
            <v>IS_alqt_plus</v>
          </cell>
          <cell r="K15232" t="str">
            <v>EMON</v>
          </cell>
          <cell r="M15232" t="str">
            <v>F</v>
          </cell>
          <cell r="AB15232" t="str">
            <v>WB</v>
          </cell>
          <cell r="AF15232">
            <v>0.4</v>
          </cell>
        </row>
        <row r="15233">
          <cell r="A15233" t="str">
            <v>IS_alqt_plus</v>
          </cell>
          <cell r="K15233" t="str">
            <v>EMON</v>
          </cell>
          <cell r="M15233" t="str">
            <v>F</v>
          </cell>
          <cell r="AB15233" t="str">
            <v>WB</v>
          </cell>
          <cell r="AF15233">
            <v>0.4</v>
          </cell>
        </row>
        <row r="15234">
          <cell r="A15234" t="str">
            <v>IS_alqt_plus</v>
          </cell>
          <cell r="K15234" t="str">
            <v>EMON</v>
          </cell>
          <cell r="M15234" t="str">
            <v>F</v>
          </cell>
          <cell r="AB15234" t="str">
            <v>serum</v>
          </cell>
          <cell r="AF15234">
            <v>0.2</v>
          </cell>
        </row>
        <row r="15235">
          <cell r="A15235" t="str">
            <v>IS_alqt_plus</v>
          </cell>
          <cell r="K15235" t="str">
            <v>EMON</v>
          </cell>
          <cell r="M15235" t="str">
            <v>F</v>
          </cell>
          <cell r="AB15235" t="str">
            <v>serum</v>
          </cell>
          <cell r="AF15235">
            <v>0.2</v>
          </cell>
        </row>
        <row r="15236">
          <cell r="A15236" t="str">
            <v>IS_alqt_plus</v>
          </cell>
          <cell r="K15236" t="str">
            <v>EMON</v>
          </cell>
          <cell r="M15236" t="str">
            <v>F</v>
          </cell>
          <cell r="AB15236" t="str">
            <v>serum</v>
          </cell>
          <cell r="AF15236">
            <v>0.4</v>
          </cell>
        </row>
        <row r="15237">
          <cell r="A15237" t="str">
            <v>IS_alqt_plus</v>
          </cell>
          <cell r="K15237" t="str">
            <v>EMON</v>
          </cell>
          <cell r="M15237" t="str">
            <v>F</v>
          </cell>
          <cell r="AB15237" t="str">
            <v>serum</v>
          </cell>
          <cell r="AF15237">
            <v>0.4</v>
          </cell>
        </row>
        <row r="15238">
          <cell r="A15238" t="str">
            <v>IS_alqt_plus</v>
          </cell>
          <cell r="K15238" t="str">
            <v>EMON</v>
          </cell>
          <cell r="M15238" t="str">
            <v>F</v>
          </cell>
          <cell r="AB15238" t="str">
            <v>serum</v>
          </cell>
          <cell r="AF15238">
            <v>0.4</v>
          </cell>
        </row>
        <row r="15239">
          <cell r="A15239" t="str">
            <v>IS_alqt_plus</v>
          </cell>
          <cell r="K15239" t="str">
            <v>EMON</v>
          </cell>
          <cell r="M15239" t="str">
            <v>M</v>
          </cell>
          <cell r="AB15239" t="str">
            <v>serum</v>
          </cell>
          <cell r="AF15239">
            <v>0.2</v>
          </cell>
        </row>
        <row r="15240">
          <cell r="A15240" t="str">
            <v>IS_alqt_plus</v>
          </cell>
          <cell r="K15240" t="str">
            <v>EMON</v>
          </cell>
          <cell r="M15240" t="str">
            <v>M</v>
          </cell>
          <cell r="AB15240" t="str">
            <v>serum</v>
          </cell>
          <cell r="AF15240">
            <v>0.2</v>
          </cell>
        </row>
        <row r="15241">
          <cell r="A15241" t="str">
            <v>IS_alqt_plus</v>
          </cell>
          <cell r="K15241" t="str">
            <v>EMON</v>
          </cell>
          <cell r="M15241" t="str">
            <v>M</v>
          </cell>
          <cell r="AB15241" t="str">
            <v>serum</v>
          </cell>
          <cell r="AF15241">
            <v>0.4</v>
          </cell>
        </row>
        <row r="15242">
          <cell r="A15242" t="str">
            <v>IS_alqt_plus</v>
          </cell>
          <cell r="K15242" t="str">
            <v>EMON</v>
          </cell>
          <cell r="M15242" t="str">
            <v>M</v>
          </cell>
          <cell r="AB15242" t="str">
            <v>serum</v>
          </cell>
          <cell r="AF15242">
            <v>0.4</v>
          </cell>
        </row>
        <row r="15243">
          <cell r="A15243" t="str">
            <v>IS_alqt_plus</v>
          </cell>
          <cell r="K15243" t="str">
            <v>EMON</v>
          </cell>
          <cell r="M15243" t="str">
            <v>M</v>
          </cell>
          <cell r="AB15243" t="str">
            <v>WB</v>
          </cell>
          <cell r="AF15243">
            <v>0.2</v>
          </cell>
        </row>
        <row r="15244">
          <cell r="A15244" t="str">
            <v>IS_alqt_plus</v>
          </cell>
          <cell r="K15244" t="str">
            <v>EMON</v>
          </cell>
          <cell r="M15244" t="str">
            <v>M</v>
          </cell>
          <cell r="AB15244" t="str">
            <v>WB</v>
          </cell>
          <cell r="AF15244">
            <v>0.2</v>
          </cell>
        </row>
        <row r="15245">
          <cell r="A15245" t="str">
            <v>IS_alqt_plus</v>
          </cell>
          <cell r="K15245" t="str">
            <v>EMON</v>
          </cell>
          <cell r="M15245" t="str">
            <v>M</v>
          </cell>
          <cell r="AB15245" t="str">
            <v>WB</v>
          </cell>
          <cell r="AF15245">
            <v>0.4</v>
          </cell>
        </row>
        <row r="15246">
          <cell r="A15246" t="str">
            <v>IS_alqt_plus</v>
          </cell>
          <cell r="K15246" t="str">
            <v>EMON</v>
          </cell>
          <cell r="M15246" t="str">
            <v>M</v>
          </cell>
          <cell r="AB15246" t="str">
            <v>WB</v>
          </cell>
          <cell r="AF15246">
            <v>0.4</v>
          </cell>
        </row>
        <row r="15247">
          <cell r="A15247" t="str">
            <v>IS_alqt_plus</v>
          </cell>
          <cell r="K15247" t="str">
            <v>EMON</v>
          </cell>
          <cell r="M15247" t="str">
            <v>M</v>
          </cell>
          <cell r="AB15247" t="str">
            <v>WB</v>
          </cell>
          <cell r="AF15247">
            <v>0.6</v>
          </cell>
        </row>
        <row r="15248">
          <cell r="A15248" t="str">
            <v>gone</v>
          </cell>
          <cell r="K15248" t="str">
            <v>EFLA</v>
          </cell>
          <cell r="M15248" t="str">
            <v>F</v>
          </cell>
          <cell r="AB15248" t="str">
            <v>WB</v>
          </cell>
          <cell r="AF15248">
            <v>0</v>
          </cell>
        </row>
        <row r="15249">
          <cell r="A15249" t="str">
            <v>IS_alqt_plus</v>
          </cell>
          <cell r="K15249" t="str">
            <v>EFLA</v>
          </cell>
          <cell r="M15249" t="str">
            <v>F</v>
          </cell>
          <cell r="AB15249" t="str">
            <v>WB</v>
          </cell>
          <cell r="AF15249">
            <v>0.2</v>
          </cell>
        </row>
        <row r="15250">
          <cell r="A15250" t="str">
            <v>IS_alqt_plus</v>
          </cell>
          <cell r="K15250" t="str">
            <v>EFLA</v>
          </cell>
          <cell r="M15250" t="str">
            <v>F</v>
          </cell>
          <cell r="AB15250" t="str">
            <v>WB</v>
          </cell>
          <cell r="AF15250">
            <v>0.4</v>
          </cell>
        </row>
        <row r="15251">
          <cell r="A15251" t="str">
            <v>IS_alqt_plus</v>
          </cell>
          <cell r="K15251" t="str">
            <v>EFLA</v>
          </cell>
          <cell r="M15251" t="str">
            <v>F</v>
          </cell>
          <cell r="AB15251" t="str">
            <v>WB</v>
          </cell>
          <cell r="AF15251">
            <v>0.4</v>
          </cell>
        </row>
        <row r="15252">
          <cell r="A15252" t="str">
            <v>IS_alqt_plus</v>
          </cell>
          <cell r="K15252" t="str">
            <v>EFLA</v>
          </cell>
          <cell r="M15252" t="str">
            <v>F</v>
          </cell>
          <cell r="AB15252" t="str">
            <v>serum</v>
          </cell>
          <cell r="AF15252">
            <v>0.2</v>
          </cell>
        </row>
        <row r="15253">
          <cell r="A15253" t="str">
            <v>IS_alqt_plus</v>
          </cell>
          <cell r="K15253" t="str">
            <v>EFLA</v>
          </cell>
          <cell r="M15253" t="str">
            <v>F</v>
          </cell>
          <cell r="AB15253" t="str">
            <v>serum</v>
          </cell>
          <cell r="AF15253">
            <v>0.2</v>
          </cell>
        </row>
        <row r="15254">
          <cell r="A15254" t="str">
            <v>IS_alqt_plus</v>
          </cell>
          <cell r="K15254" t="str">
            <v>EFLA</v>
          </cell>
          <cell r="M15254" t="str">
            <v>F</v>
          </cell>
          <cell r="AB15254" t="str">
            <v>serum</v>
          </cell>
          <cell r="AF15254">
            <v>0.4</v>
          </cell>
        </row>
        <row r="15255">
          <cell r="A15255" t="str">
            <v>IS_alqt_plus</v>
          </cell>
          <cell r="K15255" t="str">
            <v>EFLA</v>
          </cell>
          <cell r="M15255" t="str">
            <v>F</v>
          </cell>
          <cell r="AB15255" t="str">
            <v>serum</v>
          </cell>
          <cell r="AF15255">
            <v>0.4</v>
          </cell>
        </row>
        <row r="15256">
          <cell r="A15256" t="str">
            <v>IS_alqt_minus</v>
          </cell>
          <cell r="K15256" t="str">
            <v>MMUR</v>
          </cell>
          <cell r="M15256" t="str">
            <v>F</v>
          </cell>
          <cell r="AB15256" t="str">
            <v>WB</v>
          </cell>
          <cell r="AF15256">
            <v>0.1</v>
          </cell>
        </row>
        <row r="15257">
          <cell r="A15257" t="str">
            <v>IS_alqt_plus</v>
          </cell>
          <cell r="K15257" t="str">
            <v>LCAT</v>
          </cell>
          <cell r="M15257" t="str">
            <v>M</v>
          </cell>
          <cell r="AB15257" t="str">
            <v>WB</v>
          </cell>
          <cell r="AF15257">
            <v>0.6</v>
          </cell>
        </row>
        <row r="15258">
          <cell r="A15258" t="str">
            <v>IS_alqt_plus</v>
          </cell>
          <cell r="K15258" t="str">
            <v>LCAT</v>
          </cell>
          <cell r="M15258" t="str">
            <v>M</v>
          </cell>
          <cell r="AB15258" t="str">
            <v>WB</v>
          </cell>
          <cell r="AF15258">
            <v>0.6</v>
          </cell>
        </row>
        <row r="15259">
          <cell r="A15259" t="str">
            <v>gone</v>
          </cell>
          <cell r="K15259" t="str">
            <v>EFLA</v>
          </cell>
          <cell r="M15259" t="str">
            <v>F</v>
          </cell>
          <cell r="AB15259" t="str">
            <v>WB</v>
          </cell>
          <cell r="AF15259">
            <v>0</v>
          </cell>
        </row>
        <row r="15260">
          <cell r="A15260" t="str">
            <v>IS_alqt_plus</v>
          </cell>
          <cell r="K15260" t="str">
            <v>EFLA</v>
          </cell>
          <cell r="M15260" t="str">
            <v>F</v>
          </cell>
          <cell r="AB15260" t="str">
            <v>WB</v>
          </cell>
          <cell r="AF15260">
            <v>0.4</v>
          </cell>
        </row>
        <row r="15261">
          <cell r="A15261" t="str">
            <v>IS_alqt_plus</v>
          </cell>
          <cell r="K15261" t="str">
            <v>EFLA</v>
          </cell>
          <cell r="M15261" t="str">
            <v>F</v>
          </cell>
          <cell r="AB15261" t="str">
            <v>WB</v>
          </cell>
          <cell r="AF15261">
            <v>0.6</v>
          </cell>
        </row>
        <row r="15262">
          <cell r="A15262" t="str">
            <v>IS_alqt_plus</v>
          </cell>
          <cell r="K15262" t="str">
            <v>EFLA</v>
          </cell>
          <cell r="M15262" t="str">
            <v>F</v>
          </cell>
          <cell r="AB15262" t="str">
            <v>serum</v>
          </cell>
          <cell r="AF15262">
            <v>0.2</v>
          </cell>
        </row>
        <row r="15263">
          <cell r="A15263" t="str">
            <v>IS_alqt_plus</v>
          </cell>
          <cell r="K15263" t="str">
            <v>EFLA</v>
          </cell>
          <cell r="M15263" t="str">
            <v>F</v>
          </cell>
          <cell r="AB15263" t="str">
            <v>serum</v>
          </cell>
          <cell r="AF15263">
            <v>0.2</v>
          </cell>
        </row>
        <row r="15264">
          <cell r="A15264" t="str">
            <v>IS_alqt_plus</v>
          </cell>
          <cell r="K15264" t="str">
            <v>EFLA</v>
          </cell>
          <cell r="M15264" t="str">
            <v>F</v>
          </cell>
          <cell r="AB15264" t="str">
            <v>serum</v>
          </cell>
          <cell r="AF15264">
            <v>0.4</v>
          </cell>
        </row>
        <row r="15265">
          <cell r="A15265" t="str">
            <v>IS_alqt_plus</v>
          </cell>
          <cell r="K15265" t="str">
            <v>EFLA</v>
          </cell>
          <cell r="M15265" t="str">
            <v>F</v>
          </cell>
          <cell r="AB15265" t="str">
            <v>serum</v>
          </cell>
          <cell r="AF15265">
            <v>0.4</v>
          </cell>
        </row>
        <row r="15266">
          <cell r="A15266" t="str">
            <v>IS_alqt_plus</v>
          </cell>
          <cell r="K15266" t="str">
            <v>EFLA</v>
          </cell>
          <cell r="M15266" t="str">
            <v>F</v>
          </cell>
          <cell r="AB15266" t="str">
            <v>serum</v>
          </cell>
          <cell r="AF15266">
            <v>0.6</v>
          </cell>
        </row>
        <row r="15267">
          <cell r="A15267" t="str">
            <v>IS_alqt_minus</v>
          </cell>
          <cell r="K15267" t="str">
            <v>PCOQ</v>
          </cell>
          <cell r="M15267" t="str">
            <v>M</v>
          </cell>
          <cell r="AB15267" t="str">
            <v>WB</v>
          </cell>
          <cell r="AF15267">
            <v>0.2</v>
          </cell>
        </row>
        <row r="15268">
          <cell r="A15268" t="str">
            <v>IS_alqt_minus</v>
          </cell>
          <cell r="K15268" t="str">
            <v>PCOQ</v>
          </cell>
          <cell r="M15268" t="str">
            <v>M</v>
          </cell>
          <cell r="AB15268" t="str">
            <v>WB</v>
          </cell>
          <cell r="AF15268">
            <v>0.2</v>
          </cell>
        </row>
        <row r="15269">
          <cell r="A15269" t="str">
            <v>IS_alqt_plus</v>
          </cell>
          <cell r="K15269" t="str">
            <v>PCOQ</v>
          </cell>
          <cell r="M15269" t="str">
            <v>M</v>
          </cell>
          <cell r="AB15269" t="str">
            <v>WB</v>
          </cell>
          <cell r="AF15269">
            <v>0.4</v>
          </cell>
        </row>
        <row r="15270">
          <cell r="A15270" t="str">
            <v>IS_alqt_plus</v>
          </cell>
          <cell r="K15270" t="str">
            <v>PCOQ</v>
          </cell>
          <cell r="M15270" t="str">
            <v>M</v>
          </cell>
          <cell r="AB15270" t="str">
            <v>WB</v>
          </cell>
          <cell r="AF15270">
            <v>0.4</v>
          </cell>
        </row>
        <row r="15271">
          <cell r="A15271" t="str">
            <v>IS_alqt_plus</v>
          </cell>
          <cell r="K15271" t="str">
            <v>PCOQ</v>
          </cell>
          <cell r="M15271" t="str">
            <v>M</v>
          </cell>
          <cell r="AB15271" t="str">
            <v>WB</v>
          </cell>
          <cell r="AF15271">
            <v>0.6</v>
          </cell>
        </row>
        <row r="15272">
          <cell r="A15272" t="str">
            <v>IS_alqt_plus</v>
          </cell>
          <cell r="K15272" t="str">
            <v>PCOQ</v>
          </cell>
          <cell r="M15272" t="str">
            <v>M</v>
          </cell>
          <cell r="AB15272" t="str">
            <v>WB</v>
          </cell>
          <cell r="AF15272">
            <v>0.2</v>
          </cell>
        </row>
        <row r="15273">
          <cell r="A15273" t="str">
            <v>IS_alqt_plus</v>
          </cell>
          <cell r="K15273" t="str">
            <v>PCOQ</v>
          </cell>
          <cell r="M15273" t="str">
            <v>M</v>
          </cell>
          <cell r="AB15273" t="str">
            <v>WB</v>
          </cell>
          <cell r="AF15273">
            <v>0.2</v>
          </cell>
        </row>
        <row r="15274">
          <cell r="A15274" t="str">
            <v>IS_alqt_plus</v>
          </cell>
          <cell r="K15274" t="str">
            <v>PCOQ</v>
          </cell>
          <cell r="M15274" t="str">
            <v>M</v>
          </cell>
          <cell r="AB15274" t="str">
            <v>WB</v>
          </cell>
          <cell r="AF15274">
            <v>0.2</v>
          </cell>
        </row>
        <row r="15275">
          <cell r="A15275" t="str">
            <v>IS_alqt_plus</v>
          </cell>
          <cell r="K15275" t="str">
            <v>PCOQ</v>
          </cell>
          <cell r="M15275" t="str">
            <v>M</v>
          </cell>
          <cell r="AB15275" t="str">
            <v>WB</v>
          </cell>
          <cell r="AF15275">
            <v>0.4</v>
          </cell>
        </row>
        <row r="15276">
          <cell r="A15276" t="str">
            <v>IS_alqt_plus</v>
          </cell>
          <cell r="K15276" t="str">
            <v>PCOQ</v>
          </cell>
          <cell r="M15276" t="str">
            <v>M</v>
          </cell>
          <cell r="AB15276" t="str">
            <v>WB</v>
          </cell>
          <cell r="AF15276">
            <v>0.4</v>
          </cell>
        </row>
        <row r="15277">
          <cell r="A15277" t="str">
            <v>IS_alqt_plus</v>
          </cell>
          <cell r="K15277" t="str">
            <v>PCOQ</v>
          </cell>
          <cell r="M15277" t="str">
            <v>M</v>
          </cell>
          <cell r="AB15277" t="str">
            <v>WB</v>
          </cell>
          <cell r="AF15277">
            <v>0.6</v>
          </cell>
        </row>
        <row r="15278">
          <cell r="A15278" t="str">
            <v>IS_alqt_plus</v>
          </cell>
          <cell r="K15278" t="str">
            <v>PCOQ</v>
          </cell>
          <cell r="M15278" t="str">
            <v>M</v>
          </cell>
          <cell r="AB15278" t="str">
            <v>WB</v>
          </cell>
          <cell r="AF15278">
            <v>0.8</v>
          </cell>
        </row>
        <row r="15279">
          <cell r="A15279" t="str">
            <v>IS_alqt_plus</v>
          </cell>
          <cell r="K15279" t="str">
            <v>PCOQ</v>
          </cell>
          <cell r="M15279" t="str">
            <v>M</v>
          </cell>
          <cell r="AB15279" t="str">
            <v>serum</v>
          </cell>
          <cell r="AF15279">
            <v>0.2</v>
          </cell>
        </row>
        <row r="15280">
          <cell r="A15280" t="str">
            <v>IS_alqt_plus</v>
          </cell>
          <cell r="K15280" t="str">
            <v>PCOQ</v>
          </cell>
          <cell r="M15280" t="str">
            <v>M</v>
          </cell>
          <cell r="AB15280" t="str">
            <v>serum</v>
          </cell>
          <cell r="AF15280">
            <v>0.2</v>
          </cell>
        </row>
        <row r="15281">
          <cell r="A15281" t="str">
            <v>IS_alqt_plus</v>
          </cell>
          <cell r="K15281" t="str">
            <v>PCOQ</v>
          </cell>
          <cell r="M15281" t="str">
            <v>M</v>
          </cell>
          <cell r="AB15281" t="str">
            <v>serum</v>
          </cell>
          <cell r="AF15281">
            <v>0.2</v>
          </cell>
        </row>
        <row r="15282">
          <cell r="A15282" t="str">
            <v>IS_alqt_plus</v>
          </cell>
          <cell r="K15282" t="str">
            <v>DMAD</v>
          </cell>
          <cell r="M15282" t="str">
            <v>F</v>
          </cell>
          <cell r="AB15282" t="str">
            <v>serum</v>
          </cell>
          <cell r="AF15282">
            <v>0.2</v>
          </cell>
        </row>
        <row r="15283">
          <cell r="A15283" t="str">
            <v>IS_alqt_plus</v>
          </cell>
          <cell r="K15283" t="str">
            <v>DMAD</v>
          </cell>
          <cell r="M15283" t="str">
            <v>F</v>
          </cell>
          <cell r="AB15283" t="str">
            <v>serum</v>
          </cell>
          <cell r="AF15283">
            <v>0.2</v>
          </cell>
        </row>
        <row r="15284">
          <cell r="A15284" t="str">
            <v>IS_alqt_plus</v>
          </cell>
          <cell r="K15284" t="str">
            <v>DMAD</v>
          </cell>
          <cell r="M15284" t="str">
            <v>F</v>
          </cell>
          <cell r="AB15284" t="str">
            <v>serum</v>
          </cell>
          <cell r="AF15284">
            <v>0.2</v>
          </cell>
        </row>
        <row r="15285">
          <cell r="A15285" t="str">
            <v>IS_alqt_plus</v>
          </cell>
          <cell r="K15285" t="str">
            <v>DMAD</v>
          </cell>
          <cell r="M15285" t="str">
            <v>F</v>
          </cell>
          <cell r="AB15285" t="str">
            <v>WB</v>
          </cell>
          <cell r="AF15285">
            <v>0.2</v>
          </cell>
        </row>
        <row r="15286">
          <cell r="A15286" t="str">
            <v>IS_alqt_plus</v>
          </cell>
          <cell r="K15286" t="str">
            <v>DMAD</v>
          </cell>
          <cell r="M15286" t="str">
            <v>F</v>
          </cell>
          <cell r="AB15286" t="str">
            <v>WB</v>
          </cell>
          <cell r="AF15286">
            <v>0.2</v>
          </cell>
        </row>
        <row r="15287">
          <cell r="A15287" t="str">
            <v>IS_alqt_plus</v>
          </cell>
          <cell r="K15287" t="str">
            <v>DMAD</v>
          </cell>
          <cell r="M15287" t="str">
            <v>F</v>
          </cell>
          <cell r="AB15287" t="str">
            <v>WB</v>
          </cell>
          <cell r="AF15287">
            <v>0.2</v>
          </cell>
        </row>
        <row r="15288">
          <cell r="A15288" t="str">
            <v>IS_alqt_plus</v>
          </cell>
          <cell r="K15288" t="str">
            <v>DMAD</v>
          </cell>
          <cell r="M15288" t="str">
            <v>F</v>
          </cell>
          <cell r="AB15288" t="str">
            <v>WB</v>
          </cell>
          <cell r="AF15288">
            <v>0.4</v>
          </cell>
        </row>
        <row r="15289">
          <cell r="A15289" t="str">
            <v>IS_alqt_plus</v>
          </cell>
          <cell r="K15289" t="str">
            <v>DMAD</v>
          </cell>
          <cell r="M15289" t="str">
            <v>F</v>
          </cell>
          <cell r="AB15289" t="str">
            <v>WB</v>
          </cell>
          <cell r="AF15289">
            <v>0.6</v>
          </cell>
        </row>
        <row r="15290">
          <cell r="A15290" t="str">
            <v>IS_alqt_plus</v>
          </cell>
          <cell r="K15290" t="str">
            <v>ECOL</v>
          </cell>
          <cell r="M15290" t="str">
            <v>M</v>
          </cell>
          <cell r="AB15290" t="str">
            <v>serum</v>
          </cell>
          <cell r="AF15290">
            <v>0.4</v>
          </cell>
        </row>
        <row r="15291">
          <cell r="A15291" t="str">
            <v>IS_alqt_plus</v>
          </cell>
          <cell r="K15291" t="str">
            <v>ECOL</v>
          </cell>
          <cell r="M15291" t="str">
            <v>F</v>
          </cell>
          <cell r="AB15291" t="str">
            <v>serum</v>
          </cell>
          <cell r="AF15291">
            <v>0.4</v>
          </cell>
        </row>
        <row r="15292">
          <cell r="A15292" t="str">
            <v>IS_alqt_plus</v>
          </cell>
          <cell r="K15292" t="str">
            <v>LCAT</v>
          </cell>
          <cell r="M15292" t="str">
            <v>M</v>
          </cell>
          <cell r="AB15292" t="str">
            <v>serum</v>
          </cell>
          <cell r="AF15292">
            <v>0.4</v>
          </cell>
        </row>
        <row r="15293">
          <cell r="A15293" t="str">
            <v>IS_alqt_plus</v>
          </cell>
          <cell r="K15293" t="str">
            <v>LCAT</v>
          </cell>
          <cell r="M15293" t="str">
            <v>F</v>
          </cell>
          <cell r="AB15293" t="str">
            <v>serum</v>
          </cell>
          <cell r="AF15293">
            <v>0.4</v>
          </cell>
        </row>
        <row r="15294">
          <cell r="A15294" t="str">
            <v>IS_alqt_plus</v>
          </cell>
          <cell r="K15294" t="str">
            <v>VRUB</v>
          </cell>
          <cell r="M15294" t="str">
            <v>M</v>
          </cell>
          <cell r="AB15294" t="str">
            <v>serum</v>
          </cell>
          <cell r="AF15294">
            <v>0.3</v>
          </cell>
        </row>
        <row r="15295">
          <cell r="A15295" t="str">
            <v>IS_alqt_plus</v>
          </cell>
          <cell r="K15295" t="str">
            <v>LCAT</v>
          </cell>
          <cell r="M15295" t="str">
            <v>M</v>
          </cell>
          <cell r="AB15295" t="str">
            <v>serum</v>
          </cell>
          <cell r="AF15295">
            <v>0.6</v>
          </cell>
        </row>
        <row r="15296">
          <cell r="A15296" t="str">
            <v>IS_alqt_plus</v>
          </cell>
          <cell r="K15296" t="str">
            <v>PCOQ</v>
          </cell>
          <cell r="M15296" t="str">
            <v>F</v>
          </cell>
          <cell r="AB15296" t="str">
            <v>serum</v>
          </cell>
          <cell r="AF15296">
            <v>0.4</v>
          </cell>
        </row>
        <row r="15297">
          <cell r="A15297" t="str">
            <v>IS_alqt_plus</v>
          </cell>
          <cell r="K15297" t="str">
            <v>LCAT</v>
          </cell>
          <cell r="M15297" t="str">
            <v>F</v>
          </cell>
          <cell r="AB15297" t="str">
            <v>serum</v>
          </cell>
          <cell r="AF15297">
            <v>0.6</v>
          </cell>
        </row>
        <row r="15298">
          <cell r="A15298" t="str">
            <v>IS_alqt_plus</v>
          </cell>
          <cell r="K15298" t="str">
            <v>VRUB</v>
          </cell>
          <cell r="M15298" t="str">
            <v>F</v>
          </cell>
          <cell r="AB15298" t="str">
            <v>serum</v>
          </cell>
          <cell r="AF15298">
            <v>0.4</v>
          </cell>
        </row>
        <row r="15299">
          <cell r="A15299" t="str">
            <v>IS_alqt_plus</v>
          </cell>
          <cell r="K15299" t="str">
            <v>PCOQ</v>
          </cell>
          <cell r="M15299" t="str">
            <v>M</v>
          </cell>
          <cell r="AB15299" t="str">
            <v>serum</v>
          </cell>
          <cell r="AF15299">
            <v>0.6</v>
          </cell>
        </row>
        <row r="15300">
          <cell r="A15300" t="str">
            <v>IS_alqt_plus</v>
          </cell>
          <cell r="K15300" t="str">
            <v>PCOQ</v>
          </cell>
          <cell r="M15300" t="str">
            <v>M</v>
          </cell>
          <cell r="AB15300" t="str">
            <v>serum</v>
          </cell>
          <cell r="AF15300">
            <v>0.4</v>
          </cell>
        </row>
        <row r="15301">
          <cell r="A15301" t="str">
            <v>IS_alqt_plus</v>
          </cell>
          <cell r="K15301" t="str">
            <v>PCOQ</v>
          </cell>
          <cell r="M15301" t="str">
            <v>M</v>
          </cell>
          <cell r="AB15301" t="str">
            <v>serum</v>
          </cell>
          <cell r="AF15301">
            <v>0.2</v>
          </cell>
        </row>
        <row r="15302">
          <cell r="A15302" t="str">
            <v>IS_alqt_plus</v>
          </cell>
          <cell r="K15302" t="str">
            <v>PCOQ</v>
          </cell>
          <cell r="M15302" t="str">
            <v>M</v>
          </cell>
          <cell r="AB15302" t="str">
            <v>WB</v>
          </cell>
          <cell r="AF15302">
            <v>0.6</v>
          </cell>
        </row>
        <row r="15303">
          <cell r="A15303" t="str">
            <v>IS_alqt_plus</v>
          </cell>
          <cell r="K15303" t="str">
            <v>PCOQ</v>
          </cell>
          <cell r="M15303" t="str">
            <v>M</v>
          </cell>
          <cell r="AB15303" t="str">
            <v>WB</v>
          </cell>
          <cell r="AF15303">
            <v>0.6</v>
          </cell>
        </row>
        <row r="15304">
          <cell r="A15304" t="str">
            <v>IS_alqt_plus</v>
          </cell>
          <cell r="K15304" t="str">
            <v>PCOQ</v>
          </cell>
          <cell r="M15304" t="str">
            <v>M</v>
          </cell>
          <cell r="AB15304" t="str">
            <v>WB</v>
          </cell>
          <cell r="AF15304">
            <v>0.4</v>
          </cell>
        </row>
        <row r="15305">
          <cell r="A15305" t="str">
            <v>IS_alqt_plus</v>
          </cell>
          <cell r="K15305" t="str">
            <v>PCOQ</v>
          </cell>
          <cell r="M15305" t="str">
            <v>M</v>
          </cell>
          <cell r="AB15305" t="str">
            <v>WB</v>
          </cell>
          <cell r="AF15305">
            <v>0.2</v>
          </cell>
        </row>
        <row r="15306">
          <cell r="A15306" t="str">
            <v>IS_alqt_plus</v>
          </cell>
          <cell r="K15306" t="str">
            <v>LCAT</v>
          </cell>
          <cell r="M15306" t="str">
            <v>M</v>
          </cell>
          <cell r="AB15306" t="str">
            <v>WB</v>
          </cell>
          <cell r="AF15306">
            <v>0.8</v>
          </cell>
        </row>
        <row r="15307">
          <cell r="A15307" t="str">
            <v>IS_alqt_plus</v>
          </cell>
          <cell r="K15307" t="str">
            <v>LCAT</v>
          </cell>
          <cell r="M15307" t="str">
            <v>M</v>
          </cell>
          <cell r="AB15307" t="str">
            <v>WB</v>
          </cell>
          <cell r="AF15307">
            <v>0.6</v>
          </cell>
        </row>
        <row r="15308">
          <cell r="A15308" t="str">
            <v>IS_alqt_plus</v>
          </cell>
          <cell r="K15308" t="str">
            <v>LCAT</v>
          </cell>
          <cell r="M15308" t="str">
            <v>M</v>
          </cell>
          <cell r="AB15308" t="str">
            <v>WB</v>
          </cell>
          <cell r="AF15308">
            <v>0.4</v>
          </cell>
        </row>
        <row r="15309">
          <cell r="A15309" t="str">
            <v>IS_alqt_plus</v>
          </cell>
          <cell r="K15309" t="str">
            <v>LCAT</v>
          </cell>
          <cell r="M15309" t="str">
            <v>M</v>
          </cell>
          <cell r="AB15309" t="str">
            <v>WB</v>
          </cell>
          <cell r="AF15309">
            <v>0.2</v>
          </cell>
        </row>
        <row r="15310">
          <cell r="A15310" t="str">
            <v>IS_alqt_plus</v>
          </cell>
          <cell r="K15310" t="str">
            <v>LCAT</v>
          </cell>
          <cell r="M15310" t="str">
            <v>M</v>
          </cell>
          <cell r="AB15310" t="str">
            <v>serum</v>
          </cell>
          <cell r="AF15310">
            <v>0.4</v>
          </cell>
        </row>
        <row r="15311">
          <cell r="A15311" t="str">
            <v>IS_alqt_plus</v>
          </cell>
          <cell r="K15311" t="str">
            <v>LCAT</v>
          </cell>
          <cell r="M15311" t="str">
            <v>M</v>
          </cell>
          <cell r="AB15311" t="str">
            <v>serum</v>
          </cell>
          <cell r="AF15311">
            <v>0.4</v>
          </cell>
        </row>
        <row r="15312">
          <cell r="A15312" t="str">
            <v>IS_alqt_plus</v>
          </cell>
          <cell r="K15312" t="str">
            <v>LCAT</v>
          </cell>
          <cell r="M15312" t="str">
            <v>M</v>
          </cell>
          <cell r="AB15312" t="str">
            <v>serum</v>
          </cell>
          <cell r="AF15312">
            <v>0.2</v>
          </cell>
        </row>
        <row r="15313">
          <cell r="A15313" t="str">
            <v>IS_alqt_plus</v>
          </cell>
          <cell r="K15313" t="str">
            <v>LCAT</v>
          </cell>
          <cell r="M15313" t="str">
            <v>M</v>
          </cell>
          <cell r="AB15313" t="str">
            <v>serum</v>
          </cell>
          <cell r="AF15313">
            <v>0.2</v>
          </cell>
        </row>
        <row r="15314">
          <cell r="A15314" t="str">
            <v>IS_alqt_plus</v>
          </cell>
          <cell r="K15314" t="str">
            <v>VVV</v>
          </cell>
          <cell r="M15314" t="str">
            <v>M</v>
          </cell>
          <cell r="AB15314" t="str">
            <v>serum</v>
          </cell>
          <cell r="AF15314">
            <v>0.2</v>
          </cell>
        </row>
        <row r="15315">
          <cell r="A15315" t="str">
            <v>IS_alqt_plus</v>
          </cell>
          <cell r="K15315" t="str">
            <v>VVV</v>
          </cell>
          <cell r="M15315" t="str">
            <v>M</v>
          </cell>
          <cell r="AB15315" t="str">
            <v>serum</v>
          </cell>
          <cell r="AF15315">
            <v>0.4</v>
          </cell>
        </row>
        <row r="15316">
          <cell r="A15316" t="str">
            <v>IS_alqt_plus</v>
          </cell>
          <cell r="K15316" t="str">
            <v>VVV</v>
          </cell>
          <cell r="M15316" t="str">
            <v>M</v>
          </cell>
          <cell r="AB15316" t="str">
            <v>serum</v>
          </cell>
          <cell r="AF15316">
            <v>0.6</v>
          </cell>
        </row>
        <row r="15317">
          <cell r="A15317" t="str">
            <v>IS_alqt_plus</v>
          </cell>
          <cell r="K15317" t="str">
            <v>VVV</v>
          </cell>
          <cell r="M15317" t="str">
            <v>M</v>
          </cell>
          <cell r="AB15317" t="str">
            <v>WB</v>
          </cell>
          <cell r="AF15317">
            <v>0.2</v>
          </cell>
        </row>
        <row r="15318">
          <cell r="A15318" t="str">
            <v>IS_alqt_plus</v>
          </cell>
          <cell r="K15318" t="str">
            <v>VVV</v>
          </cell>
          <cell r="M15318" t="str">
            <v>M</v>
          </cell>
          <cell r="AB15318" t="str">
            <v>WB</v>
          </cell>
          <cell r="AF15318">
            <v>0.2</v>
          </cell>
        </row>
        <row r="15319">
          <cell r="A15319" t="str">
            <v>IS_alqt_plus</v>
          </cell>
          <cell r="K15319" t="str">
            <v>VVV</v>
          </cell>
          <cell r="M15319" t="str">
            <v>M</v>
          </cell>
          <cell r="AB15319" t="str">
            <v>WB</v>
          </cell>
          <cell r="AF15319">
            <v>0.4</v>
          </cell>
        </row>
        <row r="15320">
          <cell r="A15320" t="str">
            <v>IS_alqt_plus</v>
          </cell>
          <cell r="K15320" t="str">
            <v>VVV</v>
          </cell>
          <cell r="M15320" t="str">
            <v>M</v>
          </cell>
          <cell r="AB15320" t="str">
            <v>WB</v>
          </cell>
          <cell r="AF15320">
            <v>0.4</v>
          </cell>
        </row>
        <row r="15321">
          <cell r="A15321" t="str">
            <v>IS_alqt_plus</v>
          </cell>
          <cell r="K15321" t="str">
            <v>VVV</v>
          </cell>
          <cell r="M15321" t="str">
            <v>M</v>
          </cell>
          <cell r="AB15321" t="str">
            <v>WB</v>
          </cell>
          <cell r="AF15321">
            <v>0.4</v>
          </cell>
        </row>
        <row r="15322">
          <cell r="A15322" t="str">
            <v>IS_alqt_plus</v>
          </cell>
          <cell r="K15322" t="str">
            <v>VVV</v>
          </cell>
          <cell r="M15322" t="str">
            <v>M</v>
          </cell>
          <cell r="AB15322" t="str">
            <v>WB</v>
          </cell>
          <cell r="AF15322">
            <v>0.6</v>
          </cell>
        </row>
        <row r="15323">
          <cell r="A15323" t="str">
            <v>IS_alqt_plus</v>
          </cell>
          <cell r="K15323" t="str">
            <v>EMON</v>
          </cell>
          <cell r="M15323" t="str">
            <v>M</v>
          </cell>
          <cell r="AB15323" t="str">
            <v>serum</v>
          </cell>
          <cell r="AF15323">
            <v>0.2</v>
          </cell>
        </row>
        <row r="15324">
          <cell r="A15324" t="str">
            <v>IS_alqt_plus</v>
          </cell>
          <cell r="K15324" t="str">
            <v>EMON</v>
          </cell>
          <cell r="M15324" t="str">
            <v>M</v>
          </cell>
          <cell r="AB15324" t="str">
            <v>serum</v>
          </cell>
          <cell r="AF15324">
            <v>0.2</v>
          </cell>
        </row>
        <row r="15325">
          <cell r="A15325" t="str">
            <v>IS_alqt_plus</v>
          </cell>
          <cell r="K15325" t="str">
            <v>EMON</v>
          </cell>
          <cell r="M15325" t="str">
            <v>M</v>
          </cell>
          <cell r="AB15325" t="str">
            <v>serum</v>
          </cell>
          <cell r="AF15325">
            <v>0.2</v>
          </cell>
        </row>
        <row r="15326">
          <cell r="A15326" t="str">
            <v>IS_alqt_plus</v>
          </cell>
          <cell r="K15326" t="str">
            <v>EMON</v>
          </cell>
          <cell r="M15326" t="str">
            <v>M</v>
          </cell>
          <cell r="AB15326" t="str">
            <v>serum</v>
          </cell>
          <cell r="AF15326">
            <v>0.4</v>
          </cell>
        </row>
        <row r="15327">
          <cell r="A15327" t="str">
            <v>IS_alqt_plus</v>
          </cell>
          <cell r="K15327" t="str">
            <v>EMON</v>
          </cell>
          <cell r="M15327" t="str">
            <v>M</v>
          </cell>
          <cell r="AB15327" t="str">
            <v>serum</v>
          </cell>
          <cell r="AF15327">
            <v>0.6</v>
          </cell>
        </row>
        <row r="15328">
          <cell r="A15328" t="str">
            <v>IS_alqt_plus</v>
          </cell>
          <cell r="K15328" t="str">
            <v>EMON</v>
          </cell>
          <cell r="M15328" t="str">
            <v>M</v>
          </cell>
          <cell r="AB15328" t="str">
            <v>WB</v>
          </cell>
          <cell r="AF15328">
            <v>0.2</v>
          </cell>
        </row>
        <row r="15329">
          <cell r="A15329" t="str">
            <v>IS_alqt_plus</v>
          </cell>
          <cell r="K15329" t="str">
            <v>EMON</v>
          </cell>
          <cell r="M15329" t="str">
            <v>M</v>
          </cell>
          <cell r="AB15329" t="str">
            <v>WB</v>
          </cell>
          <cell r="AF15329">
            <v>0.2</v>
          </cell>
        </row>
        <row r="15330">
          <cell r="A15330" t="str">
            <v>IS_alqt_plus</v>
          </cell>
          <cell r="K15330" t="str">
            <v>EMON</v>
          </cell>
          <cell r="M15330" t="str">
            <v>M</v>
          </cell>
          <cell r="AB15330" t="str">
            <v>WB</v>
          </cell>
          <cell r="AF15330">
            <v>0.2</v>
          </cell>
        </row>
        <row r="15331">
          <cell r="A15331" t="str">
            <v>IS_alqt_plus</v>
          </cell>
          <cell r="K15331" t="str">
            <v>EMON</v>
          </cell>
          <cell r="M15331" t="str">
            <v>M</v>
          </cell>
          <cell r="AB15331" t="str">
            <v>WB</v>
          </cell>
          <cell r="AF15331">
            <v>0.4</v>
          </cell>
        </row>
        <row r="15332">
          <cell r="A15332" t="str">
            <v>IS_alqt_plus</v>
          </cell>
          <cell r="K15332" t="str">
            <v>EMON</v>
          </cell>
          <cell r="M15332" t="str">
            <v>M</v>
          </cell>
          <cell r="AB15332" t="str">
            <v>WB</v>
          </cell>
          <cell r="AF15332">
            <v>0.4</v>
          </cell>
        </row>
        <row r="15333">
          <cell r="A15333" t="str">
            <v>IS_alqt_plus</v>
          </cell>
          <cell r="K15333" t="str">
            <v>EMON</v>
          </cell>
          <cell r="M15333" t="str">
            <v>M</v>
          </cell>
          <cell r="AB15333" t="str">
            <v>WB</v>
          </cell>
          <cell r="AF15333">
            <v>0.6</v>
          </cell>
        </row>
        <row r="15334">
          <cell r="A15334" t="str">
            <v>IS_alqt_plus</v>
          </cell>
          <cell r="K15334" t="str">
            <v>EMON</v>
          </cell>
          <cell r="M15334" t="str">
            <v>M</v>
          </cell>
          <cell r="AB15334" t="str">
            <v>WB</v>
          </cell>
          <cell r="AF15334">
            <v>0.8</v>
          </cell>
        </row>
        <row r="15335">
          <cell r="A15335" t="str">
            <v>IS_alqt_plus</v>
          </cell>
          <cell r="K15335" t="str">
            <v>PCOQ</v>
          </cell>
          <cell r="M15335" t="str">
            <v>M</v>
          </cell>
          <cell r="AB15335" t="str">
            <v>WB</v>
          </cell>
          <cell r="AF15335">
            <v>0.4</v>
          </cell>
        </row>
        <row r="15336">
          <cell r="A15336" t="str">
            <v>IS_alqt_minus</v>
          </cell>
          <cell r="K15336" t="str">
            <v>PCOQ</v>
          </cell>
          <cell r="M15336" t="str">
            <v>M</v>
          </cell>
          <cell r="AB15336" t="str">
            <v>WB</v>
          </cell>
          <cell r="AF15336">
            <v>0.15</v>
          </cell>
        </row>
        <row r="15337">
          <cell r="A15337" t="str">
            <v>IS_alqt_plus</v>
          </cell>
          <cell r="K15337" t="str">
            <v>PCOQ</v>
          </cell>
          <cell r="M15337" t="str">
            <v>M</v>
          </cell>
          <cell r="AB15337" t="str">
            <v>serum</v>
          </cell>
          <cell r="AF15337">
            <v>0.2</v>
          </cell>
        </row>
        <row r="15338">
          <cell r="A15338" t="str">
            <v>IS_alqt_plus</v>
          </cell>
          <cell r="K15338" t="str">
            <v>PCOQ</v>
          </cell>
          <cell r="M15338" t="str">
            <v>M</v>
          </cell>
          <cell r="AB15338" t="str">
            <v>serum</v>
          </cell>
          <cell r="AF15338">
            <v>0.4</v>
          </cell>
        </row>
        <row r="15339">
          <cell r="A15339" t="str">
            <v>IS_alqt_minus</v>
          </cell>
          <cell r="K15339" t="str">
            <v>PCOQ</v>
          </cell>
          <cell r="M15339" t="str">
            <v>M</v>
          </cell>
          <cell r="AB15339" t="str">
            <v>PRBC</v>
          </cell>
          <cell r="AF15339" t="str">
            <v>unk amt</v>
          </cell>
        </row>
        <row r="15340">
          <cell r="A15340" t="str">
            <v>IS_alqt_plus</v>
          </cell>
          <cell r="K15340" t="str">
            <v>ERUF</v>
          </cell>
          <cell r="M15340" t="str">
            <v>M</v>
          </cell>
          <cell r="AB15340" t="str">
            <v>WB</v>
          </cell>
          <cell r="AF15340">
            <v>0.2</v>
          </cell>
        </row>
        <row r="15341">
          <cell r="A15341" t="str">
            <v>IS_alqt_plus</v>
          </cell>
          <cell r="K15341" t="str">
            <v>VVV</v>
          </cell>
          <cell r="M15341" t="str">
            <v>M</v>
          </cell>
          <cell r="AB15341" t="str">
            <v>WB</v>
          </cell>
          <cell r="AF15341">
            <v>1</v>
          </cell>
        </row>
        <row r="15342">
          <cell r="A15342" t="str">
            <v>IS_alqt_plus</v>
          </cell>
          <cell r="K15342" t="str">
            <v>VVV</v>
          </cell>
          <cell r="M15342" t="str">
            <v>M</v>
          </cell>
          <cell r="AB15342" t="str">
            <v>WB</v>
          </cell>
          <cell r="AF15342">
            <v>1</v>
          </cell>
        </row>
        <row r="15343">
          <cell r="A15343" t="str">
            <v>IS_alqt_plus</v>
          </cell>
          <cell r="K15343" t="str">
            <v>VVV</v>
          </cell>
          <cell r="M15343" t="str">
            <v>M</v>
          </cell>
          <cell r="AB15343" t="str">
            <v>WB</v>
          </cell>
          <cell r="AF15343">
            <v>1</v>
          </cell>
        </row>
        <row r="15344">
          <cell r="A15344" t="str">
            <v>IS_alqt_plus</v>
          </cell>
          <cell r="K15344" t="str">
            <v>VVV</v>
          </cell>
          <cell r="M15344" t="str">
            <v>M</v>
          </cell>
          <cell r="AB15344" t="str">
            <v>WB</v>
          </cell>
          <cell r="AF15344">
            <v>1</v>
          </cell>
        </row>
        <row r="15345">
          <cell r="A15345" t="str">
            <v>IS_alqt_plus</v>
          </cell>
          <cell r="K15345" t="str">
            <v>VVV</v>
          </cell>
          <cell r="M15345" t="str">
            <v>M</v>
          </cell>
          <cell r="AB15345" t="str">
            <v>WB</v>
          </cell>
          <cell r="AF15345">
            <v>1</v>
          </cell>
        </row>
        <row r="15346">
          <cell r="A15346" t="str">
            <v>IS_alqt_plus</v>
          </cell>
          <cell r="K15346" t="str">
            <v>VVV</v>
          </cell>
          <cell r="M15346" t="str">
            <v>M</v>
          </cell>
          <cell r="AB15346" t="str">
            <v>WB</v>
          </cell>
          <cell r="AF15346">
            <v>1</v>
          </cell>
        </row>
        <row r="15347">
          <cell r="A15347" t="str">
            <v>IS_alqt_plus</v>
          </cell>
          <cell r="K15347" t="str">
            <v>VVV</v>
          </cell>
          <cell r="M15347" t="str">
            <v>M</v>
          </cell>
          <cell r="AB15347" t="str">
            <v>WB</v>
          </cell>
          <cell r="AF15347">
            <v>1</v>
          </cell>
        </row>
        <row r="15348">
          <cell r="A15348" t="str">
            <v>IS_alqt_plus</v>
          </cell>
          <cell r="K15348" t="str">
            <v>VVV</v>
          </cell>
          <cell r="M15348" t="str">
            <v>M</v>
          </cell>
          <cell r="AB15348" t="str">
            <v>WB</v>
          </cell>
          <cell r="AF15348">
            <v>1</v>
          </cell>
        </row>
        <row r="15349">
          <cell r="A15349" t="str">
            <v>IS_alqt_plus</v>
          </cell>
          <cell r="K15349" t="str">
            <v>VVV</v>
          </cell>
          <cell r="M15349" t="str">
            <v>M</v>
          </cell>
          <cell r="AB15349" t="str">
            <v>WB</v>
          </cell>
          <cell r="AF15349">
            <v>1</v>
          </cell>
        </row>
        <row r="15350">
          <cell r="A15350" t="str">
            <v>IS_alqt_plus</v>
          </cell>
          <cell r="K15350" t="str">
            <v>VVV</v>
          </cell>
          <cell r="M15350" t="str">
            <v>M</v>
          </cell>
          <cell r="AB15350" t="str">
            <v>WB</v>
          </cell>
          <cell r="AF15350">
            <v>1</v>
          </cell>
        </row>
        <row r="15351">
          <cell r="A15351" t="str">
            <v>IS_alqt_plus</v>
          </cell>
          <cell r="K15351" t="str">
            <v>VVV</v>
          </cell>
          <cell r="M15351" t="str">
            <v>M</v>
          </cell>
          <cell r="AB15351" t="str">
            <v>WB</v>
          </cell>
          <cell r="AF15351">
            <v>1</v>
          </cell>
        </row>
        <row r="15352">
          <cell r="A15352" t="str">
            <v>IS_alqt_plus</v>
          </cell>
          <cell r="K15352" t="str">
            <v>VVV</v>
          </cell>
          <cell r="M15352" t="str">
            <v>M</v>
          </cell>
          <cell r="AB15352" t="str">
            <v>WB</v>
          </cell>
          <cell r="AF15352">
            <v>1</v>
          </cell>
        </row>
        <row r="15353">
          <cell r="A15353" t="str">
            <v>IS_alqt_plus</v>
          </cell>
          <cell r="K15353" t="str">
            <v>VVV</v>
          </cell>
          <cell r="M15353" t="str">
            <v>M</v>
          </cell>
          <cell r="AB15353" t="str">
            <v>WB</v>
          </cell>
          <cell r="AF15353">
            <v>1</v>
          </cell>
        </row>
        <row r="15354">
          <cell r="A15354" t="str">
            <v>IS_alqt_plus</v>
          </cell>
          <cell r="K15354" t="str">
            <v>VVV</v>
          </cell>
          <cell r="M15354" t="str">
            <v>M</v>
          </cell>
          <cell r="AB15354" t="str">
            <v>WB</v>
          </cell>
          <cell r="AF15354">
            <v>1</v>
          </cell>
        </row>
        <row r="15355">
          <cell r="A15355" t="str">
            <v>IS_alqt_plus</v>
          </cell>
          <cell r="K15355" t="str">
            <v>VVV</v>
          </cell>
          <cell r="M15355" t="str">
            <v>M</v>
          </cell>
          <cell r="AB15355" t="str">
            <v>WB</v>
          </cell>
          <cell r="AF15355">
            <v>1</v>
          </cell>
        </row>
        <row r="15356">
          <cell r="A15356" t="str">
            <v>IS_alqt_plus</v>
          </cell>
          <cell r="K15356" t="str">
            <v>VVV</v>
          </cell>
          <cell r="M15356" t="str">
            <v>M</v>
          </cell>
          <cell r="AB15356" t="str">
            <v>WB</v>
          </cell>
          <cell r="AF15356">
            <v>1</v>
          </cell>
        </row>
        <row r="15357">
          <cell r="A15357" t="str">
            <v>IS_alqt_plus</v>
          </cell>
          <cell r="K15357" t="str">
            <v>VVV</v>
          </cell>
          <cell r="M15357" t="str">
            <v>M</v>
          </cell>
          <cell r="AB15357" t="str">
            <v>WB</v>
          </cell>
          <cell r="AF15357">
            <v>1</v>
          </cell>
        </row>
        <row r="15358">
          <cell r="A15358" t="str">
            <v>IS_alqt_plus</v>
          </cell>
          <cell r="K15358" t="str">
            <v>VVV</v>
          </cell>
          <cell r="M15358" t="str">
            <v>M</v>
          </cell>
          <cell r="AB15358" t="str">
            <v>WB</v>
          </cell>
          <cell r="AF15358">
            <v>1</v>
          </cell>
        </row>
        <row r="15359">
          <cell r="A15359" t="str">
            <v>IS_alqt_plus</v>
          </cell>
          <cell r="K15359" t="str">
            <v>LCAT</v>
          </cell>
          <cell r="M15359" t="str">
            <v>F</v>
          </cell>
          <cell r="AB15359" t="str">
            <v>serum</v>
          </cell>
          <cell r="AF15359">
            <v>0.2</v>
          </cell>
        </row>
        <row r="15360">
          <cell r="A15360" t="str">
            <v>IS_alqt_plus</v>
          </cell>
          <cell r="K15360" t="str">
            <v>LCAT</v>
          </cell>
          <cell r="M15360" t="str">
            <v>F</v>
          </cell>
          <cell r="AB15360" t="str">
            <v>serum</v>
          </cell>
          <cell r="AF15360">
            <v>0.2</v>
          </cell>
        </row>
        <row r="15361">
          <cell r="A15361" t="str">
            <v>IS_alqt_plus</v>
          </cell>
          <cell r="K15361" t="str">
            <v>LCAT</v>
          </cell>
          <cell r="M15361" t="str">
            <v>F</v>
          </cell>
          <cell r="AB15361" t="str">
            <v>serum</v>
          </cell>
          <cell r="AF15361">
            <v>0.2</v>
          </cell>
        </row>
        <row r="15362">
          <cell r="A15362" t="str">
            <v>IS_alqt_plus</v>
          </cell>
          <cell r="K15362" t="str">
            <v>LCAT</v>
          </cell>
          <cell r="M15362" t="str">
            <v>F</v>
          </cell>
          <cell r="AB15362" t="str">
            <v>serum</v>
          </cell>
          <cell r="AF15362">
            <v>0.4</v>
          </cell>
        </row>
        <row r="15363">
          <cell r="A15363" t="str">
            <v>IS_alqt_plus</v>
          </cell>
          <cell r="K15363" t="str">
            <v>LCAT</v>
          </cell>
          <cell r="M15363" t="str">
            <v>F</v>
          </cell>
          <cell r="AB15363" t="str">
            <v>serum</v>
          </cell>
          <cell r="AF15363">
            <v>0.4</v>
          </cell>
        </row>
        <row r="15364">
          <cell r="A15364" t="str">
            <v>IS_alqt_plus</v>
          </cell>
          <cell r="K15364" t="str">
            <v>LCAT</v>
          </cell>
          <cell r="M15364" t="str">
            <v>F</v>
          </cell>
          <cell r="AB15364" t="str">
            <v>WB</v>
          </cell>
          <cell r="AF15364">
            <v>0.2</v>
          </cell>
        </row>
        <row r="15365">
          <cell r="A15365" t="str">
            <v>IS_alqt_plus</v>
          </cell>
          <cell r="K15365" t="str">
            <v>LCAT</v>
          </cell>
          <cell r="M15365" t="str">
            <v>F</v>
          </cell>
          <cell r="AB15365" t="str">
            <v>WB</v>
          </cell>
          <cell r="AF15365">
            <v>0.2</v>
          </cell>
        </row>
        <row r="15366">
          <cell r="A15366" t="str">
            <v>IS_alqt_plus</v>
          </cell>
          <cell r="K15366" t="str">
            <v>LCAT</v>
          </cell>
          <cell r="M15366" t="str">
            <v>F</v>
          </cell>
          <cell r="AB15366" t="str">
            <v>WB</v>
          </cell>
          <cell r="AF15366">
            <v>0.2</v>
          </cell>
        </row>
        <row r="15367">
          <cell r="A15367" t="str">
            <v>IS_alqt_plus</v>
          </cell>
          <cell r="K15367" t="str">
            <v>LCAT</v>
          </cell>
          <cell r="M15367" t="str">
            <v>F</v>
          </cell>
          <cell r="AB15367" t="str">
            <v>WB</v>
          </cell>
          <cell r="AF15367">
            <v>0.4</v>
          </cell>
        </row>
        <row r="15368">
          <cell r="A15368" t="str">
            <v>IS_alqt_plus</v>
          </cell>
          <cell r="K15368" t="str">
            <v>VRUB</v>
          </cell>
          <cell r="M15368" t="str">
            <v>F</v>
          </cell>
          <cell r="AB15368" t="str">
            <v>serum</v>
          </cell>
          <cell r="AF15368">
            <v>0.2</v>
          </cell>
        </row>
        <row r="15369">
          <cell r="A15369" t="str">
            <v>IS_alqt_plus</v>
          </cell>
          <cell r="K15369" t="str">
            <v>VRUB</v>
          </cell>
          <cell r="M15369" t="str">
            <v>F</v>
          </cell>
          <cell r="AB15369" t="str">
            <v>serum</v>
          </cell>
          <cell r="AF15369">
            <v>0.4</v>
          </cell>
        </row>
        <row r="15370">
          <cell r="A15370" t="str">
            <v>IS_alqt_plus</v>
          </cell>
          <cell r="K15370" t="str">
            <v>VRUB</v>
          </cell>
          <cell r="M15370" t="str">
            <v>F</v>
          </cell>
          <cell r="AB15370" t="str">
            <v>serum</v>
          </cell>
          <cell r="AF15370">
            <v>0.6</v>
          </cell>
        </row>
        <row r="15371">
          <cell r="A15371" t="str">
            <v>IS_alqt_plus</v>
          </cell>
          <cell r="K15371" t="str">
            <v>VRUB</v>
          </cell>
          <cell r="M15371" t="str">
            <v>F</v>
          </cell>
          <cell r="AB15371" t="str">
            <v>serum</v>
          </cell>
          <cell r="AF15371">
            <v>1</v>
          </cell>
        </row>
        <row r="15372">
          <cell r="A15372" t="str">
            <v>IS_alqt_plus</v>
          </cell>
          <cell r="K15372" t="str">
            <v>VRUB</v>
          </cell>
          <cell r="M15372" t="str">
            <v>F</v>
          </cell>
          <cell r="AB15372" t="str">
            <v>WB</v>
          </cell>
          <cell r="AF15372">
            <v>0.2</v>
          </cell>
        </row>
        <row r="15373">
          <cell r="A15373" t="str">
            <v>IS_alqt_plus</v>
          </cell>
          <cell r="K15373" t="str">
            <v>VRUB</v>
          </cell>
          <cell r="M15373" t="str">
            <v>F</v>
          </cell>
          <cell r="AB15373" t="str">
            <v>WB</v>
          </cell>
          <cell r="AF15373">
            <v>0.4</v>
          </cell>
        </row>
        <row r="15374">
          <cell r="A15374" t="str">
            <v>IS_alqt_plus</v>
          </cell>
          <cell r="K15374" t="str">
            <v>VRUB</v>
          </cell>
          <cell r="M15374" t="str">
            <v>F</v>
          </cell>
          <cell r="AB15374" t="str">
            <v>WB</v>
          </cell>
          <cell r="AF15374">
            <v>0.4</v>
          </cell>
        </row>
        <row r="15375">
          <cell r="A15375" t="str">
            <v>IS_alqt_plus</v>
          </cell>
          <cell r="K15375" t="str">
            <v>VRUB</v>
          </cell>
          <cell r="M15375" t="str">
            <v>F</v>
          </cell>
          <cell r="AB15375" t="str">
            <v>WB</v>
          </cell>
          <cell r="AF15375">
            <v>0.6</v>
          </cell>
        </row>
        <row r="15376">
          <cell r="A15376" t="str">
            <v>IS_alqt_plus</v>
          </cell>
          <cell r="K15376" t="str">
            <v>VRUB</v>
          </cell>
          <cell r="M15376" t="str">
            <v>F</v>
          </cell>
          <cell r="AB15376" t="str">
            <v>WB</v>
          </cell>
          <cell r="AF15376">
            <v>0.8</v>
          </cell>
        </row>
        <row r="15377">
          <cell r="A15377" t="str">
            <v>IS_alqt_plus</v>
          </cell>
          <cell r="K15377" t="str">
            <v>VRUB</v>
          </cell>
          <cell r="M15377" t="str">
            <v>F</v>
          </cell>
          <cell r="AB15377" t="str">
            <v>WB</v>
          </cell>
          <cell r="AF15377">
            <v>1</v>
          </cell>
        </row>
        <row r="15378">
          <cell r="A15378" t="str">
            <v>IS_alqt_plus</v>
          </cell>
          <cell r="K15378" t="str">
            <v>VRUB</v>
          </cell>
          <cell r="M15378" t="str">
            <v>F</v>
          </cell>
          <cell r="AB15378" t="str">
            <v>WB</v>
          </cell>
          <cell r="AF15378">
            <v>0.2</v>
          </cell>
        </row>
        <row r="15379">
          <cell r="A15379" t="str">
            <v>IS_alqt_plus</v>
          </cell>
          <cell r="K15379" t="str">
            <v>VRUB</v>
          </cell>
          <cell r="M15379" t="str">
            <v>F</v>
          </cell>
          <cell r="AB15379" t="str">
            <v>serum</v>
          </cell>
          <cell r="AF15379">
            <v>0.4</v>
          </cell>
        </row>
        <row r="15380">
          <cell r="A15380" t="str">
            <v>IS_alqt_plus</v>
          </cell>
          <cell r="K15380" t="str">
            <v>VRUB</v>
          </cell>
          <cell r="M15380" t="str">
            <v>F</v>
          </cell>
          <cell r="AB15380" t="str">
            <v>serum</v>
          </cell>
          <cell r="AF15380">
            <v>0.4</v>
          </cell>
        </row>
        <row r="15381">
          <cell r="A15381" t="str">
            <v>IS_alqt_plus</v>
          </cell>
          <cell r="K15381" t="str">
            <v>EFLA</v>
          </cell>
          <cell r="M15381" t="str">
            <v>F</v>
          </cell>
          <cell r="AB15381" t="str">
            <v>WB</v>
          </cell>
          <cell r="AF15381">
            <v>0.4</v>
          </cell>
        </row>
        <row r="15382">
          <cell r="A15382" t="str">
            <v>IS_alqt_plus</v>
          </cell>
          <cell r="K15382" t="str">
            <v>EFLA</v>
          </cell>
          <cell r="M15382" t="str">
            <v>F</v>
          </cell>
          <cell r="AB15382" t="str">
            <v>serum</v>
          </cell>
          <cell r="AF15382">
            <v>0.2</v>
          </cell>
        </row>
        <row r="15383">
          <cell r="A15383" t="str">
            <v>IS_alqt_plus</v>
          </cell>
          <cell r="K15383" t="str">
            <v>EFLA</v>
          </cell>
          <cell r="M15383" t="str">
            <v>F</v>
          </cell>
          <cell r="AB15383" t="str">
            <v>serum</v>
          </cell>
          <cell r="AF15383">
            <v>0.2</v>
          </cell>
        </row>
        <row r="15384">
          <cell r="A15384" t="str">
            <v>IS_alqt_plus</v>
          </cell>
          <cell r="K15384" t="str">
            <v>EFLA</v>
          </cell>
          <cell r="M15384" t="str">
            <v>F</v>
          </cell>
          <cell r="AB15384" t="str">
            <v>serum</v>
          </cell>
          <cell r="AF15384">
            <v>0.4</v>
          </cell>
        </row>
        <row r="15385">
          <cell r="A15385" t="str">
            <v>IS_alqt_plus</v>
          </cell>
          <cell r="K15385" t="str">
            <v>EFLA</v>
          </cell>
          <cell r="M15385" t="str">
            <v>F</v>
          </cell>
          <cell r="AB15385" t="str">
            <v>serum</v>
          </cell>
          <cell r="AF15385">
            <v>0.6</v>
          </cell>
        </row>
        <row r="15386">
          <cell r="A15386" t="str">
            <v>IS_alqt_minus</v>
          </cell>
          <cell r="K15386" t="str">
            <v>CMED</v>
          </cell>
          <cell r="M15386" t="str">
            <v>F</v>
          </cell>
          <cell r="AB15386" t="str">
            <v>WB</v>
          </cell>
          <cell r="AF15386">
            <v>0.15</v>
          </cell>
        </row>
        <row r="15387">
          <cell r="A15387" t="str">
            <v>IS_alqt_minus</v>
          </cell>
          <cell r="K15387" t="str">
            <v>CMED</v>
          </cell>
          <cell r="M15387" t="str">
            <v>F</v>
          </cell>
          <cell r="AB15387" t="str">
            <v>WB</v>
          </cell>
          <cell r="AF15387">
            <v>0.05</v>
          </cell>
        </row>
        <row r="15388">
          <cell r="A15388" t="str">
            <v>IS_alqt_plus</v>
          </cell>
          <cell r="K15388" t="str">
            <v>VVV</v>
          </cell>
          <cell r="M15388" t="str">
            <v>M</v>
          </cell>
          <cell r="AB15388" t="str">
            <v>serum</v>
          </cell>
          <cell r="AF15388">
            <v>0.2</v>
          </cell>
        </row>
        <row r="15389">
          <cell r="A15389" t="str">
            <v>IS_alqt_plus</v>
          </cell>
          <cell r="K15389" t="str">
            <v>VVV</v>
          </cell>
          <cell r="M15389" t="str">
            <v>M</v>
          </cell>
          <cell r="AB15389" t="str">
            <v>serum</v>
          </cell>
          <cell r="AF15389">
            <v>0.2</v>
          </cell>
        </row>
        <row r="15390">
          <cell r="A15390" t="str">
            <v>IS_alqt_plus</v>
          </cell>
          <cell r="K15390" t="str">
            <v>VVV</v>
          </cell>
          <cell r="M15390" t="str">
            <v>M</v>
          </cell>
          <cell r="AB15390" t="str">
            <v>serum</v>
          </cell>
          <cell r="AF15390">
            <v>0.4</v>
          </cell>
        </row>
        <row r="15391">
          <cell r="A15391" t="str">
            <v>IS_alqt_plus</v>
          </cell>
          <cell r="K15391" t="str">
            <v>VVV</v>
          </cell>
          <cell r="M15391" t="str">
            <v>M</v>
          </cell>
          <cell r="AB15391" t="str">
            <v>serum</v>
          </cell>
          <cell r="AF15391">
            <v>0.4</v>
          </cell>
        </row>
        <row r="15392">
          <cell r="A15392" t="str">
            <v>IS_alqt_plus</v>
          </cell>
          <cell r="K15392" t="str">
            <v>VVV</v>
          </cell>
          <cell r="M15392" t="str">
            <v>M</v>
          </cell>
          <cell r="AB15392" t="str">
            <v>serum</v>
          </cell>
          <cell r="AF15392">
            <v>1</v>
          </cell>
        </row>
        <row r="15393">
          <cell r="A15393" t="str">
            <v>IS_alqt_plus</v>
          </cell>
          <cell r="K15393" t="str">
            <v>VVV</v>
          </cell>
          <cell r="M15393" t="str">
            <v>M</v>
          </cell>
          <cell r="AB15393" t="str">
            <v>WB</v>
          </cell>
          <cell r="AF15393">
            <v>0.2</v>
          </cell>
        </row>
        <row r="15394">
          <cell r="A15394" t="str">
            <v>IS_alqt_plus</v>
          </cell>
          <cell r="K15394" t="str">
            <v>VVV</v>
          </cell>
          <cell r="M15394" t="str">
            <v>M</v>
          </cell>
          <cell r="AB15394" t="str">
            <v>WB</v>
          </cell>
          <cell r="AF15394">
            <v>0.4</v>
          </cell>
        </row>
        <row r="15395">
          <cell r="A15395" t="str">
            <v>IS_alqt_plus</v>
          </cell>
          <cell r="K15395" t="str">
            <v>VVV</v>
          </cell>
          <cell r="M15395" t="str">
            <v>M</v>
          </cell>
          <cell r="AB15395" t="str">
            <v>WB</v>
          </cell>
          <cell r="AF15395">
            <v>0.4</v>
          </cell>
        </row>
        <row r="15396">
          <cell r="A15396" t="str">
            <v>IS_alqt_plus</v>
          </cell>
          <cell r="K15396" t="str">
            <v>VVV</v>
          </cell>
          <cell r="M15396" t="str">
            <v>M</v>
          </cell>
          <cell r="AB15396" t="str">
            <v>WB</v>
          </cell>
          <cell r="AF15396">
            <v>0.6</v>
          </cell>
        </row>
        <row r="15397">
          <cell r="A15397" t="str">
            <v>IS_alqt_plus</v>
          </cell>
          <cell r="K15397" t="str">
            <v>VVV</v>
          </cell>
          <cell r="M15397" t="str">
            <v>M</v>
          </cell>
          <cell r="AB15397" t="str">
            <v>WB</v>
          </cell>
          <cell r="AF15397">
            <v>0.6</v>
          </cell>
        </row>
        <row r="15398">
          <cell r="A15398" t="str">
            <v>IS_alqt_plus</v>
          </cell>
          <cell r="K15398" t="str">
            <v>VVV</v>
          </cell>
          <cell r="M15398" t="str">
            <v>M</v>
          </cell>
          <cell r="AB15398" t="str">
            <v>WB</v>
          </cell>
          <cell r="AF15398">
            <v>1</v>
          </cell>
        </row>
        <row r="15399">
          <cell r="A15399" t="str">
            <v>IS_alqt_minus</v>
          </cell>
          <cell r="K15399" t="str">
            <v>CMED</v>
          </cell>
          <cell r="M15399" t="str">
            <v>M</v>
          </cell>
          <cell r="AB15399" t="str">
            <v>WB</v>
          </cell>
          <cell r="AF15399">
            <v>0.1</v>
          </cell>
        </row>
        <row r="15400">
          <cell r="A15400" t="str">
            <v>IS_alqt_minus</v>
          </cell>
          <cell r="K15400" t="str">
            <v>CMED</v>
          </cell>
          <cell r="M15400" t="str">
            <v>M</v>
          </cell>
          <cell r="AB15400" t="str">
            <v>WB</v>
          </cell>
          <cell r="AF15400">
            <v>0.1</v>
          </cell>
        </row>
        <row r="15401">
          <cell r="A15401" t="str">
            <v>IS_alqt_plus</v>
          </cell>
          <cell r="K15401" t="str">
            <v>PCOQ</v>
          </cell>
          <cell r="M15401" t="str">
            <v>F</v>
          </cell>
          <cell r="AB15401" t="str">
            <v>WB</v>
          </cell>
          <cell r="AF15401">
            <v>0.2</v>
          </cell>
        </row>
        <row r="15402">
          <cell r="A15402" t="str">
            <v>IS_alqt_plus</v>
          </cell>
          <cell r="K15402" t="str">
            <v>PCOQ</v>
          </cell>
          <cell r="M15402" t="str">
            <v>F</v>
          </cell>
          <cell r="AB15402" t="str">
            <v>WB</v>
          </cell>
          <cell r="AF15402">
            <v>0.2</v>
          </cell>
        </row>
        <row r="15403">
          <cell r="A15403" t="str">
            <v>IS_alqt_plus</v>
          </cell>
          <cell r="K15403" t="str">
            <v>PCOQ</v>
          </cell>
          <cell r="M15403" t="str">
            <v>F</v>
          </cell>
          <cell r="AB15403" t="str">
            <v>WB</v>
          </cell>
          <cell r="AF15403">
            <v>0.2</v>
          </cell>
        </row>
        <row r="15404">
          <cell r="A15404" t="str">
            <v>IS_alqt_plus</v>
          </cell>
          <cell r="K15404" t="str">
            <v>PCOQ</v>
          </cell>
          <cell r="M15404" t="str">
            <v>F</v>
          </cell>
          <cell r="AB15404" t="str">
            <v>WB</v>
          </cell>
          <cell r="AF15404">
            <v>0.2</v>
          </cell>
        </row>
        <row r="15405">
          <cell r="A15405" t="str">
            <v>IS_alqt_plus</v>
          </cell>
          <cell r="K15405" t="str">
            <v>PCOQ</v>
          </cell>
          <cell r="M15405" t="str">
            <v>F</v>
          </cell>
          <cell r="AB15405" t="str">
            <v>serum</v>
          </cell>
          <cell r="AF15405">
            <v>0.2</v>
          </cell>
        </row>
        <row r="15406">
          <cell r="A15406" t="str">
            <v>IS_alqt_plus</v>
          </cell>
          <cell r="K15406" t="str">
            <v>PCOQ</v>
          </cell>
          <cell r="M15406" t="str">
            <v>F</v>
          </cell>
          <cell r="AB15406" t="str">
            <v>serum</v>
          </cell>
          <cell r="AF15406">
            <v>0.2</v>
          </cell>
        </row>
        <row r="15407">
          <cell r="A15407" t="str">
            <v>IS_alqt_plus</v>
          </cell>
          <cell r="K15407" t="str">
            <v>PCOQ</v>
          </cell>
          <cell r="M15407" t="str">
            <v>F</v>
          </cell>
          <cell r="AB15407" t="str">
            <v>serum</v>
          </cell>
          <cell r="AF15407">
            <v>0.2</v>
          </cell>
        </row>
        <row r="15408">
          <cell r="A15408" t="str">
            <v>IS_alqt_plus</v>
          </cell>
          <cell r="K15408" t="str">
            <v>PCOQ</v>
          </cell>
          <cell r="M15408" t="str">
            <v>F</v>
          </cell>
          <cell r="AB15408" t="str">
            <v>serum</v>
          </cell>
          <cell r="AF15408">
            <v>0.2</v>
          </cell>
        </row>
        <row r="15409">
          <cell r="A15409" t="str">
            <v>IS_alqt_plus</v>
          </cell>
          <cell r="K15409" t="str">
            <v>PCOQ</v>
          </cell>
          <cell r="M15409" t="str">
            <v>F</v>
          </cell>
          <cell r="AB15409" t="str">
            <v>serum</v>
          </cell>
          <cell r="AF15409">
            <v>0.2</v>
          </cell>
        </row>
        <row r="15410">
          <cell r="A15410" t="str">
            <v>IS_alqt_plus</v>
          </cell>
          <cell r="K15410" t="str">
            <v>PCOQ</v>
          </cell>
          <cell r="M15410" t="str">
            <v>F</v>
          </cell>
          <cell r="AB15410" t="str">
            <v>serum</v>
          </cell>
          <cell r="AF15410">
            <v>0.2</v>
          </cell>
        </row>
        <row r="15411">
          <cell r="A15411" t="str">
            <v>IS_alqt_plus</v>
          </cell>
          <cell r="K15411" t="str">
            <v>PCOQ</v>
          </cell>
          <cell r="M15411" t="str">
            <v>F</v>
          </cell>
          <cell r="AB15411" t="str">
            <v>serum</v>
          </cell>
          <cell r="AF15411">
            <v>0.2</v>
          </cell>
        </row>
        <row r="15412">
          <cell r="A15412" t="str">
            <v>IS_alqt_plus</v>
          </cell>
          <cell r="K15412" t="str">
            <v>CMED</v>
          </cell>
          <cell r="M15412" t="str">
            <v>M</v>
          </cell>
          <cell r="AB15412" t="str">
            <v>WB</v>
          </cell>
          <cell r="AF15412">
            <v>0.2</v>
          </cell>
        </row>
        <row r="15413">
          <cell r="A15413" t="str">
            <v>IS_alqt_minus</v>
          </cell>
          <cell r="K15413" t="str">
            <v>GMOH</v>
          </cell>
          <cell r="M15413" t="str">
            <v>M</v>
          </cell>
          <cell r="AB15413" t="str">
            <v>WB</v>
          </cell>
          <cell r="AF15413">
            <v>0.1</v>
          </cell>
        </row>
        <row r="15414">
          <cell r="A15414" t="str">
            <v>IS_alqt_minus</v>
          </cell>
          <cell r="K15414" t="str">
            <v>MMUR</v>
          </cell>
          <cell r="M15414" t="str">
            <v>M</v>
          </cell>
          <cell r="AB15414" t="str">
            <v>WB</v>
          </cell>
          <cell r="AF15414">
            <v>0.1</v>
          </cell>
        </row>
        <row r="15415">
          <cell r="A15415" t="str">
            <v>IS_alqt_plus</v>
          </cell>
          <cell r="K15415" t="str">
            <v>MMUR</v>
          </cell>
          <cell r="M15415" t="str">
            <v>M</v>
          </cell>
          <cell r="AB15415" t="str">
            <v>serum</v>
          </cell>
          <cell r="AF15415">
            <v>0.2</v>
          </cell>
        </row>
        <row r="15416">
          <cell r="A15416" t="str">
            <v>IS_alqt_plus</v>
          </cell>
          <cell r="K15416" t="str">
            <v>DMAD</v>
          </cell>
          <cell r="M15416" t="str">
            <v>F</v>
          </cell>
          <cell r="AB15416" t="str">
            <v>serum</v>
          </cell>
          <cell r="AF15416">
            <v>0.5</v>
          </cell>
        </row>
        <row r="15417">
          <cell r="A15417" t="str">
            <v>IS_alqt_minus</v>
          </cell>
          <cell r="K15417" t="str">
            <v>CMED</v>
          </cell>
          <cell r="M15417" t="str">
            <v>F</v>
          </cell>
          <cell r="AB15417" t="str">
            <v>WB</v>
          </cell>
          <cell r="AF15417">
            <v>0.1</v>
          </cell>
        </row>
        <row r="15418">
          <cell r="A15418" t="str">
            <v>IS_alqt_plus</v>
          </cell>
          <cell r="K15418" t="str">
            <v>PCOQ</v>
          </cell>
          <cell r="M15418" t="str">
            <v>M</v>
          </cell>
          <cell r="AB15418" t="str">
            <v>WB</v>
          </cell>
          <cell r="AF15418">
            <v>0.5</v>
          </cell>
        </row>
        <row r="15419">
          <cell r="A15419" t="str">
            <v>IS_alqt_plus</v>
          </cell>
          <cell r="K15419" t="str">
            <v>PCOQ</v>
          </cell>
          <cell r="M15419" t="str">
            <v>M</v>
          </cell>
          <cell r="AB15419" t="str">
            <v>WB</v>
          </cell>
          <cell r="AF15419">
            <v>0.2</v>
          </cell>
        </row>
        <row r="15420">
          <cell r="A15420" t="str">
            <v>IS_alqt_plus</v>
          </cell>
          <cell r="K15420" t="str">
            <v>PCOQ</v>
          </cell>
          <cell r="M15420" t="str">
            <v>M</v>
          </cell>
          <cell r="AB15420" t="str">
            <v>WB</v>
          </cell>
          <cell r="AF15420">
            <v>0.2</v>
          </cell>
        </row>
        <row r="15421">
          <cell r="A15421" t="str">
            <v>IS_alqt_plus</v>
          </cell>
          <cell r="K15421" t="str">
            <v>PCOQ</v>
          </cell>
          <cell r="M15421" t="str">
            <v>M</v>
          </cell>
          <cell r="AB15421" t="str">
            <v>WB</v>
          </cell>
          <cell r="AF15421">
            <v>0.2</v>
          </cell>
        </row>
        <row r="15422">
          <cell r="A15422" t="str">
            <v>IS_alqt_plus</v>
          </cell>
          <cell r="K15422" t="str">
            <v>EFLA</v>
          </cell>
          <cell r="M15422" t="str">
            <v>M</v>
          </cell>
          <cell r="AB15422" t="str">
            <v>serum</v>
          </cell>
          <cell r="AF15422">
            <v>0.2</v>
          </cell>
        </row>
        <row r="15423">
          <cell r="A15423" t="str">
            <v>IS_alqt_plus</v>
          </cell>
          <cell r="K15423" t="str">
            <v>EFLA</v>
          </cell>
          <cell r="M15423" t="str">
            <v>M</v>
          </cell>
          <cell r="AB15423" t="str">
            <v>serum</v>
          </cell>
          <cell r="AF15423">
            <v>0.4</v>
          </cell>
        </row>
        <row r="15424">
          <cell r="A15424" t="str">
            <v>IS_alqt_plus</v>
          </cell>
          <cell r="K15424" t="str">
            <v>EFLA</v>
          </cell>
          <cell r="M15424" t="str">
            <v>M</v>
          </cell>
          <cell r="AB15424" t="str">
            <v>serum</v>
          </cell>
          <cell r="AF15424">
            <v>0.6</v>
          </cell>
        </row>
        <row r="15425">
          <cell r="A15425" t="str">
            <v>IS_alqt_plus</v>
          </cell>
          <cell r="K15425" t="str">
            <v>PCOQ</v>
          </cell>
          <cell r="M15425" t="str">
            <v>F</v>
          </cell>
          <cell r="AB15425" t="str">
            <v>serum</v>
          </cell>
          <cell r="AF15425">
            <v>0.25</v>
          </cell>
        </row>
        <row r="15426">
          <cell r="A15426" t="str">
            <v>IS_alqt_plus</v>
          </cell>
          <cell r="K15426" t="str">
            <v>PCOQ</v>
          </cell>
          <cell r="M15426" t="str">
            <v>F</v>
          </cell>
          <cell r="AB15426" t="str">
            <v>serum</v>
          </cell>
          <cell r="AF15426">
            <v>0.25</v>
          </cell>
        </row>
        <row r="15427">
          <cell r="A15427" t="str">
            <v>IS_alqt_plus</v>
          </cell>
          <cell r="K15427" t="str">
            <v>PCOQ</v>
          </cell>
          <cell r="M15427" t="str">
            <v>M</v>
          </cell>
          <cell r="AB15427" t="str">
            <v>WB</v>
          </cell>
          <cell r="AF15427">
            <v>0.5</v>
          </cell>
        </row>
        <row r="15428">
          <cell r="A15428" t="str">
            <v>IS_alqt_plus</v>
          </cell>
          <cell r="K15428" t="str">
            <v>PCOQ</v>
          </cell>
          <cell r="M15428" t="str">
            <v>M</v>
          </cell>
          <cell r="AB15428" t="str">
            <v>WB</v>
          </cell>
          <cell r="AF15428">
            <v>0.5</v>
          </cell>
        </row>
        <row r="15429">
          <cell r="A15429" t="str">
            <v>IS_alqt_plus</v>
          </cell>
          <cell r="K15429" t="str">
            <v>PCOQ</v>
          </cell>
          <cell r="M15429" t="str">
            <v>M</v>
          </cell>
          <cell r="AB15429" t="str">
            <v>WB</v>
          </cell>
          <cell r="AF15429">
            <v>0.5</v>
          </cell>
        </row>
        <row r="15430">
          <cell r="A15430" t="str">
            <v>IS_alqt_plus</v>
          </cell>
          <cell r="K15430" t="str">
            <v>PCOQ</v>
          </cell>
          <cell r="M15430" t="str">
            <v>M</v>
          </cell>
          <cell r="AB15430" t="str">
            <v>WB</v>
          </cell>
          <cell r="AF15430">
            <v>0.25</v>
          </cell>
        </row>
        <row r="15431">
          <cell r="A15431" t="str">
            <v>IS_alqt_plus</v>
          </cell>
          <cell r="K15431" t="str">
            <v>PCOQ</v>
          </cell>
          <cell r="M15431" t="str">
            <v>M</v>
          </cell>
          <cell r="AB15431" t="str">
            <v>WB</v>
          </cell>
          <cell r="AF15431">
            <v>0.25</v>
          </cell>
        </row>
        <row r="15432">
          <cell r="A15432" t="str">
            <v>IS_alqt_plus</v>
          </cell>
          <cell r="K15432" t="str">
            <v>PCOQ</v>
          </cell>
          <cell r="M15432" t="str">
            <v>M</v>
          </cell>
          <cell r="AB15432" t="str">
            <v>WB</v>
          </cell>
          <cell r="AF15432">
            <v>0.25</v>
          </cell>
        </row>
        <row r="15433">
          <cell r="A15433" t="str">
            <v>IS_alqt_plus</v>
          </cell>
          <cell r="K15433" t="str">
            <v>PCOQ</v>
          </cell>
          <cell r="M15433" t="str">
            <v>M</v>
          </cell>
          <cell r="AB15433" t="str">
            <v>WB</v>
          </cell>
          <cell r="AF15433">
            <v>0.25</v>
          </cell>
        </row>
        <row r="15434">
          <cell r="A15434" t="str">
            <v>IS_alqt_plus</v>
          </cell>
          <cell r="K15434" t="str">
            <v>PCOQ</v>
          </cell>
          <cell r="M15434" t="str">
            <v>M</v>
          </cell>
          <cell r="AB15434" t="str">
            <v>WB</v>
          </cell>
          <cell r="AF15434">
            <v>0.25</v>
          </cell>
        </row>
        <row r="15435">
          <cell r="A15435" t="str">
            <v>IS_alqt_plus</v>
          </cell>
          <cell r="K15435" t="str">
            <v>PCOQ</v>
          </cell>
          <cell r="M15435" t="str">
            <v>M</v>
          </cell>
          <cell r="AB15435" t="str">
            <v>WB</v>
          </cell>
          <cell r="AF15435">
            <v>0.25</v>
          </cell>
        </row>
        <row r="15436">
          <cell r="A15436" t="str">
            <v>IS_alqt_plus</v>
          </cell>
          <cell r="K15436" t="str">
            <v>PCOQ</v>
          </cell>
          <cell r="M15436" t="str">
            <v>M</v>
          </cell>
          <cell r="AB15436" t="str">
            <v>serum</v>
          </cell>
          <cell r="AF15436">
            <v>0.5</v>
          </cell>
        </row>
        <row r="15437">
          <cell r="A15437" t="str">
            <v>IS_alqt_plus</v>
          </cell>
          <cell r="K15437" t="str">
            <v>PCOQ</v>
          </cell>
          <cell r="M15437" t="str">
            <v>M</v>
          </cell>
          <cell r="AB15437" t="str">
            <v>serum</v>
          </cell>
          <cell r="AF15437">
            <v>0.25</v>
          </cell>
        </row>
        <row r="15438">
          <cell r="A15438" t="str">
            <v>IS_alqt_plus</v>
          </cell>
          <cell r="K15438" t="str">
            <v>PCOQ</v>
          </cell>
          <cell r="M15438" t="str">
            <v>M</v>
          </cell>
          <cell r="AB15438" t="str">
            <v>serum</v>
          </cell>
          <cell r="AF15438">
            <v>0.25</v>
          </cell>
        </row>
        <row r="15439">
          <cell r="A15439" t="str">
            <v>IS_alqt_plus</v>
          </cell>
          <cell r="K15439" t="str">
            <v>PCOQ</v>
          </cell>
          <cell r="M15439" t="str">
            <v>M</v>
          </cell>
          <cell r="AB15439" t="str">
            <v>serum</v>
          </cell>
          <cell r="AF15439">
            <v>0.25</v>
          </cell>
        </row>
        <row r="15440">
          <cell r="A15440" t="str">
            <v>IS_alqt_plus</v>
          </cell>
          <cell r="K15440" t="str">
            <v>PCOQ</v>
          </cell>
          <cell r="M15440" t="str">
            <v>M</v>
          </cell>
          <cell r="AB15440" t="str">
            <v>serum</v>
          </cell>
          <cell r="AF15440">
            <v>0.25</v>
          </cell>
        </row>
        <row r="15441">
          <cell r="A15441" t="str">
            <v>IS_alqt_plus</v>
          </cell>
          <cell r="K15441" t="str">
            <v>PCOQ</v>
          </cell>
          <cell r="M15441" t="str">
            <v>M</v>
          </cell>
          <cell r="AB15441" t="str">
            <v>serum</v>
          </cell>
          <cell r="AF15441">
            <v>0.25</v>
          </cell>
        </row>
        <row r="15442">
          <cell r="A15442" t="str">
            <v>IS_alqt_plus</v>
          </cell>
          <cell r="K15442" t="str">
            <v>PCOQ</v>
          </cell>
          <cell r="M15442" t="str">
            <v>M</v>
          </cell>
          <cell r="AB15442" t="str">
            <v>serum</v>
          </cell>
          <cell r="AF15442">
            <v>0.25</v>
          </cell>
        </row>
        <row r="15443">
          <cell r="A15443" t="str">
            <v>IS_alqt_plus</v>
          </cell>
          <cell r="K15443" t="str">
            <v>ECOL</v>
          </cell>
          <cell r="M15443" t="str">
            <v>M</v>
          </cell>
          <cell r="AB15443" t="str">
            <v>serum</v>
          </cell>
          <cell r="AF15443">
            <v>0.75</v>
          </cell>
        </row>
        <row r="15444">
          <cell r="A15444" t="str">
            <v>IS_alqt_plus</v>
          </cell>
          <cell r="K15444" t="str">
            <v>LCAT</v>
          </cell>
          <cell r="M15444" t="str">
            <v>F</v>
          </cell>
          <cell r="AB15444" t="str">
            <v>serum</v>
          </cell>
          <cell r="AF15444">
            <v>1</v>
          </cell>
        </row>
        <row r="15445">
          <cell r="A15445" t="str">
            <v>gone</v>
          </cell>
          <cell r="K15445" t="str">
            <v>EFLA</v>
          </cell>
          <cell r="M15445" t="str">
            <v>F</v>
          </cell>
          <cell r="AB15445" t="str">
            <v>WB</v>
          </cell>
          <cell r="AF15445">
            <v>0</v>
          </cell>
        </row>
        <row r="15446">
          <cell r="A15446" t="str">
            <v>IS_alqt_plus</v>
          </cell>
          <cell r="K15446" t="str">
            <v>EFLA</v>
          </cell>
          <cell r="M15446" t="str">
            <v>F</v>
          </cell>
          <cell r="AB15446" t="str">
            <v>WB</v>
          </cell>
          <cell r="AF15446">
            <v>0.4</v>
          </cell>
        </row>
        <row r="15447">
          <cell r="A15447" t="str">
            <v>IS_alqt_plus</v>
          </cell>
          <cell r="K15447" t="str">
            <v>EFLA</v>
          </cell>
          <cell r="M15447" t="str">
            <v>F</v>
          </cell>
          <cell r="AB15447" t="str">
            <v>WB</v>
          </cell>
          <cell r="AF15447">
            <v>1</v>
          </cell>
        </row>
        <row r="15448">
          <cell r="A15448" t="str">
            <v>IS_alqt_plus</v>
          </cell>
          <cell r="K15448" t="str">
            <v>MMUR</v>
          </cell>
          <cell r="M15448" t="str">
            <v>M</v>
          </cell>
          <cell r="AB15448" t="str">
            <v>plasma</v>
          </cell>
          <cell r="AF15448">
            <v>0.25</v>
          </cell>
        </row>
        <row r="15449">
          <cell r="A15449" t="str">
            <v>IS_alqt_plus</v>
          </cell>
          <cell r="K15449" t="str">
            <v>MMUR</v>
          </cell>
          <cell r="M15449" t="str">
            <v>M</v>
          </cell>
          <cell r="AB15449" t="str">
            <v>serum</v>
          </cell>
          <cell r="AF15449">
            <v>0.4</v>
          </cell>
        </row>
        <row r="15450">
          <cell r="A15450" t="str">
            <v>IS_alqt_minus</v>
          </cell>
          <cell r="K15450" t="str">
            <v>MMUR</v>
          </cell>
          <cell r="M15450" t="str">
            <v>M</v>
          </cell>
          <cell r="AB15450" t="str">
            <v>serum</v>
          </cell>
          <cell r="AF15450">
            <v>0.1</v>
          </cell>
        </row>
        <row r="15451">
          <cell r="A15451" t="str">
            <v>IS_alqt_minus</v>
          </cell>
          <cell r="K15451" t="str">
            <v>CMED</v>
          </cell>
          <cell r="M15451" t="str">
            <v>F</v>
          </cell>
          <cell r="AB15451" t="str">
            <v>WB</v>
          </cell>
          <cell r="AF15451">
            <v>0.12</v>
          </cell>
        </row>
        <row r="15452">
          <cell r="A15452" t="str">
            <v>IS_alqt_plus</v>
          </cell>
          <cell r="K15452" t="str">
            <v>CMED</v>
          </cell>
          <cell r="M15452" t="str">
            <v>F</v>
          </cell>
          <cell r="AB15452" t="str">
            <v>WB</v>
          </cell>
          <cell r="AF15452">
            <v>0.2</v>
          </cell>
        </row>
        <row r="15453">
          <cell r="A15453" t="str">
            <v>IS_alqt_minus</v>
          </cell>
          <cell r="K15453" t="str">
            <v>CMED</v>
          </cell>
          <cell r="M15453" t="str">
            <v>M</v>
          </cell>
          <cell r="AB15453" t="str">
            <v>WB</v>
          </cell>
          <cell r="AF15453">
            <v>0.1</v>
          </cell>
        </row>
        <row r="15454">
          <cell r="A15454" t="str">
            <v>IS_alqt_plus</v>
          </cell>
          <cell r="K15454" t="str">
            <v>PCOQ</v>
          </cell>
          <cell r="M15454" t="str">
            <v>M</v>
          </cell>
          <cell r="AB15454" t="str">
            <v>WB</v>
          </cell>
          <cell r="AF15454">
            <v>0.25</v>
          </cell>
        </row>
        <row r="15455">
          <cell r="A15455" t="str">
            <v>IS_alqt_plus</v>
          </cell>
          <cell r="K15455" t="str">
            <v>VRUB</v>
          </cell>
          <cell r="M15455" t="str">
            <v>M</v>
          </cell>
          <cell r="AB15455" t="str">
            <v>WB</v>
          </cell>
          <cell r="AF15455">
            <v>0.2</v>
          </cell>
        </row>
        <row r="15456">
          <cell r="A15456" t="str">
            <v>IS_alqt_plus</v>
          </cell>
          <cell r="K15456" t="str">
            <v>VRUB</v>
          </cell>
          <cell r="M15456" t="str">
            <v>M</v>
          </cell>
          <cell r="AB15456" t="str">
            <v>WB</v>
          </cell>
          <cell r="AF15456">
            <v>0.4</v>
          </cell>
        </row>
        <row r="15457">
          <cell r="A15457" t="str">
            <v>IS_alqt_plus</v>
          </cell>
          <cell r="K15457" t="str">
            <v>VRUB</v>
          </cell>
          <cell r="M15457" t="str">
            <v>M</v>
          </cell>
          <cell r="AB15457" t="str">
            <v>WB</v>
          </cell>
          <cell r="AF15457">
            <v>0.6</v>
          </cell>
        </row>
        <row r="15458">
          <cell r="A15458" t="str">
            <v>IS_alqt_plus</v>
          </cell>
          <cell r="K15458" t="str">
            <v>VRUB</v>
          </cell>
          <cell r="M15458" t="str">
            <v>M</v>
          </cell>
          <cell r="AB15458" t="str">
            <v>WB</v>
          </cell>
          <cell r="AF15458">
            <v>0.6</v>
          </cell>
        </row>
        <row r="15459">
          <cell r="A15459" t="str">
            <v>IS_alqt_plus</v>
          </cell>
          <cell r="K15459" t="str">
            <v>VRUB</v>
          </cell>
          <cell r="M15459" t="str">
            <v>M</v>
          </cell>
          <cell r="AB15459" t="str">
            <v>serum</v>
          </cell>
          <cell r="AF15459">
            <v>0.2</v>
          </cell>
        </row>
        <row r="15460">
          <cell r="A15460" t="str">
            <v>IS_alqt_plus</v>
          </cell>
          <cell r="K15460" t="str">
            <v>VRUB</v>
          </cell>
          <cell r="M15460" t="str">
            <v>M</v>
          </cell>
          <cell r="AB15460" t="str">
            <v>serum</v>
          </cell>
          <cell r="AF15460">
            <v>0.2</v>
          </cell>
        </row>
        <row r="15461">
          <cell r="A15461" t="str">
            <v>IS_alqt_plus</v>
          </cell>
          <cell r="K15461" t="str">
            <v>VRUB</v>
          </cell>
          <cell r="M15461" t="str">
            <v>M</v>
          </cell>
          <cell r="AB15461" t="str">
            <v>serum</v>
          </cell>
          <cell r="AF15461">
            <v>0.4</v>
          </cell>
        </row>
        <row r="15462">
          <cell r="A15462" t="str">
            <v>IS_alqt_plus</v>
          </cell>
          <cell r="K15462" t="str">
            <v>VRUB</v>
          </cell>
          <cell r="M15462" t="str">
            <v>M</v>
          </cell>
          <cell r="AB15462" t="str">
            <v>serum</v>
          </cell>
          <cell r="AF15462">
            <v>0.6</v>
          </cell>
        </row>
        <row r="15463">
          <cell r="A15463" t="str">
            <v>IS_alqt_plus</v>
          </cell>
          <cell r="K15463" t="str">
            <v>LCAT</v>
          </cell>
          <cell r="M15463" t="str">
            <v>F</v>
          </cell>
          <cell r="AB15463" t="str">
            <v>WB</v>
          </cell>
          <cell r="AF15463">
            <v>0.2</v>
          </cell>
        </row>
        <row r="15464">
          <cell r="A15464" t="str">
            <v>IS_alqt_plus</v>
          </cell>
          <cell r="K15464" t="str">
            <v>LCAT</v>
          </cell>
          <cell r="M15464" t="str">
            <v>F</v>
          </cell>
          <cell r="AB15464" t="str">
            <v>WB</v>
          </cell>
          <cell r="AF15464">
            <v>0.2</v>
          </cell>
        </row>
        <row r="15465">
          <cell r="A15465" t="str">
            <v>IS_alqt_plus</v>
          </cell>
          <cell r="K15465" t="str">
            <v>LCAT</v>
          </cell>
          <cell r="M15465" t="str">
            <v>F</v>
          </cell>
          <cell r="AB15465" t="str">
            <v>WB</v>
          </cell>
          <cell r="AF15465">
            <v>0.2</v>
          </cell>
        </row>
        <row r="15466">
          <cell r="A15466" t="str">
            <v>IS_alqt_plus</v>
          </cell>
          <cell r="K15466" t="str">
            <v>LCAT</v>
          </cell>
          <cell r="M15466" t="str">
            <v>F</v>
          </cell>
          <cell r="AB15466" t="str">
            <v>WB</v>
          </cell>
          <cell r="AF15466">
            <v>0.2</v>
          </cell>
        </row>
        <row r="15467">
          <cell r="A15467" t="str">
            <v>IS_alqt_plus</v>
          </cell>
          <cell r="K15467" t="str">
            <v>LCAT</v>
          </cell>
          <cell r="M15467" t="str">
            <v>F</v>
          </cell>
          <cell r="AB15467" t="str">
            <v>WB</v>
          </cell>
          <cell r="AF15467">
            <v>0.2</v>
          </cell>
        </row>
        <row r="15468">
          <cell r="A15468" t="str">
            <v>IS_alqt_plus</v>
          </cell>
          <cell r="K15468" t="str">
            <v>LCAT</v>
          </cell>
          <cell r="M15468" t="str">
            <v>F</v>
          </cell>
          <cell r="AB15468" t="str">
            <v>serum</v>
          </cell>
          <cell r="AF15468">
            <v>0.2</v>
          </cell>
        </row>
        <row r="15469">
          <cell r="A15469" t="str">
            <v>IS_alqt_plus</v>
          </cell>
          <cell r="K15469" t="str">
            <v>LCAT</v>
          </cell>
          <cell r="M15469" t="str">
            <v>F</v>
          </cell>
          <cell r="AB15469" t="str">
            <v>serum</v>
          </cell>
          <cell r="AF15469">
            <v>0.2</v>
          </cell>
        </row>
        <row r="15470">
          <cell r="A15470" t="str">
            <v>IS_alqt_plus</v>
          </cell>
          <cell r="K15470" t="str">
            <v>LCAT</v>
          </cell>
          <cell r="M15470" t="str">
            <v>F</v>
          </cell>
          <cell r="AB15470" t="str">
            <v>serum</v>
          </cell>
          <cell r="AF15470">
            <v>0.2</v>
          </cell>
        </row>
        <row r="15471">
          <cell r="A15471" t="str">
            <v>IS_alqt_plus</v>
          </cell>
          <cell r="K15471" t="str">
            <v>LCAT</v>
          </cell>
          <cell r="M15471" t="str">
            <v>F</v>
          </cell>
          <cell r="AB15471" t="str">
            <v>serum</v>
          </cell>
          <cell r="AF15471">
            <v>0.2</v>
          </cell>
        </row>
        <row r="15472">
          <cell r="A15472" t="str">
            <v>IS_alqt_plus</v>
          </cell>
          <cell r="K15472" t="str">
            <v>LCAT</v>
          </cell>
          <cell r="M15472" t="str">
            <v>F</v>
          </cell>
          <cell r="AB15472" t="str">
            <v>serum</v>
          </cell>
          <cell r="AF15472">
            <v>0.2</v>
          </cell>
        </row>
        <row r="15473">
          <cell r="A15473" t="str">
            <v>IS_alqt_plus</v>
          </cell>
          <cell r="K15473" t="str">
            <v>LCAT</v>
          </cell>
          <cell r="M15473" t="str">
            <v>F</v>
          </cell>
          <cell r="AB15473" t="str">
            <v>serum</v>
          </cell>
          <cell r="AF15473">
            <v>0.4</v>
          </cell>
        </row>
        <row r="15474">
          <cell r="A15474" t="str">
            <v>IS_alqt_plus</v>
          </cell>
          <cell r="K15474" t="str">
            <v>LCAT</v>
          </cell>
          <cell r="M15474" t="str">
            <v>F</v>
          </cell>
          <cell r="AB15474" t="str">
            <v>serum</v>
          </cell>
          <cell r="AF15474">
            <v>0.6</v>
          </cell>
        </row>
        <row r="15475">
          <cell r="A15475" t="str">
            <v>IS_alqt_plus</v>
          </cell>
          <cell r="K15475" t="str">
            <v>PCOQ</v>
          </cell>
          <cell r="M15475" t="str">
            <v>F</v>
          </cell>
          <cell r="AB15475" t="str">
            <v>serum</v>
          </cell>
          <cell r="AF15475">
            <v>0.2</v>
          </cell>
        </row>
        <row r="15476">
          <cell r="A15476" t="str">
            <v>IS_alqt_plus</v>
          </cell>
          <cell r="K15476" t="str">
            <v>PCOQ</v>
          </cell>
          <cell r="M15476" t="str">
            <v>F</v>
          </cell>
          <cell r="AB15476" t="str">
            <v>serum</v>
          </cell>
          <cell r="AF15476">
            <v>0.2</v>
          </cell>
        </row>
        <row r="15477">
          <cell r="K15477" t="str">
            <v>PCOQ</v>
          </cell>
          <cell r="M15477" t="str">
            <v>M</v>
          </cell>
          <cell r="AB15477" t="str">
            <v>WB</v>
          </cell>
          <cell r="AF15477">
            <v>0.2</v>
          </cell>
        </row>
        <row r="15478">
          <cell r="K15478" t="str">
            <v>PCOQ</v>
          </cell>
          <cell r="M15478" t="str">
            <v>M</v>
          </cell>
          <cell r="AB15478" t="str">
            <v>WB</v>
          </cell>
          <cell r="AF15478">
            <v>0.2</v>
          </cell>
        </row>
        <row r="15479">
          <cell r="A15479" t="str">
            <v>IS_alqt_plus</v>
          </cell>
          <cell r="K15479" t="str">
            <v>VVV</v>
          </cell>
          <cell r="M15479" t="str">
            <v>F</v>
          </cell>
          <cell r="AB15479" t="str">
            <v>serum</v>
          </cell>
          <cell r="AF15479">
            <v>0.2</v>
          </cell>
        </row>
        <row r="15480">
          <cell r="A15480" t="str">
            <v>IS_alqt_plus</v>
          </cell>
          <cell r="K15480" t="str">
            <v>VVV</v>
          </cell>
          <cell r="M15480" t="str">
            <v>F</v>
          </cell>
          <cell r="AB15480" t="str">
            <v>serum</v>
          </cell>
          <cell r="AF15480">
            <v>0.4</v>
          </cell>
        </row>
        <row r="15481">
          <cell r="A15481" t="str">
            <v>IS_alqt_plus</v>
          </cell>
          <cell r="K15481" t="str">
            <v>VVV</v>
          </cell>
          <cell r="M15481" t="str">
            <v>F</v>
          </cell>
          <cell r="AB15481" t="str">
            <v>serum</v>
          </cell>
          <cell r="AF15481">
            <v>0.4</v>
          </cell>
        </row>
        <row r="15482">
          <cell r="A15482" t="str">
            <v>IS_alqt_plus</v>
          </cell>
          <cell r="K15482" t="str">
            <v>VVV</v>
          </cell>
          <cell r="M15482" t="str">
            <v>F</v>
          </cell>
          <cell r="AB15482" t="str">
            <v>serum</v>
          </cell>
          <cell r="AF15482">
            <v>0.6</v>
          </cell>
        </row>
        <row r="15483">
          <cell r="A15483" t="str">
            <v>IS_alqt_plus</v>
          </cell>
          <cell r="K15483" t="str">
            <v>VVV</v>
          </cell>
          <cell r="M15483" t="str">
            <v>F</v>
          </cell>
          <cell r="AB15483" t="str">
            <v>WB</v>
          </cell>
          <cell r="AF15483">
            <v>0.2</v>
          </cell>
        </row>
        <row r="15484">
          <cell r="A15484" t="str">
            <v>IS_alqt_plus</v>
          </cell>
          <cell r="K15484" t="str">
            <v>VVV</v>
          </cell>
          <cell r="M15484" t="str">
            <v>F</v>
          </cell>
          <cell r="AB15484" t="str">
            <v>WB</v>
          </cell>
          <cell r="AF15484">
            <v>0.4</v>
          </cell>
        </row>
        <row r="15485">
          <cell r="A15485" t="str">
            <v>IS_alqt_plus</v>
          </cell>
          <cell r="K15485" t="str">
            <v>VVV</v>
          </cell>
          <cell r="M15485" t="str">
            <v>F</v>
          </cell>
          <cell r="AB15485" t="str">
            <v>WB</v>
          </cell>
          <cell r="AF15485">
            <v>0.6</v>
          </cell>
        </row>
        <row r="15486">
          <cell r="A15486" t="str">
            <v>IS_alqt_plus</v>
          </cell>
          <cell r="K15486" t="str">
            <v>VVV</v>
          </cell>
          <cell r="M15486" t="str">
            <v>F</v>
          </cell>
          <cell r="AB15486" t="str">
            <v>WB</v>
          </cell>
          <cell r="AF15486">
            <v>0.6</v>
          </cell>
        </row>
        <row r="15487">
          <cell r="A15487" t="str">
            <v>IS_alqt_plus</v>
          </cell>
          <cell r="K15487" t="str">
            <v>CMED</v>
          </cell>
          <cell r="M15487" t="str">
            <v>M</v>
          </cell>
          <cell r="AB15487" t="str">
            <v>WB</v>
          </cell>
          <cell r="AF15487">
            <v>0.2</v>
          </cell>
        </row>
        <row r="15488">
          <cell r="A15488" t="str">
            <v>IS_alqt_plus</v>
          </cell>
          <cell r="K15488" t="str">
            <v>CMED</v>
          </cell>
          <cell r="M15488" t="str">
            <v>M</v>
          </cell>
          <cell r="AB15488" t="str">
            <v>WB</v>
          </cell>
          <cell r="AF15488">
            <v>0.2</v>
          </cell>
        </row>
        <row r="15489">
          <cell r="A15489" t="str">
            <v>IS_alqt_plus</v>
          </cell>
          <cell r="K15489" t="str">
            <v>CMED</v>
          </cell>
          <cell r="M15489" t="str">
            <v>M</v>
          </cell>
          <cell r="AB15489" t="str">
            <v>WB</v>
          </cell>
          <cell r="AF15489">
            <v>0.2</v>
          </cell>
        </row>
        <row r="15490">
          <cell r="A15490" t="str">
            <v>IS_alqt_plus</v>
          </cell>
          <cell r="K15490" t="str">
            <v>CMED</v>
          </cell>
          <cell r="M15490" t="str">
            <v>M</v>
          </cell>
          <cell r="AB15490" t="str">
            <v>WB</v>
          </cell>
          <cell r="AF15490">
            <v>0.4</v>
          </cell>
        </row>
        <row r="15491">
          <cell r="A15491" t="str">
            <v>IS_alqt_plus</v>
          </cell>
          <cell r="K15491" t="str">
            <v>CMED</v>
          </cell>
          <cell r="M15491" t="str">
            <v>M</v>
          </cell>
          <cell r="AB15491" t="str">
            <v>WB</v>
          </cell>
          <cell r="AF15491">
            <v>0.4</v>
          </cell>
        </row>
        <row r="15492">
          <cell r="A15492" t="str">
            <v>IS_alqt_plus</v>
          </cell>
          <cell r="K15492" t="str">
            <v>CMED</v>
          </cell>
          <cell r="M15492" t="str">
            <v>M</v>
          </cell>
          <cell r="AB15492" t="str">
            <v>WB</v>
          </cell>
          <cell r="AF15492">
            <v>0.4</v>
          </cell>
        </row>
        <row r="15493">
          <cell r="A15493" t="str">
            <v>IS_alqt_plus</v>
          </cell>
          <cell r="K15493" t="str">
            <v>CMED</v>
          </cell>
          <cell r="M15493" t="str">
            <v>M</v>
          </cell>
          <cell r="AB15493" t="str">
            <v>WB</v>
          </cell>
          <cell r="AF15493">
            <v>0.4</v>
          </cell>
        </row>
        <row r="15494">
          <cell r="A15494" t="str">
            <v>IS_alqt_plus</v>
          </cell>
          <cell r="K15494" t="str">
            <v>CMED</v>
          </cell>
          <cell r="M15494" t="str">
            <v>M</v>
          </cell>
          <cell r="AB15494" t="str">
            <v>WB</v>
          </cell>
          <cell r="AF15494">
            <v>0.6</v>
          </cell>
        </row>
        <row r="15495">
          <cell r="A15495" t="str">
            <v>IS_alqt_plus</v>
          </cell>
          <cell r="K15495" t="str">
            <v>CMED</v>
          </cell>
          <cell r="M15495" t="str">
            <v>M</v>
          </cell>
          <cell r="AB15495" t="str">
            <v>WB</v>
          </cell>
          <cell r="AF15495">
            <v>0.6</v>
          </cell>
        </row>
        <row r="15496">
          <cell r="A15496" t="str">
            <v>IS_alqt_plus</v>
          </cell>
          <cell r="K15496" t="str">
            <v>CMED</v>
          </cell>
          <cell r="M15496" t="str">
            <v>M</v>
          </cell>
          <cell r="AB15496" t="str">
            <v>serum</v>
          </cell>
          <cell r="AF15496">
            <v>0.2</v>
          </cell>
        </row>
        <row r="15497">
          <cell r="A15497" t="str">
            <v>IS_alqt_plus</v>
          </cell>
          <cell r="K15497" t="str">
            <v>CMED</v>
          </cell>
          <cell r="M15497" t="str">
            <v>M</v>
          </cell>
          <cell r="AB15497" t="str">
            <v>serum</v>
          </cell>
          <cell r="AF15497">
            <v>0.2</v>
          </cell>
        </row>
        <row r="15498">
          <cell r="A15498" t="str">
            <v>IS_alqt_plus</v>
          </cell>
          <cell r="K15498" t="str">
            <v>VVV</v>
          </cell>
          <cell r="M15498" t="str">
            <v>F</v>
          </cell>
          <cell r="AB15498" t="str">
            <v>WB</v>
          </cell>
          <cell r="AF15498">
            <v>0.2</v>
          </cell>
        </row>
        <row r="15499">
          <cell r="A15499" t="str">
            <v>IS_alqt_plus</v>
          </cell>
          <cell r="K15499" t="str">
            <v>VVV</v>
          </cell>
          <cell r="M15499" t="str">
            <v>F</v>
          </cell>
          <cell r="AB15499" t="str">
            <v>WB</v>
          </cell>
          <cell r="AF15499">
            <v>0.2</v>
          </cell>
        </row>
        <row r="15500">
          <cell r="A15500" t="str">
            <v>IS_alqt_plus</v>
          </cell>
          <cell r="K15500" t="str">
            <v>VVV</v>
          </cell>
          <cell r="M15500" t="str">
            <v>F</v>
          </cell>
          <cell r="AB15500" t="str">
            <v>WB</v>
          </cell>
          <cell r="AF15500">
            <v>0.2</v>
          </cell>
        </row>
        <row r="15501">
          <cell r="A15501" t="str">
            <v>IS_alqt_plus</v>
          </cell>
          <cell r="K15501" t="str">
            <v>VVV</v>
          </cell>
          <cell r="M15501" t="str">
            <v>F</v>
          </cell>
          <cell r="AB15501" t="str">
            <v>WB</v>
          </cell>
          <cell r="AF15501">
            <v>0.4</v>
          </cell>
        </row>
        <row r="15502">
          <cell r="A15502" t="str">
            <v>IS_alqt_plus</v>
          </cell>
          <cell r="K15502" t="str">
            <v>VVV</v>
          </cell>
          <cell r="M15502" t="str">
            <v>F</v>
          </cell>
          <cell r="AB15502" t="str">
            <v>WB</v>
          </cell>
          <cell r="AF15502">
            <v>0.6</v>
          </cell>
        </row>
        <row r="15503">
          <cell r="A15503" t="str">
            <v>IS_alqt_plus</v>
          </cell>
          <cell r="K15503" t="str">
            <v>VVV</v>
          </cell>
          <cell r="M15503" t="str">
            <v>F</v>
          </cell>
          <cell r="AB15503" t="str">
            <v>serum</v>
          </cell>
          <cell r="AF15503">
            <v>0.2</v>
          </cell>
        </row>
        <row r="15504">
          <cell r="A15504" t="str">
            <v>IS_alqt_plus</v>
          </cell>
          <cell r="K15504" t="str">
            <v>VVV</v>
          </cell>
          <cell r="M15504" t="str">
            <v>F</v>
          </cell>
          <cell r="AB15504" t="str">
            <v>serum</v>
          </cell>
          <cell r="AF15504">
            <v>0.4</v>
          </cell>
        </row>
        <row r="15505">
          <cell r="A15505" t="str">
            <v>IS_alqt_plus</v>
          </cell>
          <cell r="K15505" t="str">
            <v>VVV</v>
          </cell>
          <cell r="M15505" t="str">
            <v>F</v>
          </cell>
          <cell r="AB15505" t="str">
            <v>serum</v>
          </cell>
          <cell r="AF15505">
            <v>0.6</v>
          </cell>
        </row>
        <row r="15506">
          <cell r="A15506" t="str">
            <v>IS_alqt_plus</v>
          </cell>
          <cell r="K15506" t="str">
            <v>DMAD</v>
          </cell>
          <cell r="M15506" t="str">
            <v>M</v>
          </cell>
          <cell r="AB15506" t="str">
            <v>WB</v>
          </cell>
          <cell r="AF15506">
            <v>0.2</v>
          </cell>
        </row>
        <row r="15507">
          <cell r="A15507" t="str">
            <v>IS_alqt_plus</v>
          </cell>
          <cell r="K15507" t="str">
            <v>DMAD</v>
          </cell>
          <cell r="M15507" t="str">
            <v>M</v>
          </cell>
          <cell r="AB15507" t="str">
            <v>WB</v>
          </cell>
          <cell r="AF15507">
            <v>0.2</v>
          </cell>
        </row>
        <row r="15508">
          <cell r="A15508" t="str">
            <v>IS_alqt_plus</v>
          </cell>
          <cell r="K15508" t="str">
            <v>DMAD</v>
          </cell>
          <cell r="M15508" t="str">
            <v>M</v>
          </cell>
          <cell r="AB15508" t="str">
            <v>WB</v>
          </cell>
          <cell r="AF15508">
            <v>0.4</v>
          </cell>
        </row>
        <row r="15509">
          <cell r="A15509" t="str">
            <v>IS_alqt_plus</v>
          </cell>
          <cell r="K15509" t="str">
            <v>DMAD</v>
          </cell>
          <cell r="M15509" t="str">
            <v>M</v>
          </cell>
          <cell r="AB15509" t="str">
            <v>serum</v>
          </cell>
          <cell r="AF15509">
            <v>0.2</v>
          </cell>
        </row>
        <row r="15510">
          <cell r="A15510" t="str">
            <v>IS_alqt_plus</v>
          </cell>
          <cell r="K15510" t="str">
            <v>DMAD</v>
          </cell>
          <cell r="M15510" t="str">
            <v>M</v>
          </cell>
          <cell r="AB15510" t="str">
            <v>serum</v>
          </cell>
          <cell r="AF15510">
            <v>0.2</v>
          </cell>
        </row>
        <row r="15511">
          <cell r="A15511" t="str">
            <v>IS_alqt_plus</v>
          </cell>
          <cell r="K15511" t="str">
            <v>DMAD</v>
          </cell>
          <cell r="M15511" t="str">
            <v>M</v>
          </cell>
          <cell r="AB15511" t="str">
            <v>serum</v>
          </cell>
          <cell r="AF15511">
            <v>0.4</v>
          </cell>
        </row>
        <row r="15512">
          <cell r="A15512" t="str">
            <v>IS_alqt_plus</v>
          </cell>
          <cell r="K15512" t="str">
            <v>DMAD</v>
          </cell>
          <cell r="M15512" t="str">
            <v>F</v>
          </cell>
          <cell r="AB15512" t="str">
            <v>WB</v>
          </cell>
          <cell r="AF15512">
            <v>0.2</v>
          </cell>
        </row>
        <row r="15513">
          <cell r="A15513" t="str">
            <v>IS_alqt_plus</v>
          </cell>
          <cell r="K15513" t="str">
            <v>DMAD</v>
          </cell>
          <cell r="M15513" t="str">
            <v>F</v>
          </cell>
          <cell r="AB15513" t="str">
            <v>WB</v>
          </cell>
          <cell r="AF15513">
            <v>0.4</v>
          </cell>
        </row>
        <row r="15514">
          <cell r="A15514" t="str">
            <v>IS_alqt_plus</v>
          </cell>
          <cell r="K15514" t="str">
            <v>DMAD</v>
          </cell>
          <cell r="M15514" t="str">
            <v>F</v>
          </cell>
          <cell r="AB15514" t="str">
            <v>WB</v>
          </cell>
          <cell r="AF15514">
            <v>0.6</v>
          </cell>
        </row>
        <row r="15515">
          <cell r="A15515" t="str">
            <v>IS_alqt_plus</v>
          </cell>
          <cell r="K15515" t="str">
            <v>DMAD</v>
          </cell>
          <cell r="M15515" t="str">
            <v>F</v>
          </cell>
          <cell r="AB15515" t="str">
            <v>WB</v>
          </cell>
          <cell r="AF15515">
            <v>0.8</v>
          </cell>
        </row>
        <row r="15516">
          <cell r="A15516" t="str">
            <v>IS_alqt_plus</v>
          </cell>
          <cell r="K15516" t="str">
            <v>DMAD</v>
          </cell>
          <cell r="M15516" t="str">
            <v>F</v>
          </cell>
          <cell r="AB15516" t="str">
            <v>serum</v>
          </cell>
          <cell r="AF15516">
            <v>0.2</v>
          </cell>
        </row>
        <row r="15517">
          <cell r="A15517" t="str">
            <v>IS_alqt_plus</v>
          </cell>
          <cell r="K15517" t="str">
            <v>DMAD</v>
          </cell>
          <cell r="M15517" t="str">
            <v>F</v>
          </cell>
          <cell r="AB15517" t="str">
            <v>serum</v>
          </cell>
          <cell r="AF15517">
            <v>0.4</v>
          </cell>
        </row>
        <row r="15518">
          <cell r="A15518" t="str">
            <v>IS_alqt_plus</v>
          </cell>
          <cell r="K15518" t="str">
            <v>DMAD</v>
          </cell>
          <cell r="M15518" t="str">
            <v>F</v>
          </cell>
          <cell r="AB15518" t="str">
            <v>serum</v>
          </cell>
          <cell r="AF15518">
            <v>0.4</v>
          </cell>
        </row>
        <row r="15519">
          <cell r="A15519" t="str">
            <v>IS_alqt_plus</v>
          </cell>
          <cell r="K15519" t="str">
            <v>DMAD</v>
          </cell>
          <cell r="M15519" t="str">
            <v>F</v>
          </cell>
          <cell r="AB15519" t="str">
            <v>WB</v>
          </cell>
          <cell r="AF15519">
            <v>0.2</v>
          </cell>
        </row>
        <row r="15520">
          <cell r="A15520" t="str">
            <v>IS_alqt_plus</v>
          </cell>
          <cell r="K15520" t="str">
            <v>DMAD</v>
          </cell>
          <cell r="M15520" t="str">
            <v>F</v>
          </cell>
          <cell r="AB15520" t="str">
            <v>WB</v>
          </cell>
          <cell r="AF15520">
            <v>0.4</v>
          </cell>
        </row>
        <row r="15521">
          <cell r="A15521" t="str">
            <v>IS_alqt_plus</v>
          </cell>
          <cell r="K15521" t="str">
            <v>DMAD</v>
          </cell>
          <cell r="M15521" t="str">
            <v>F</v>
          </cell>
          <cell r="AB15521" t="str">
            <v>WB</v>
          </cell>
          <cell r="AF15521">
            <v>0.4</v>
          </cell>
        </row>
        <row r="15522">
          <cell r="A15522" t="str">
            <v>IS_alqt_plus</v>
          </cell>
          <cell r="K15522" t="str">
            <v>DMAD</v>
          </cell>
          <cell r="M15522" t="str">
            <v>F</v>
          </cell>
          <cell r="AB15522" t="str">
            <v>WB</v>
          </cell>
          <cell r="AF15522">
            <v>0.6</v>
          </cell>
        </row>
        <row r="15523">
          <cell r="A15523" t="str">
            <v>IS_alqt_plus</v>
          </cell>
          <cell r="K15523" t="str">
            <v>DMAD</v>
          </cell>
          <cell r="M15523" t="str">
            <v>F</v>
          </cell>
          <cell r="AB15523" t="str">
            <v>serum</v>
          </cell>
          <cell r="AF15523">
            <v>0.2</v>
          </cell>
        </row>
        <row r="15524">
          <cell r="A15524" t="str">
            <v>IS_alqt_plus</v>
          </cell>
          <cell r="K15524" t="str">
            <v>DMAD</v>
          </cell>
          <cell r="M15524" t="str">
            <v>F</v>
          </cell>
          <cell r="AB15524" t="str">
            <v>serum</v>
          </cell>
          <cell r="AF15524">
            <v>0.4</v>
          </cell>
        </row>
        <row r="15525">
          <cell r="A15525" t="str">
            <v>IS_alqt_plus</v>
          </cell>
          <cell r="K15525" t="str">
            <v>DMAD</v>
          </cell>
          <cell r="M15525" t="str">
            <v>F</v>
          </cell>
          <cell r="AB15525" t="str">
            <v>serum</v>
          </cell>
          <cell r="AF15525">
            <v>0.4</v>
          </cell>
        </row>
        <row r="15526">
          <cell r="A15526" t="str">
            <v>IS_alqt_plus</v>
          </cell>
          <cell r="K15526" t="str">
            <v>CMED</v>
          </cell>
          <cell r="M15526" t="str">
            <v>M</v>
          </cell>
          <cell r="AB15526" t="str">
            <v>WB</v>
          </cell>
          <cell r="AF15526">
            <v>0.2</v>
          </cell>
        </row>
        <row r="15527">
          <cell r="A15527" t="str">
            <v>IS_alqt_plus</v>
          </cell>
          <cell r="K15527" t="str">
            <v>DMAD</v>
          </cell>
          <cell r="M15527" t="str">
            <v>F</v>
          </cell>
          <cell r="AB15527" t="str">
            <v>serum</v>
          </cell>
          <cell r="AF15527">
            <v>0.2</v>
          </cell>
        </row>
        <row r="15528">
          <cell r="A15528" t="str">
            <v>IS_alqt_plus</v>
          </cell>
          <cell r="K15528" t="str">
            <v>DMAD</v>
          </cell>
          <cell r="M15528" t="str">
            <v>F</v>
          </cell>
          <cell r="AB15528" t="str">
            <v>serum</v>
          </cell>
          <cell r="AF15528">
            <v>0.4</v>
          </cell>
        </row>
        <row r="15529">
          <cell r="A15529" t="str">
            <v>IS_alqt_plus</v>
          </cell>
          <cell r="K15529" t="str">
            <v>DMAD</v>
          </cell>
          <cell r="M15529" t="str">
            <v>F</v>
          </cell>
          <cell r="AB15529" t="str">
            <v>serum</v>
          </cell>
          <cell r="AF15529">
            <v>0.4</v>
          </cell>
        </row>
        <row r="15530">
          <cell r="A15530" t="str">
            <v>IS_alqt_plus</v>
          </cell>
          <cell r="K15530" t="str">
            <v>DMAD</v>
          </cell>
          <cell r="M15530" t="str">
            <v>F</v>
          </cell>
          <cell r="AB15530" t="str">
            <v>serum</v>
          </cell>
          <cell r="AF15530">
            <v>0.6</v>
          </cell>
        </row>
        <row r="15531">
          <cell r="A15531" t="str">
            <v>IS_alqt_plus</v>
          </cell>
          <cell r="K15531" t="str">
            <v>MMUR</v>
          </cell>
          <cell r="M15531" t="str">
            <v>M</v>
          </cell>
          <cell r="AB15531" t="str">
            <v>WB</v>
          </cell>
          <cell r="AF15531">
            <v>0.2</v>
          </cell>
        </row>
        <row r="15532">
          <cell r="A15532" t="str">
            <v>IS_alqt_plus</v>
          </cell>
          <cell r="K15532" t="str">
            <v>MMUR</v>
          </cell>
          <cell r="M15532" t="str">
            <v>M</v>
          </cell>
          <cell r="AB15532" t="str">
            <v>WB</v>
          </cell>
          <cell r="AF15532">
            <v>0.2</v>
          </cell>
        </row>
        <row r="15533">
          <cell r="A15533" t="str">
            <v>IS_alqt_plus</v>
          </cell>
          <cell r="K15533" t="str">
            <v>MMUR</v>
          </cell>
          <cell r="M15533" t="str">
            <v>M</v>
          </cell>
          <cell r="AB15533" t="str">
            <v>WB</v>
          </cell>
          <cell r="AF15533">
            <v>0.2</v>
          </cell>
        </row>
        <row r="15534">
          <cell r="A15534" t="str">
            <v>IS_alqt_plus</v>
          </cell>
          <cell r="K15534" t="str">
            <v>MMUR</v>
          </cell>
          <cell r="M15534" t="str">
            <v>M</v>
          </cell>
          <cell r="AB15534" t="str">
            <v>WB</v>
          </cell>
          <cell r="AF15534">
            <v>0.2</v>
          </cell>
        </row>
        <row r="15535">
          <cell r="A15535" t="str">
            <v>IS_alqt_plus</v>
          </cell>
          <cell r="K15535" t="str">
            <v>MMUR</v>
          </cell>
          <cell r="M15535" t="str">
            <v>M</v>
          </cell>
          <cell r="AB15535" t="str">
            <v>WB</v>
          </cell>
          <cell r="AF15535">
            <v>0.4</v>
          </cell>
        </row>
        <row r="15536">
          <cell r="A15536" t="str">
            <v>IS_alqt_plus</v>
          </cell>
          <cell r="K15536" t="str">
            <v>MMUR</v>
          </cell>
          <cell r="M15536" t="str">
            <v>M</v>
          </cell>
          <cell r="AB15536" t="str">
            <v>WB</v>
          </cell>
          <cell r="AF15536">
            <v>0.4</v>
          </cell>
        </row>
        <row r="15537">
          <cell r="A15537" t="str">
            <v>IS_alqt_plus</v>
          </cell>
          <cell r="K15537" t="str">
            <v>MMUR</v>
          </cell>
          <cell r="M15537" t="str">
            <v>M</v>
          </cell>
          <cell r="AB15537" t="str">
            <v>WB</v>
          </cell>
          <cell r="AF15537">
            <v>0.4</v>
          </cell>
        </row>
        <row r="15538">
          <cell r="A15538" t="str">
            <v>IS_alqt_plus</v>
          </cell>
          <cell r="K15538" t="str">
            <v>MMUR</v>
          </cell>
          <cell r="M15538" t="str">
            <v>M</v>
          </cell>
          <cell r="AB15538" t="str">
            <v>WB</v>
          </cell>
          <cell r="AF15538">
            <v>0.6</v>
          </cell>
        </row>
        <row r="15539">
          <cell r="A15539" t="str">
            <v>IS_alqt_plus</v>
          </cell>
          <cell r="K15539" t="str">
            <v>MMUR</v>
          </cell>
          <cell r="M15539" t="str">
            <v>M</v>
          </cell>
          <cell r="AB15539" t="str">
            <v>serum</v>
          </cell>
          <cell r="AF15539">
            <v>0.2</v>
          </cell>
        </row>
        <row r="15540">
          <cell r="A15540" t="str">
            <v>IS_alqt_plus</v>
          </cell>
          <cell r="K15540" t="str">
            <v>EFLA</v>
          </cell>
          <cell r="M15540" t="str">
            <v>M</v>
          </cell>
          <cell r="AB15540" t="str">
            <v>serum</v>
          </cell>
          <cell r="AF15540">
            <v>0.2</v>
          </cell>
        </row>
        <row r="15541">
          <cell r="A15541" t="str">
            <v>IS_alqt_plus</v>
          </cell>
          <cell r="K15541" t="str">
            <v>EFLA</v>
          </cell>
          <cell r="M15541" t="str">
            <v>M</v>
          </cell>
          <cell r="AB15541" t="str">
            <v>serum</v>
          </cell>
          <cell r="AF15541">
            <v>0.2</v>
          </cell>
        </row>
        <row r="15542">
          <cell r="A15542" t="str">
            <v>IS_alqt_plus</v>
          </cell>
          <cell r="K15542" t="str">
            <v>EFLA</v>
          </cell>
          <cell r="M15542" t="str">
            <v>M</v>
          </cell>
          <cell r="AB15542" t="str">
            <v>serum</v>
          </cell>
          <cell r="AF15542">
            <v>0.4</v>
          </cell>
        </row>
        <row r="15543">
          <cell r="A15543" t="str">
            <v>IS_alqt_plus</v>
          </cell>
          <cell r="K15543" t="str">
            <v>EFLA</v>
          </cell>
          <cell r="M15543" t="str">
            <v>M</v>
          </cell>
          <cell r="AB15543" t="str">
            <v>serum</v>
          </cell>
          <cell r="AF15543">
            <v>0.4</v>
          </cell>
        </row>
        <row r="15544">
          <cell r="A15544" t="str">
            <v>IS_alqt_plus</v>
          </cell>
          <cell r="K15544" t="str">
            <v>EFLA</v>
          </cell>
          <cell r="M15544" t="str">
            <v>M</v>
          </cell>
          <cell r="AB15544" t="str">
            <v>WB</v>
          </cell>
          <cell r="AF15544">
            <v>0.2</v>
          </cell>
        </row>
        <row r="15545">
          <cell r="A15545" t="str">
            <v>IS_alqt_plus</v>
          </cell>
          <cell r="K15545" t="str">
            <v>EFLA</v>
          </cell>
          <cell r="M15545" t="str">
            <v>M</v>
          </cell>
          <cell r="AB15545" t="str">
            <v>WB</v>
          </cell>
          <cell r="AF15545">
            <v>0.2</v>
          </cell>
        </row>
        <row r="15546">
          <cell r="A15546" t="str">
            <v>IS_alqt_plus</v>
          </cell>
          <cell r="K15546" t="str">
            <v>EFLA</v>
          </cell>
          <cell r="M15546" t="str">
            <v>M</v>
          </cell>
          <cell r="AB15546" t="str">
            <v>WB</v>
          </cell>
          <cell r="AF15546">
            <v>0.4</v>
          </cell>
        </row>
        <row r="15547">
          <cell r="A15547" t="str">
            <v>IS_alqt_plus</v>
          </cell>
          <cell r="K15547" t="str">
            <v>EFLA</v>
          </cell>
          <cell r="M15547" t="str">
            <v>M</v>
          </cell>
          <cell r="AB15547" t="str">
            <v>WB</v>
          </cell>
          <cell r="AF15547">
            <v>0.6</v>
          </cell>
        </row>
        <row r="15548">
          <cell r="A15548" t="str">
            <v>IS_alqt_minus</v>
          </cell>
          <cell r="K15548" t="str">
            <v>MMUR</v>
          </cell>
          <cell r="M15548" t="str">
            <v>M</v>
          </cell>
          <cell r="AB15548" t="str">
            <v>WB</v>
          </cell>
          <cell r="AF15548">
            <v>0.1</v>
          </cell>
        </row>
        <row r="15549">
          <cell r="A15549" t="str">
            <v>IS_alqt_plus</v>
          </cell>
          <cell r="K15549" t="str">
            <v>DMAD</v>
          </cell>
          <cell r="M15549" t="str">
            <v>F</v>
          </cell>
          <cell r="AB15549" t="str">
            <v>WB</v>
          </cell>
          <cell r="AF15549">
            <v>0.2</v>
          </cell>
        </row>
        <row r="15550">
          <cell r="A15550" t="str">
            <v>IS_alqt_plus</v>
          </cell>
          <cell r="K15550" t="str">
            <v>DMAD</v>
          </cell>
          <cell r="M15550" t="str">
            <v>F</v>
          </cell>
          <cell r="AB15550" t="str">
            <v>WB</v>
          </cell>
          <cell r="AF15550">
            <v>0.2</v>
          </cell>
        </row>
        <row r="15551">
          <cell r="A15551" t="str">
            <v>IS_alqt_plus</v>
          </cell>
          <cell r="K15551" t="str">
            <v>DMAD</v>
          </cell>
          <cell r="M15551" t="str">
            <v>F</v>
          </cell>
          <cell r="AB15551" t="str">
            <v>WB</v>
          </cell>
          <cell r="AF15551">
            <v>0.4</v>
          </cell>
        </row>
        <row r="15552">
          <cell r="A15552" t="str">
            <v>IS_alqt_plus</v>
          </cell>
          <cell r="K15552" t="str">
            <v>DMAD</v>
          </cell>
          <cell r="M15552" t="str">
            <v>F</v>
          </cell>
          <cell r="AB15552" t="str">
            <v>WB</v>
          </cell>
          <cell r="AF15552">
            <v>0.4</v>
          </cell>
        </row>
        <row r="15553">
          <cell r="A15553" t="str">
            <v>IS_alqt_plus</v>
          </cell>
          <cell r="K15553" t="str">
            <v>GMOH</v>
          </cell>
          <cell r="M15553" t="str">
            <v>F</v>
          </cell>
          <cell r="AB15553" t="str">
            <v>WB</v>
          </cell>
          <cell r="AF15553">
            <v>0.6</v>
          </cell>
        </row>
        <row r="15554">
          <cell r="A15554" t="str">
            <v>IS_alqt_plus</v>
          </cell>
          <cell r="K15554" t="str">
            <v>GMOH</v>
          </cell>
          <cell r="M15554" t="str">
            <v>F</v>
          </cell>
          <cell r="AB15554" t="str">
            <v>WB</v>
          </cell>
          <cell r="AF15554">
            <v>0.2</v>
          </cell>
        </row>
        <row r="15555">
          <cell r="A15555" t="str">
            <v>IS_alqt_plus</v>
          </cell>
          <cell r="K15555" t="str">
            <v>GMOH</v>
          </cell>
          <cell r="M15555" t="str">
            <v>F</v>
          </cell>
          <cell r="AB15555" t="str">
            <v>WB</v>
          </cell>
          <cell r="AF15555">
            <v>0.2</v>
          </cell>
        </row>
        <row r="15556">
          <cell r="A15556" t="str">
            <v>IS_alqt_plus</v>
          </cell>
          <cell r="K15556" t="str">
            <v>GMOH</v>
          </cell>
          <cell r="M15556" t="str">
            <v>F</v>
          </cell>
          <cell r="AB15556" t="str">
            <v>WB</v>
          </cell>
          <cell r="AF15556">
            <v>0.2</v>
          </cell>
        </row>
        <row r="15557">
          <cell r="A15557" t="str">
            <v>IS_alqt_plus</v>
          </cell>
          <cell r="K15557" t="str">
            <v>GMOH</v>
          </cell>
          <cell r="M15557" t="str">
            <v>F</v>
          </cell>
          <cell r="AB15557" t="str">
            <v>WB</v>
          </cell>
          <cell r="AF15557">
            <v>0.2</v>
          </cell>
        </row>
        <row r="15558">
          <cell r="A15558" t="str">
            <v>IS_alqt_plus</v>
          </cell>
          <cell r="K15558" t="str">
            <v>GMOH</v>
          </cell>
          <cell r="M15558" t="str">
            <v>F</v>
          </cell>
          <cell r="AB15558" t="str">
            <v>WB</v>
          </cell>
          <cell r="AF15558">
            <v>0.4</v>
          </cell>
        </row>
        <row r="15559">
          <cell r="A15559" t="str">
            <v>IS_alqt_plus</v>
          </cell>
          <cell r="K15559" t="str">
            <v>GMOH</v>
          </cell>
          <cell r="M15559" t="str">
            <v>F</v>
          </cell>
          <cell r="AB15559" t="str">
            <v>WB</v>
          </cell>
          <cell r="AF15559">
            <v>0.4</v>
          </cell>
        </row>
        <row r="15560">
          <cell r="A15560" t="str">
            <v>IS_alqt_plus</v>
          </cell>
          <cell r="K15560" t="str">
            <v>GMOH</v>
          </cell>
          <cell r="M15560" t="str">
            <v>F</v>
          </cell>
          <cell r="AB15560" t="str">
            <v>WB</v>
          </cell>
          <cell r="AF15560">
            <v>0.4</v>
          </cell>
        </row>
        <row r="15561">
          <cell r="A15561" t="str">
            <v>IS_alqt_plus</v>
          </cell>
          <cell r="K15561" t="str">
            <v>GMOH</v>
          </cell>
          <cell r="M15561" t="str">
            <v>F</v>
          </cell>
          <cell r="AB15561" t="str">
            <v>WB</v>
          </cell>
          <cell r="AF15561">
            <v>0.4</v>
          </cell>
        </row>
        <row r="15562">
          <cell r="A15562" t="str">
            <v>IS_alqt_plus</v>
          </cell>
          <cell r="K15562" t="str">
            <v>GMOH</v>
          </cell>
          <cell r="M15562" t="str">
            <v>F</v>
          </cell>
          <cell r="AB15562" t="str">
            <v>serum</v>
          </cell>
          <cell r="AF15562">
            <v>0.2</v>
          </cell>
        </row>
        <row r="15563">
          <cell r="A15563" t="str">
            <v>IS_alqt_plus</v>
          </cell>
          <cell r="K15563" t="str">
            <v>GMOH</v>
          </cell>
          <cell r="M15563" t="str">
            <v>F</v>
          </cell>
          <cell r="AB15563" t="str">
            <v>serum</v>
          </cell>
          <cell r="AF15563">
            <v>0.2</v>
          </cell>
        </row>
        <row r="15564">
          <cell r="A15564" t="str">
            <v>IS_alqt_plus</v>
          </cell>
          <cell r="K15564" t="str">
            <v>GMOH</v>
          </cell>
          <cell r="M15564" t="str">
            <v>F</v>
          </cell>
          <cell r="AB15564" t="str">
            <v>serum</v>
          </cell>
          <cell r="AF15564">
            <v>0.2</v>
          </cell>
        </row>
        <row r="15565">
          <cell r="A15565" t="str">
            <v>IS_alqt_plus</v>
          </cell>
          <cell r="K15565" t="str">
            <v>GMOH</v>
          </cell>
          <cell r="M15565" t="str">
            <v>F</v>
          </cell>
          <cell r="AB15565" t="str">
            <v>serum</v>
          </cell>
          <cell r="AF15565">
            <v>0.2</v>
          </cell>
        </row>
        <row r="15566">
          <cell r="A15566" t="str">
            <v>IS_alqt_minus</v>
          </cell>
          <cell r="K15566" t="str">
            <v>CMED</v>
          </cell>
          <cell r="M15566" t="str">
            <v>M</v>
          </cell>
          <cell r="AB15566" t="str">
            <v>WB</v>
          </cell>
          <cell r="AF15566">
            <v>0.1</v>
          </cell>
        </row>
        <row r="15567">
          <cell r="A15567" t="str">
            <v>IS_alqt_plus</v>
          </cell>
          <cell r="K15567" t="str">
            <v>EFLA</v>
          </cell>
          <cell r="M15567" t="str">
            <v>F</v>
          </cell>
          <cell r="AB15567" t="str">
            <v>WB</v>
          </cell>
          <cell r="AF15567">
            <v>0.2</v>
          </cell>
        </row>
        <row r="15568">
          <cell r="A15568" t="str">
            <v>IS_alqt_plus</v>
          </cell>
          <cell r="K15568" t="str">
            <v>EFLA</v>
          </cell>
          <cell r="M15568" t="str">
            <v>F</v>
          </cell>
          <cell r="AB15568" t="str">
            <v>WB</v>
          </cell>
          <cell r="AF15568">
            <v>0.2</v>
          </cell>
        </row>
        <row r="15569">
          <cell r="A15569" t="str">
            <v>IS_alqt_plus</v>
          </cell>
          <cell r="K15569" t="str">
            <v>EFLA</v>
          </cell>
          <cell r="M15569" t="str">
            <v>F</v>
          </cell>
          <cell r="AB15569" t="str">
            <v>WB</v>
          </cell>
          <cell r="AF15569">
            <v>0.2</v>
          </cell>
        </row>
        <row r="15570">
          <cell r="A15570" t="str">
            <v>IS_alqt_plus</v>
          </cell>
          <cell r="K15570" t="str">
            <v>EFLA</v>
          </cell>
          <cell r="M15570" t="str">
            <v>F</v>
          </cell>
          <cell r="AB15570" t="str">
            <v>WB</v>
          </cell>
          <cell r="AF15570">
            <v>0.4</v>
          </cell>
        </row>
        <row r="15571">
          <cell r="A15571" t="str">
            <v>IS_alqt_plus</v>
          </cell>
          <cell r="K15571" t="str">
            <v>EFLA</v>
          </cell>
          <cell r="M15571" t="str">
            <v>F</v>
          </cell>
          <cell r="AB15571" t="str">
            <v>WB</v>
          </cell>
          <cell r="AF15571">
            <v>0.6</v>
          </cell>
        </row>
        <row r="15572">
          <cell r="A15572" t="str">
            <v>IS_alqt_plus</v>
          </cell>
          <cell r="K15572" t="str">
            <v>EFLA</v>
          </cell>
          <cell r="M15572" t="str">
            <v>F</v>
          </cell>
          <cell r="AB15572" t="str">
            <v>WB</v>
          </cell>
          <cell r="AF15572">
            <v>0.6</v>
          </cell>
        </row>
        <row r="15573">
          <cell r="A15573" t="str">
            <v>IS_alqt_plus</v>
          </cell>
          <cell r="K15573" t="str">
            <v>EFLA</v>
          </cell>
          <cell r="M15573" t="str">
            <v>F</v>
          </cell>
          <cell r="AB15573" t="str">
            <v>serum</v>
          </cell>
          <cell r="AF15573">
            <v>0.2</v>
          </cell>
        </row>
        <row r="15574">
          <cell r="A15574" t="str">
            <v>IS_alqt_plus</v>
          </cell>
          <cell r="K15574" t="str">
            <v>EFLA</v>
          </cell>
          <cell r="M15574" t="str">
            <v>F</v>
          </cell>
          <cell r="AB15574" t="str">
            <v>serum</v>
          </cell>
          <cell r="AF15574">
            <v>0.4</v>
          </cell>
        </row>
        <row r="15575">
          <cell r="A15575" t="str">
            <v>IS_alqt_plus</v>
          </cell>
          <cell r="K15575" t="str">
            <v>VVV</v>
          </cell>
          <cell r="M15575" t="str">
            <v>M</v>
          </cell>
          <cell r="AB15575" t="str">
            <v>serum</v>
          </cell>
          <cell r="AF15575">
            <v>1</v>
          </cell>
        </row>
        <row r="15576">
          <cell r="A15576" t="str">
            <v>IS_alqt_plus</v>
          </cell>
          <cell r="K15576" t="str">
            <v>VVV</v>
          </cell>
          <cell r="M15576" t="str">
            <v>M</v>
          </cell>
          <cell r="AB15576" t="str">
            <v>serum</v>
          </cell>
          <cell r="AF15576">
            <v>1</v>
          </cell>
        </row>
        <row r="15577">
          <cell r="A15577" t="str">
            <v>IS_alqt_plus</v>
          </cell>
          <cell r="K15577" t="str">
            <v>VVV</v>
          </cell>
          <cell r="M15577" t="str">
            <v>M</v>
          </cell>
          <cell r="AB15577" t="str">
            <v>serum</v>
          </cell>
          <cell r="AF15577">
            <v>1</v>
          </cell>
        </row>
        <row r="15578">
          <cell r="A15578" t="str">
            <v>IS_alqt_plus</v>
          </cell>
          <cell r="K15578" t="str">
            <v>VVV</v>
          </cell>
          <cell r="M15578" t="str">
            <v>M</v>
          </cell>
          <cell r="AB15578" t="str">
            <v>serum</v>
          </cell>
          <cell r="AF15578">
            <v>1.2</v>
          </cell>
        </row>
        <row r="15579">
          <cell r="A15579" t="str">
            <v>IS_alqt_plus</v>
          </cell>
          <cell r="K15579" t="str">
            <v>VVV</v>
          </cell>
          <cell r="M15579" t="str">
            <v>M</v>
          </cell>
          <cell r="AB15579" t="str">
            <v>serum</v>
          </cell>
          <cell r="AF15579">
            <v>1</v>
          </cell>
        </row>
        <row r="15580">
          <cell r="A15580" t="str">
            <v>IS_alqt_plus</v>
          </cell>
          <cell r="K15580" t="str">
            <v>VVV</v>
          </cell>
          <cell r="M15580" t="str">
            <v>M</v>
          </cell>
          <cell r="AB15580" t="str">
            <v>serum</v>
          </cell>
          <cell r="AF15580">
            <v>0.2</v>
          </cell>
        </row>
        <row r="15581">
          <cell r="A15581" t="str">
            <v>IS_alqt_plus</v>
          </cell>
          <cell r="K15581" t="str">
            <v>VVV</v>
          </cell>
          <cell r="M15581" t="str">
            <v>M</v>
          </cell>
          <cell r="AB15581" t="str">
            <v>serum</v>
          </cell>
          <cell r="AF15581">
            <v>0.8</v>
          </cell>
        </row>
        <row r="15582">
          <cell r="A15582" t="str">
            <v>IS_alqt_plus</v>
          </cell>
          <cell r="K15582" t="str">
            <v>VVV</v>
          </cell>
          <cell r="M15582" t="str">
            <v>M</v>
          </cell>
          <cell r="AB15582" t="str">
            <v>serum</v>
          </cell>
          <cell r="AF15582">
            <v>1</v>
          </cell>
        </row>
        <row r="15583">
          <cell r="A15583" t="str">
            <v>IS_alqt_plus</v>
          </cell>
          <cell r="K15583" t="str">
            <v>VVV</v>
          </cell>
          <cell r="M15583" t="str">
            <v>M</v>
          </cell>
          <cell r="AB15583" t="str">
            <v>serum</v>
          </cell>
          <cell r="AF15583">
            <v>1</v>
          </cell>
        </row>
        <row r="15584">
          <cell r="A15584" t="str">
            <v>IS_alqt_plus</v>
          </cell>
          <cell r="K15584" t="str">
            <v>VVV</v>
          </cell>
          <cell r="M15584" t="str">
            <v>M</v>
          </cell>
          <cell r="AB15584" t="str">
            <v>serum</v>
          </cell>
          <cell r="AF15584">
            <v>1</v>
          </cell>
        </row>
        <row r="15585">
          <cell r="A15585" t="str">
            <v>IS_alqt_plus</v>
          </cell>
          <cell r="K15585" t="str">
            <v>VVV</v>
          </cell>
          <cell r="M15585" t="str">
            <v>M</v>
          </cell>
          <cell r="AB15585" t="str">
            <v>serum</v>
          </cell>
          <cell r="AF15585">
            <v>1.2</v>
          </cell>
        </row>
        <row r="15586">
          <cell r="A15586" t="str">
            <v>IS_alqt_plus</v>
          </cell>
          <cell r="K15586" t="str">
            <v>VVV</v>
          </cell>
          <cell r="M15586" t="str">
            <v>M</v>
          </cell>
          <cell r="AB15586" t="str">
            <v>serum</v>
          </cell>
          <cell r="AF15586">
            <v>1.2</v>
          </cell>
        </row>
        <row r="15587">
          <cell r="A15587" t="str">
            <v>IS_alqt_plus</v>
          </cell>
          <cell r="K15587" t="str">
            <v>VVV</v>
          </cell>
          <cell r="M15587" t="str">
            <v>M</v>
          </cell>
          <cell r="AB15587" t="str">
            <v>serum</v>
          </cell>
          <cell r="AF15587">
            <v>0.5</v>
          </cell>
        </row>
        <row r="15588">
          <cell r="A15588" t="str">
            <v>IS_alqt_plus</v>
          </cell>
          <cell r="K15588" t="str">
            <v>VVV</v>
          </cell>
          <cell r="M15588" t="str">
            <v>M</v>
          </cell>
          <cell r="AB15588" t="str">
            <v>serum</v>
          </cell>
          <cell r="AF15588">
            <v>1</v>
          </cell>
        </row>
        <row r="15589">
          <cell r="A15589" t="str">
            <v>IS_alqt_plus</v>
          </cell>
          <cell r="K15589" t="str">
            <v>VVV</v>
          </cell>
          <cell r="M15589" t="str">
            <v>M</v>
          </cell>
          <cell r="AB15589" t="str">
            <v>serum</v>
          </cell>
          <cell r="AF15589">
            <v>0.8</v>
          </cell>
        </row>
        <row r="15590">
          <cell r="A15590" t="str">
            <v>IS_alqt_plus</v>
          </cell>
          <cell r="K15590" t="str">
            <v>VVV</v>
          </cell>
          <cell r="M15590" t="str">
            <v>M</v>
          </cell>
          <cell r="AB15590" t="str">
            <v>serum</v>
          </cell>
          <cell r="AF15590">
            <v>1</v>
          </cell>
        </row>
        <row r="15591">
          <cell r="A15591" t="str">
            <v>IS_alqt_plus</v>
          </cell>
          <cell r="K15591" t="str">
            <v>VVV</v>
          </cell>
          <cell r="M15591" t="str">
            <v>M</v>
          </cell>
          <cell r="AB15591" t="str">
            <v>serum</v>
          </cell>
          <cell r="AF15591">
            <v>1</v>
          </cell>
        </row>
        <row r="15592">
          <cell r="A15592" t="str">
            <v>IS_alqt_plus</v>
          </cell>
          <cell r="K15592" t="str">
            <v>VVV</v>
          </cell>
          <cell r="M15592" t="str">
            <v>M</v>
          </cell>
          <cell r="AB15592" t="str">
            <v>serum</v>
          </cell>
          <cell r="AF15592">
            <v>1</v>
          </cell>
        </row>
        <row r="15593">
          <cell r="A15593" t="str">
            <v>IS_alqt_minus</v>
          </cell>
          <cell r="K15593" t="str">
            <v>MMUR</v>
          </cell>
          <cell r="M15593" t="str">
            <v>M</v>
          </cell>
          <cell r="AB15593" t="str">
            <v>WB</v>
          </cell>
          <cell r="AF15593">
            <v>0.02</v>
          </cell>
        </row>
        <row r="15594">
          <cell r="A15594" t="str">
            <v>IS_alqt_plus</v>
          </cell>
          <cell r="K15594" t="str">
            <v>ECOR</v>
          </cell>
          <cell r="M15594" t="str">
            <v>M</v>
          </cell>
          <cell r="AB15594" t="str">
            <v>serum</v>
          </cell>
          <cell r="AF15594">
            <v>0.5</v>
          </cell>
        </row>
        <row r="15595">
          <cell r="A15595" t="str">
            <v>IS_alqt_plus</v>
          </cell>
          <cell r="K15595" t="str">
            <v>ECOR</v>
          </cell>
          <cell r="M15595" t="str">
            <v>M</v>
          </cell>
          <cell r="AB15595" t="str">
            <v>serum</v>
          </cell>
          <cell r="AF15595">
            <v>0.2</v>
          </cell>
        </row>
        <row r="15596">
          <cell r="A15596" t="str">
            <v>IS_alqt_plus</v>
          </cell>
          <cell r="K15596" t="str">
            <v>ECOR</v>
          </cell>
          <cell r="M15596" t="str">
            <v>M</v>
          </cell>
          <cell r="AB15596" t="str">
            <v>serum</v>
          </cell>
          <cell r="AF15596">
            <v>0.4</v>
          </cell>
        </row>
        <row r="15597">
          <cell r="A15597" t="str">
            <v>IS_alqt_plus</v>
          </cell>
          <cell r="K15597" t="str">
            <v>ECOR</v>
          </cell>
          <cell r="M15597" t="str">
            <v>M</v>
          </cell>
          <cell r="AB15597" t="str">
            <v>serum</v>
          </cell>
          <cell r="AF15597">
            <v>0.6</v>
          </cell>
        </row>
        <row r="15598">
          <cell r="A15598" t="str">
            <v>IS_alqt_plus</v>
          </cell>
          <cell r="K15598" t="str">
            <v>ECOR</v>
          </cell>
          <cell r="M15598" t="str">
            <v>M</v>
          </cell>
          <cell r="AB15598" t="str">
            <v>WB</v>
          </cell>
          <cell r="AF15598">
            <v>0.2</v>
          </cell>
        </row>
        <row r="15599">
          <cell r="A15599" t="str">
            <v>IS_alqt_plus</v>
          </cell>
          <cell r="K15599" t="str">
            <v>ECOR</v>
          </cell>
          <cell r="M15599" t="str">
            <v>M</v>
          </cell>
          <cell r="AB15599" t="str">
            <v>WB</v>
          </cell>
          <cell r="AF15599">
            <v>0.6</v>
          </cell>
        </row>
        <row r="15600">
          <cell r="A15600" t="str">
            <v>IS_alqt_plus</v>
          </cell>
          <cell r="K15600" t="str">
            <v>ECOR</v>
          </cell>
          <cell r="M15600" t="str">
            <v>M</v>
          </cell>
          <cell r="AB15600" t="str">
            <v>WB</v>
          </cell>
          <cell r="AF15600">
            <v>0.6</v>
          </cell>
        </row>
        <row r="15601">
          <cell r="A15601" t="str">
            <v>IS_alqt_plus</v>
          </cell>
          <cell r="K15601" t="str">
            <v>ECOR</v>
          </cell>
          <cell r="M15601" t="str">
            <v>M</v>
          </cell>
          <cell r="AB15601" t="str">
            <v>WB</v>
          </cell>
          <cell r="AF15601">
            <v>1</v>
          </cell>
        </row>
        <row r="15602">
          <cell r="A15602" t="str">
            <v>IS_alqt_plus</v>
          </cell>
          <cell r="K15602" t="str">
            <v>ECOR</v>
          </cell>
          <cell r="M15602" t="str">
            <v>M</v>
          </cell>
          <cell r="AB15602" t="str">
            <v>WB</v>
          </cell>
          <cell r="AF15602">
            <v>1</v>
          </cell>
        </row>
        <row r="15603">
          <cell r="A15603" t="str">
            <v>IS_alqt_plus</v>
          </cell>
          <cell r="K15603" t="str">
            <v>PCOQ</v>
          </cell>
          <cell r="M15603" t="str">
            <v>F</v>
          </cell>
          <cell r="AB15603" t="str">
            <v>WB</v>
          </cell>
          <cell r="AF15603">
            <v>0.2</v>
          </cell>
        </row>
        <row r="15604">
          <cell r="A15604" t="str">
            <v>IS_alqt_plus</v>
          </cell>
          <cell r="K15604" t="str">
            <v>PCOQ</v>
          </cell>
          <cell r="M15604" t="str">
            <v>F</v>
          </cell>
          <cell r="AB15604" t="str">
            <v>WB</v>
          </cell>
          <cell r="AF15604">
            <v>0.2</v>
          </cell>
        </row>
        <row r="15605">
          <cell r="A15605" t="str">
            <v>IS_alqt_plus</v>
          </cell>
          <cell r="K15605" t="str">
            <v>PCOQ</v>
          </cell>
          <cell r="M15605" t="str">
            <v>F</v>
          </cell>
          <cell r="AB15605" t="str">
            <v>WB</v>
          </cell>
          <cell r="AF15605">
            <v>0.2</v>
          </cell>
        </row>
        <row r="15606">
          <cell r="A15606" t="str">
            <v>IS_alqt_plus</v>
          </cell>
          <cell r="K15606" t="str">
            <v>PCOQ</v>
          </cell>
          <cell r="M15606" t="str">
            <v>F</v>
          </cell>
          <cell r="AB15606" t="str">
            <v>WB</v>
          </cell>
          <cell r="AF15606">
            <v>0.4</v>
          </cell>
        </row>
        <row r="15607">
          <cell r="A15607" t="str">
            <v>IS_alqt_plus</v>
          </cell>
          <cell r="K15607" t="str">
            <v>PCOQ</v>
          </cell>
          <cell r="M15607" t="str">
            <v>F</v>
          </cell>
          <cell r="AB15607" t="str">
            <v>WB</v>
          </cell>
          <cell r="AF15607">
            <v>0.4</v>
          </cell>
        </row>
        <row r="15608">
          <cell r="A15608" t="str">
            <v>IS_alqt_plus</v>
          </cell>
          <cell r="K15608" t="str">
            <v>PCOQ</v>
          </cell>
          <cell r="M15608" t="str">
            <v>F</v>
          </cell>
          <cell r="AB15608" t="str">
            <v>WB</v>
          </cell>
          <cell r="AF15608">
            <v>0.4</v>
          </cell>
        </row>
        <row r="15609">
          <cell r="A15609" t="str">
            <v>IS_alqt_plus</v>
          </cell>
          <cell r="K15609" t="str">
            <v>PCOQ</v>
          </cell>
          <cell r="M15609" t="str">
            <v>F</v>
          </cell>
          <cell r="AB15609" t="str">
            <v>WB</v>
          </cell>
          <cell r="AF15609">
            <v>0.6</v>
          </cell>
        </row>
        <row r="15610">
          <cell r="A15610" t="str">
            <v>IS_alqt_plus</v>
          </cell>
          <cell r="K15610" t="str">
            <v>PCOQ</v>
          </cell>
          <cell r="M15610" t="str">
            <v>F</v>
          </cell>
          <cell r="AB15610" t="str">
            <v>serum</v>
          </cell>
          <cell r="AF15610">
            <v>1</v>
          </cell>
        </row>
        <row r="15611">
          <cell r="A15611" t="str">
            <v>IS_alqt_plus</v>
          </cell>
          <cell r="K15611" t="str">
            <v>PCOQ</v>
          </cell>
          <cell r="M15611" t="str">
            <v>F</v>
          </cell>
          <cell r="AB15611" t="str">
            <v>serum</v>
          </cell>
          <cell r="AF15611">
            <v>0.2</v>
          </cell>
        </row>
        <row r="15612">
          <cell r="A15612" t="str">
            <v>IS_alqt_minus</v>
          </cell>
          <cell r="K15612" t="str">
            <v>CMED</v>
          </cell>
          <cell r="M15612" t="str">
            <v>M</v>
          </cell>
          <cell r="AB15612" t="str">
            <v>plasma</v>
          </cell>
          <cell r="AF15612">
            <v>0.1</v>
          </cell>
        </row>
        <row r="15613">
          <cell r="K15613" t="e">
            <v>#N/A</v>
          </cell>
          <cell r="M15613" t="e">
            <v>#N/A</v>
          </cell>
        </row>
        <row r="15614">
          <cell r="K15614" t="e">
            <v>#N/A</v>
          </cell>
          <cell r="M15614" t="e">
            <v>#N/A</v>
          </cell>
        </row>
        <row r="15615">
          <cell r="K15615" t="e">
            <v>#N/A</v>
          </cell>
          <cell r="M15615" t="e">
            <v>#N/A</v>
          </cell>
        </row>
        <row r="15616">
          <cell r="K15616" t="e">
            <v>#N/A</v>
          </cell>
          <cell r="M15616" t="e">
            <v>#N/A</v>
          </cell>
        </row>
        <row r="15617">
          <cell r="K15617" t="e">
            <v>#N/A</v>
          </cell>
          <cell r="M15617" t="e">
            <v>#N/A</v>
          </cell>
        </row>
        <row r="15618">
          <cell r="K15618" t="e">
            <v>#N/A</v>
          </cell>
          <cell r="M15618" t="e">
            <v>#N/A</v>
          </cell>
        </row>
        <row r="15619">
          <cell r="K15619" t="e">
            <v>#N/A</v>
          </cell>
          <cell r="M15619" t="e">
            <v>#N/A</v>
          </cell>
        </row>
        <row r="15620">
          <cell r="K15620" t="e">
            <v>#N/A</v>
          </cell>
          <cell r="M15620" t="e">
            <v>#N/A</v>
          </cell>
        </row>
        <row r="15621">
          <cell r="K15621" t="e">
            <v>#N/A</v>
          </cell>
          <cell r="M15621" t="e">
            <v>#N/A</v>
          </cell>
        </row>
        <row r="15622">
          <cell r="K15622" t="e">
            <v>#N/A</v>
          </cell>
          <cell r="M15622" t="e">
            <v>#N/A</v>
          </cell>
        </row>
        <row r="15623">
          <cell r="K15623" t="e">
            <v>#N/A</v>
          </cell>
          <cell r="M15623" t="e">
            <v>#N/A</v>
          </cell>
        </row>
        <row r="15624">
          <cell r="K15624" t="e">
            <v>#N/A</v>
          </cell>
          <cell r="M15624" t="e">
            <v>#N/A</v>
          </cell>
        </row>
        <row r="15625">
          <cell r="K15625" t="e">
            <v>#N/A</v>
          </cell>
          <cell r="M15625" t="e">
            <v>#N/A</v>
          </cell>
        </row>
        <row r="15626">
          <cell r="K15626" t="e">
            <v>#N/A</v>
          </cell>
          <cell r="M15626" t="e">
            <v>#N/A</v>
          </cell>
        </row>
        <row r="15627">
          <cell r="K15627" t="e">
            <v>#N/A</v>
          </cell>
          <cell r="M15627" t="e">
            <v>#N/A</v>
          </cell>
        </row>
        <row r="15628">
          <cell r="K15628" t="e">
            <v>#N/A</v>
          </cell>
          <cell r="M15628" t="e">
            <v>#N/A</v>
          </cell>
        </row>
        <row r="15629">
          <cell r="K15629" t="e">
            <v>#N/A</v>
          </cell>
          <cell r="M15629" t="e">
            <v>#N/A</v>
          </cell>
        </row>
        <row r="15630">
          <cell r="K15630" t="e">
            <v>#N/A</v>
          </cell>
          <cell r="M15630" t="e">
            <v>#N/A</v>
          </cell>
        </row>
        <row r="15631">
          <cell r="K15631" t="e">
            <v>#N/A</v>
          </cell>
          <cell r="M15631" t="e">
            <v>#N/A</v>
          </cell>
        </row>
        <row r="15632">
          <cell r="K15632" t="e">
            <v>#N/A</v>
          </cell>
          <cell r="M15632" t="e">
            <v>#N/A</v>
          </cell>
        </row>
        <row r="15633">
          <cell r="K15633" t="e">
            <v>#N/A</v>
          </cell>
          <cell r="M15633" t="e">
            <v>#N/A</v>
          </cell>
        </row>
        <row r="15634">
          <cell r="K15634" t="e">
            <v>#N/A</v>
          </cell>
          <cell r="M15634" t="e">
            <v>#N/A</v>
          </cell>
        </row>
        <row r="15635">
          <cell r="K15635" t="e">
            <v>#N/A</v>
          </cell>
          <cell r="M15635" t="e">
            <v>#N/A</v>
          </cell>
        </row>
        <row r="15636">
          <cell r="K15636" t="e">
            <v>#N/A</v>
          </cell>
          <cell r="M15636" t="e">
            <v>#N/A</v>
          </cell>
        </row>
        <row r="15637">
          <cell r="K15637" t="e">
            <v>#N/A</v>
          </cell>
          <cell r="M15637" t="e">
            <v>#N/A</v>
          </cell>
        </row>
        <row r="15638">
          <cell r="K15638" t="e">
            <v>#N/A</v>
          </cell>
          <cell r="M15638" t="e">
            <v>#N/A</v>
          </cell>
        </row>
        <row r="15639">
          <cell r="K15639" t="e">
            <v>#N/A</v>
          </cell>
          <cell r="M15639" t="e">
            <v>#N/A</v>
          </cell>
        </row>
        <row r="15640">
          <cell r="K15640" t="e">
            <v>#N/A</v>
          </cell>
          <cell r="M15640" t="e">
            <v>#N/A</v>
          </cell>
        </row>
        <row r="15641">
          <cell r="K15641" t="e">
            <v>#N/A</v>
          </cell>
          <cell r="M15641" t="e">
            <v>#N/A</v>
          </cell>
        </row>
        <row r="15642">
          <cell r="K15642" t="e">
            <v>#N/A</v>
          </cell>
          <cell r="M15642" t="e">
            <v>#N/A</v>
          </cell>
        </row>
        <row r="15643">
          <cell r="K15643" t="e">
            <v>#N/A</v>
          </cell>
          <cell r="M15643" t="e">
            <v>#N/A</v>
          </cell>
        </row>
        <row r="15644">
          <cell r="K15644" t="e">
            <v>#N/A</v>
          </cell>
          <cell r="M15644" t="e">
            <v>#N/A</v>
          </cell>
        </row>
        <row r="15645">
          <cell r="K15645" t="e">
            <v>#N/A</v>
          </cell>
          <cell r="M15645" t="e">
            <v>#N/A</v>
          </cell>
        </row>
        <row r="15646">
          <cell r="K15646" t="e">
            <v>#N/A</v>
          </cell>
          <cell r="M15646" t="e">
            <v>#N/A</v>
          </cell>
        </row>
        <row r="15647">
          <cell r="K15647" t="e">
            <v>#N/A</v>
          </cell>
          <cell r="M15647" t="e">
            <v>#N/A</v>
          </cell>
        </row>
        <row r="15648">
          <cell r="K15648" t="e">
            <v>#N/A</v>
          </cell>
          <cell r="M15648" t="e">
            <v>#N/A</v>
          </cell>
        </row>
        <row r="15649">
          <cell r="K15649" t="e">
            <v>#N/A</v>
          </cell>
          <cell r="M15649" t="e">
            <v>#N/A</v>
          </cell>
        </row>
        <row r="15650">
          <cell r="K15650" t="e">
            <v>#N/A</v>
          </cell>
          <cell r="M15650" t="e">
            <v>#N/A</v>
          </cell>
        </row>
        <row r="15651">
          <cell r="K15651" t="e">
            <v>#N/A</v>
          </cell>
          <cell r="M15651" t="e">
            <v>#N/A</v>
          </cell>
        </row>
        <row r="15652">
          <cell r="K15652" t="e">
            <v>#N/A</v>
          </cell>
          <cell r="M15652" t="e">
            <v>#N/A</v>
          </cell>
        </row>
        <row r="15653">
          <cell r="K15653" t="e">
            <v>#N/A</v>
          </cell>
          <cell r="M15653" t="e">
            <v>#N/A</v>
          </cell>
        </row>
        <row r="15654">
          <cell r="K15654" t="e">
            <v>#N/A</v>
          </cell>
          <cell r="M15654" t="e">
            <v>#N/A</v>
          </cell>
        </row>
        <row r="15655">
          <cell r="K15655" t="e">
            <v>#N/A</v>
          </cell>
          <cell r="M15655" t="e">
            <v>#N/A</v>
          </cell>
        </row>
        <row r="15656">
          <cell r="K15656" t="e">
            <v>#N/A</v>
          </cell>
          <cell r="M15656" t="e">
            <v>#N/A</v>
          </cell>
        </row>
        <row r="15657">
          <cell r="K15657" t="e">
            <v>#N/A</v>
          </cell>
          <cell r="M15657" t="e">
            <v>#N/A</v>
          </cell>
        </row>
        <row r="15658">
          <cell r="K15658" t="e">
            <v>#N/A</v>
          </cell>
          <cell r="M15658" t="e">
            <v>#N/A</v>
          </cell>
        </row>
        <row r="15659">
          <cell r="K15659" t="e">
            <v>#N/A</v>
          </cell>
          <cell r="M15659" t="e">
            <v>#N/A</v>
          </cell>
        </row>
        <row r="15660">
          <cell r="K15660" t="e">
            <v>#N/A</v>
          </cell>
          <cell r="M15660" t="e">
            <v>#N/A</v>
          </cell>
        </row>
        <row r="15661">
          <cell r="K15661" t="e">
            <v>#N/A</v>
          </cell>
          <cell r="M15661" t="e">
            <v>#N/A</v>
          </cell>
        </row>
        <row r="15662">
          <cell r="K15662" t="e">
            <v>#N/A</v>
          </cell>
          <cell r="M15662" t="e">
            <v>#N/A</v>
          </cell>
        </row>
        <row r="15663">
          <cell r="K15663" t="e">
            <v>#N/A</v>
          </cell>
          <cell r="M15663" t="e">
            <v>#N/A</v>
          </cell>
        </row>
        <row r="15664">
          <cell r="K15664" t="e">
            <v>#N/A</v>
          </cell>
          <cell r="M15664" t="e">
            <v>#N/A</v>
          </cell>
        </row>
        <row r="15665">
          <cell r="K15665" t="e">
            <v>#N/A</v>
          </cell>
          <cell r="M15665" t="e">
            <v>#N/A</v>
          </cell>
        </row>
        <row r="15666">
          <cell r="K15666" t="e">
            <v>#N/A</v>
          </cell>
          <cell r="M15666" t="e">
            <v>#N/A</v>
          </cell>
        </row>
        <row r="15667">
          <cell r="K15667" t="e">
            <v>#N/A</v>
          </cell>
          <cell r="M15667" t="e">
            <v>#N/A</v>
          </cell>
        </row>
        <row r="15668">
          <cell r="K15668" t="e">
            <v>#N/A</v>
          </cell>
          <cell r="M15668" t="e">
            <v>#N/A</v>
          </cell>
        </row>
        <row r="15669">
          <cell r="K15669" t="e">
            <v>#N/A</v>
          </cell>
          <cell r="M15669" t="e">
            <v>#N/A</v>
          </cell>
        </row>
        <row r="15670">
          <cell r="K15670" t="e">
            <v>#N/A</v>
          </cell>
          <cell r="M15670" t="e">
            <v>#N/A</v>
          </cell>
        </row>
        <row r="15671">
          <cell r="K15671" t="e">
            <v>#N/A</v>
          </cell>
          <cell r="M15671" t="e">
            <v>#N/A</v>
          </cell>
        </row>
        <row r="15672">
          <cell r="K15672" t="e">
            <v>#N/A</v>
          </cell>
          <cell r="M15672" t="e">
            <v>#N/A</v>
          </cell>
        </row>
        <row r="15673">
          <cell r="K15673" t="e">
            <v>#N/A</v>
          </cell>
          <cell r="M15673" t="e">
            <v>#N/A</v>
          </cell>
        </row>
        <row r="15674">
          <cell r="K15674" t="e">
            <v>#N/A</v>
          </cell>
          <cell r="M15674" t="e">
            <v>#N/A</v>
          </cell>
        </row>
        <row r="15675">
          <cell r="K15675" t="e">
            <v>#N/A</v>
          </cell>
          <cell r="M15675" t="e">
            <v>#N/A</v>
          </cell>
        </row>
        <row r="15676">
          <cell r="K15676" t="e">
            <v>#N/A</v>
          </cell>
          <cell r="M15676" t="e">
            <v>#N/A</v>
          </cell>
        </row>
        <row r="15677">
          <cell r="K15677" t="e">
            <v>#N/A</v>
          </cell>
          <cell r="M15677" t="e">
            <v>#N/A</v>
          </cell>
        </row>
        <row r="15678">
          <cell r="K15678" t="e">
            <v>#N/A</v>
          </cell>
          <cell r="M15678" t="e">
            <v>#N/A</v>
          </cell>
        </row>
        <row r="15679">
          <cell r="K15679" t="e">
            <v>#N/A</v>
          </cell>
          <cell r="M15679" t="e">
            <v>#N/A</v>
          </cell>
        </row>
        <row r="15680">
          <cell r="K15680" t="e">
            <v>#N/A</v>
          </cell>
          <cell r="M15680" t="e">
            <v>#N/A</v>
          </cell>
        </row>
        <row r="15681">
          <cell r="K15681" t="e">
            <v>#N/A</v>
          </cell>
          <cell r="M15681" t="e">
            <v>#N/A</v>
          </cell>
        </row>
        <row r="15682">
          <cell r="K15682" t="e">
            <v>#N/A</v>
          </cell>
          <cell r="M15682" t="e">
            <v>#N/A</v>
          </cell>
        </row>
        <row r="15683">
          <cell r="K15683" t="e">
            <v>#N/A</v>
          </cell>
          <cell r="M15683" t="e">
            <v>#N/A</v>
          </cell>
        </row>
        <row r="15684">
          <cell r="K15684" t="e">
            <v>#N/A</v>
          </cell>
          <cell r="M15684" t="e">
            <v>#N/A</v>
          </cell>
        </row>
        <row r="15685">
          <cell r="K15685" t="e">
            <v>#N/A</v>
          </cell>
          <cell r="M15685" t="e">
            <v>#N/A</v>
          </cell>
        </row>
        <row r="15686">
          <cell r="K15686" t="e">
            <v>#N/A</v>
          </cell>
          <cell r="M15686" t="e">
            <v>#N/A</v>
          </cell>
        </row>
        <row r="15687">
          <cell r="K15687" t="e">
            <v>#N/A</v>
          </cell>
          <cell r="M15687" t="e">
            <v>#N/A</v>
          </cell>
        </row>
        <row r="15688">
          <cell r="K15688" t="e">
            <v>#N/A</v>
          </cell>
          <cell r="M15688" t="e">
            <v>#N/A</v>
          </cell>
        </row>
        <row r="15689">
          <cell r="K15689" t="e">
            <v>#N/A</v>
          </cell>
          <cell r="M15689" t="e">
            <v>#N/A</v>
          </cell>
        </row>
        <row r="15690">
          <cell r="K15690" t="e">
            <v>#N/A</v>
          </cell>
          <cell r="M15690" t="e">
            <v>#N/A</v>
          </cell>
        </row>
        <row r="15691">
          <cell r="K15691" t="e">
            <v>#N/A</v>
          </cell>
          <cell r="M15691" t="e">
            <v>#N/A</v>
          </cell>
        </row>
        <row r="15692">
          <cell r="K15692" t="e">
            <v>#N/A</v>
          </cell>
          <cell r="M15692" t="e">
            <v>#N/A</v>
          </cell>
        </row>
        <row r="15693">
          <cell r="K15693" t="e">
            <v>#N/A</v>
          </cell>
          <cell r="M15693" t="e">
            <v>#N/A</v>
          </cell>
        </row>
        <row r="15694">
          <cell r="K15694" t="e">
            <v>#N/A</v>
          </cell>
          <cell r="M15694" t="e">
            <v>#N/A</v>
          </cell>
        </row>
        <row r="15695">
          <cell r="K15695" t="e">
            <v>#N/A</v>
          </cell>
          <cell r="M15695" t="e">
            <v>#N/A</v>
          </cell>
        </row>
        <row r="15696">
          <cell r="K15696" t="e">
            <v>#N/A</v>
          </cell>
          <cell r="M15696" t="e">
            <v>#N/A</v>
          </cell>
        </row>
        <row r="15697">
          <cell r="K15697" t="e">
            <v>#N/A</v>
          </cell>
          <cell r="M15697" t="e">
            <v>#N/A</v>
          </cell>
        </row>
        <row r="15698">
          <cell r="K15698" t="e">
            <v>#N/A</v>
          </cell>
          <cell r="M15698" t="e">
            <v>#N/A</v>
          </cell>
        </row>
        <row r="15699">
          <cell r="K15699" t="e">
            <v>#N/A</v>
          </cell>
          <cell r="M15699" t="e">
            <v>#N/A</v>
          </cell>
        </row>
        <row r="15700">
          <cell r="K15700" t="e">
            <v>#N/A</v>
          </cell>
          <cell r="M15700" t="e">
            <v>#N/A</v>
          </cell>
        </row>
        <row r="15701">
          <cell r="K15701" t="e">
            <v>#N/A</v>
          </cell>
          <cell r="M15701" t="e">
            <v>#N/A</v>
          </cell>
        </row>
        <row r="15702">
          <cell r="K15702" t="e">
            <v>#N/A</v>
          </cell>
          <cell r="M15702" t="e">
            <v>#N/A</v>
          </cell>
        </row>
        <row r="15703">
          <cell r="K15703" t="e">
            <v>#N/A</v>
          </cell>
          <cell r="M15703" t="e">
            <v>#N/A</v>
          </cell>
        </row>
        <row r="15704">
          <cell r="K15704" t="e">
            <v>#N/A</v>
          </cell>
          <cell r="M15704" t="e">
            <v>#N/A</v>
          </cell>
        </row>
        <row r="15705">
          <cell r="K15705" t="e">
            <v>#N/A</v>
          </cell>
          <cell r="M15705" t="e">
            <v>#N/A</v>
          </cell>
        </row>
        <row r="15706">
          <cell r="K15706" t="e">
            <v>#N/A</v>
          </cell>
          <cell r="M15706" t="e">
            <v>#N/A</v>
          </cell>
        </row>
        <row r="15707">
          <cell r="K15707" t="e">
            <v>#N/A</v>
          </cell>
          <cell r="M15707" t="e">
            <v>#N/A</v>
          </cell>
        </row>
      </sheetData>
      <sheetData sheetId="1">
        <row r="1">
          <cell r="A1" t="str">
            <v>Filter</v>
          </cell>
          <cell r="K1" t="str">
            <v>Species</v>
          </cell>
          <cell r="M1" t="str">
            <v>Sex</v>
          </cell>
          <cell r="AB1" t="str">
            <v>Sample Type</v>
          </cell>
        </row>
        <row r="2">
          <cell r="A2" t="str">
            <v>in storage</v>
          </cell>
          <cell r="K2" t="str">
            <v>LTAR</v>
          </cell>
          <cell r="M2" t="str">
            <v>F</v>
          </cell>
          <cell r="AB2" t="str">
            <v>Feces</v>
          </cell>
        </row>
        <row r="3">
          <cell r="A3" t="str">
            <v>unk</v>
          </cell>
          <cell r="K3" t="str">
            <v>LTAR</v>
          </cell>
          <cell r="M3" t="str">
            <v>F</v>
          </cell>
          <cell r="AB3" t="str">
            <v>Feces</v>
          </cell>
        </row>
        <row r="4">
          <cell r="A4" t="str">
            <v>in storage</v>
          </cell>
          <cell r="K4" t="str">
            <v>LTAR</v>
          </cell>
          <cell r="M4" t="str">
            <v>F</v>
          </cell>
          <cell r="AB4" t="str">
            <v>Feces</v>
          </cell>
        </row>
        <row r="5">
          <cell r="A5" t="str">
            <v>in storage</v>
          </cell>
          <cell r="K5" t="str">
            <v>PCOQ</v>
          </cell>
          <cell r="M5" t="str">
            <v>F</v>
          </cell>
          <cell r="AB5" t="str">
            <v>Feces</v>
          </cell>
        </row>
        <row r="6">
          <cell r="A6" t="str">
            <v>in storage</v>
          </cell>
          <cell r="K6" t="str">
            <v>PCOQ</v>
          </cell>
          <cell r="M6" t="str">
            <v>F</v>
          </cell>
          <cell r="AB6" t="str">
            <v>Feces</v>
          </cell>
        </row>
        <row r="7">
          <cell r="A7" t="str">
            <v>in storage</v>
          </cell>
          <cell r="K7" t="str">
            <v>PCOQ</v>
          </cell>
          <cell r="M7" t="str">
            <v>F</v>
          </cell>
          <cell r="AB7" t="str">
            <v>Fecal swab</v>
          </cell>
        </row>
        <row r="8">
          <cell r="A8" t="str">
            <v>in storage</v>
          </cell>
          <cell r="K8" t="str">
            <v>PCOQ</v>
          </cell>
          <cell r="M8" t="str">
            <v>F</v>
          </cell>
          <cell r="AB8" t="str">
            <v>Fecal swab</v>
          </cell>
        </row>
        <row r="9">
          <cell r="A9" t="str">
            <v>in storage</v>
          </cell>
          <cell r="K9" t="str">
            <v>PCOQ</v>
          </cell>
          <cell r="M9" t="str">
            <v>F</v>
          </cell>
          <cell r="AB9" t="str">
            <v>Feces</v>
          </cell>
        </row>
        <row r="10">
          <cell r="A10" t="str">
            <v>in storage</v>
          </cell>
          <cell r="K10" t="str">
            <v>PCOQ</v>
          </cell>
          <cell r="M10" t="str">
            <v>F</v>
          </cell>
          <cell r="AB10" t="str">
            <v>Feces</v>
          </cell>
        </row>
        <row r="11">
          <cell r="A11" t="str">
            <v>in storage</v>
          </cell>
          <cell r="K11" t="str">
            <v>PCOQ</v>
          </cell>
          <cell r="M11" t="str">
            <v>F</v>
          </cell>
          <cell r="AB11" t="str">
            <v>Feces</v>
          </cell>
        </row>
        <row r="12">
          <cell r="A12" t="str">
            <v>in storage</v>
          </cell>
          <cell r="K12" t="str">
            <v>PCOQ</v>
          </cell>
          <cell r="M12" t="str">
            <v>F</v>
          </cell>
          <cell r="AB12" t="str">
            <v>Feces</v>
          </cell>
        </row>
        <row r="13">
          <cell r="A13" t="str">
            <v>in storage</v>
          </cell>
          <cell r="K13" t="str">
            <v>PCOQ</v>
          </cell>
          <cell r="M13" t="str">
            <v>F</v>
          </cell>
          <cell r="AB13" t="str">
            <v>Fecal swab</v>
          </cell>
        </row>
        <row r="14">
          <cell r="A14" t="str">
            <v>in storage</v>
          </cell>
          <cell r="K14" t="str">
            <v>PCOQ</v>
          </cell>
          <cell r="M14" t="str">
            <v>F</v>
          </cell>
          <cell r="AB14" t="str">
            <v>Feces</v>
          </cell>
        </row>
        <row r="15">
          <cell r="A15" t="str">
            <v>in storage</v>
          </cell>
          <cell r="K15" t="str">
            <v>PCOQ</v>
          </cell>
          <cell r="M15" t="str">
            <v>F</v>
          </cell>
          <cell r="AB15" t="str">
            <v>Feces</v>
          </cell>
        </row>
        <row r="16">
          <cell r="A16" t="str">
            <v>in storage</v>
          </cell>
          <cell r="K16" t="str">
            <v>PCOQ</v>
          </cell>
          <cell r="M16" t="str">
            <v>F</v>
          </cell>
          <cell r="AB16" t="str">
            <v>Fecal swab</v>
          </cell>
        </row>
        <row r="17">
          <cell r="A17" t="str">
            <v>in storage</v>
          </cell>
          <cell r="K17" t="str">
            <v>PCOQ</v>
          </cell>
          <cell r="M17" t="str">
            <v>F</v>
          </cell>
          <cell r="AB17" t="str">
            <v>Feces</v>
          </cell>
        </row>
        <row r="18">
          <cell r="A18" t="str">
            <v>in storage</v>
          </cell>
          <cell r="K18" t="str">
            <v>PCOQ</v>
          </cell>
          <cell r="M18" t="str">
            <v>F</v>
          </cell>
          <cell r="AB18" t="str">
            <v>Feces</v>
          </cell>
        </row>
        <row r="19">
          <cell r="A19" t="str">
            <v>unk</v>
          </cell>
          <cell r="K19" t="str">
            <v>PTAT</v>
          </cell>
          <cell r="M19" t="str">
            <v>M</v>
          </cell>
          <cell r="AB19" t="str">
            <v>Feces</v>
          </cell>
        </row>
        <row r="20">
          <cell r="A20" t="str">
            <v>in storage</v>
          </cell>
          <cell r="K20" t="str">
            <v>VVV</v>
          </cell>
          <cell r="M20" t="str">
            <v>M</v>
          </cell>
          <cell r="AB20" t="str">
            <v>Fecal swab</v>
          </cell>
        </row>
        <row r="21">
          <cell r="A21" t="str">
            <v>in storage</v>
          </cell>
          <cell r="K21" t="str">
            <v>VVV</v>
          </cell>
          <cell r="M21" t="str">
            <v>M</v>
          </cell>
          <cell r="AB21" t="str">
            <v>Fecal swab</v>
          </cell>
        </row>
        <row r="22">
          <cell r="A22" t="str">
            <v>in storage</v>
          </cell>
          <cell r="K22" t="str">
            <v>VVV</v>
          </cell>
          <cell r="M22" t="str">
            <v>M</v>
          </cell>
          <cell r="AB22" t="str">
            <v>Fecal swab</v>
          </cell>
        </row>
        <row r="23">
          <cell r="A23" t="str">
            <v>in storage</v>
          </cell>
          <cell r="K23" t="str">
            <v>VVV</v>
          </cell>
          <cell r="M23" t="str">
            <v>M</v>
          </cell>
          <cell r="AB23" t="str">
            <v>Fecal swab</v>
          </cell>
        </row>
        <row r="24">
          <cell r="A24" t="str">
            <v>in storage</v>
          </cell>
          <cell r="K24" t="str">
            <v>VVV</v>
          </cell>
          <cell r="M24" t="str">
            <v>M</v>
          </cell>
          <cell r="AB24" t="str">
            <v>Fecal swab</v>
          </cell>
        </row>
        <row r="25">
          <cell r="A25" t="str">
            <v>in storage</v>
          </cell>
          <cell r="K25" t="str">
            <v>VVV</v>
          </cell>
          <cell r="M25" t="str">
            <v>M</v>
          </cell>
          <cell r="AB25" t="str">
            <v>Fecal swab</v>
          </cell>
        </row>
        <row r="26">
          <cell r="A26" t="str">
            <v>in storage</v>
          </cell>
          <cell r="K26" t="str">
            <v>VVV</v>
          </cell>
          <cell r="M26" t="str">
            <v>M</v>
          </cell>
          <cell r="AB26" t="str">
            <v>Feces</v>
          </cell>
        </row>
        <row r="27">
          <cell r="A27" t="str">
            <v>in storage</v>
          </cell>
          <cell r="K27" t="str">
            <v>LCAT</v>
          </cell>
          <cell r="M27" t="str">
            <v>F</v>
          </cell>
          <cell r="AB27" t="str">
            <v>Feces</v>
          </cell>
        </row>
        <row r="28">
          <cell r="A28" t="str">
            <v>unk</v>
          </cell>
          <cell r="K28" t="str">
            <v>PCOQ</v>
          </cell>
          <cell r="M28" t="str">
            <v>F</v>
          </cell>
          <cell r="AB28" t="str">
            <v>Feces</v>
          </cell>
        </row>
        <row r="29">
          <cell r="A29" t="str">
            <v>gone</v>
          </cell>
          <cell r="K29" t="str">
            <v>ECOL</v>
          </cell>
          <cell r="M29" t="str">
            <v>M</v>
          </cell>
          <cell r="AB29" t="str">
            <v>Feces</v>
          </cell>
        </row>
        <row r="30">
          <cell r="A30" t="str">
            <v>in storage</v>
          </cell>
          <cell r="K30" t="str">
            <v>VVV</v>
          </cell>
          <cell r="M30" t="str">
            <v>M</v>
          </cell>
          <cell r="AB30" t="str">
            <v>Fecal swab</v>
          </cell>
        </row>
        <row r="31">
          <cell r="A31" t="str">
            <v>in storage</v>
          </cell>
          <cell r="K31" t="str">
            <v>DMAD</v>
          </cell>
          <cell r="M31" t="str">
            <v>F</v>
          </cell>
          <cell r="AB31" t="str">
            <v>Feces</v>
          </cell>
        </row>
        <row r="32">
          <cell r="A32" t="str">
            <v>in storage</v>
          </cell>
          <cell r="K32" t="str">
            <v>DMAD</v>
          </cell>
          <cell r="M32" t="str">
            <v>F</v>
          </cell>
          <cell r="AB32" t="str">
            <v>Feces</v>
          </cell>
        </row>
        <row r="33">
          <cell r="A33" t="str">
            <v>unk</v>
          </cell>
          <cell r="K33" t="str">
            <v>LTAR</v>
          </cell>
          <cell r="M33" t="str">
            <v>M</v>
          </cell>
          <cell r="AB33" t="str">
            <v>Feces</v>
          </cell>
        </row>
        <row r="34">
          <cell r="A34" t="str">
            <v>in storage</v>
          </cell>
          <cell r="K34" t="str">
            <v>PCOQ</v>
          </cell>
          <cell r="M34" t="str">
            <v>F</v>
          </cell>
          <cell r="AB34" t="str">
            <v>Feces</v>
          </cell>
        </row>
        <row r="35">
          <cell r="A35" t="str">
            <v>in storage</v>
          </cell>
          <cell r="K35" t="str">
            <v>PCOQ</v>
          </cell>
          <cell r="M35" t="str">
            <v>F</v>
          </cell>
          <cell r="AB35" t="str">
            <v>Fecal swab</v>
          </cell>
        </row>
        <row r="36">
          <cell r="A36" t="str">
            <v>in storage</v>
          </cell>
          <cell r="K36" t="str">
            <v>PCOQ</v>
          </cell>
          <cell r="M36" t="str">
            <v>F</v>
          </cell>
          <cell r="AB36" t="str">
            <v>Feces</v>
          </cell>
        </row>
        <row r="37">
          <cell r="A37" t="str">
            <v>in storage</v>
          </cell>
          <cell r="K37" t="str">
            <v>PCOQ</v>
          </cell>
          <cell r="M37" t="str">
            <v>F</v>
          </cell>
          <cell r="AB37" t="str">
            <v>Feces</v>
          </cell>
        </row>
        <row r="38">
          <cell r="A38" t="str">
            <v>in storage</v>
          </cell>
          <cell r="K38" t="str">
            <v>PCOQ</v>
          </cell>
          <cell r="M38" t="str">
            <v>F</v>
          </cell>
          <cell r="AB38" t="str">
            <v>Feces</v>
          </cell>
        </row>
        <row r="39">
          <cell r="A39" t="str">
            <v>in storage</v>
          </cell>
          <cell r="K39" t="str">
            <v>PCOQ</v>
          </cell>
          <cell r="M39" t="str">
            <v>F</v>
          </cell>
          <cell r="AB39" t="str">
            <v>Fecal swab</v>
          </cell>
        </row>
        <row r="40">
          <cell r="A40" t="str">
            <v>in storage</v>
          </cell>
          <cell r="K40" t="str">
            <v>PCOQ</v>
          </cell>
          <cell r="M40" t="str">
            <v>F</v>
          </cell>
          <cell r="AB40" t="str">
            <v>Fecal swab</v>
          </cell>
        </row>
        <row r="41">
          <cell r="A41" t="str">
            <v>in storage</v>
          </cell>
          <cell r="K41" t="str">
            <v>PCOQ</v>
          </cell>
          <cell r="M41" t="str">
            <v>F</v>
          </cell>
          <cell r="AB41" t="str">
            <v>Feces</v>
          </cell>
        </row>
        <row r="42">
          <cell r="A42" t="str">
            <v>in storage</v>
          </cell>
          <cell r="K42" t="str">
            <v>PCOQ</v>
          </cell>
          <cell r="M42" t="str">
            <v>F</v>
          </cell>
          <cell r="AB42" t="str">
            <v>Feces</v>
          </cell>
        </row>
        <row r="43">
          <cell r="A43" t="str">
            <v>in storage</v>
          </cell>
          <cell r="K43" t="str">
            <v>PCOQ</v>
          </cell>
          <cell r="M43" t="str">
            <v>F</v>
          </cell>
          <cell r="AB43" t="str">
            <v>Feces</v>
          </cell>
        </row>
        <row r="44">
          <cell r="A44" t="str">
            <v>in storage</v>
          </cell>
          <cell r="K44" t="str">
            <v>PCOQ</v>
          </cell>
          <cell r="M44" t="str">
            <v>F</v>
          </cell>
          <cell r="AB44" t="str">
            <v>Feces</v>
          </cell>
        </row>
        <row r="45">
          <cell r="A45" t="str">
            <v>in storage</v>
          </cell>
          <cell r="K45" t="str">
            <v>PCOQ</v>
          </cell>
          <cell r="M45" t="str">
            <v>F</v>
          </cell>
          <cell r="AB45" t="str">
            <v>Feces</v>
          </cell>
        </row>
        <row r="46">
          <cell r="A46" t="str">
            <v>in storage</v>
          </cell>
          <cell r="K46" t="str">
            <v>ECOR</v>
          </cell>
          <cell r="M46" t="str">
            <v>F</v>
          </cell>
          <cell r="AB46" t="str">
            <v>Feces</v>
          </cell>
        </row>
        <row r="47">
          <cell r="A47" t="str">
            <v>in storage</v>
          </cell>
          <cell r="K47" t="str">
            <v>ECOR</v>
          </cell>
          <cell r="M47" t="str">
            <v>F</v>
          </cell>
          <cell r="AB47" t="str">
            <v>Feces</v>
          </cell>
        </row>
        <row r="48">
          <cell r="A48" t="str">
            <v>unk</v>
          </cell>
          <cell r="K48" t="str">
            <v>LTAR</v>
          </cell>
          <cell r="M48" t="str">
            <v>F</v>
          </cell>
          <cell r="AB48" t="str">
            <v>Feces</v>
          </cell>
        </row>
        <row r="49">
          <cell r="A49" t="str">
            <v>in storage</v>
          </cell>
          <cell r="K49" t="str">
            <v>CMED</v>
          </cell>
          <cell r="M49" t="str">
            <v>M</v>
          </cell>
          <cell r="AB49" t="str">
            <v>Feces</v>
          </cell>
        </row>
        <row r="50">
          <cell r="A50" t="str">
            <v>in storage</v>
          </cell>
          <cell r="K50" t="str">
            <v>GMOH</v>
          </cell>
          <cell r="M50" t="str">
            <v>M</v>
          </cell>
          <cell r="AB50" t="str">
            <v>Feces</v>
          </cell>
        </row>
        <row r="51">
          <cell r="A51" t="str">
            <v>unk</v>
          </cell>
          <cell r="K51" t="str">
            <v>MMUR</v>
          </cell>
          <cell r="M51" t="str">
            <v>F</v>
          </cell>
          <cell r="AB51" t="str">
            <v>Feces</v>
          </cell>
        </row>
        <row r="52">
          <cell r="A52" t="str">
            <v>unk</v>
          </cell>
          <cell r="K52" t="str">
            <v>PCOQ</v>
          </cell>
          <cell r="M52" t="str">
            <v>F</v>
          </cell>
          <cell r="AB52" t="str">
            <v>Feces</v>
          </cell>
        </row>
        <row r="53">
          <cell r="A53" t="str">
            <v>unk</v>
          </cell>
          <cell r="K53" t="str">
            <v>PCOQ</v>
          </cell>
          <cell r="M53" t="str">
            <v>F</v>
          </cell>
          <cell r="AB53" t="str">
            <v>Feces</v>
          </cell>
        </row>
        <row r="54">
          <cell r="A54" t="str">
            <v>in storage</v>
          </cell>
          <cell r="K54" t="str">
            <v>PCOQ</v>
          </cell>
          <cell r="M54" t="str">
            <v>F</v>
          </cell>
          <cell r="AB54" t="str">
            <v>Feces</v>
          </cell>
        </row>
        <row r="55">
          <cell r="A55" t="str">
            <v>in storage</v>
          </cell>
          <cell r="K55" t="str">
            <v>PCOQ</v>
          </cell>
          <cell r="M55" t="str">
            <v>F</v>
          </cell>
          <cell r="AB55" t="str">
            <v>Feces</v>
          </cell>
        </row>
        <row r="56">
          <cell r="A56" t="str">
            <v>unk</v>
          </cell>
          <cell r="K56" t="str">
            <v>HGG</v>
          </cell>
          <cell r="M56" t="str">
            <v>M</v>
          </cell>
          <cell r="AB56" t="str">
            <v>Feces</v>
          </cell>
        </row>
        <row r="57">
          <cell r="A57" t="str">
            <v>in storage</v>
          </cell>
          <cell r="K57" t="str">
            <v>HGG</v>
          </cell>
          <cell r="M57" t="str">
            <v>M</v>
          </cell>
          <cell r="AB57" t="str">
            <v>Feces</v>
          </cell>
        </row>
        <row r="58">
          <cell r="A58" t="str">
            <v>in storage</v>
          </cell>
          <cell r="K58" t="str">
            <v>HGG</v>
          </cell>
          <cell r="M58" t="str">
            <v>M</v>
          </cell>
          <cell r="AB58" t="str">
            <v>Feces</v>
          </cell>
        </row>
        <row r="59">
          <cell r="A59" t="str">
            <v>unk</v>
          </cell>
          <cell r="K59" t="str">
            <v>HGG</v>
          </cell>
          <cell r="M59" t="str">
            <v>M</v>
          </cell>
          <cell r="AB59" t="str">
            <v>Feces</v>
          </cell>
        </row>
        <row r="60">
          <cell r="A60" t="str">
            <v>unk</v>
          </cell>
          <cell r="K60" t="str">
            <v>HGG</v>
          </cell>
          <cell r="M60" t="str">
            <v>M</v>
          </cell>
          <cell r="AB60" t="str">
            <v>Feces</v>
          </cell>
        </row>
        <row r="61">
          <cell r="A61" t="str">
            <v>in storage</v>
          </cell>
          <cell r="K61" t="str">
            <v>HGG</v>
          </cell>
          <cell r="M61" t="str">
            <v>M</v>
          </cell>
          <cell r="AB61" t="str">
            <v>Feces</v>
          </cell>
        </row>
        <row r="62">
          <cell r="A62" t="str">
            <v>in storage</v>
          </cell>
          <cell r="K62" t="str">
            <v>HGG</v>
          </cell>
          <cell r="M62" t="str">
            <v>M</v>
          </cell>
          <cell r="AB62" t="str">
            <v>Feces</v>
          </cell>
        </row>
        <row r="63">
          <cell r="A63" t="str">
            <v>in storage</v>
          </cell>
          <cell r="K63" t="str">
            <v>HGG</v>
          </cell>
          <cell r="M63" t="str">
            <v>M</v>
          </cell>
          <cell r="AB63" t="str">
            <v>Feces</v>
          </cell>
        </row>
        <row r="64">
          <cell r="A64" t="str">
            <v>in storage</v>
          </cell>
          <cell r="K64" t="str">
            <v>HGG</v>
          </cell>
          <cell r="M64" t="str">
            <v>M</v>
          </cell>
          <cell r="AB64" t="str">
            <v>Feces</v>
          </cell>
        </row>
        <row r="65">
          <cell r="A65" t="str">
            <v>in storage</v>
          </cell>
          <cell r="K65" t="str">
            <v>HGG</v>
          </cell>
          <cell r="M65" t="str">
            <v>M</v>
          </cell>
          <cell r="AB65" t="str">
            <v>Feces</v>
          </cell>
        </row>
        <row r="66">
          <cell r="A66" t="str">
            <v>in storage</v>
          </cell>
          <cell r="K66" t="str">
            <v>DMAD</v>
          </cell>
          <cell r="M66" t="str">
            <v>F</v>
          </cell>
          <cell r="AB66" t="str">
            <v>Feces</v>
          </cell>
        </row>
        <row r="67">
          <cell r="A67" t="str">
            <v>unk</v>
          </cell>
          <cell r="K67" t="str">
            <v>HGG</v>
          </cell>
          <cell r="M67" t="str">
            <v>F</v>
          </cell>
          <cell r="AB67" t="str">
            <v>Feces</v>
          </cell>
        </row>
        <row r="68">
          <cell r="A68" t="str">
            <v>in storage</v>
          </cell>
          <cell r="K68" t="str">
            <v>LCAT</v>
          </cell>
          <cell r="M68" t="str">
            <v>M</v>
          </cell>
          <cell r="AB68" t="str">
            <v>Feces</v>
          </cell>
        </row>
        <row r="69">
          <cell r="A69" t="str">
            <v>in storage</v>
          </cell>
          <cell r="K69" t="str">
            <v>PCOQ</v>
          </cell>
          <cell r="M69" t="str">
            <v>F</v>
          </cell>
          <cell r="AB69" t="str">
            <v>Fecal swab</v>
          </cell>
        </row>
        <row r="70">
          <cell r="A70" t="str">
            <v>in storage</v>
          </cell>
          <cell r="K70" t="str">
            <v>PCOQ</v>
          </cell>
          <cell r="M70" t="str">
            <v>F</v>
          </cell>
          <cell r="AB70" t="str">
            <v>Feces</v>
          </cell>
        </row>
        <row r="71">
          <cell r="A71" t="str">
            <v>in storage</v>
          </cell>
          <cell r="K71" t="str">
            <v>PCOQ</v>
          </cell>
          <cell r="M71" t="str">
            <v>F</v>
          </cell>
          <cell r="AB71" t="str">
            <v>Fecal swab</v>
          </cell>
        </row>
        <row r="72">
          <cell r="A72" t="str">
            <v>in storage</v>
          </cell>
          <cell r="K72" t="str">
            <v>PCOQ</v>
          </cell>
          <cell r="M72" t="str">
            <v>F</v>
          </cell>
          <cell r="AB72" t="str">
            <v>Fecal swab</v>
          </cell>
        </row>
        <row r="73">
          <cell r="A73" t="str">
            <v>in storage</v>
          </cell>
          <cell r="K73" t="str">
            <v>PCOQ</v>
          </cell>
          <cell r="M73" t="str">
            <v>F</v>
          </cell>
          <cell r="AB73" t="str">
            <v>Feces</v>
          </cell>
        </row>
        <row r="74">
          <cell r="A74" t="str">
            <v>in storage</v>
          </cell>
          <cell r="K74" t="str">
            <v>PCOQ</v>
          </cell>
          <cell r="M74" t="str">
            <v>F</v>
          </cell>
          <cell r="AB74" t="str">
            <v>Fecal swab</v>
          </cell>
        </row>
        <row r="75">
          <cell r="A75" t="str">
            <v>in storage</v>
          </cell>
          <cell r="K75" t="str">
            <v>PCOQ</v>
          </cell>
          <cell r="M75" t="str">
            <v>F</v>
          </cell>
          <cell r="AB75" t="str">
            <v>Fecal swab</v>
          </cell>
        </row>
        <row r="76">
          <cell r="A76" t="str">
            <v>in storage</v>
          </cell>
          <cell r="K76" t="str">
            <v>PCOQ</v>
          </cell>
          <cell r="M76" t="str">
            <v>F</v>
          </cell>
          <cell r="AB76" t="str">
            <v>Fecal swab</v>
          </cell>
        </row>
        <row r="77">
          <cell r="A77" t="str">
            <v>in storage</v>
          </cell>
          <cell r="K77" t="str">
            <v>PCOQ</v>
          </cell>
          <cell r="M77" t="str">
            <v>F</v>
          </cell>
          <cell r="AB77" t="str">
            <v>Feces</v>
          </cell>
        </row>
        <row r="78">
          <cell r="A78" t="str">
            <v>in storage</v>
          </cell>
          <cell r="K78" t="str">
            <v>PCOQ</v>
          </cell>
          <cell r="M78" t="str">
            <v>F</v>
          </cell>
          <cell r="AB78" t="str">
            <v>Feces</v>
          </cell>
        </row>
        <row r="79">
          <cell r="A79" t="str">
            <v>in storage</v>
          </cell>
          <cell r="K79" t="str">
            <v>PCOQ</v>
          </cell>
          <cell r="M79" t="str">
            <v>F</v>
          </cell>
          <cell r="AB79" t="str">
            <v>Feces</v>
          </cell>
        </row>
        <row r="80">
          <cell r="A80" t="str">
            <v>in storage</v>
          </cell>
          <cell r="K80" t="str">
            <v>PCOQ</v>
          </cell>
          <cell r="M80" t="str">
            <v>F</v>
          </cell>
          <cell r="AB80" t="str">
            <v>Feces</v>
          </cell>
        </row>
        <row r="81">
          <cell r="A81" t="str">
            <v>in storage</v>
          </cell>
          <cell r="K81" t="str">
            <v>PCOQ</v>
          </cell>
          <cell r="M81" t="str">
            <v>F</v>
          </cell>
          <cell r="AB81" t="str">
            <v>Feces</v>
          </cell>
        </row>
        <row r="82">
          <cell r="A82" t="str">
            <v>in storage</v>
          </cell>
          <cell r="K82" t="str">
            <v>PCOQ</v>
          </cell>
          <cell r="M82" t="str">
            <v>F</v>
          </cell>
          <cell r="AB82" t="str">
            <v>Feces</v>
          </cell>
        </row>
        <row r="83">
          <cell r="A83" t="str">
            <v>in storage</v>
          </cell>
          <cell r="K83" t="str">
            <v>PCOQ</v>
          </cell>
          <cell r="M83" t="str">
            <v>F</v>
          </cell>
          <cell r="AB83" t="str">
            <v>Feces</v>
          </cell>
        </row>
        <row r="84">
          <cell r="A84" t="str">
            <v>unk</v>
          </cell>
          <cell r="K84" t="str">
            <v>HGG</v>
          </cell>
          <cell r="M84" t="str">
            <v>F</v>
          </cell>
          <cell r="AB84" t="str">
            <v>Feces</v>
          </cell>
        </row>
        <row r="85">
          <cell r="A85" t="str">
            <v>unk</v>
          </cell>
          <cell r="K85" t="str">
            <v>HGG</v>
          </cell>
          <cell r="M85" t="str">
            <v>F</v>
          </cell>
          <cell r="AB85" t="str">
            <v>Feces</v>
          </cell>
        </row>
        <row r="86">
          <cell r="A86" t="str">
            <v>in storage</v>
          </cell>
          <cell r="K86" t="str">
            <v>HGG</v>
          </cell>
          <cell r="M86" t="str">
            <v>F</v>
          </cell>
          <cell r="AB86" t="str">
            <v>Feces</v>
          </cell>
        </row>
        <row r="87">
          <cell r="A87" t="str">
            <v>in storage</v>
          </cell>
          <cell r="K87" t="str">
            <v>HGG</v>
          </cell>
          <cell r="M87" t="str">
            <v>F</v>
          </cell>
          <cell r="AB87" t="str">
            <v>Feces</v>
          </cell>
        </row>
        <row r="88">
          <cell r="A88" t="str">
            <v>unk</v>
          </cell>
          <cell r="K88" t="str">
            <v>HGG</v>
          </cell>
          <cell r="M88" t="str">
            <v>F</v>
          </cell>
          <cell r="AB88" t="str">
            <v>Feces</v>
          </cell>
        </row>
        <row r="89">
          <cell r="A89" t="str">
            <v>unk</v>
          </cell>
          <cell r="K89" t="str">
            <v>HGG</v>
          </cell>
          <cell r="M89" t="str">
            <v>F</v>
          </cell>
          <cell r="AB89" t="str">
            <v>Feces</v>
          </cell>
        </row>
        <row r="90">
          <cell r="A90" t="str">
            <v>unk</v>
          </cell>
          <cell r="K90" t="str">
            <v>HGG</v>
          </cell>
          <cell r="M90" t="str">
            <v>F</v>
          </cell>
          <cell r="AB90" t="str">
            <v>Feces</v>
          </cell>
        </row>
        <row r="91">
          <cell r="A91" t="str">
            <v>in storage</v>
          </cell>
          <cell r="K91" t="str">
            <v>HGG</v>
          </cell>
          <cell r="M91" t="str">
            <v>F</v>
          </cell>
          <cell r="AB91" t="str">
            <v>Feces</v>
          </cell>
        </row>
        <row r="92">
          <cell r="A92" t="str">
            <v>unk</v>
          </cell>
          <cell r="K92" t="str">
            <v>HGG</v>
          </cell>
          <cell r="M92" t="str">
            <v>F</v>
          </cell>
          <cell r="AB92" t="str">
            <v>Feces</v>
          </cell>
        </row>
        <row r="93">
          <cell r="A93" t="str">
            <v>unk</v>
          </cell>
          <cell r="K93" t="str">
            <v>HGG</v>
          </cell>
          <cell r="M93" t="str">
            <v>F</v>
          </cell>
          <cell r="AB93" t="str">
            <v>Feces</v>
          </cell>
        </row>
        <row r="94">
          <cell r="A94" t="str">
            <v>in storage</v>
          </cell>
          <cell r="K94" t="str">
            <v>MZAZ</v>
          </cell>
          <cell r="M94" t="str">
            <v>M</v>
          </cell>
          <cell r="AB94" t="str">
            <v>Feces</v>
          </cell>
        </row>
        <row r="95">
          <cell r="A95" t="str">
            <v>in storage</v>
          </cell>
          <cell r="K95" t="str">
            <v>LCAT</v>
          </cell>
          <cell r="M95" t="str">
            <v>F</v>
          </cell>
          <cell r="AB95" t="str">
            <v>Feces</v>
          </cell>
        </row>
        <row r="96">
          <cell r="A96" t="str">
            <v>in storage</v>
          </cell>
          <cell r="K96" t="str">
            <v>NCOU</v>
          </cell>
          <cell r="M96" t="str">
            <v>M</v>
          </cell>
          <cell r="AB96" t="str">
            <v>Feces</v>
          </cell>
        </row>
        <row r="97">
          <cell r="A97" t="str">
            <v>unk</v>
          </cell>
          <cell r="K97" t="str">
            <v>NCOU</v>
          </cell>
          <cell r="M97" t="str">
            <v>M</v>
          </cell>
          <cell r="AB97" t="str">
            <v>Feces</v>
          </cell>
        </row>
        <row r="98">
          <cell r="A98" t="str">
            <v>in storage</v>
          </cell>
          <cell r="K98" t="str">
            <v>DMAD</v>
          </cell>
          <cell r="M98" t="str">
            <v>F</v>
          </cell>
          <cell r="AB98" t="str">
            <v>Feces</v>
          </cell>
        </row>
        <row r="99">
          <cell r="A99" t="str">
            <v>in storage</v>
          </cell>
          <cell r="K99" t="str">
            <v>DMAD</v>
          </cell>
          <cell r="M99" t="str">
            <v>F</v>
          </cell>
          <cell r="AB99" t="str">
            <v>Feces</v>
          </cell>
        </row>
        <row r="100">
          <cell r="A100" t="str">
            <v>in storage</v>
          </cell>
          <cell r="K100" t="str">
            <v>DMAD</v>
          </cell>
          <cell r="M100" t="str">
            <v>F</v>
          </cell>
          <cell r="AB100" t="str">
            <v>Feces</v>
          </cell>
        </row>
        <row r="101">
          <cell r="A101" t="str">
            <v>in storage</v>
          </cell>
          <cell r="K101" t="str">
            <v>DMAD</v>
          </cell>
          <cell r="M101" t="str">
            <v>F</v>
          </cell>
          <cell r="AB101" t="str">
            <v>Feces</v>
          </cell>
        </row>
        <row r="102">
          <cell r="A102" t="str">
            <v>in storage</v>
          </cell>
          <cell r="K102" t="str">
            <v>DMAD</v>
          </cell>
          <cell r="M102" t="str">
            <v>F</v>
          </cell>
          <cell r="AB102" t="str">
            <v>Feces</v>
          </cell>
        </row>
        <row r="103">
          <cell r="A103" t="str">
            <v>in storage</v>
          </cell>
          <cell r="K103" t="str">
            <v>DMAD</v>
          </cell>
          <cell r="M103" t="str">
            <v>F</v>
          </cell>
          <cell r="AB103" t="str">
            <v>Feces</v>
          </cell>
        </row>
        <row r="104">
          <cell r="A104" t="str">
            <v>in storage</v>
          </cell>
          <cell r="K104" t="str">
            <v>DMAD</v>
          </cell>
          <cell r="M104" t="str">
            <v>F</v>
          </cell>
          <cell r="AB104" t="str">
            <v>Feces</v>
          </cell>
        </row>
        <row r="105">
          <cell r="A105" t="str">
            <v>in storage</v>
          </cell>
          <cell r="K105" t="str">
            <v>DMAD</v>
          </cell>
          <cell r="M105" t="str">
            <v>F</v>
          </cell>
          <cell r="AB105" t="str">
            <v>Feces</v>
          </cell>
        </row>
        <row r="106">
          <cell r="A106" t="str">
            <v>in storage</v>
          </cell>
          <cell r="K106" t="str">
            <v>DMAD</v>
          </cell>
          <cell r="M106" t="str">
            <v>F</v>
          </cell>
          <cell r="AB106" t="str">
            <v>Feces</v>
          </cell>
        </row>
        <row r="107">
          <cell r="A107" t="str">
            <v>in storage</v>
          </cell>
          <cell r="K107" t="str">
            <v>DMAD</v>
          </cell>
          <cell r="M107" t="str">
            <v>F</v>
          </cell>
          <cell r="AB107" t="str">
            <v>Feces</v>
          </cell>
        </row>
        <row r="108">
          <cell r="A108" t="str">
            <v>in storage</v>
          </cell>
          <cell r="K108" t="str">
            <v>DMAD</v>
          </cell>
          <cell r="M108" t="str">
            <v>F</v>
          </cell>
          <cell r="AB108" t="str">
            <v>Feces</v>
          </cell>
        </row>
        <row r="109">
          <cell r="A109" t="str">
            <v>in storage</v>
          </cell>
          <cell r="K109" t="str">
            <v>DMAD</v>
          </cell>
          <cell r="M109" t="str">
            <v>F</v>
          </cell>
          <cell r="AB109" t="str">
            <v>Feces</v>
          </cell>
        </row>
        <row r="110">
          <cell r="A110" t="str">
            <v>in storage</v>
          </cell>
          <cell r="K110" t="str">
            <v>DMAD</v>
          </cell>
          <cell r="M110" t="str">
            <v>F</v>
          </cell>
          <cell r="AB110" t="str">
            <v>Feces</v>
          </cell>
        </row>
        <row r="111">
          <cell r="A111" t="str">
            <v>in storage</v>
          </cell>
          <cell r="K111" t="str">
            <v>DMAD</v>
          </cell>
          <cell r="M111" t="str">
            <v>F</v>
          </cell>
          <cell r="AB111" t="str">
            <v>Feces</v>
          </cell>
        </row>
        <row r="112">
          <cell r="A112" t="str">
            <v>in storage</v>
          </cell>
          <cell r="K112" t="str">
            <v>DMAD</v>
          </cell>
          <cell r="M112" t="str">
            <v>F</v>
          </cell>
          <cell r="AB112" t="str">
            <v>Feces</v>
          </cell>
        </row>
        <row r="113">
          <cell r="A113" t="str">
            <v>in storage</v>
          </cell>
          <cell r="K113" t="str">
            <v>DMAD</v>
          </cell>
          <cell r="M113" t="str">
            <v>F</v>
          </cell>
          <cell r="AB113" t="str">
            <v>Feces</v>
          </cell>
        </row>
        <row r="114">
          <cell r="A114" t="str">
            <v>in storage</v>
          </cell>
          <cell r="K114" t="str">
            <v>DMAD</v>
          </cell>
          <cell r="M114" t="str">
            <v>F</v>
          </cell>
          <cell r="AB114" t="str">
            <v>Feces</v>
          </cell>
        </row>
        <row r="115">
          <cell r="A115" t="str">
            <v>in storage</v>
          </cell>
          <cell r="K115" t="str">
            <v>DMAD</v>
          </cell>
          <cell r="M115" t="str">
            <v>F</v>
          </cell>
          <cell r="AB115" t="str">
            <v>Feces</v>
          </cell>
        </row>
        <row r="116">
          <cell r="A116" t="str">
            <v>in storage</v>
          </cell>
          <cell r="K116" t="str">
            <v>DMAD</v>
          </cell>
          <cell r="M116" t="str">
            <v>F</v>
          </cell>
          <cell r="AB116" t="str">
            <v>Feces</v>
          </cell>
        </row>
        <row r="117">
          <cell r="A117" t="str">
            <v>in storage</v>
          </cell>
          <cell r="K117" t="str">
            <v>DMAD</v>
          </cell>
          <cell r="M117" t="str">
            <v>F</v>
          </cell>
          <cell r="AB117" t="str">
            <v>Feces</v>
          </cell>
        </row>
        <row r="118">
          <cell r="A118" t="str">
            <v>in storage</v>
          </cell>
          <cell r="K118" t="str">
            <v>DMAD</v>
          </cell>
          <cell r="M118" t="str">
            <v>F</v>
          </cell>
          <cell r="AB118" t="str">
            <v>Feces</v>
          </cell>
        </row>
        <row r="119">
          <cell r="A119" t="str">
            <v>in storage</v>
          </cell>
          <cell r="K119" t="str">
            <v>DMAD</v>
          </cell>
          <cell r="M119" t="str">
            <v>F</v>
          </cell>
          <cell r="AB119" t="str">
            <v>Feces</v>
          </cell>
        </row>
        <row r="120">
          <cell r="A120" t="str">
            <v>in storage</v>
          </cell>
          <cell r="K120" t="str">
            <v>DMAD</v>
          </cell>
          <cell r="M120" t="str">
            <v>F</v>
          </cell>
          <cell r="AB120" t="str">
            <v>Feces</v>
          </cell>
        </row>
        <row r="121">
          <cell r="A121" t="str">
            <v>in storage</v>
          </cell>
          <cell r="K121" t="str">
            <v>DMAD</v>
          </cell>
          <cell r="M121" t="str">
            <v>F</v>
          </cell>
          <cell r="AB121" t="str">
            <v>Feces</v>
          </cell>
        </row>
        <row r="122">
          <cell r="A122" t="str">
            <v>in storage</v>
          </cell>
          <cell r="K122" t="str">
            <v>DMAD</v>
          </cell>
          <cell r="M122" t="str">
            <v>F</v>
          </cell>
          <cell r="AB122" t="str">
            <v>Feces</v>
          </cell>
        </row>
        <row r="123">
          <cell r="A123" t="str">
            <v>in storage</v>
          </cell>
          <cell r="K123" t="str">
            <v>DMAD</v>
          </cell>
          <cell r="M123" t="str">
            <v>F</v>
          </cell>
          <cell r="AB123" t="str">
            <v>Feces</v>
          </cell>
        </row>
        <row r="124">
          <cell r="A124" t="str">
            <v>in storage</v>
          </cell>
          <cell r="K124" t="str">
            <v>DMAD</v>
          </cell>
          <cell r="M124" t="str">
            <v>F</v>
          </cell>
          <cell r="AB124" t="str">
            <v>Feces</v>
          </cell>
        </row>
        <row r="125">
          <cell r="A125" t="str">
            <v>in storage</v>
          </cell>
          <cell r="K125" t="str">
            <v>DMAD</v>
          </cell>
          <cell r="M125" t="str">
            <v>F</v>
          </cell>
          <cell r="AB125" t="str">
            <v>Feces</v>
          </cell>
        </row>
        <row r="126">
          <cell r="A126" t="str">
            <v>in storage</v>
          </cell>
          <cell r="K126" t="str">
            <v>DMAD</v>
          </cell>
          <cell r="M126" t="str">
            <v>F</v>
          </cell>
          <cell r="AB126" t="str">
            <v>Feces</v>
          </cell>
        </row>
        <row r="127">
          <cell r="A127" t="str">
            <v>in storage</v>
          </cell>
          <cell r="K127" t="str">
            <v>DMAD</v>
          </cell>
          <cell r="M127" t="str">
            <v>F</v>
          </cell>
          <cell r="AB127" t="str">
            <v>Feces</v>
          </cell>
        </row>
        <row r="128">
          <cell r="A128" t="str">
            <v>in storage</v>
          </cell>
          <cell r="K128" t="str">
            <v>DMAD</v>
          </cell>
          <cell r="M128" t="str">
            <v>F</v>
          </cell>
          <cell r="AB128" t="str">
            <v>Feces</v>
          </cell>
        </row>
        <row r="129">
          <cell r="A129" t="str">
            <v>in storage</v>
          </cell>
          <cell r="K129" t="str">
            <v>DMAD</v>
          </cell>
          <cell r="M129" t="str">
            <v>F</v>
          </cell>
          <cell r="AB129" t="str">
            <v>Feces</v>
          </cell>
        </row>
        <row r="130">
          <cell r="A130" t="str">
            <v>in storage</v>
          </cell>
          <cell r="K130" t="str">
            <v>ERUF</v>
          </cell>
          <cell r="M130" t="str">
            <v>M</v>
          </cell>
          <cell r="AB130" t="str">
            <v>Feces</v>
          </cell>
        </row>
        <row r="131">
          <cell r="A131" t="str">
            <v>in storage</v>
          </cell>
          <cell r="K131" t="str">
            <v>VRUB</v>
          </cell>
          <cell r="M131" t="str">
            <v>F</v>
          </cell>
          <cell r="AB131" t="str">
            <v>Feces</v>
          </cell>
        </row>
        <row r="132">
          <cell r="A132" t="str">
            <v>in storage</v>
          </cell>
          <cell r="K132" t="str">
            <v>VRUB</v>
          </cell>
          <cell r="M132" t="str">
            <v>F</v>
          </cell>
          <cell r="AB132" t="str">
            <v>Feces</v>
          </cell>
        </row>
        <row r="133">
          <cell r="A133" t="str">
            <v>in storage</v>
          </cell>
          <cell r="K133" t="str">
            <v>VRUB</v>
          </cell>
          <cell r="M133" t="str">
            <v>F</v>
          </cell>
          <cell r="AB133" t="str">
            <v>Feces</v>
          </cell>
        </row>
        <row r="134">
          <cell r="A134" t="str">
            <v>in storage</v>
          </cell>
          <cell r="K134" t="str">
            <v>VRUB</v>
          </cell>
          <cell r="M134" t="str">
            <v>F</v>
          </cell>
          <cell r="AB134" t="str">
            <v>Feces</v>
          </cell>
        </row>
        <row r="135">
          <cell r="A135" t="str">
            <v>in storage</v>
          </cell>
          <cell r="K135" t="str">
            <v>VRUB</v>
          </cell>
          <cell r="M135" t="str">
            <v>F</v>
          </cell>
          <cell r="AB135" t="str">
            <v>Feces</v>
          </cell>
        </row>
        <row r="136">
          <cell r="A136" t="str">
            <v>in storage</v>
          </cell>
          <cell r="K136" t="str">
            <v>VRUB</v>
          </cell>
          <cell r="M136" t="str">
            <v>F</v>
          </cell>
          <cell r="AB136" t="str">
            <v>Feces</v>
          </cell>
        </row>
        <row r="137">
          <cell r="A137" t="str">
            <v>in storage</v>
          </cell>
          <cell r="K137" t="str">
            <v>VRUB</v>
          </cell>
          <cell r="M137" t="str">
            <v>F</v>
          </cell>
          <cell r="AB137" t="str">
            <v>Feces</v>
          </cell>
        </row>
        <row r="138">
          <cell r="A138" t="str">
            <v>in storage</v>
          </cell>
          <cell r="K138" t="str">
            <v>VRUB</v>
          </cell>
          <cell r="M138" t="str">
            <v>F</v>
          </cell>
          <cell r="AB138" t="str">
            <v>Feces</v>
          </cell>
        </row>
        <row r="139">
          <cell r="A139" t="str">
            <v>in storage</v>
          </cell>
          <cell r="K139" t="str">
            <v>VRUB</v>
          </cell>
          <cell r="M139" t="str">
            <v>F</v>
          </cell>
          <cell r="AB139" t="str">
            <v>Fecal swab</v>
          </cell>
        </row>
        <row r="140">
          <cell r="A140" t="str">
            <v>unk</v>
          </cell>
          <cell r="K140" t="str">
            <v>VRUB</v>
          </cell>
          <cell r="M140" t="str">
            <v>F</v>
          </cell>
          <cell r="AB140" t="str">
            <v>Fecal swab</v>
          </cell>
        </row>
        <row r="141">
          <cell r="A141" t="str">
            <v>unk</v>
          </cell>
          <cell r="K141" t="str">
            <v>VRUB</v>
          </cell>
          <cell r="M141" t="str">
            <v>F</v>
          </cell>
          <cell r="AB141" t="str">
            <v>Feces</v>
          </cell>
        </row>
        <row r="142">
          <cell r="A142" t="str">
            <v>unk</v>
          </cell>
          <cell r="K142" t="str">
            <v>ERUF</v>
          </cell>
          <cell r="M142" t="str">
            <v>M</v>
          </cell>
          <cell r="AB142" t="str">
            <v>Feces</v>
          </cell>
        </row>
        <row r="143">
          <cell r="A143" t="str">
            <v>in storage</v>
          </cell>
          <cell r="K143" t="str">
            <v>EMON</v>
          </cell>
          <cell r="M143" t="str">
            <v>F</v>
          </cell>
          <cell r="AB143" t="str">
            <v>Feces</v>
          </cell>
        </row>
        <row r="144">
          <cell r="A144" t="str">
            <v>in storage</v>
          </cell>
          <cell r="K144" t="str">
            <v>EMON</v>
          </cell>
          <cell r="M144" t="str">
            <v>F</v>
          </cell>
          <cell r="AB144" t="str">
            <v>Feces</v>
          </cell>
        </row>
        <row r="145">
          <cell r="A145" t="str">
            <v>in storage</v>
          </cell>
          <cell r="K145" t="str">
            <v>PCOQ</v>
          </cell>
          <cell r="M145" t="str">
            <v>M</v>
          </cell>
          <cell r="AB145" t="str">
            <v>Feces</v>
          </cell>
        </row>
        <row r="146">
          <cell r="A146" t="str">
            <v>in storage</v>
          </cell>
          <cell r="K146" t="str">
            <v>LCAT</v>
          </cell>
          <cell r="M146" t="str">
            <v>F</v>
          </cell>
          <cell r="AB146" t="str">
            <v>Feces</v>
          </cell>
        </row>
        <row r="147">
          <cell r="A147" t="str">
            <v>in storage</v>
          </cell>
          <cell r="K147" t="str">
            <v>LCAT</v>
          </cell>
          <cell r="M147" t="str">
            <v>F</v>
          </cell>
          <cell r="AB147" t="str">
            <v>Feces</v>
          </cell>
        </row>
        <row r="148">
          <cell r="A148" t="str">
            <v>unk</v>
          </cell>
          <cell r="K148" t="str">
            <v>LCAT</v>
          </cell>
          <cell r="M148" t="str">
            <v>F</v>
          </cell>
          <cell r="AB148" t="str">
            <v>Feces</v>
          </cell>
        </row>
        <row r="149">
          <cell r="A149" t="str">
            <v>unk</v>
          </cell>
          <cell r="K149" t="str">
            <v>LCAT</v>
          </cell>
          <cell r="M149" t="str">
            <v>F</v>
          </cell>
          <cell r="AB149" t="str">
            <v>Feces</v>
          </cell>
        </row>
        <row r="150">
          <cell r="A150" t="str">
            <v>unk</v>
          </cell>
          <cell r="K150" t="str">
            <v>PCOQ</v>
          </cell>
          <cell r="M150" t="str">
            <v>M</v>
          </cell>
          <cell r="AB150" t="str">
            <v>Feces</v>
          </cell>
        </row>
        <row r="151">
          <cell r="A151" t="str">
            <v>unk</v>
          </cell>
          <cell r="K151" t="str">
            <v>VRUB</v>
          </cell>
          <cell r="M151" t="str">
            <v>F</v>
          </cell>
          <cell r="AB151" t="str">
            <v>Fecal swab</v>
          </cell>
        </row>
        <row r="152">
          <cell r="A152" t="str">
            <v>unk</v>
          </cell>
          <cell r="K152" t="str">
            <v>VRUB</v>
          </cell>
          <cell r="M152" t="str">
            <v>F</v>
          </cell>
          <cell r="AB152" t="str">
            <v>Fecal swab</v>
          </cell>
        </row>
        <row r="153">
          <cell r="A153" t="str">
            <v>unk</v>
          </cell>
          <cell r="K153" t="str">
            <v>VRUB</v>
          </cell>
          <cell r="M153" t="str">
            <v>F</v>
          </cell>
          <cell r="AB153" t="str">
            <v>Fecal swab</v>
          </cell>
        </row>
        <row r="154">
          <cell r="A154" t="str">
            <v>unk</v>
          </cell>
          <cell r="K154" t="str">
            <v>VRUB</v>
          </cell>
          <cell r="M154" t="str">
            <v>F</v>
          </cell>
          <cell r="AB154" t="str">
            <v>Fecal swab</v>
          </cell>
        </row>
        <row r="155">
          <cell r="A155" t="str">
            <v>unk</v>
          </cell>
          <cell r="K155" t="str">
            <v>VRUB</v>
          </cell>
          <cell r="M155" t="str">
            <v>F</v>
          </cell>
          <cell r="AB155" t="str">
            <v>Fecal swab</v>
          </cell>
        </row>
        <row r="156">
          <cell r="A156" t="str">
            <v>unk</v>
          </cell>
          <cell r="K156" t="str">
            <v>VRUB</v>
          </cell>
          <cell r="M156" t="str">
            <v>F</v>
          </cell>
          <cell r="AB156" t="str">
            <v>Fecal swab</v>
          </cell>
        </row>
        <row r="157">
          <cell r="A157" t="str">
            <v>unk</v>
          </cell>
          <cell r="K157" t="str">
            <v>VRUB</v>
          </cell>
          <cell r="M157" t="str">
            <v>F</v>
          </cell>
          <cell r="AB157" t="str">
            <v>Feces</v>
          </cell>
        </row>
        <row r="158">
          <cell r="A158" t="str">
            <v>unk</v>
          </cell>
          <cell r="K158" t="str">
            <v>VRUB</v>
          </cell>
          <cell r="M158" t="str">
            <v>F</v>
          </cell>
          <cell r="AB158" t="str">
            <v>Fecal swab</v>
          </cell>
        </row>
        <row r="159">
          <cell r="A159" t="str">
            <v>unk</v>
          </cell>
          <cell r="K159" t="str">
            <v>VRUB</v>
          </cell>
          <cell r="M159" t="str">
            <v>F</v>
          </cell>
          <cell r="AB159" t="str">
            <v>Fecal swab</v>
          </cell>
        </row>
        <row r="160">
          <cell r="A160" t="str">
            <v>unk</v>
          </cell>
          <cell r="K160" t="str">
            <v>VRUB</v>
          </cell>
          <cell r="M160" t="str">
            <v>F</v>
          </cell>
          <cell r="AB160" t="str">
            <v>Fecal swab</v>
          </cell>
        </row>
        <row r="161">
          <cell r="A161" t="str">
            <v>unk</v>
          </cell>
          <cell r="K161" t="str">
            <v>MMUR</v>
          </cell>
          <cell r="M161" t="str">
            <v>F</v>
          </cell>
          <cell r="AB161" t="str">
            <v>Feces</v>
          </cell>
        </row>
        <row r="162">
          <cell r="A162" t="str">
            <v>unk</v>
          </cell>
          <cell r="K162" t="str">
            <v>ECOL</v>
          </cell>
          <cell r="M162" t="str">
            <v>M</v>
          </cell>
          <cell r="AB162" t="str">
            <v>Feces</v>
          </cell>
        </row>
        <row r="163">
          <cell r="A163" t="str">
            <v>in storage</v>
          </cell>
          <cell r="K163" t="str">
            <v>NCOU</v>
          </cell>
          <cell r="M163" t="str">
            <v>F</v>
          </cell>
          <cell r="AB163" t="str">
            <v>Feces</v>
          </cell>
        </row>
        <row r="164">
          <cell r="A164" t="str">
            <v>in storage</v>
          </cell>
          <cell r="K164" t="str">
            <v>ERUB</v>
          </cell>
          <cell r="M164" t="str">
            <v>F</v>
          </cell>
          <cell r="AB164" t="str">
            <v>Feces</v>
          </cell>
        </row>
        <row r="165">
          <cell r="A165" t="str">
            <v>in storage</v>
          </cell>
          <cell r="K165" t="str">
            <v>ERUB</v>
          </cell>
          <cell r="M165" t="str">
            <v>F</v>
          </cell>
          <cell r="AB165" t="str">
            <v>Feces</v>
          </cell>
        </row>
        <row r="166">
          <cell r="A166" t="str">
            <v>in storage</v>
          </cell>
          <cell r="K166" t="str">
            <v>NPYG</v>
          </cell>
          <cell r="M166" t="str">
            <v>M</v>
          </cell>
          <cell r="AB166" t="str">
            <v>Feces</v>
          </cell>
        </row>
        <row r="167">
          <cell r="A167" t="str">
            <v>unk</v>
          </cell>
          <cell r="K167" t="str">
            <v>NPYG</v>
          </cell>
          <cell r="M167" t="str">
            <v>M</v>
          </cell>
          <cell r="AB167" t="str">
            <v>Feces</v>
          </cell>
        </row>
        <row r="168">
          <cell r="A168" t="str">
            <v>in storage</v>
          </cell>
          <cell r="K168" t="str">
            <v>LCAT</v>
          </cell>
          <cell r="M168" t="str">
            <v>F</v>
          </cell>
          <cell r="AB168" t="str">
            <v>Feces</v>
          </cell>
        </row>
        <row r="169">
          <cell r="A169" t="str">
            <v>unk</v>
          </cell>
          <cell r="K169" t="str">
            <v>LCAT</v>
          </cell>
          <cell r="M169" t="str">
            <v>F</v>
          </cell>
          <cell r="AB169" t="str">
            <v>Fecal swab</v>
          </cell>
        </row>
        <row r="170">
          <cell r="A170" t="str">
            <v>unk</v>
          </cell>
          <cell r="K170" t="str">
            <v>LCAT</v>
          </cell>
          <cell r="M170" t="str">
            <v>F</v>
          </cell>
          <cell r="AB170" t="str">
            <v>Fecal swab</v>
          </cell>
        </row>
        <row r="171">
          <cell r="A171" t="str">
            <v>unk</v>
          </cell>
          <cell r="K171" t="str">
            <v>LCAT</v>
          </cell>
          <cell r="M171" t="str">
            <v>F</v>
          </cell>
          <cell r="AB171" t="str">
            <v>Fecal swab</v>
          </cell>
        </row>
        <row r="172">
          <cell r="A172" t="str">
            <v>unk</v>
          </cell>
          <cell r="K172" t="str">
            <v>LCAT</v>
          </cell>
          <cell r="M172" t="str">
            <v>F</v>
          </cell>
          <cell r="AB172" t="str">
            <v>Feces</v>
          </cell>
        </row>
        <row r="173">
          <cell r="A173" t="str">
            <v>in storage</v>
          </cell>
          <cell r="K173" t="str">
            <v>LCAT</v>
          </cell>
          <cell r="M173" t="str">
            <v>F</v>
          </cell>
          <cell r="AB173" t="str">
            <v>Feces</v>
          </cell>
        </row>
        <row r="174">
          <cell r="A174" t="str">
            <v>in storage</v>
          </cell>
          <cell r="K174" t="str">
            <v>LCAT</v>
          </cell>
          <cell r="M174" t="str">
            <v>F</v>
          </cell>
          <cell r="AB174" t="str">
            <v>Feces</v>
          </cell>
        </row>
        <row r="175">
          <cell r="A175" t="str">
            <v>in storage</v>
          </cell>
          <cell r="K175" t="str">
            <v>PCOQ</v>
          </cell>
          <cell r="M175" t="str">
            <v>F</v>
          </cell>
          <cell r="AB175" t="str">
            <v>Feces</v>
          </cell>
        </row>
        <row r="176">
          <cell r="A176" t="str">
            <v>in storage</v>
          </cell>
          <cell r="K176" t="str">
            <v>PCOQ</v>
          </cell>
          <cell r="M176" t="str">
            <v>F</v>
          </cell>
          <cell r="AB176" t="str">
            <v>Feces</v>
          </cell>
        </row>
        <row r="177">
          <cell r="A177" t="str">
            <v>in storage</v>
          </cell>
          <cell r="K177" t="str">
            <v>PCOQ</v>
          </cell>
          <cell r="M177" t="str">
            <v>F</v>
          </cell>
          <cell r="AB177" t="str">
            <v>Feces</v>
          </cell>
        </row>
        <row r="178">
          <cell r="A178" t="str">
            <v>in storage</v>
          </cell>
          <cell r="K178" t="str">
            <v>PCOQ</v>
          </cell>
          <cell r="M178" t="str">
            <v>F</v>
          </cell>
          <cell r="AB178" t="str">
            <v>Feces</v>
          </cell>
        </row>
        <row r="179">
          <cell r="A179" t="str">
            <v>in storage</v>
          </cell>
          <cell r="K179" t="str">
            <v>PCOQ</v>
          </cell>
          <cell r="M179" t="str">
            <v>F</v>
          </cell>
          <cell r="AB179" t="str">
            <v>Feces</v>
          </cell>
        </row>
        <row r="180">
          <cell r="A180" t="str">
            <v>in storage</v>
          </cell>
          <cell r="K180" t="str">
            <v>PCOQ</v>
          </cell>
          <cell r="M180" t="str">
            <v>F</v>
          </cell>
          <cell r="AB180" t="str">
            <v>Feces</v>
          </cell>
        </row>
        <row r="181">
          <cell r="A181" t="str">
            <v>in storage</v>
          </cell>
          <cell r="K181" t="str">
            <v>PCOQ</v>
          </cell>
          <cell r="M181" t="str">
            <v>F</v>
          </cell>
          <cell r="AB181" t="str">
            <v>Feces</v>
          </cell>
        </row>
        <row r="182">
          <cell r="A182" t="str">
            <v>in storage</v>
          </cell>
          <cell r="K182" t="str">
            <v>PCOQ</v>
          </cell>
          <cell r="M182" t="str">
            <v>F</v>
          </cell>
          <cell r="AB182" t="str">
            <v>Feces</v>
          </cell>
        </row>
        <row r="183">
          <cell r="A183" t="str">
            <v>unk</v>
          </cell>
          <cell r="K183" t="str">
            <v>LCAT</v>
          </cell>
          <cell r="M183" t="str">
            <v>F</v>
          </cell>
          <cell r="AB183" t="str">
            <v>Feces</v>
          </cell>
        </row>
        <row r="184">
          <cell r="A184" t="str">
            <v>in storage</v>
          </cell>
          <cell r="K184" t="str">
            <v>PCOQ</v>
          </cell>
          <cell r="M184" t="str">
            <v>M</v>
          </cell>
          <cell r="AB184" t="str">
            <v>Feces</v>
          </cell>
        </row>
        <row r="185">
          <cell r="A185" t="str">
            <v>unk</v>
          </cell>
          <cell r="K185" t="str">
            <v>DMAD</v>
          </cell>
          <cell r="M185" t="str">
            <v>F</v>
          </cell>
          <cell r="AB185" t="str">
            <v>Feces</v>
          </cell>
        </row>
        <row r="186">
          <cell r="A186" t="str">
            <v>in storage</v>
          </cell>
          <cell r="K186" t="str">
            <v>DMAD</v>
          </cell>
          <cell r="M186" t="str">
            <v>F</v>
          </cell>
          <cell r="AB186" t="str">
            <v>Feces</v>
          </cell>
        </row>
        <row r="187">
          <cell r="A187" t="str">
            <v>in storage</v>
          </cell>
          <cell r="K187" t="str">
            <v>PCOQ</v>
          </cell>
          <cell r="M187" t="str">
            <v>F</v>
          </cell>
          <cell r="AB187" t="str">
            <v>Feces</v>
          </cell>
        </row>
        <row r="188">
          <cell r="A188" t="str">
            <v>in storage</v>
          </cell>
          <cell r="K188" t="str">
            <v>PCOQ</v>
          </cell>
          <cell r="M188" t="str">
            <v>F</v>
          </cell>
          <cell r="AB188" t="str">
            <v>Feces</v>
          </cell>
        </row>
        <row r="189">
          <cell r="A189" t="str">
            <v>in storage</v>
          </cell>
          <cell r="K189" t="str">
            <v>PCOQ</v>
          </cell>
          <cell r="M189" t="str">
            <v>F</v>
          </cell>
          <cell r="AB189" t="str">
            <v>Feces</v>
          </cell>
        </row>
        <row r="190">
          <cell r="A190" t="str">
            <v>in storage</v>
          </cell>
          <cell r="K190" t="str">
            <v>PCOQ</v>
          </cell>
          <cell r="M190" t="str">
            <v>F</v>
          </cell>
          <cell r="AB190" t="str">
            <v>Feces</v>
          </cell>
        </row>
        <row r="191">
          <cell r="A191" t="str">
            <v>in storage</v>
          </cell>
          <cell r="K191" t="str">
            <v>EMON</v>
          </cell>
          <cell r="M191" t="str">
            <v>F</v>
          </cell>
          <cell r="AB191" t="str">
            <v>Feces</v>
          </cell>
        </row>
        <row r="192">
          <cell r="A192" t="str">
            <v>in storage</v>
          </cell>
          <cell r="K192" t="str">
            <v>PCOQ</v>
          </cell>
          <cell r="M192" t="str">
            <v>F</v>
          </cell>
          <cell r="AB192" t="str">
            <v>Feces</v>
          </cell>
        </row>
        <row r="193">
          <cell r="A193" t="str">
            <v>unk</v>
          </cell>
          <cell r="K193" t="str">
            <v>EMON</v>
          </cell>
          <cell r="M193" t="str">
            <v>M</v>
          </cell>
          <cell r="AB193" t="str">
            <v>Feces</v>
          </cell>
        </row>
        <row r="194">
          <cell r="A194" t="str">
            <v>in storage</v>
          </cell>
          <cell r="K194" t="str">
            <v>ESAN</v>
          </cell>
          <cell r="M194" t="str">
            <v>F</v>
          </cell>
          <cell r="AB194" t="str">
            <v>Feces</v>
          </cell>
        </row>
        <row r="195">
          <cell r="A195" t="str">
            <v>in storage</v>
          </cell>
          <cell r="K195" t="str">
            <v>PCOQ</v>
          </cell>
          <cell r="M195" t="str">
            <v>M</v>
          </cell>
          <cell r="AB195" t="str">
            <v>Fecal swab</v>
          </cell>
        </row>
        <row r="196">
          <cell r="A196" t="str">
            <v>in storage</v>
          </cell>
          <cell r="K196" t="str">
            <v>PCOQ</v>
          </cell>
          <cell r="M196" t="str">
            <v>M</v>
          </cell>
          <cell r="AB196" t="str">
            <v>Fecal swab</v>
          </cell>
        </row>
        <row r="197">
          <cell r="A197" t="str">
            <v>in storage</v>
          </cell>
          <cell r="K197" t="str">
            <v>PCOQ</v>
          </cell>
          <cell r="M197" t="str">
            <v>M</v>
          </cell>
          <cell r="AB197" t="str">
            <v>Feces</v>
          </cell>
        </row>
        <row r="198">
          <cell r="A198" t="str">
            <v>in storage</v>
          </cell>
          <cell r="K198" t="str">
            <v>PCOQ</v>
          </cell>
          <cell r="M198" t="str">
            <v>F</v>
          </cell>
          <cell r="AB198" t="str">
            <v>Feces</v>
          </cell>
        </row>
        <row r="199">
          <cell r="A199" t="str">
            <v>unk</v>
          </cell>
          <cell r="K199" t="str">
            <v>PCOQ</v>
          </cell>
          <cell r="M199" t="str">
            <v>F</v>
          </cell>
          <cell r="AB199" t="str">
            <v>Feces</v>
          </cell>
        </row>
        <row r="200">
          <cell r="A200" t="str">
            <v>unk</v>
          </cell>
          <cell r="K200" t="str">
            <v>VRUB</v>
          </cell>
          <cell r="M200" t="str">
            <v>F</v>
          </cell>
          <cell r="AB200" t="str">
            <v>Feces</v>
          </cell>
        </row>
        <row r="201">
          <cell r="A201" t="str">
            <v>in storage</v>
          </cell>
          <cell r="K201" t="str">
            <v>EMON</v>
          </cell>
          <cell r="M201" t="str">
            <v>F</v>
          </cell>
          <cell r="AB201" t="str">
            <v>Feces</v>
          </cell>
        </row>
        <row r="202">
          <cell r="A202" t="str">
            <v>in storage</v>
          </cell>
          <cell r="K202" t="str">
            <v>CMED</v>
          </cell>
          <cell r="M202" t="str">
            <v>F</v>
          </cell>
          <cell r="AB202" t="str">
            <v>Feces</v>
          </cell>
        </row>
        <row r="203">
          <cell r="A203" t="str">
            <v>unk</v>
          </cell>
          <cell r="K203" t="str">
            <v>CMED</v>
          </cell>
          <cell r="M203" t="str">
            <v>F</v>
          </cell>
          <cell r="AB203" t="str">
            <v>Feces</v>
          </cell>
        </row>
        <row r="204">
          <cell r="A204" t="str">
            <v>in storage</v>
          </cell>
          <cell r="K204" t="str">
            <v>ERUB</v>
          </cell>
          <cell r="M204" t="str">
            <v>F</v>
          </cell>
          <cell r="AB204" t="str">
            <v>Feces</v>
          </cell>
        </row>
        <row r="205">
          <cell r="A205" t="str">
            <v>in storage</v>
          </cell>
          <cell r="K205" t="str">
            <v>ERUB</v>
          </cell>
          <cell r="M205" t="str">
            <v>F</v>
          </cell>
          <cell r="AB205" t="str">
            <v>Feces</v>
          </cell>
        </row>
        <row r="206">
          <cell r="A206" t="str">
            <v>in storage</v>
          </cell>
          <cell r="K206" t="str">
            <v>ERUB</v>
          </cell>
          <cell r="M206" t="str">
            <v>F</v>
          </cell>
          <cell r="AB206" t="str">
            <v>Feces</v>
          </cell>
        </row>
        <row r="207">
          <cell r="A207" t="str">
            <v>in storage</v>
          </cell>
          <cell r="K207" t="str">
            <v>MMUR</v>
          </cell>
          <cell r="M207" t="str">
            <v>F</v>
          </cell>
          <cell r="AB207" t="str">
            <v>Feces</v>
          </cell>
        </row>
        <row r="208">
          <cell r="A208" t="str">
            <v>in storage</v>
          </cell>
          <cell r="K208" t="str">
            <v>PCOQ</v>
          </cell>
          <cell r="M208" t="str">
            <v>F</v>
          </cell>
          <cell r="AB208" t="str">
            <v>Feces</v>
          </cell>
        </row>
        <row r="209">
          <cell r="A209" t="str">
            <v>in storage</v>
          </cell>
          <cell r="K209" t="str">
            <v>ECOL</v>
          </cell>
          <cell r="M209" t="str">
            <v>F</v>
          </cell>
          <cell r="AB209" t="str">
            <v>Feces</v>
          </cell>
        </row>
        <row r="210">
          <cell r="A210" t="str">
            <v>in storage</v>
          </cell>
          <cell r="K210" t="str">
            <v>PCOQ</v>
          </cell>
          <cell r="M210" t="str">
            <v>F</v>
          </cell>
          <cell r="AB210" t="str">
            <v>Feces</v>
          </cell>
        </row>
        <row r="211">
          <cell r="A211" t="str">
            <v>unk</v>
          </cell>
          <cell r="K211" t="str">
            <v>PCOQ</v>
          </cell>
          <cell r="M211" t="str">
            <v>F</v>
          </cell>
          <cell r="AB211" t="str">
            <v>Feces</v>
          </cell>
        </row>
        <row r="212">
          <cell r="A212" t="str">
            <v>unk</v>
          </cell>
          <cell r="K212" t="str">
            <v>LCAT</v>
          </cell>
          <cell r="M212" t="str">
            <v>F</v>
          </cell>
          <cell r="AB212" t="str">
            <v>Feces</v>
          </cell>
        </row>
        <row r="213">
          <cell r="A213" t="str">
            <v>in storage</v>
          </cell>
          <cell r="K213" t="str">
            <v>PCOQ</v>
          </cell>
          <cell r="M213" t="str">
            <v>F</v>
          </cell>
          <cell r="AB213" t="str">
            <v>Feces</v>
          </cell>
        </row>
        <row r="214">
          <cell r="A214" t="str">
            <v>in storage</v>
          </cell>
          <cell r="K214" t="str">
            <v>PCOQ</v>
          </cell>
          <cell r="M214" t="str">
            <v>F</v>
          </cell>
          <cell r="AB214" t="str">
            <v>Feces</v>
          </cell>
        </row>
        <row r="215">
          <cell r="A215" t="str">
            <v>in storage</v>
          </cell>
          <cell r="K215" t="str">
            <v>PCOQ</v>
          </cell>
          <cell r="M215" t="str">
            <v>F</v>
          </cell>
          <cell r="AB215" t="str">
            <v>Feces</v>
          </cell>
        </row>
        <row r="216">
          <cell r="A216" t="str">
            <v>in storage</v>
          </cell>
          <cell r="K216" t="str">
            <v>PCOQ</v>
          </cell>
          <cell r="M216" t="str">
            <v>F</v>
          </cell>
          <cell r="AB216" t="str">
            <v>Feces</v>
          </cell>
        </row>
        <row r="217">
          <cell r="A217" t="str">
            <v>in storage</v>
          </cell>
          <cell r="K217" t="str">
            <v>PCOQ</v>
          </cell>
          <cell r="M217" t="str">
            <v>F</v>
          </cell>
          <cell r="AB217" t="str">
            <v>Feces</v>
          </cell>
        </row>
        <row r="218">
          <cell r="A218" t="str">
            <v>in storage</v>
          </cell>
          <cell r="K218" t="str">
            <v>PCOQ</v>
          </cell>
          <cell r="M218" t="str">
            <v>F</v>
          </cell>
          <cell r="AB218" t="str">
            <v>Feces</v>
          </cell>
        </row>
        <row r="219">
          <cell r="A219" t="str">
            <v>in storage</v>
          </cell>
          <cell r="K219" t="str">
            <v>PCOQ</v>
          </cell>
          <cell r="M219" t="str">
            <v>F</v>
          </cell>
          <cell r="AB219" t="str">
            <v>Feces</v>
          </cell>
        </row>
        <row r="220">
          <cell r="A220" t="str">
            <v>in storage</v>
          </cell>
          <cell r="K220" t="str">
            <v>PCOQ</v>
          </cell>
          <cell r="M220" t="str">
            <v>F</v>
          </cell>
          <cell r="AB220" t="str">
            <v>Feces</v>
          </cell>
        </row>
        <row r="221">
          <cell r="A221" t="str">
            <v>in storage</v>
          </cell>
          <cell r="K221" t="str">
            <v>PCOQ</v>
          </cell>
          <cell r="M221" t="str">
            <v>F</v>
          </cell>
          <cell r="AB221" t="str">
            <v>Feces</v>
          </cell>
        </row>
        <row r="222">
          <cell r="A222" t="str">
            <v>in storage</v>
          </cell>
          <cell r="K222" t="str">
            <v>PCOQ</v>
          </cell>
          <cell r="M222" t="str">
            <v>F</v>
          </cell>
          <cell r="AB222" t="str">
            <v>Feces</v>
          </cell>
        </row>
        <row r="223">
          <cell r="A223" t="str">
            <v>in storage</v>
          </cell>
          <cell r="K223" t="str">
            <v>PCOQ</v>
          </cell>
          <cell r="M223" t="str">
            <v>F</v>
          </cell>
          <cell r="AB223" t="str">
            <v>Feces</v>
          </cell>
        </row>
        <row r="224">
          <cell r="A224" t="str">
            <v>in storage</v>
          </cell>
          <cell r="K224" t="str">
            <v>PCOQ</v>
          </cell>
          <cell r="M224" t="str">
            <v>F</v>
          </cell>
          <cell r="AB224" t="str">
            <v>Feces</v>
          </cell>
        </row>
        <row r="225">
          <cell r="A225" t="str">
            <v>in storage</v>
          </cell>
          <cell r="K225" t="str">
            <v>PCOQ</v>
          </cell>
          <cell r="M225" t="str">
            <v>F</v>
          </cell>
          <cell r="AB225" t="str">
            <v>Feces</v>
          </cell>
        </row>
        <row r="226">
          <cell r="A226" t="str">
            <v>in storage</v>
          </cell>
          <cell r="K226" t="str">
            <v>PCOQ</v>
          </cell>
          <cell r="M226" t="str">
            <v>F</v>
          </cell>
          <cell r="AB226" t="str">
            <v>Feces</v>
          </cell>
        </row>
        <row r="227">
          <cell r="A227" t="str">
            <v>in storage</v>
          </cell>
          <cell r="K227" t="str">
            <v>PCOQ</v>
          </cell>
          <cell r="M227" t="str">
            <v>F</v>
          </cell>
          <cell r="AB227" t="str">
            <v>Feces</v>
          </cell>
        </row>
        <row r="228">
          <cell r="A228" t="str">
            <v>in storage</v>
          </cell>
          <cell r="K228" t="str">
            <v>PCOQ</v>
          </cell>
          <cell r="M228" t="str">
            <v>F</v>
          </cell>
          <cell r="AB228" t="str">
            <v>Feces</v>
          </cell>
        </row>
        <row r="229">
          <cell r="A229" t="str">
            <v>in storage</v>
          </cell>
          <cell r="K229" t="str">
            <v>PCOQ</v>
          </cell>
          <cell r="M229" t="str">
            <v>F</v>
          </cell>
          <cell r="AB229" t="str">
            <v>Feces</v>
          </cell>
        </row>
        <row r="230">
          <cell r="A230" t="str">
            <v>in storage</v>
          </cell>
          <cell r="K230" t="str">
            <v>PCOQ</v>
          </cell>
          <cell r="M230" t="str">
            <v>F</v>
          </cell>
          <cell r="AB230" t="str">
            <v>Feces</v>
          </cell>
        </row>
        <row r="231">
          <cell r="A231" t="str">
            <v>in storage</v>
          </cell>
          <cell r="K231" t="str">
            <v>PCOQ</v>
          </cell>
          <cell r="M231" t="str">
            <v>F</v>
          </cell>
          <cell r="AB231" t="str">
            <v>Feces</v>
          </cell>
        </row>
        <row r="232">
          <cell r="A232" t="str">
            <v>in storage</v>
          </cell>
          <cell r="K232" t="str">
            <v>PCOQ</v>
          </cell>
          <cell r="M232" t="str">
            <v>M</v>
          </cell>
          <cell r="AB232" t="str">
            <v>Feces</v>
          </cell>
        </row>
        <row r="233">
          <cell r="A233" t="str">
            <v>in storage</v>
          </cell>
          <cell r="K233" t="str">
            <v>PCOQ</v>
          </cell>
          <cell r="M233" t="str">
            <v>M</v>
          </cell>
          <cell r="AB233" t="str">
            <v>Feces</v>
          </cell>
        </row>
        <row r="234">
          <cell r="A234" t="str">
            <v>in storage</v>
          </cell>
          <cell r="K234" t="str">
            <v>PCOQ</v>
          </cell>
          <cell r="M234" t="str">
            <v>M</v>
          </cell>
          <cell r="AB234" t="str">
            <v>Feces</v>
          </cell>
        </row>
        <row r="235">
          <cell r="A235" t="str">
            <v>in storage</v>
          </cell>
          <cell r="K235" t="str">
            <v>PCOQ</v>
          </cell>
          <cell r="M235" t="str">
            <v>M</v>
          </cell>
          <cell r="AB235" t="str">
            <v>Feces</v>
          </cell>
        </row>
        <row r="236">
          <cell r="A236" t="str">
            <v>in storage</v>
          </cell>
          <cell r="K236" t="str">
            <v>MZAZ</v>
          </cell>
          <cell r="M236" t="str">
            <v>M</v>
          </cell>
          <cell r="AB236" t="str">
            <v>Feces</v>
          </cell>
        </row>
        <row r="237">
          <cell r="A237" t="str">
            <v>unk</v>
          </cell>
          <cell r="K237" t="str">
            <v>PCOQ</v>
          </cell>
          <cell r="M237" t="str">
            <v>M</v>
          </cell>
          <cell r="AB237" t="str">
            <v>Feces</v>
          </cell>
        </row>
        <row r="238">
          <cell r="A238" t="str">
            <v>in storage</v>
          </cell>
          <cell r="K238" t="str">
            <v>LCAT</v>
          </cell>
          <cell r="M238" t="str">
            <v>F</v>
          </cell>
          <cell r="AB238" t="str">
            <v>Feces</v>
          </cell>
        </row>
        <row r="239">
          <cell r="A239" t="str">
            <v>in storage</v>
          </cell>
          <cell r="K239" t="str">
            <v>LCAT</v>
          </cell>
          <cell r="M239" t="str">
            <v>F</v>
          </cell>
          <cell r="AB239" t="str">
            <v>Feces</v>
          </cell>
        </row>
        <row r="240">
          <cell r="A240" t="str">
            <v>in storage</v>
          </cell>
          <cell r="K240" t="str">
            <v>LCAT</v>
          </cell>
          <cell r="M240" t="str">
            <v>F</v>
          </cell>
          <cell r="AB240" t="str">
            <v>Feces</v>
          </cell>
        </row>
        <row r="241">
          <cell r="A241" t="str">
            <v>in storage</v>
          </cell>
          <cell r="K241" t="str">
            <v>LCAT</v>
          </cell>
          <cell r="M241" t="str">
            <v>F</v>
          </cell>
          <cell r="AB241" t="str">
            <v>Feces</v>
          </cell>
        </row>
        <row r="242">
          <cell r="A242" t="str">
            <v>in storage</v>
          </cell>
          <cell r="K242" t="str">
            <v>LCAT</v>
          </cell>
          <cell r="M242" t="str">
            <v>F</v>
          </cell>
          <cell r="AB242" t="str">
            <v>Feces</v>
          </cell>
        </row>
        <row r="243">
          <cell r="A243" t="str">
            <v>in storage</v>
          </cell>
          <cell r="K243" t="str">
            <v>LCAT</v>
          </cell>
          <cell r="M243" t="str">
            <v>F</v>
          </cell>
          <cell r="AB243" t="str">
            <v>Feces</v>
          </cell>
        </row>
        <row r="244">
          <cell r="A244" t="str">
            <v>in storage</v>
          </cell>
          <cell r="K244" t="str">
            <v>LCAT</v>
          </cell>
          <cell r="M244" t="str">
            <v>F</v>
          </cell>
          <cell r="AB244" t="str">
            <v>Feces</v>
          </cell>
        </row>
        <row r="245">
          <cell r="A245" t="str">
            <v>in storage</v>
          </cell>
          <cell r="K245" t="str">
            <v>LCAT</v>
          </cell>
          <cell r="M245" t="str">
            <v>F</v>
          </cell>
          <cell r="AB245" t="str">
            <v>Feces</v>
          </cell>
        </row>
        <row r="246">
          <cell r="A246" t="str">
            <v>in storage</v>
          </cell>
          <cell r="K246" t="str">
            <v>EMON</v>
          </cell>
          <cell r="M246" t="str">
            <v>F</v>
          </cell>
          <cell r="AB246" t="str">
            <v>Feces</v>
          </cell>
        </row>
        <row r="247">
          <cell r="A247" t="str">
            <v>unk</v>
          </cell>
          <cell r="K247" t="str">
            <v>VVV</v>
          </cell>
          <cell r="M247" t="str">
            <v>F</v>
          </cell>
          <cell r="AB247" t="str">
            <v>Fecal swab</v>
          </cell>
        </row>
        <row r="248">
          <cell r="A248" t="str">
            <v>unk</v>
          </cell>
          <cell r="K248" t="str">
            <v>VVV</v>
          </cell>
          <cell r="M248" t="str">
            <v>F</v>
          </cell>
          <cell r="AB248" t="str">
            <v>Fecal swab</v>
          </cell>
        </row>
        <row r="249">
          <cell r="A249" t="str">
            <v>unk</v>
          </cell>
          <cell r="K249" t="str">
            <v>MZAZ</v>
          </cell>
          <cell r="M249" t="str">
            <v>F</v>
          </cell>
          <cell r="AB249" t="str">
            <v>Feces</v>
          </cell>
        </row>
        <row r="250">
          <cell r="A250" t="str">
            <v>unk</v>
          </cell>
          <cell r="K250" t="str">
            <v>EFLA</v>
          </cell>
          <cell r="M250" t="str">
            <v>F</v>
          </cell>
          <cell r="AB250" t="str">
            <v>Feces</v>
          </cell>
        </row>
        <row r="251">
          <cell r="A251" t="str">
            <v>unk</v>
          </cell>
          <cell r="K251" t="str">
            <v>MMUR</v>
          </cell>
          <cell r="M251" t="str">
            <v>M</v>
          </cell>
          <cell r="AB251" t="str">
            <v>Feces</v>
          </cell>
        </row>
        <row r="252">
          <cell r="A252" t="str">
            <v>in storage</v>
          </cell>
          <cell r="K252" t="str">
            <v>LCAT</v>
          </cell>
          <cell r="M252" t="str">
            <v>M</v>
          </cell>
          <cell r="AB252" t="str">
            <v>Feces</v>
          </cell>
        </row>
        <row r="253">
          <cell r="A253" t="str">
            <v>unk</v>
          </cell>
          <cell r="K253" t="str">
            <v>LCAT</v>
          </cell>
          <cell r="M253" t="str">
            <v>M</v>
          </cell>
          <cell r="AB253" t="str">
            <v>Feces</v>
          </cell>
        </row>
        <row r="254">
          <cell r="A254" t="str">
            <v>in storage</v>
          </cell>
          <cell r="K254" t="str">
            <v>PCOQ</v>
          </cell>
          <cell r="M254" t="str">
            <v>F</v>
          </cell>
          <cell r="AB254" t="str">
            <v>Feces</v>
          </cell>
        </row>
        <row r="255">
          <cell r="A255" t="str">
            <v>unk</v>
          </cell>
          <cell r="K255" t="str">
            <v>PCOQ</v>
          </cell>
          <cell r="M255" t="str">
            <v>F</v>
          </cell>
          <cell r="AB255" t="str">
            <v>Feces</v>
          </cell>
        </row>
        <row r="256">
          <cell r="A256" t="str">
            <v>in storage</v>
          </cell>
          <cell r="K256" t="str">
            <v>VVV</v>
          </cell>
          <cell r="M256" t="str">
            <v>M</v>
          </cell>
          <cell r="AB256" t="str">
            <v>Fecal swab</v>
          </cell>
        </row>
        <row r="257">
          <cell r="A257" t="str">
            <v>unk</v>
          </cell>
          <cell r="K257" t="str">
            <v>VVV</v>
          </cell>
          <cell r="M257" t="str">
            <v>M</v>
          </cell>
          <cell r="AB257" t="str">
            <v>Fecal swab</v>
          </cell>
        </row>
        <row r="258">
          <cell r="A258" t="str">
            <v>in storage</v>
          </cell>
          <cell r="K258" t="str">
            <v>VVV</v>
          </cell>
          <cell r="M258" t="str">
            <v>M</v>
          </cell>
          <cell r="AB258" t="str">
            <v>Fecal swab</v>
          </cell>
        </row>
        <row r="259">
          <cell r="A259" t="str">
            <v>in storage</v>
          </cell>
          <cell r="K259" t="str">
            <v>LCAT</v>
          </cell>
          <cell r="M259" t="str">
            <v>F</v>
          </cell>
          <cell r="AB259" t="str">
            <v>Feces</v>
          </cell>
        </row>
        <row r="260">
          <cell r="A260" t="str">
            <v>in storage</v>
          </cell>
          <cell r="K260" t="str">
            <v>LCAT</v>
          </cell>
          <cell r="M260" t="str">
            <v>M</v>
          </cell>
          <cell r="AB260" t="str">
            <v>Feces</v>
          </cell>
        </row>
        <row r="261">
          <cell r="A261" t="str">
            <v>in storage</v>
          </cell>
          <cell r="K261" t="str">
            <v>PCOQ</v>
          </cell>
          <cell r="M261" t="str">
            <v>F</v>
          </cell>
          <cell r="AB261" t="str">
            <v>Feces</v>
          </cell>
        </row>
        <row r="262">
          <cell r="A262" t="str">
            <v>in storage</v>
          </cell>
          <cell r="K262" t="str">
            <v>MMUR</v>
          </cell>
          <cell r="M262" t="str">
            <v>F</v>
          </cell>
          <cell r="AB262" t="str">
            <v>Feces</v>
          </cell>
        </row>
        <row r="263">
          <cell r="A263" t="str">
            <v>in storage</v>
          </cell>
          <cell r="K263" t="str">
            <v>DMAD</v>
          </cell>
          <cell r="M263" t="str">
            <v>M</v>
          </cell>
          <cell r="AB263" t="str">
            <v>Feces</v>
          </cell>
        </row>
        <row r="264">
          <cell r="A264" t="str">
            <v>in storage</v>
          </cell>
          <cell r="K264" t="str">
            <v>DMAD</v>
          </cell>
          <cell r="M264" t="str">
            <v>M</v>
          </cell>
          <cell r="AB264" t="str">
            <v>Feces</v>
          </cell>
        </row>
        <row r="265">
          <cell r="A265" t="str">
            <v>in storage</v>
          </cell>
          <cell r="K265" t="str">
            <v>ECOR</v>
          </cell>
          <cell r="M265" t="str">
            <v>M</v>
          </cell>
          <cell r="AB265" t="str">
            <v>Feces</v>
          </cell>
        </row>
        <row r="266">
          <cell r="A266" t="str">
            <v>in storage</v>
          </cell>
          <cell r="K266" t="str">
            <v>PCOQ</v>
          </cell>
          <cell r="M266" t="str">
            <v>F</v>
          </cell>
          <cell r="AB266" t="str">
            <v>Feces</v>
          </cell>
        </row>
        <row r="267">
          <cell r="A267" t="str">
            <v>in storage</v>
          </cell>
          <cell r="K267" t="str">
            <v>PCOQ</v>
          </cell>
          <cell r="M267" t="str">
            <v>M</v>
          </cell>
          <cell r="AB267" t="str">
            <v>Fecal swab</v>
          </cell>
        </row>
        <row r="268">
          <cell r="A268" t="str">
            <v>in storage</v>
          </cell>
          <cell r="K268" t="str">
            <v>PCOQ</v>
          </cell>
          <cell r="M268" t="str">
            <v>F</v>
          </cell>
          <cell r="AB268" t="str">
            <v>Feces</v>
          </cell>
        </row>
        <row r="269">
          <cell r="A269" t="str">
            <v>in storage</v>
          </cell>
          <cell r="K269" t="str">
            <v>PCOQ</v>
          </cell>
          <cell r="M269" t="str">
            <v>F</v>
          </cell>
          <cell r="AB269" t="str">
            <v>Feces</v>
          </cell>
        </row>
        <row r="270">
          <cell r="A270" t="str">
            <v>in storage</v>
          </cell>
          <cell r="K270" t="str">
            <v>PCOQ</v>
          </cell>
          <cell r="M270" t="str">
            <v>F</v>
          </cell>
          <cell r="AB270" t="str">
            <v>Feces</v>
          </cell>
        </row>
        <row r="271">
          <cell r="A271" t="str">
            <v>in storage</v>
          </cell>
          <cell r="K271" t="str">
            <v>PCOQ</v>
          </cell>
          <cell r="M271" t="str">
            <v>F</v>
          </cell>
          <cell r="AB271" t="str">
            <v>Feces</v>
          </cell>
        </row>
        <row r="272">
          <cell r="A272" t="str">
            <v>unk</v>
          </cell>
          <cell r="K272" t="str">
            <v>PCOQ</v>
          </cell>
          <cell r="M272" t="str">
            <v>F</v>
          </cell>
          <cell r="AB272" t="str">
            <v>Feces</v>
          </cell>
        </row>
        <row r="273">
          <cell r="A273" t="str">
            <v>unk</v>
          </cell>
          <cell r="K273" t="str">
            <v>LCAT</v>
          </cell>
          <cell r="M273" t="str">
            <v>F</v>
          </cell>
          <cell r="AB273" t="str">
            <v>Feces</v>
          </cell>
        </row>
        <row r="274">
          <cell r="A274" t="str">
            <v>unk</v>
          </cell>
          <cell r="K274" t="str">
            <v>LCAT</v>
          </cell>
          <cell r="M274" t="str">
            <v>F</v>
          </cell>
          <cell r="AB274" t="str">
            <v>Feces</v>
          </cell>
        </row>
        <row r="275">
          <cell r="A275" t="str">
            <v>unk</v>
          </cell>
          <cell r="K275" t="str">
            <v>LCAT</v>
          </cell>
          <cell r="M275" t="str">
            <v>F</v>
          </cell>
          <cell r="AB275" t="str">
            <v>Feces</v>
          </cell>
        </row>
        <row r="276">
          <cell r="A276" t="str">
            <v>unk</v>
          </cell>
          <cell r="K276" t="str">
            <v>LCAT</v>
          </cell>
          <cell r="M276" t="str">
            <v>F</v>
          </cell>
          <cell r="AB276" t="str">
            <v>Feces</v>
          </cell>
        </row>
        <row r="277">
          <cell r="A277" t="str">
            <v>unk</v>
          </cell>
          <cell r="K277" t="str">
            <v>LCAT</v>
          </cell>
          <cell r="M277" t="str">
            <v>F</v>
          </cell>
          <cell r="AB277" t="str">
            <v>Feces</v>
          </cell>
        </row>
        <row r="278">
          <cell r="A278" t="str">
            <v>unk</v>
          </cell>
          <cell r="K278" t="str">
            <v>LCAT</v>
          </cell>
          <cell r="M278" t="str">
            <v>F</v>
          </cell>
          <cell r="AB278" t="str">
            <v>Feces</v>
          </cell>
        </row>
        <row r="279">
          <cell r="A279" t="str">
            <v>unk</v>
          </cell>
          <cell r="K279" t="str">
            <v>LCAT</v>
          </cell>
          <cell r="M279" t="str">
            <v>F</v>
          </cell>
          <cell r="AB279" t="str">
            <v>Feces</v>
          </cell>
        </row>
        <row r="280">
          <cell r="A280" t="str">
            <v>unk</v>
          </cell>
          <cell r="K280" t="str">
            <v>LCAT</v>
          </cell>
          <cell r="M280" t="str">
            <v>F</v>
          </cell>
          <cell r="AB280" t="str">
            <v>Feces</v>
          </cell>
        </row>
        <row r="281">
          <cell r="A281" t="str">
            <v>unk</v>
          </cell>
          <cell r="K281" t="str">
            <v>LCAT</v>
          </cell>
          <cell r="M281" t="str">
            <v>F</v>
          </cell>
          <cell r="AB281" t="str">
            <v>Feces</v>
          </cell>
        </row>
        <row r="282">
          <cell r="A282" t="str">
            <v>unk</v>
          </cell>
          <cell r="K282" t="str">
            <v>LCAT</v>
          </cell>
          <cell r="M282" t="str">
            <v>F</v>
          </cell>
          <cell r="AB282" t="str">
            <v>Feces</v>
          </cell>
        </row>
        <row r="283">
          <cell r="A283" t="str">
            <v>unk</v>
          </cell>
          <cell r="K283" t="str">
            <v>MMUR</v>
          </cell>
          <cell r="M283" t="str">
            <v>F</v>
          </cell>
          <cell r="AB283" t="str">
            <v>Feces</v>
          </cell>
        </row>
        <row r="284">
          <cell r="A284" t="str">
            <v>in storage</v>
          </cell>
          <cell r="K284" t="str">
            <v>LCAT</v>
          </cell>
          <cell r="M284" t="str">
            <v>M</v>
          </cell>
          <cell r="AB284" t="str">
            <v>Feces</v>
          </cell>
        </row>
        <row r="285">
          <cell r="A285" t="str">
            <v>in storage</v>
          </cell>
          <cell r="K285" t="str">
            <v>LCAT</v>
          </cell>
          <cell r="M285" t="str">
            <v>M</v>
          </cell>
          <cell r="AB285" t="str">
            <v>Feces</v>
          </cell>
        </row>
        <row r="286">
          <cell r="A286" t="str">
            <v>in storage</v>
          </cell>
          <cell r="K286" t="str">
            <v>LCAT</v>
          </cell>
          <cell r="M286" t="str">
            <v>M</v>
          </cell>
          <cell r="AB286" t="str">
            <v>Feces</v>
          </cell>
        </row>
        <row r="287">
          <cell r="A287" t="str">
            <v>in storage</v>
          </cell>
          <cell r="K287" t="str">
            <v>LCAT</v>
          </cell>
          <cell r="M287" t="str">
            <v>M</v>
          </cell>
          <cell r="AB287" t="str">
            <v>Feces</v>
          </cell>
        </row>
        <row r="288">
          <cell r="A288" t="str">
            <v>in storage</v>
          </cell>
          <cell r="K288" t="str">
            <v>LCAT</v>
          </cell>
          <cell r="M288" t="str">
            <v>M</v>
          </cell>
          <cell r="AB288" t="str">
            <v>Feces</v>
          </cell>
        </row>
        <row r="289">
          <cell r="A289" t="str">
            <v>in storage</v>
          </cell>
          <cell r="K289" t="str">
            <v>LCAT</v>
          </cell>
          <cell r="M289" t="str">
            <v>M</v>
          </cell>
          <cell r="AB289" t="str">
            <v>Feces</v>
          </cell>
        </row>
        <row r="290">
          <cell r="A290" t="str">
            <v>in storage</v>
          </cell>
          <cell r="K290" t="str">
            <v>LCAT</v>
          </cell>
          <cell r="M290" t="str">
            <v>M</v>
          </cell>
          <cell r="AB290" t="str">
            <v>Feces</v>
          </cell>
        </row>
        <row r="291">
          <cell r="A291" t="str">
            <v>in storage</v>
          </cell>
          <cell r="K291" t="str">
            <v>LCAT</v>
          </cell>
          <cell r="M291" t="str">
            <v>M</v>
          </cell>
          <cell r="AB291" t="str">
            <v>Feces</v>
          </cell>
        </row>
        <row r="292">
          <cell r="A292" t="str">
            <v>in storage</v>
          </cell>
          <cell r="K292" t="str">
            <v>LCAT</v>
          </cell>
          <cell r="M292" t="str">
            <v>M</v>
          </cell>
          <cell r="AB292" t="str">
            <v>Feces</v>
          </cell>
        </row>
        <row r="293">
          <cell r="A293" t="str">
            <v>in storage</v>
          </cell>
          <cell r="K293" t="str">
            <v>LCAT</v>
          </cell>
          <cell r="M293" t="str">
            <v>M</v>
          </cell>
          <cell r="AB293" t="str">
            <v>Feces</v>
          </cell>
        </row>
        <row r="294">
          <cell r="A294" t="str">
            <v>in storage</v>
          </cell>
          <cell r="K294" t="str">
            <v>LCAT</v>
          </cell>
          <cell r="M294" t="str">
            <v>M</v>
          </cell>
          <cell r="AB294" t="str">
            <v>Feces</v>
          </cell>
        </row>
        <row r="295">
          <cell r="A295" t="str">
            <v>in storage</v>
          </cell>
          <cell r="K295" t="str">
            <v>LCAT</v>
          </cell>
          <cell r="M295" t="str">
            <v>M</v>
          </cell>
          <cell r="AB295" t="str">
            <v>Feces</v>
          </cell>
        </row>
        <row r="296">
          <cell r="A296" t="str">
            <v>in storage</v>
          </cell>
          <cell r="K296" t="str">
            <v>LCAT</v>
          </cell>
          <cell r="M296" t="str">
            <v>M</v>
          </cell>
          <cell r="AB296" t="str">
            <v>Feces</v>
          </cell>
        </row>
        <row r="297">
          <cell r="A297" t="str">
            <v>in storage</v>
          </cell>
          <cell r="K297" t="str">
            <v>PCOQ</v>
          </cell>
          <cell r="M297" t="str">
            <v>M</v>
          </cell>
          <cell r="AB297" t="str">
            <v>Feces</v>
          </cell>
        </row>
        <row r="298">
          <cell r="A298" t="str">
            <v>in storage</v>
          </cell>
          <cell r="K298" t="str">
            <v>PCOQ</v>
          </cell>
          <cell r="M298" t="str">
            <v>M</v>
          </cell>
          <cell r="AB298" t="str">
            <v>Feces</v>
          </cell>
        </row>
        <row r="299">
          <cell r="A299" t="str">
            <v>unk</v>
          </cell>
          <cell r="K299" t="str">
            <v>PCOQ</v>
          </cell>
          <cell r="M299" t="str">
            <v>M</v>
          </cell>
          <cell r="AB299" t="str">
            <v>Feces</v>
          </cell>
        </row>
        <row r="300">
          <cell r="A300" t="str">
            <v>in storage</v>
          </cell>
          <cell r="K300" t="str">
            <v>PCOQ</v>
          </cell>
          <cell r="M300" t="str">
            <v>M</v>
          </cell>
          <cell r="AB300" t="str">
            <v>Feces</v>
          </cell>
        </row>
        <row r="301">
          <cell r="A301" t="str">
            <v>in storage</v>
          </cell>
          <cell r="K301" t="str">
            <v>EMON</v>
          </cell>
          <cell r="M301" t="str">
            <v>M</v>
          </cell>
          <cell r="AB301" t="str">
            <v>Feces</v>
          </cell>
        </row>
        <row r="302">
          <cell r="A302" t="str">
            <v>unk</v>
          </cell>
          <cell r="K302" t="str">
            <v>NPYG</v>
          </cell>
          <cell r="M302" t="str">
            <v>F</v>
          </cell>
          <cell r="AB302" t="str">
            <v>Feces</v>
          </cell>
        </row>
        <row r="303">
          <cell r="A303" t="str">
            <v>unk</v>
          </cell>
          <cell r="K303" t="str">
            <v>NPYG</v>
          </cell>
          <cell r="M303" t="str">
            <v>F</v>
          </cell>
          <cell r="AB303" t="str">
            <v>Feces</v>
          </cell>
        </row>
        <row r="304">
          <cell r="A304" t="str">
            <v>unk</v>
          </cell>
          <cell r="K304" t="str">
            <v>NPYG</v>
          </cell>
          <cell r="M304" t="str">
            <v>F</v>
          </cell>
          <cell r="AB304" t="str">
            <v>Feces</v>
          </cell>
        </row>
        <row r="305">
          <cell r="A305" t="str">
            <v>unk</v>
          </cell>
          <cell r="K305" t="str">
            <v>NPYG</v>
          </cell>
          <cell r="M305" t="str">
            <v>F</v>
          </cell>
          <cell r="AB305" t="str">
            <v>Feces</v>
          </cell>
        </row>
        <row r="306">
          <cell r="A306" t="str">
            <v>in storage</v>
          </cell>
          <cell r="K306" t="str">
            <v>LCAT</v>
          </cell>
          <cell r="M306" t="str">
            <v>F</v>
          </cell>
          <cell r="AB306" t="str">
            <v>Feces</v>
          </cell>
        </row>
        <row r="307">
          <cell r="A307" t="str">
            <v>in storage</v>
          </cell>
          <cell r="K307" t="str">
            <v>LCAT</v>
          </cell>
          <cell r="M307" t="str">
            <v>F</v>
          </cell>
          <cell r="AB307" t="str">
            <v>Feces</v>
          </cell>
        </row>
        <row r="308">
          <cell r="A308" t="str">
            <v>in storage</v>
          </cell>
          <cell r="K308" t="str">
            <v>LCAT</v>
          </cell>
          <cell r="M308" t="str">
            <v>F</v>
          </cell>
          <cell r="AB308" t="str">
            <v>Feces</v>
          </cell>
        </row>
        <row r="309">
          <cell r="A309" t="str">
            <v>in storage</v>
          </cell>
          <cell r="K309" t="str">
            <v>LCAT</v>
          </cell>
          <cell r="M309" t="str">
            <v>F</v>
          </cell>
          <cell r="AB309" t="str">
            <v>Feces</v>
          </cell>
        </row>
        <row r="310">
          <cell r="A310" t="str">
            <v>in storage</v>
          </cell>
          <cell r="K310" t="str">
            <v>LCAT</v>
          </cell>
          <cell r="M310" t="str">
            <v>F</v>
          </cell>
          <cell r="AB310" t="str">
            <v>Feces</v>
          </cell>
        </row>
        <row r="311">
          <cell r="A311" t="str">
            <v>in storage</v>
          </cell>
          <cell r="K311" t="str">
            <v>LCAT</v>
          </cell>
          <cell r="M311" t="str">
            <v>F</v>
          </cell>
          <cell r="AB311" t="str">
            <v>Feces</v>
          </cell>
        </row>
        <row r="312">
          <cell r="A312" t="str">
            <v>unk</v>
          </cell>
          <cell r="K312" t="str">
            <v>LCAT</v>
          </cell>
          <cell r="M312" t="str">
            <v>F</v>
          </cell>
          <cell r="AB312" t="str">
            <v>Feces</v>
          </cell>
        </row>
        <row r="313">
          <cell r="A313" t="str">
            <v>in storage</v>
          </cell>
          <cell r="K313" t="str">
            <v>VVV</v>
          </cell>
          <cell r="M313" t="str">
            <v>F</v>
          </cell>
          <cell r="AB313" t="str">
            <v>Fecal swab</v>
          </cell>
        </row>
        <row r="314">
          <cell r="A314" t="str">
            <v>in storage</v>
          </cell>
          <cell r="K314" t="str">
            <v>VVV</v>
          </cell>
          <cell r="M314" t="str">
            <v>F</v>
          </cell>
          <cell r="AB314" t="str">
            <v>Feces</v>
          </cell>
        </row>
        <row r="315">
          <cell r="A315" t="str">
            <v>in storage</v>
          </cell>
          <cell r="K315" t="str">
            <v>VVV</v>
          </cell>
          <cell r="M315" t="str">
            <v>F</v>
          </cell>
          <cell r="AB315" t="str">
            <v>Feces</v>
          </cell>
        </row>
        <row r="316">
          <cell r="A316" t="str">
            <v>in storage</v>
          </cell>
          <cell r="K316" t="str">
            <v>NCOU</v>
          </cell>
          <cell r="M316" t="str">
            <v>F</v>
          </cell>
          <cell r="AB316" t="str">
            <v>Feces</v>
          </cell>
        </row>
        <row r="317">
          <cell r="A317" t="str">
            <v>in storage</v>
          </cell>
          <cell r="K317" t="str">
            <v>EFLA</v>
          </cell>
          <cell r="M317" t="str">
            <v>F</v>
          </cell>
          <cell r="AB317" t="str">
            <v>Feces</v>
          </cell>
        </row>
        <row r="318">
          <cell r="A318" t="str">
            <v>unk</v>
          </cell>
          <cell r="K318" t="str">
            <v>EFLA</v>
          </cell>
          <cell r="M318" t="str">
            <v>F</v>
          </cell>
          <cell r="AB318" t="str">
            <v>Feces</v>
          </cell>
        </row>
        <row r="319">
          <cell r="A319" t="str">
            <v>unk</v>
          </cell>
          <cell r="K319" t="str">
            <v>LTAR</v>
          </cell>
          <cell r="M319" t="str">
            <v>M</v>
          </cell>
          <cell r="AB319" t="str">
            <v>Feces</v>
          </cell>
        </row>
        <row r="320">
          <cell r="A320" t="str">
            <v>in storage</v>
          </cell>
          <cell r="K320" t="str">
            <v>LCAT</v>
          </cell>
          <cell r="M320" t="str">
            <v>F</v>
          </cell>
          <cell r="AB320" t="str">
            <v>Feces</v>
          </cell>
        </row>
        <row r="321">
          <cell r="A321" t="str">
            <v>in storage</v>
          </cell>
          <cell r="K321" t="str">
            <v>MMUR</v>
          </cell>
          <cell r="M321" t="str">
            <v>F</v>
          </cell>
          <cell r="AB321" t="str">
            <v>Feces</v>
          </cell>
        </row>
        <row r="322">
          <cell r="A322" t="str">
            <v>in storage</v>
          </cell>
          <cell r="K322" t="str">
            <v>EMAC</v>
          </cell>
          <cell r="M322" t="str">
            <v>M</v>
          </cell>
          <cell r="AB322" t="str">
            <v>Feces</v>
          </cell>
        </row>
        <row r="323">
          <cell r="A323" t="str">
            <v>unk</v>
          </cell>
          <cell r="K323" t="str">
            <v>EMAC</v>
          </cell>
          <cell r="M323" t="str">
            <v>M</v>
          </cell>
          <cell r="AB323" t="str">
            <v>Feces</v>
          </cell>
        </row>
        <row r="324">
          <cell r="A324" t="str">
            <v>in storage</v>
          </cell>
          <cell r="K324" t="str">
            <v>PCOQ</v>
          </cell>
          <cell r="M324" t="str">
            <v>M</v>
          </cell>
          <cell r="AB324" t="str">
            <v>Feces</v>
          </cell>
        </row>
        <row r="325">
          <cell r="A325" t="str">
            <v>in storage</v>
          </cell>
          <cell r="K325" t="str">
            <v>DMAD</v>
          </cell>
          <cell r="M325" t="str">
            <v>F</v>
          </cell>
          <cell r="AB325" t="str">
            <v>Feces</v>
          </cell>
        </row>
        <row r="326">
          <cell r="A326" t="str">
            <v>in storage</v>
          </cell>
          <cell r="K326" t="str">
            <v>NPYG</v>
          </cell>
          <cell r="M326" t="str">
            <v>F</v>
          </cell>
          <cell r="AB326" t="str">
            <v>Feces</v>
          </cell>
        </row>
        <row r="327">
          <cell r="A327" t="str">
            <v>unk</v>
          </cell>
          <cell r="K327" t="str">
            <v>PCOQ</v>
          </cell>
          <cell r="M327" t="str">
            <v>F</v>
          </cell>
          <cell r="AB327" t="str">
            <v>Feces</v>
          </cell>
        </row>
        <row r="328">
          <cell r="A328" t="str">
            <v>in storage</v>
          </cell>
          <cell r="K328" t="str">
            <v>PCOQ</v>
          </cell>
          <cell r="M328" t="str">
            <v>F</v>
          </cell>
          <cell r="AB328" t="str">
            <v>Feces</v>
          </cell>
        </row>
        <row r="329">
          <cell r="A329" t="str">
            <v>unk</v>
          </cell>
          <cell r="K329" t="str">
            <v>CMED</v>
          </cell>
          <cell r="M329" t="str">
            <v>F</v>
          </cell>
          <cell r="AB329" t="str">
            <v>Feces</v>
          </cell>
        </row>
        <row r="330">
          <cell r="A330" t="str">
            <v>in storage</v>
          </cell>
          <cell r="K330" t="str">
            <v>EMON</v>
          </cell>
          <cell r="M330" t="str">
            <v>F</v>
          </cell>
          <cell r="AB330" t="str">
            <v>Feces</v>
          </cell>
        </row>
        <row r="331">
          <cell r="A331" t="str">
            <v>in storage</v>
          </cell>
          <cell r="K331" t="str">
            <v>VRUB</v>
          </cell>
          <cell r="M331" t="str">
            <v>F</v>
          </cell>
          <cell r="AB331" t="str">
            <v>Meconium</v>
          </cell>
        </row>
        <row r="332">
          <cell r="A332" t="str">
            <v>in storage</v>
          </cell>
          <cell r="K332" t="str">
            <v>PCOQ</v>
          </cell>
          <cell r="M332" t="str">
            <v>F</v>
          </cell>
          <cell r="AB332" t="str">
            <v>Feces</v>
          </cell>
        </row>
        <row r="333">
          <cell r="A333" t="str">
            <v>unk</v>
          </cell>
          <cell r="K333" t="str">
            <v>CMED</v>
          </cell>
          <cell r="M333" t="str">
            <v>M</v>
          </cell>
          <cell r="AB333" t="str">
            <v>Feces</v>
          </cell>
        </row>
        <row r="334">
          <cell r="A334" t="str">
            <v>in storage</v>
          </cell>
          <cell r="K334" t="str">
            <v>ECOL</v>
          </cell>
          <cell r="M334" t="str">
            <v>F</v>
          </cell>
          <cell r="AB334" t="str">
            <v>Feces</v>
          </cell>
        </row>
        <row r="335">
          <cell r="A335" t="str">
            <v>in storage</v>
          </cell>
          <cell r="K335" t="str">
            <v>DMAD</v>
          </cell>
          <cell r="M335" t="str">
            <v>M</v>
          </cell>
          <cell r="AB335" t="str">
            <v>Feces</v>
          </cell>
        </row>
        <row r="336">
          <cell r="A336" t="str">
            <v>in storage</v>
          </cell>
          <cell r="K336" t="str">
            <v>DMAD</v>
          </cell>
          <cell r="M336" t="str">
            <v>M</v>
          </cell>
          <cell r="AB336" t="str">
            <v>Feces</v>
          </cell>
        </row>
        <row r="337">
          <cell r="A337" t="str">
            <v>in storage</v>
          </cell>
          <cell r="K337" t="str">
            <v>DMAD</v>
          </cell>
          <cell r="M337" t="str">
            <v>M</v>
          </cell>
          <cell r="AB337" t="str">
            <v>Feces</v>
          </cell>
        </row>
        <row r="338">
          <cell r="A338" t="str">
            <v>in storage</v>
          </cell>
          <cell r="K338" t="str">
            <v>DMAD</v>
          </cell>
          <cell r="M338" t="str">
            <v>M</v>
          </cell>
          <cell r="AB338" t="str">
            <v>Feces</v>
          </cell>
        </row>
        <row r="339">
          <cell r="A339" t="str">
            <v>in storage</v>
          </cell>
          <cell r="K339" t="str">
            <v>DMAD</v>
          </cell>
          <cell r="M339" t="str">
            <v>M</v>
          </cell>
          <cell r="AB339" t="str">
            <v>Feces</v>
          </cell>
        </row>
        <row r="340">
          <cell r="A340" t="str">
            <v>unk</v>
          </cell>
          <cell r="K340" t="str">
            <v>GMOH</v>
          </cell>
          <cell r="M340" t="str">
            <v>F</v>
          </cell>
          <cell r="AB340" t="str">
            <v>Feces</v>
          </cell>
        </row>
        <row r="341">
          <cell r="A341" t="str">
            <v>in storage</v>
          </cell>
          <cell r="K341" t="str">
            <v>LCAT</v>
          </cell>
          <cell r="M341" t="str">
            <v>F</v>
          </cell>
          <cell r="AB341" t="str">
            <v>Feces</v>
          </cell>
        </row>
        <row r="342">
          <cell r="A342" t="str">
            <v>unk</v>
          </cell>
          <cell r="K342" t="str">
            <v>LCAT</v>
          </cell>
          <cell r="M342" t="str">
            <v>F</v>
          </cell>
          <cell r="AB342" t="str">
            <v>Feces</v>
          </cell>
        </row>
        <row r="343">
          <cell r="A343" t="str">
            <v>in storage</v>
          </cell>
          <cell r="K343" t="str">
            <v>DMAD</v>
          </cell>
          <cell r="M343" t="str">
            <v>F</v>
          </cell>
          <cell r="AB343" t="str">
            <v>Feces</v>
          </cell>
        </row>
        <row r="344">
          <cell r="A344" t="str">
            <v>in storage</v>
          </cell>
          <cell r="K344" t="str">
            <v>DMAD</v>
          </cell>
          <cell r="M344" t="str">
            <v>F</v>
          </cell>
          <cell r="AB344" t="str">
            <v>Feces</v>
          </cell>
        </row>
        <row r="345">
          <cell r="A345" t="str">
            <v>in storage</v>
          </cell>
          <cell r="K345" t="str">
            <v>ECOL</v>
          </cell>
          <cell r="M345" t="str">
            <v>F</v>
          </cell>
          <cell r="AB345" t="str">
            <v>Feces</v>
          </cell>
        </row>
        <row r="346">
          <cell r="A346" t="str">
            <v>in storage</v>
          </cell>
          <cell r="K346" t="str">
            <v>ECOR</v>
          </cell>
          <cell r="M346" t="str">
            <v>F</v>
          </cell>
          <cell r="AB346" t="str">
            <v>Feces</v>
          </cell>
        </row>
        <row r="347">
          <cell r="A347" t="str">
            <v>in storage</v>
          </cell>
          <cell r="K347" t="str">
            <v>ECOR</v>
          </cell>
          <cell r="M347" t="str">
            <v>F</v>
          </cell>
          <cell r="AB347" t="str">
            <v>Feces</v>
          </cell>
        </row>
        <row r="348">
          <cell r="A348" t="str">
            <v>in storage</v>
          </cell>
          <cell r="K348" t="str">
            <v>ECOR</v>
          </cell>
          <cell r="M348" t="str">
            <v>F</v>
          </cell>
          <cell r="AB348" t="str">
            <v>Feces</v>
          </cell>
        </row>
        <row r="349">
          <cell r="A349" t="str">
            <v>in storage</v>
          </cell>
          <cell r="K349" t="str">
            <v>PCOQ</v>
          </cell>
          <cell r="M349" t="str">
            <v>M</v>
          </cell>
          <cell r="AB349" t="str">
            <v>Feces</v>
          </cell>
        </row>
        <row r="350">
          <cell r="A350" t="str">
            <v>unk</v>
          </cell>
          <cell r="K350" t="str">
            <v>LCAT</v>
          </cell>
          <cell r="M350" t="str">
            <v>F</v>
          </cell>
          <cell r="AB350" t="str">
            <v>Feces</v>
          </cell>
        </row>
        <row r="351">
          <cell r="A351" t="str">
            <v>in storage</v>
          </cell>
          <cell r="K351" t="str">
            <v>ECOL</v>
          </cell>
          <cell r="M351" t="str">
            <v>F</v>
          </cell>
          <cell r="AB351" t="str">
            <v>Feces</v>
          </cell>
        </row>
        <row r="352">
          <cell r="A352" t="str">
            <v>unk</v>
          </cell>
          <cell r="K352" t="str">
            <v>LCAT</v>
          </cell>
          <cell r="M352" t="str">
            <v>F</v>
          </cell>
          <cell r="AB352" t="str">
            <v>Feces</v>
          </cell>
        </row>
        <row r="353">
          <cell r="A353" t="str">
            <v>in storage</v>
          </cell>
          <cell r="K353" t="str">
            <v>LCAT</v>
          </cell>
          <cell r="M353" t="str">
            <v>M</v>
          </cell>
          <cell r="AB353" t="str">
            <v>Feces</v>
          </cell>
        </row>
        <row r="354">
          <cell r="A354" t="str">
            <v>in storage</v>
          </cell>
          <cell r="K354" t="str">
            <v>LCAT</v>
          </cell>
          <cell r="M354" t="str">
            <v>M</v>
          </cell>
          <cell r="AB354" t="str">
            <v>Feces</v>
          </cell>
        </row>
        <row r="355">
          <cell r="A355" t="str">
            <v>in storage</v>
          </cell>
          <cell r="K355" t="str">
            <v>LCAT</v>
          </cell>
          <cell r="M355" t="str">
            <v>M</v>
          </cell>
          <cell r="AB355" t="str">
            <v>Feces</v>
          </cell>
        </row>
        <row r="356">
          <cell r="A356" t="str">
            <v>in storage</v>
          </cell>
          <cell r="K356" t="str">
            <v>LCAT</v>
          </cell>
          <cell r="M356" t="str">
            <v>M</v>
          </cell>
          <cell r="AB356" t="str">
            <v>Feces</v>
          </cell>
        </row>
        <row r="357">
          <cell r="A357" t="str">
            <v>in storage</v>
          </cell>
          <cell r="K357" t="str">
            <v>LCAT</v>
          </cell>
          <cell r="M357" t="str">
            <v>M</v>
          </cell>
          <cell r="AB357" t="str">
            <v>Feces</v>
          </cell>
        </row>
        <row r="358">
          <cell r="A358" t="str">
            <v>in storage</v>
          </cell>
          <cell r="K358" t="str">
            <v>LCAT</v>
          </cell>
          <cell r="M358" t="str">
            <v>M</v>
          </cell>
          <cell r="AB358" t="str">
            <v>Feces</v>
          </cell>
        </row>
        <row r="359">
          <cell r="A359" t="str">
            <v>unk</v>
          </cell>
          <cell r="K359" t="str">
            <v>ESAN</v>
          </cell>
          <cell r="M359" t="str">
            <v>M</v>
          </cell>
          <cell r="AB359" t="str">
            <v>Feces</v>
          </cell>
        </row>
        <row r="360">
          <cell r="A360" t="str">
            <v>in storage</v>
          </cell>
          <cell r="K360" t="str">
            <v>DMAD</v>
          </cell>
          <cell r="M360" t="str">
            <v>M</v>
          </cell>
          <cell r="AB360" t="str">
            <v>Feces</v>
          </cell>
        </row>
        <row r="361">
          <cell r="A361" t="str">
            <v>in storage</v>
          </cell>
          <cell r="K361" t="str">
            <v>DMAD</v>
          </cell>
          <cell r="M361" t="str">
            <v>M</v>
          </cell>
          <cell r="AB361" t="str">
            <v>Feces</v>
          </cell>
        </row>
        <row r="362">
          <cell r="A362" t="str">
            <v>in storage</v>
          </cell>
          <cell r="K362" t="str">
            <v>DMAD</v>
          </cell>
          <cell r="M362" t="str">
            <v>M</v>
          </cell>
          <cell r="AB362" t="str">
            <v>Feces</v>
          </cell>
        </row>
        <row r="363">
          <cell r="A363" t="str">
            <v>in storage</v>
          </cell>
          <cell r="K363" t="str">
            <v>DMAD</v>
          </cell>
          <cell r="M363" t="str">
            <v>M</v>
          </cell>
          <cell r="AB363" t="str">
            <v>Feces</v>
          </cell>
        </row>
        <row r="364">
          <cell r="A364" t="str">
            <v>in storage</v>
          </cell>
          <cell r="K364" t="str">
            <v>DMAD</v>
          </cell>
          <cell r="M364" t="str">
            <v>M</v>
          </cell>
          <cell r="AB364" t="str">
            <v>Feces</v>
          </cell>
        </row>
        <row r="365">
          <cell r="A365" t="str">
            <v>in storage</v>
          </cell>
          <cell r="K365" t="str">
            <v>DMAD</v>
          </cell>
          <cell r="M365" t="str">
            <v>M</v>
          </cell>
          <cell r="AB365" t="str">
            <v>Feces</v>
          </cell>
        </row>
        <row r="366">
          <cell r="A366" t="str">
            <v>in storage</v>
          </cell>
          <cell r="K366" t="str">
            <v>VRUB</v>
          </cell>
          <cell r="M366" t="str">
            <v>F</v>
          </cell>
          <cell r="AB366" t="str">
            <v>Feces</v>
          </cell>
        </row>
        <row r="367">
          <cell r="A367" t="str">
            <v>unk</v>
          </cell>
          <cell r="K367" t="str">
            <v>VRUB</v>
          </cell>
          <cell r="M367" t="str">
            <v>F</v>
          </cell>
          <cell r="AB367" t="str">
            <v>Feces</v>
          </cell>
        </row>
        <row r="368">
          <cell r="A368" t="str">
            <v>unk</v>
          </cell>
          <cell r="K368" t="str">
            <v>MMUR</v>
          </cell>
          <cell r="M368" t="str">
            <v>F</v>
          </cell>
          <cell r="AB368" t="str">
            <v>Feces</v>
          </cell>
        </row>
        <row r="369">
          <cell r="A369" t="str">
            <v>in storage</v>
          </cell>
          <cell r="K369" t="str">
            <v>EMON</v>
          </cell>
          <cell r="M369" t="str">
            <v>F</v>
          </cell>
          <cell r="AB369" t="str">
            <v>Feces</v>
          </cell>
        </row>
        <row r="370">
          <cell r="A370" t="str">
            <v>in storage</v>
          </cell>
          <cell r="K370" t="str">
            <v>CMED</v>
          </cell>
          <cell r="M370" t="str">
            <v>F</v>
          </cell>
          <cell r="AB370" t="str">
            <v>Feces</v>
          </cell>
        </row>
        <row r="371">
          <cell r="A371" t="str">
            <v>unk</v>
          </cell>
          <cell r="K371" t="str">
            <v>CMED</v>
          </cell>
          <cell r="M371" t="str">
            <v>F</v>
          </cell>
          <cell r="AB371" t="str">
            <v>Feces</v>
          </cell>
        </row>
        <row r="372">
          <cell r="A372" t="str">
            <v>in storage</v>
          </cell>
          <cell r="K372" t="str">
            <v>EMON</v>
          </cell>
          <cell r="M372" t="str">
            <v>M</v>
          </cell>
          <cell r="AB372" t="str">
            <v>Feces</v>
          </cell>
        </row>
        <row r="373">
          <cell r="A373" t="str">
            <v>in storage</v>
          </cell>
          <cell r="K373" t="str">
            <v>DMAD</v>
          </cell>
          <cell r="M373" t="str">
            <v>F</v>
          </cell>
          <cell r="AB373" t="str">
            <v>Feces</v>
          </cell>
        </row>
        <row r="374">
          <cell r="A374" t="str">
            <v>in storage</v>
          </cell>
          <cell r="K374" t="str">
            <v>DMAD</v>
          </cell>
          <cell r="M374" t="str">
            <v>F</v>
          </cell>
          <cell r="AB374" t="str">
            <v>Feces</v>
          </cell>
        </row>
        <row r="375">
          <cell r="A375" t="str">
            <v>in storage</v>
          </cell>
          <cell r="K375" t="str">
            <v>EMON</v>
          </cell>
          <cell r="M375" t="str">
            <v>M</v>
          </cell>
          <cell r="AB375" t="str">
            <v>Feces</v>
          </cell>
        </row>
        <row r="376">
          <cell r="A376" t="str">
            <v>in storage</v>
          </cell>
          <cell r="K376" t="str">
            <v>EMON</v>
          </cell>
          <cell r="M376" t="str">
            <v>M</v>
          </cell>
          <cell r="AB376" t="str">
            <v>Feces</v>
          </cell>
        </row>
        <row r="377">
          <cell r="A377" t="str">
            <v>unk</v>
          </cell>
          <cell r="K377" t="str">
            <v>VRUB</v>
          </cell>
          <cell r="M377" t="str">
            <v>F</v>
          </cell>
          <cell r="AB377" t="str">
            <v>Fecal swab</v>
          </cell>
        </row>
        <row r="378">
          <cell r="A378" t="str">
            <v>unk</v>
          </cell>
          <cell r="K378" t="str">
            <v>VRUB</v>
          </cell>
          <cell r="M378" t="str">
            <v>F</v>
          </cell>
          <cell r="AB378" t="str">
            <v>Fecal swab</v>
          </cell>
        </row>
        <row r="379">
          <cell r="A379" t="str">
            <v>unk</v>
          </cell>
          <cell r="K379" t="str">
            <v>VRUB</v>
          </cell>
          <cell r="M379" t="str">
            <v>F</v>
          </cell>
          <cell r="AB379" t="str">
            <v>Fecal swab</v>
          </cell>
        </row>
        <row r="380">
          <cell r="A380" t="str">
            <v>unk</v>
          </cell>
          <cell r="K380" t="str">
            <v>VRUB</v>
          </cell>
          <cell r="M380" t="str">
            <v>F</v>
          </cell>
          <cell r="AB380" t="str">
            <v>Fecal swab</v>
          </cell>
        </row>
        <row r="381">
          <cell r="A381" t="str">
            <v>unk</v>
          </cell>
          <cell r="K381" t="str">
            <v>VRUB</v>
          </cell>
          <cell r="M381" t="str">
            <v>F</v>
          </cell>
          <cell r="AB381" t="str">
            <v>Fecal swab</v>
          </cell>
        </row>
        <row r="382">
          <cell r="A382" t="str">
            <v>unk</v>
          </cell>
          <cell r="K382" t="str">
            <v>VRUB</v>
          </cell>
          <cell r="M382" t="str">
            <v>F</v>
          </cell>
          <cell r="AB382" t="str">
            <v>Fecal swab</v>
          </cell>
        </row>
        <row r="383">
          <cell r="A383" t="str">
            <v>unk</v>
          </cell>
          <cell r="K383" t="str">
            <v>VRUB</v>
          </cell>
          <cell r="M383" t="str">
            <v>F</v>
          </cell>
          <cell r="AB383" t="str">
            <v>Feces</v>
          </cell>
        </row>
        <row r="384">
          <cell r="A384" t="str">
            <v>unk</v>
          </cell>
          <cell r="K384" t="str">
            <v>VRUB</v>
          </cell>
          <cell r="M384" t="str">
            <v>F</v>
          </cell>
          <cell r="AB384" t="str">
            <v>Fecal swab</v>
          </cell>
        </row>
        <row r="385">
          <cell r="A385" t="str">
            <v>unk</v>
          </cell>
          <cell r="K385" t="str">
            <v>VRUB</v>
          </cell>
          <cell r="M385" t="str">
            <v>F</v>
          </cell>
          <cell r="AB385" t="str">
            <v>Fecal swab</v>
          </cell>
        </row>
        <row r="386">
          <cell r="A386" t="str">
            <v>unk</v>
          </cell>
          <cell r="K386" t="str">
            <v>VRUB</v>
          </cell>
          <cell r="M386" t="str">
            <v>F</v>
          </cell>
          <cell r="AB386" t="str">
            <v>Fecal swab</v>
          </cell>
        </row>
        <row r="387">
          <cell r="A387" t="str">
            <v>in storage</v>
          </cell>
          <cell r="K387" t="str">
            <v>VRUB</v>
          </cell>
          <cell r="M387" t="str">
            <v>F</v>
          </cell>
          <cell r="AB387" t="str">
            <v>Feces</v>
          </cell>
        </row>
        <row r="388">
          <cell r="A388" t="str">
            <v>in storage</v>
          </cell>
          <cell r="K388" t="str">
            <v>ECOL</v>
          </cell>
          <cell r="M388" t="str">
            <v>M</v>
          </cell>
          <cell r="AB388" t="str">
            <v>Feces</v>
          </cell>
        </row>
        <row r="389">
          <cell r="A389" t="str">
            <v>in storage</v>
          </cell>
          <cell r="K389" t="str">
            <v>EMON</v>
          </cell>
          <cell r="M389" t="str">
            <v>M</v>
          </cell>
          <cell r="AB389" t="str">
            <v>Feces</v>
          </cell>
        </row>
        <row r="390">
          <cell r="A390" t="str">
            <v>in storage</v>
          </cell>
          <cell r="K390" t="str">
            <v>LCAT</v>
          </cell>
          <cell r="M390" t="str">
            <v>F</v>
          </cell>
          <cell r="AB390" t="str">
            <v>Feces</v>
          </cell>
        </row>
        <row r="391">
          <cell r="A391" t="str">
            <v>in storage</v>
          </cell>
          <cell r="K391" t="str">
            <v>LCAT</v>
          </cell>
          <cell r="M391" t="str">
            <v>F</v>
          </cell>
          <cell r="AB391" t="str">
            <v>Feces</v>
          </cell>
        </row>
        <row r="392">
          <cell r="A392" t="str">
            <v>in storage</v>
          </cell>
          <cell r="K392" t="str">
            <v>LCAT</v>
          </cell>
          <cell r="M392" t="str">
            <v>F</v>
          </cell>
          <cell r="AB392" t="str">
            <v>Feces</v>
          </cell>
        </row>
        <row r="393">
          <cell r="A393" t="str">
            <v>in storage</v>
          </cell>
          <cell r="K393" t="str">
            <v>LCAT</v>
          </cell>
          <cell r="M393" t="str">
            <v>F</v>
          </cell>
          <cell r="AB393" t="str">
            <v>Feces</v>
          </cell>
        </row>
        <row r="394">
          <cell r="A394" t="str">
            <v>in storage</v>
          </cell>
          <cell r="K394" t="str">
            <v>LCAT</v>
          </cell>
          <cell r="M394" t="str">
            <v>F</v>
          </cell>
          <cell r="AB394" t="str">
            <v>Feces</v>
          </cell>
        </row>
        <row r="395">
          <cell r="A395" t="str">
            <v>in storage</v>
          </cell>
          <cell r="K395" t="str">
            <v>LCAT</v>
          </cell>
          <cell r="M395" t="str">
            <v>F</v>
          </cell>
          <cell r="AB395" t="str">
            <v>Feces</v>
          </cell>
        </row>
        <row r="396">
          <cell r="A396" t="str">
            <v>in storage</v>
          </cell>
          <cell r="K396" t="str">
            <v>LCAT</v>
          </cell>
          <cell r="M396" t="str">
            <v>F</v>
          </cell>
          <cell r="AB396" t="str">
            <v>Feces</v>
          </cell>
        </row>
        <row r="397">
          <cell r="A397" t="str">
            <v>unk</v>
          </cell>
          <cell r="K397" t="str">
            <v>CMED</v>
          </cell>
          <cell r="M397" t="str">
            <v>M</v>
          </cell>
          <cell r="AB397" t="str">
            <v>Feces</v>
          </cell>
        </row>
        <row r="398">
          <cell r="A398" t="str">
            <v>in storage</v>
          </cell>
          <cell r="K398" t="str">
            <v>PCOQ</v>
          </cell>
          <cell r="M398" t="str">
            <v>F</v>
          </cell>
          <cell r="AB398" t="str">
            <v>Feces</v>
          </cell>
        </row>
        <row r="399">
          <cell r="A399" t="str">
            <v>in storage</v>
          </cell>
          <cell r="K399" t="str">
            <v>PCOQ</v>
          </cell>
          <cell r="M399" t="str">
            <v>F</v>
          </cell>
          <cell r="AB399" t="str">
            <v>Feces</v>
          </cell>
        </row>
        <row r="400">
          <cell r="A400" t="str">
            <v>in storage</v>
          </cell>
          <cell r="K400" t="str">
            <v>PCOQ</v>
          </cell>
          <cell r="M400" t="str">
            <v>F</v>
          </cell>
          <cell r="AB400" t="str">
            <v>Feces</v>
          </cell>
        </row>
        <row r="401">
          <cell r="A401" t="str">
            <v>in storage</v>
          </cell>
          <cell r="K401" t="str">
            <v>PCOQ</v>
          </cell>
          <cell r="M401" t="str">
            <v>F</v>
          </cell>
          <cell r="AB401" t="str">
            <v>Feces</v>
          </cell>
        </row>
        <row r="402">
          <cell r="A402" t="str">
            <v>in storage</v>
          </cell>
          <cell r="K402" t="str">
            <v>PCOQ</v>
          </cell>
          <cell r="M402" t="str">
            <v>F</v>
          </cell>
          <cell r="AB402" t="str">
            <v>Feces</v>
          </cell>
        </row>
        <row r="403">
          <cell r="A403" t="str">
            <v>in storage</v>
          </cell>
          <cell r="K403" t="str">
            <v>PCOQ</v>
          </cell>
          <cell r="M403" t="str">
            <v>F</v>
          </cell>
          <cell r="AB403" t="str">
            <v>Feces</v>
          </cell>
        </row>
        <row r="404">
          <cell r="A404" t="str">
            <v>in storage</v>
          </cell>
          <cell r="K404" t="str">
            <v>PCOQ</v>
          </cell>
          <cell r="M404" t="str">
            <v>F</v>
          </cell>
          <cell r="AB404" t="str">
            <v>Feces</v>
          </cell>
        </row>
        <row r="405">
          <cell r="A405" t="str">
            <v>in storage</v>
          </cell>
          <cell r="K405" t="str">
            <v>PCOQ</v>
          </cell>
          <cell r="M405" t="str">
            <v>F</v>
          </cell>
          <cell r="AB405" t="str">
            <v>Feces</v>
          </cell>
        </row>
        <row r="406">
          <cell r="A406" t="str">
            <v>in storage</v>
          </cell>
          <cell r="K406" t="str">
            <v>PCOQ</v>
          </cell>
          <cell r="M406" t="str">
            <v>F</v>
          </cell>
          <cell r="AB406" t="str">
            <v>Feces</v>
          </cell>
        </row>
        <row r="407">
          <cell r="A407" t="str">
            <v>in storage</v>
          </cell>
          <cell r="K407" t="str">
            <v>PCOQ</v>
          </cell>
          <cell r="M407" t="str">
            <v>F</v>
          </cell>
          <cell r="AB407" t="str">
            <v>Feces</v>
          </cell>
        </row>
        <row r="408">
          <cell r="A408" t="str">
            <v>in storage</v>
          </cell>
          <cell r="K408" t="str">
            <v>PCOQ</v>
          </cell>
          <cell r="M408" t="str">
            <v>F</v>
          </cell>
          <cell r="AB408" t="str">
            <v>Feces</v>
          </cell>
        </row>
        <row r="409">
          <cell r="A409" t="str">
            <v>in storage</v>
          </cell>
          <cell r="K409" t="str">
            <v>PCOQ</v>
          </cell>
          <cell r="M409" t="str">
            <v>F</v>
          </cell>
          <cell r="AB409" t="str">
            <v>Fecal swab</v>
          </cell>
        </row>
        <row r="410">
          <cell r="A410" t="str">
            <v>in storage</v>
          </cell>
          <cell r="K410" t="str">
            <v>PCOQ</v>
          </cell>
          <cell r="M410" t="str">
            <v>F</v>
          </cell>
          <cell r="AB410" t="str">
            <v>Feces</v>
          </cell>
        </row>
        <row r="411">
          <cell r="A411" t="str">
            <v>in storage</v>
          </cell>
          <cell r="K411" t="str">
            <v>PCOQ</v>
          </cell>
          <cell r="M411" t="str">
            <v>F</v>
          </cell>
          <cell r="AB411" t="str">
            <v>Feces</v>
          </cell>
        </row>
        <row r="412">
          <cell r="A412" t="str">
            <v>in storage</v>
          </cell>
          <cell r="K412" t="str">
            <v>EMON</v>
          </cell>
          <cell r="M412" t="str">
            <v>F</v>
          </cell>
          <cell r="AB412" t="str">
            <v>Feces</v>
          </cell>
        </row>
        <row r="413">
          <cell r="A413" t="str">
            <v>in storage</v>
          </cell>
          <cell r="K413" t="str">
            <v>PCOQ</v>
          </cell>
          <cell r="M413" t="str">
            <v>M</v>
          </cell>
          <cell r="AB413" t="str">
            <v>Feces</v>
          </cell>
        </row>
        <row r="414">
          <cell r="A414" t="str">
            <v>in storage</v>
          </cell>
          <cell r="K414" t="str">
            <v>PCOQ</v>
          </cell>
          <cell r="M414" t="str">
            <v>M</v>
          </cell>
          <cell r="AB414" t="str">
            <v>Feces</v>
          </cell>
        </row>
        <row r="415">
          <cell r="A415" t="str">
            <v>in storage</v>
          </cell>
          <cell r="K415" t="str">
            <v>PCOQ</v>
          </cell>
          <cell r="M415" t="str">
            <v>M</v>
          </cell>
          <cell r="AB415" t="str">
            <v>Feces</v>
          </cell>
        </row>
        <row r="416">
          <cell r="A416" t="str">
            <v>in storage</v>
          </cell>
          <cell r="K416" t="str">
            <v>OCRA</v>
          </cell>
          <cell r="M416" t="str">
            <v>F</v>
          </cell>
          <cell r="AB416" t="str">
            <v>Feces</v>
          </cell>
        </row>
        <row r="417">
          <cell r="A417" t="str">
            <v>in storage</v>
          </cell>
          <cell r="K417" t="str">
            <v>OCRA</v>
          </cell>
          <cell r="M417" t="str">
            <v>F</v>
          </cell>
          <cell r="AB417" t="str">
            <v>Feces</v>
          </cell>
        </row>
        <row r="418">
          <cell r="A418" t="str">
            <v>in storage</v>
          </cell>
          <cell r="K418" t="str">
            <v>VRUB</v>
          </cell>
          <cell r="M418" t="str">
            <v>M</v>
          </cell>
          <cell r="AB418" t="str">
            <v>Feces</v>
          </cell>
        </row>
        <row r="419">
          <cell r="A419" t="str">
            <v>in storage</v>
          </cell>
          <cell r="K419" t="str">
            <v>VRUB</v>
          </cell>
          <cell r="M419" t="str">
            <v>M</v>
          </cell>
          <cell r="AB419" t="str">
            <v>Feces</v>
          </cell>
        </row>
        <row r="420">
          <cell r="A420" t="str">
            <v>unk</v>
          </cell>
          <cell r="K420" t="str">
            <v>NPYG</v>
          </cell>
          <cell r="M420" t="str">
            <v>M</v>
          </cell>
          <cell r="AB420" t="str">
            <v>Feces</v>
          </cell>
        </row>
        <row r="421">
          <cell r="A421" t="str">
            <v>in storage</v>
          </cell>
          <cell r="K421" t="str">
            <v>VRUB</v>
          </cell>
          <cell r="M421" t="str">
            <v>F</v>
          </cell>
          <cell r="AB421" t="str">
            <v>Feces</v>
          </cell>
        </row>
        <row r="422">
          <cell r="A422" t="str">
            <v>in storage</v>
          </cell>
          <cell r="K422" t="str">
            <v>VRUB</v>
          </cell>
          <cell r="M422" t="str">
            <v>F</v>
          </cell>
          <cell r="AB422" t="str">
            <v>Feces</v>
          </cell>
        </row>
        <row r="423">
          <cell r="A423" t="str">
            <v>in storage</v>
          </cell>
          <cell r="K423" t="str">
            <v>CMED</v>
          </cell>
          <cell r="M423" t="str">
            <v>F</v>
          </cell>
          <cell r="AB423" t="str">
            <v>Feces</v>
          </cell>
        </row>
        <row r="424">
          <cell r="A424" t="str">
            <v>in storage</v>
          </cell>
          <cell r="K424" t="str">
            <v>CMED</v>
          </cell>
          <cell r="M424" t="str">
            <v>F</v>
          </cell>
          <cell r="AB424" t="str">
            <v>Feces</v>
          </cell>
        </row>
        <row r="425">
          <cell r="A425" t="str">
            <v>in storage</v>
          </cell>
          <cell r="K425" t="str">
            <v>EFLA</v>
          </cell>
          <cell r="M425" t="str">
            <v>M</v>
          </cell>
          <cell r="AB425" t="str">
            <v>Feces</v>
          </cell>
        </row>
        <row r="426">
          <cell r="A426" t="str">
            <v>in storage</v>
          </cell>
          <cell r="K426" t="str">
            <v>GMOH</v>
          </cell>
          <cell r="M426" t="str">
            <v>F</v>
          </cell>
          <cell r="AB426" t="str">
            <v>Feces</v>
          </cell>
        </row>
        <row r="427">
          <cell r="A427" t="str">
            <v>unk</v>
          </cell>
          <cell r="K427" t="str">
            <v>EUL</v>
          </cell>
          <cell r="M427" t="str">
            <v>M</v>
          </cell>
          <cell r="AB427" t="str">
            <v>Feces</v>
          </cell>
        </row>
        <row r="428">
          <cell r="A428" t="str">
            <v>in storage</v>
          </cell>
          <cell r="K428" t="str">
            <v>LCAT</v>
          </cell>
          <cell r="M428" t="str">
            <v>M</v>
          </cell>
          <cell r="AB428" t="str">
            <v>Feces</v>
          </cell>
        </row>
        <row r="429">
          <cell r="A429" t="str">
            <v>unk</v>
          </cell>
          <cell r="K429" t="str">
            <v>CMED</v>
          </cell>
          <cell r="M429" t="str">
            <v>F</v>
          </cell>
          <cell r="AB429" t="str">
            <v>Feces</v>
          </cell>
        </row>
        <row r="430">
          <cell r="A430" t="str">
            <v>in storage</v>
          </cell>
          <cell r="K430" t="str">
            <v>ERUF</v>
          </cell>
          <cell r="M430" t="str">
            <v>F</v>
          </cell>
          <cell r="AB430" t="str">
            <v>Feces</v>
          </cell>
        </row>
        <row r="431">
          <cell r="A431" t="str">
            <v>unk</v>
          </cell>
          <cell r="K431" t="str">
            <v>PCOQ</v>
          </cell>
          <cell r="M431" t="str">
            <v>M</v>
          </cell>
          <cell r="AB431" t="str">
            <v>Feces</v>
          </cell>
        </row>
        <row r="432">
          <cell r="A432" t="str">
            <v>unk</v>
          </cell>
          <cell r="K432" t="str">
            <v>PCOQ</v>
          </cell>
          <cell r="M432" t="str">
            <v>M</v>
          </cell>
          <cell r="AB432" t="str">
            <v>Feces</v>
          </cell>
        </row>
        <row r="433">
          <cell r="A433" t="str">
            <v>unk</v>
          </cell>
          <cell r="K433" t="str">
            <v>PCOQ</v>
          </cell>
          <cell r="M433" t="str">
            <v>M</v>
          </cell>
          <cell r="AB433" t="str">
            <v>Feces</v>
          </cell>
        </row>
        <row r="434">
          <cell r="A434" t="str">
            <v>unk</v>
          </cell>
          <cell r="K434" t="str">
            <v>PCOQ</v>
          </cell>
          <cell r="M434" t="str">
            <v>M</v>
          </cell>
          <cell r="AB434" t="str">
            <v>Feces</v>
          </cell>
        </row>
        <row r="435">
          <cell r="A435" t="str">
            <v>unk</v>
          </cell>
          <cell r="K435" t="str">
            <v>PCOQ</v>
          </cell>
          <cell r="M435" t="str">
            <v>M</v>
          </cell>
          <cell r="AB435" t="str">
            <v>Feces</v>
          </cell>
        </row>
        <row r="436">
          <cell r="A436" t="str">
            <v>in storage</v>
          </cell>
          <cell r="K436" t="str">
            <v>PCOQ</v>
          </cell>
          <cell r="M436" t="str">
            <v>M</v>
          </cell>
          <cell r="AB436" t="str">
            <v>Feces</v>
          </cell>
        </row>
        <row r="437">
          <cell r="A437" t="str">
            <v>in storage</v>
          </cell>
          <cell r="K437" t="str">
            <v>PCOQ</v>
          </cell>
          <cell r="M437" t="str">
            <v>M</v>
          </cell>
          <cell r="AB437" t="str">
            <v>Feces</v>
          </cell>
        </row>
        <row r="438">
          <cell r="A438" t="str">
            <v>in storage</v>
          </cell>
          <cell r="K438" t="str">
            <v>PCOQ</v>
          </cell>
          <cell r="M438" t="str">
            <v>F</v>
          </cell>
          <cell r="AB438" t="str">
            <v>Feces</v>
          </cell>
        </row>
        <row r="439">
          <cell r="A439" t="str">
            <v>in storage</v>
          </cell>
          <cell r="K439" t="str">
            <v>PCOQ</v>
          </cell>
          <cell r="M439" t="str">
            <v>F</v>
          </cell>
          <cell r="AB439" t="str">
            <v>Feces</v>
          </cell>
        </row>
        <row r="440">
          <cell r="A440" t="str">
            <v>in storage</v>
          </cell>
          <cell r="K440" t="str">
            <v>PCOQ</v>
          </cell>
          <cell r="M440" t="str">
            <v>F</v>
          </cell>
          <cell r="AB440" t="str">
            <v>Feces</v>
          </cell>
        </row>
        <row r="441">
          <cell r="A441" t="str">
            <v>in storage</v>
          </cell>
          <cell r="K441" t="str">
            <v>PCOQ</v>
          </cell>
          <cell r="M441" t="str">
            <v>F</v>
          </cell>
          <cell r="AB441" t="str">
            <v>Feces</v>
          </cell>
        </row>
        <row r="442">
          <cell r="A442" t="str">
            <v>in storage</v>
          </cell>
          <cell r="K442" t="str">
            <v>PCOQ</v>
          </cell>
          <cell r="M442" t="str">
            <v>F</v>
          </cell>
          <cell r="AB442" t="str">
            <v>Feces</v>
          </cell>
        </row>
        <row r="443">
          <cell r="A443" t="str">
            <v>in storage</v>
          </cell>
          <cell r="K443" t="str">
            <v>PCOQ</v>
          </cell>
          <cell r="M443" t="str">
            <v>F</v>
          </cell>
          <cell r="AB443" t="str">
            <v>Feces</v>
          </cell>
        </row>
        <row r="444">
          <cell r="A444" t="str">
            <v>in storage</v>
          </cell>
          <cell r="K444" t="str">
            <v>PCOQ</v>
          </cell>
          <cell r="M444" t="str">
            <v>F</v>
          </cell>
          <cell r="AB444" t="str">
            <v>Feces</v>
          </cell>
        </row>
        <row r="445">
          <cell r="A445" t="str">
            <v>in storage</v>
          </cell>
          <cell r="K445" t="str">
            <v>PCOQ</v>
          </cell>
          <cell r="M445" t="str">
            <v>F</v>
          </cell>
          <cell r="AB445" t="str">
            <v>Fecal swab</v>
          </cell>
        </row>
        <row r="446">
          <cell r="A446" t="str">
            <v>in storage</v>
          </cell>
          <cell r="K446" t="str">
            <v>PCOQ</v>
          </cell>
          <cell r="M446" t="str">
            <v>F</v>
          </cell>
          <cell r="AB446" t="str">
            <v>Feces</v>
          </cell>
        </row>
        <row r="447">
          <cell r="A447" t="str">
            <v>in storage</v>
          </cell>
          <cell r="K447" t="str">
            <v>PCOQ</v>
          </cell>
          <cell r="M447" t="str">
            <v>F</v>
          </cell>
          <cell r="AB447" t="str">
            <v>Feces</v>
          </cell>
        </row>
        <row r="448">
          <cell r="A448" t="str">
            <v>in storage</v>
          </cell>
          <cell r="K448" t="str">
            <v>PCOQ</v>
          </cell>
          <cell r="M448" t="str">
            <v>F</v>
          </cell>
          <cell r="AB448" t="str">
            <v>Feces</v>
          </cell>
        </row>
        <row r="449">
          <cell r="A449" t="str">
            <v>in storage</v>
          </cell>
          <cell r="K449" t="str">
            <v>LCAT</v>
          </cell>
          <cell r="M449" t="str">
            <v>M</v>
          </cell>
          <cell r="AB449" t="str">
            <v>Feces</v>
          </cell>
        </row>
        <row r="450">
          <cell r="A450" t="str">
            <v>unk</v>
          </cell>
          <cell r="K450" t="str">
            <v>MMUR</v>
          </cell>
          <cell r="M450" t="str">
            <v>M</v>
          </cell>
          <cell r="AB450" t="str">
            <v>Feces</v>
          </cell>
        </row>
        <row r="451">
          <cell r="A451" t="str">
            <v>in storage</v>
          </cell>
          <cell r="K451" t="str">
            <v>PCOQ</v>
          </cell>
          <cell r="M451" t="str">
            <v>F</v>
          </cell>
          <cell r="AB451" t="str">
            <v>Feces</v>
          </cell>
        </row>
        <row r="452">
          <cell r="A452" t="str">
            <v>in storage</v>
          </cell>
          <cell r="K452" t="str">
            <v>PCOQ</v>
          </cell>
          <cell r="M452" t="str">
            <v>F</v>
          </cell>
          <cell r="AB452" t="str">
            <v>Feces</v>
          </cell>
        </row>
        <row r="453">
          <cell r="A453" t="str">
            <v>in storage</v>
          </cell>
          <cell r="K453" t="str">
            <v>PCOQ</v>
          </cell>
          <cell r="M453" t="str">
            <v>F</v>
          </cell>
          <cell r="AB453" t="str">
            <v>Feces</v>
          </cell>
        </row>
        <row r="454">
          <cell r="A454" t="str">
            <v>in storage</v>
          </cell>
          <cell r="K454" t="str">
            <v>PCOQ</v>
          </cell>
          <cell r="M454" t="str">
            <v>F</v>
          </cell>
          <cell r="AB454" t="str">
            <v>Feces</v>
          </cell>
        </row>
        <row r="455">
          <cell r="A455" t="str">
            <v>in storage</v>
          </cell>
          <cell r="K455" t="str">
            <v>PCOQ</v>
          </cell>
          <cell r="M455" t="str">
            <v>F</v>
          </cell>
          <cell r="AB455" t="str">
            <v>Feces</v>
          </cell>
        </row>
        <row r="456">
          <cell r="A456" t="str">
            <v>in storage</v>
          </cell>
          <cell r="K456" t="str">
            <v>PCOQ</v>
          </cell>
          <cell r="M456" t="str">
            <v>F</v>
          </cell>
          <cell r="AB456" t="str">
            <v>Feces</v>
          </cell>
        </row>
        <row r="457">
          <cell r="A457" t="str">
            <v>in storage</v>
          </cell>
          <cell r="K457" t="str">
            <v>ECOR</v>
          </cell>
          <cell r="M457" t="str">
            <v>F</v>
          </cell>
          <cell r="AB457" t="str">
            <v>Feces</v>
          </cell>
        </row>
        <row r="458">
          <cell r="A458" t="str">
            <v>in storage</v>
          </cell>
          <cell r="K458" t="str">
            <v>ECOR</v>
          </cell>
          <cell r="M458" t="str">
            <v>F</v>
          </cell>
          <cell r="AB458" t="str">
            <v>Feces</v>
          </cell>
        </row>
        <row r="459">
          <cell r="A459" t="str">
            <v>in storage</v>
          </cell>
          <cell r="K459" t="str">
            <v>VVV</v>
          </cell>
          <cell r="M459" t="str">
            <v>M</v>
          </cell>
          <cell r="AB459" t="str">
            <v>Fecal swab</v>
          </cell>
        </row>
        <row r="460">
          <cell r="A460" t="str">
            <v>in storage</v>
          </cell>
          <cell r="K460" t="str">
            <v>VVV</v>
          </cell>
          <cell r="M460" t="str">
            <v>M</v>
          </cell>
          <cell r="AB460" t="str">
            <v>Fecal swab</v>
          </cell>
        </row>
        <row r="461">
          <cell r="A461" t="str">
            <v>in storage</v>
          </cell>
          <cell r="K461" t="str">
            <v>VVV</v>
          </cell>
          <cell r="M461" t="str">
            <v>M</v>
          </cell>
          <cell r="AB461" t="str">
            <v>Fecal swab</v>
          </cell>
        </row>
        <row r="462">
          <cell r="A462" t="str">
            <v>in storage</v>
          </cell>
          <cell r="K462" t="str">
            <v>VVV</v>
          </cell>
          <cell r="M462" t="str">
            <v>M</v>
          </cell>
          <cell r="AB462" t="str">
            <v>Fecal swab</v>
          </cell>
        </row>
        <row r="463">
          <cell r="A463" t="str">
            <v>in storage</v>
          </cell>
          <cell r="K463" t="str">
            <v>VVV</v>
          </cell>
          <cell r="M463" t="str">
            <v>M</v>
          </cell>
          <cell r="AB463" t="str">
            <v>Fecal swab</v>
          </cell>
        </row>
        <row r="464">
          <cell r="A464" t="str">
            <v>in storage</v>
          </cell>
          <cell r="K464" t="str">
            <v>VVV</v>
          </cell>
          <cell r="M464" t="str">
            <v>M</v>
          </cell>
          <cell r="AB464" t="str">
            <v>Fecal swab</v>
          </cell>
        </row>
        <row r="465">
          <cell r="A465" t="str">
            <v>in storage</v>
          </cell>
          <cell r="K465" t="str">
            <v>ERUB</v>
          </cell>
          <cell r="M465" t="str">
            <v>F</v>
          </cell>
          <cell r="AB465" t="str">
            <v>Feces</v>
          </cell>
        </row>
        <row r="466">
          <cell r="A466" t="str">
            <v>unk</v>
          </cell>
          <cell r="K466" t="str">
            <v>ERUB</v>
          </cell>
          <cell r="M466" t="str">
            <v>F</v>
          </cell>
          <cell r="AB466" t="str">
            <v>Feces</v>
          </cell>
        </row>
        <row r="467">
          <cell r="A467" t="str">
            <v>in storage</v>
          </cell>
          <cell r="K467" t="str">
            <v>ECOR</v>
          </cell>
          <cell r="M467" t="str">
            <v>F</v>
          </cell>
          <cell r="AB467" t="str">
            <v>Feces</v>
          </cell>
        </row>
        <row r="468">
          <cell r="A468" t="str">
            <v>in storage</v>
          </cell>
          <cell r="K468" t="str">
            <v>LCAT</v>
          </cell>
          <cell r="M468" t="str">
            <v>M</v>
          </cell>
          <cell r="AB468" t="str">
            <v>Feces</v>
          </cell>
        </row>
        <row r="469">
          <cell r="A469" t="str">
            <v>in storage</v>
          </cell>
          <cell r="K469" t="str">
            <v>LCAT</v>
          </cell>
          <cell r="M469" t="str">
            <v>F</v>
          </cell>
          <cell r="AB469" t="str">
            <v>Feces</v>
          </cell>
        </row>
        <row r="470">
          <cell r="A470" t="str">
            <v>unk</v>
          </cell>
          <cell r="K470" t="str">
            <v>LCAT</v>
          </cell>
          <cell r="M470" t="str">
            <v>F</v>
          </cell>
          <cell r="AB470" t="str">
            <v>Feces</v>
          </cell>
        </row>
        <row r="471">
          <cell r="A471" t="str">
            <v>unk</v>
          </cell>
          <cell r="K471" t="str">
            <v>VRUB</v>
          </cell>
          <cell r="M471" t="str">
            <v>M</v>
          </cell>
          <cell r="AB471" t="str">
            <v>Feces</v>
          </cell>
        </row>
        <row r="472">
          <cell r="A472" t="str">
            <v>in storage</v>
          </cell>
          <cell r="K472" t="str">
            <v>LCAT</v>
          </cell>
          <cell r="M472" t="str">
            <v>M</v>
          </cell>
          <cell r="AB472" t="str">
            <v>Feces</v>
          </cell>
        </row>
        <row r="473">
          <cell r="A473" t="str">
            <v>in storage</v>
          </cell>
          <cell r="K473" t="str">
            <v>LCAT</v>
          </cell>
          <cell r="M473" t="str">
            <v>M</v>
          </cell>
          <cell r="AB473" t="str">
            <v>Feces</v>
          </cell>
        </row>
        <row r="474">
          <cell r="A474" t="str">
            <v>in storage</v>
          </cell>
          <cell r="K474" t="str">
            <v>LCAT</v>
          </cell>
          <cell r="M474" t="str">
            <v>M</v>
          </cell>
          <cell r="AB474" t="str">
            <v>Feces</v>
          </cell>
        </row>
        <row r="475">
          <cell r="A475" t="str">
            <v>in storage</v>
          </cell>
          <cell r="K475" t="str">
            <v>LCAT</v>
          </cell>
          <cell r="M475" t="str">
            <v>M</v>
          </cell>
          <cell r="AB475" t="str">
            <v>Feces</v>
          </cell>
        </row>
        <row r="476">
          <cell r="A476" t="str">
            <v>in storage</v>
          </cell>
          <cell r="K476" t="str">
            <v>LCAT</v>
          </cell>
          <cell r="M476" t="str">
            <v>M</v>
          </cell>
          <cell r="AB476" t="str">
            <v>Feces</v>
          </cell>
        </row>
        <row r="477">
          <cell r="A477" t="str">
            <v>in storage</v>
          </cell>
          <cell r="K477" t="str">
            <v>LCAT</v>
          </cell>
          <cell r="M477" t="str">
            <v>M</v>
          </cell>
          <cell r="AB477" t="str">
            <v>Feces</v>
          </cell>
        </row>
        <row r="478">
          <cell r="A478" t="str">
            <v>in storage</v>
          </cell>
          <cell r="K478" t="str">
            <v>LCAT</v>
          </cell>
          <cell r="M478" t="str">
            <v>M</v>
          </cell>
          <cell r="AB478" t="str">
            <v>Feces</v>
          </cell>
        </row>
        <row r="479">
          <cell r="A479" t="str">
            <v>in storage</v>
          </cell>
          <cell r="K479" t="str">
            <v>LCAT</v>
          </cell>
          <cell r="M479" t="str">
            <v>M</v>
          </cell>
          <cell r="AB479" t="str">
            <v>Feces</v>
          </cell>
        </row>
        <row r="480">
          <cell r="A480" t="str">
            <v>unk</v>
          </cell>
          <cell r="K480" t="str">
            <v>GMOH</v>
          </cell>
          <cell r="M480" t="str">
            <v>F</v>
          </cell>
          <cell r="AB480" t="str">
            <v>Feces</v>
          </cell>
        </row>
        <row r="481">
          <cell r="A481" t="str">
            <v>in storage</v>
          </cell>
          <cell r="K481" t="str">
            <v>ECOR</v>
          </cell>
          <cell r="M481" t="str">
            <v>F</v>
          </cell>
          <cell r="AB481" t="str">
            <v>Feces</v>
          </cell>
        </row>
        <row r="482">
          <cell r="A482" t="str">
            <v>in storage</v>
          </cell>
          <cell r="K482" t="str">
            <v>LCAT</v>
          </cell>
          <cell r="M482" t="str">
            <v>F</v>
          </cell>
          <cell r="AB482" t="str">
            <v>Feces</v>
          </cell>
        </row>
        <row r="483">
          <cell r="A483" t="str">
            <v>in storage</v>
          </cell>
          <cell r="K483" t="str">
            <v>LCAT</v>
          </cell>
          <cell r="M483" t="str">
            <v>F</v>
          </cell>
          <cell r="AB483" t="str">
            <v>Feces</v>
          </cell>
        </row>
        <row r="484">
          <cell r="A484" t="str">
            <v>in storage</v>
          </cell>
          <cell r="K484" t="str">
            <v>PCOQ</v>
          </cell>
          <cell r="M484" t="str">
            <v>M</v>
          </cell>
          <cell r="AB484" t="str">
            <v>Feces</v>
          </cell>
        </row>
        <row r="485">
          <cell r="A485" t="str">
            <v>unk</v>
          </cell>
          <cell r="K485" t="str">
            <v>CMED</v>
          </cell>
          <cell r="M485" t="str">
            <v>F</v>
          </cell>
          <cell r="AB485" t="str">
            <v>Feces</v>
          </cell>
        </row>
        <row r="486">
          <cell r="A486" t="str">
            <v>in storage</v>
          </cell>
          <cell r="K486" t="str">
            <v>EMAC</v>
          </cell>
          <cell r="M486" t="str">
            <v>M</v>
          </cell>
          <cell r="AB486" t="str">
            <v>Feces</v>
          </cell>
        </row>
        <row r="487">
          <cell r="A487" t="str">
            <v>in storage</v>
          </cell>
          <cell r="K487" t="str">
            <v>PCOQ</v>
          </cell>
          <cell r="M487" t="str">
            <v>M</v>
          </cell>
          <cell r="AB487" t="str">
            <v>Feces</v>
          </cell>
        </row>
        <row r="488">
          <cell r="A488" t="str">
            <v>unk</v>
          </cell>
          <cell r="K488" t="str">
            <v>PCOQ</v>
          </cell>
          <cell r="M488" t="str">
            <v>M</v>
          </cell>
          <cell r="AB488" t="str">
            <v>Feces</v>
          </cell>
        </row>
        <row r="489">
          <cell r="A489" t="str">
            <v>in storage</v>
          </cell>
          <cell r="K489" t="str">
            <v>PCOQ</v>
          </cell>
          <cell r="M489" t="str">
            <v>M</v>
          </cell>
          <cell r="AB489" t="str">
            <v>Feces</v>
          </cell>
        </row>
        <row r="490">
          <cell r="A490" t="str">
            <v>in storage</v>
          </cell>
          <cell r="K490" t="str">
            <v>PCOQ</v>
          </cell>
          <cell r="M490" t="str">
            <v>M</v>
          </cell>
          <cell r="AB490" t="str">
            <v>Feces</v>
          </cell>
        </row>
        <row r="491">
          <cell r="A491" t="str">
            <v>unk</v>
          </cell>
          <cell r="K491" t="str">
            <v>MMUR</v>
          </cell>
          <cell r="M491" t="str">
            <v>M</v>
          </cell>
          <cell r="AB491" t="str">
            <v>Feces</v>
          </cell>
        </row>
        <row r="492">
          <cell r="A492" t="str">
            <v>in storage</v>
          </cell>
          <cell r="K492" t="str">
            <v>VRUB</v>
          </cell>
          <cell r="M492" t="str">
            <v>M</v>
          </cell>
          <cell r="AB492" t="str">
            <v>Fecal swab</v>
          </cell>
        </row>
        <row r="493">
          <cell r="A493" t="str">
            <v>in storage</v>
          </cell>
          <cell r="K493" t="str">
            <v>VRUB</v>
          </cell>
          <cell r="M493" t="str">
            <v>M</v>
          </cell>
          <cell r="AB493" t="str">
            <v>Feces</v>
          </cell>
        </row>
        <row r="494">
          <cell r="A494" t="str">
            <v>unk</v>
          </cell>
          <cell r="K494" t="str">
            <v>CMED</v>
          </cell>
          <cell r="M494" t="str">
            <v>F</v>
          </cell>
          <cell r="AB494" t="str">
            <v>Feces</v>
          </cell>
        </row>
        <row r="495">
          <cell r="A495" t="str">
            <v>unk</v>
          </cell>
          <cell r="K495" t="str">
            <v>unknown</v>
          </cell>
          <cell r="M495" t="str">
            <v>ND</v>
          </cell>
          <cell r="AB495" t="str">
            <v>Feces</v>
          </cell>
        </row>
        <row r="496">
          <cell r="A496" t="str">
            <v>unk</v>
          </cell>
          <cell r="K496" t="str">
            <v>TAR</v>
          </cell>
          <cell r="M496" t="str">
            <v>ND</v>
          </cell>
          <cell r="AB496" t="str">
            <v>Feces</v>
          </cell>
        </row>
        <row r="497">
          <cell r="A497" t="str">
            <v>unk</v>
          </cell>
          <cell r="K497" t="str">
            <v>PTAT</v>
          </cell>
          <cell r="M497" t="str">
            <v>M</v>
          </cell>
          <cell r="AB497" t="str">
            <v>Feces</v>
          </cell>
        </row>
        <row r="498">
          <cell r="A498" t="str">
            <v>in storage</v>
          </cell>
          <cell r="K498" t="str">
            <v>PCOQ</v>
          </cell>
          <cell r="M498" t="str">
            <v>F</v>
          </cell>
          <cell r="AB498" t="str">
            <v>Feces</v>
          </cell>
        </row>
        <row r="499">
          <cell r="A499" t="str">
            <v>in storage</v>
          </cell>
          <cell r="K499" t="str">
            <v>EFLA</v>
          </cell>
          <cell r="M499" t="str">
            <v>F</v>
          </cell>
          <cell r="AB499" t="str">
            <v>Feces</v>
          </cell>
        </row>
        <row r="500">
          <cell r="A500" t="str">
            <v>in storage</v>
          </cell>
          <cell r="K500" t="str">
            <v>MMUR</v>
          </cell>
          <cell r="M500" t="str">
            <v>F</v>
          </cell>
          <cell r="AB500" t="str">
            <v>Feces</v>
          </cell>
        </row>
        <row r="501">
          <cell r="A501" t="str">
            <v>in storage</v>
          </cell>
          <cell r="K501" t="str">
            <v>PDIA</v>
          </cell>
          <cell r="M501" t="str">
            <v>F</v>
          </cell>
          <cell r="AB501" t="str">
            <v>Feces</v>
          </cell>
        </row>
        <row r="502">
          <cell r="A502" t="str">
            <v>unk</v>
          </cell>
          <cell r="K502" t="str">
            <v>PDIA</v>
          </cell>
          <cell r="M502" t="str">
            <v>F</v>
          </cell>
          <cell r="AB502" t="str">
            <v>Feces</v>
          </cell>
        </row>
        <row r="503">
          <cell r="A503" t="str">
            <v>in storage</v>
          </cell>
          <cell r="K503" t="str">
            <v>PCOQ</v>
          </cell>
          <cell r="M503" t="str">
            <v>M</v>
          </cell>
          <cell r="AB503" t="str">
            <v>Feces</v>
          </cell>
        </row>
        <row r="504">
          <cell r="A504" t="str">
            <v>in storage</v>
          </cell>
          <cell r="K504" t="str">
            <v>PCOQ</v>
          </cell>
          <cell r="M504" t="str">
            <v>M</v>
          </cell>
          <cell r="AB504" t="str">
            <v>Feces</v>
          </cell>
        </row>
        <row r="505">
          <cell r="A505" t="str">
            <v>in storage</v>
          </cell>
          <cell r="K505" t="str">
            <v>EFLA</v>
          </cell>
          <cell r="M505" t="str">
            <v>F</v>
          </cell>
          <cell r="AB505" t="str">
            <v>Feces</v>
          </cell>
        </row>
        <row r="506">
          <cell r="A506" t="str">
            <v>unk</v>
          </cell>
          <cell r="K506" t="str">
            <v>EFLA</v>
          </cell>
          <cell r="M506" t="str">
            <v>F</v>
          </cell>
          <cell r="AB506" t="str">
            <v>Feces</v>
          </cell>
        </row>
        <row r="507">
          <cell r="K507" t="e">
            <v>#N/A</v>
          </cell>
          <cell r="M507" t="e">
            <v>#N/A</v>
          </cell>
        </row>
        <row r="508">
          <cell r="K508" t="e">
            <v>#N/A</v>
          </cell>
          <cell r="M508" t="e">
            <v>#N/A</v>
          </cell>
        </row>
        <row r="509">
          <cell r="K509" t="e">
            <v>#N/A</v>
          </cell>
          <cell r="M509" t="e">
            <v>#N/A</v>
          </cell>
        </row>
        <row r="510">
          <cell r="K510" t="e">
            <v>#N/A</v>
          </cell>
          <cell r="M510" t="e">
            <v>#N/A</v>
          </cell>
        </row>
        <row r="511">
          <cell r="K511" t="e">
            <v>#N/A</v>
          </cell>
          <cell r="M511" t="e">
            <v>#N/A</v>
          </cell>
        </row>
        <row r="512">
          <cell r="K512" t="e">
            <v>#N/A</v>
          </cell>
          <cell r="M512" t="e">
            <v>#N/A</v>
          </cell>
        </row>
        <row r="513">
          <cell r="K513" t="e">
            <v>#N/A</v>
          </cell>
          <cell r="M513" t="e">
            <v>#N/A</v>
          </cell>
        </row>
        <row r="514">
          <cell r="K514" t="e">
            <v>#N/A</v>
          </cell>
          <cell r="M514" t="e">
            <v>#N/A</v>
          </cell>
        </row>
        <row r="515">
          <cell r="K515" t="e">
            <v>#N/A</v>
          </cell>
          <cell r="M515" t="e">
            <v>#N/A</v>
          </cell>
        </row>
        <row r="516">
          <cell r="K516" t="e">
            <v>#N/A</v>
          </cell>
          <cell r="M516" t="e">
            <v>#N/A</v>
          </cell>
        </row>
        <row r="517">
          <cell r="K517" t="e">
            <v>#N/A</v>
          </cell>
          <cell r="M517" t="e">
            <v>#N/A</v>
          </cell>
        </row>
        <row r="518">
          <cell r="K518" t="e">
            <v>#N/A</v>
          </cell>
          <cell r="M518" t="e">
            <v>#N/A</v>
          </cell>
        </row>
        <row r="519">
          <cell r="K519" t="e">
            <v>#N/A</v>
          </cell>
          <cell r="M519" t="e">
            <v>#N/A</v>
          </cell>
        </row>
        <row r="520">
          <cell r="K520" t="e">
            <v>#N/A</v>
          </cell>
          <cell r="M520" t="e">
            <v>#N/A</v>
          </cell>
        </row>
        <row r="521">
          <cell r="K521" t="e">
            <v>#N/A</v>
          </cell>
          <cell r="M521" t="e">
            <v>#N/A</v>
          </cell>
        </row>
        <row r="522">
          <cell r="K522" t="e">
            <v>#N/A</v>
          </cell>
          <cell r="M522" t="e">
            <v>#N/A</v>
          </cell>
        </row>
        <row r="523">
          <cell r="K523" t="e">
            <v>#N/A</v>
          </cell>
          <cell r="M523" t="e">
            <v>#N/A</v>
          </cell>
        </row>
        <row r="524">
          <cell r="K524" t="e">
            <v>#N/A</v>
          </cell>
          <cell r="M524" t="e">
            <v>#N/A</v>
          </cell>
        </row>
        <row r="525">
          <cell r="K525" t="e">
            <v>#N/A</v>
          </cell>
          <cell r="M525" t="e">
            <v>#N/A</v>
          </cell>
        </row>
        <row r="526">
          <cell r="K526" t="e">
            <v>#N/A</v>
          </cell>
          <cell r="M526" t="e">
            <v>#N/A</v>
          </cell>
        </row>
        <row r="527">
          <cell r="K527" t="e">
            <v>#N/A</v>
          </cell>
          <cell r="M527" t="e">
            <v>#N/A</v>
          </cell>
        </row>
        <row r="528">
          <cell r="K528" t="e">
            <v>#N/A</v>
          </cell>
          <cell r="M528" t="e">
            <v>#N/A</v>
          </cell>
        </row>
        <row r="529">
          <cell r="K529" t="e">
            <v>#N/A</v>
          </cell>
          <cell r="M529" t="e">
            <v>#N/A</v>
          </cell>
        </row>
        <row r="530">
          <cell r="K530" t="e">
            <v>#N/A</v>
          </cell>
          <cell r="M530" t="e">
            <v>#N/A</v>
          </cell>
        </row>
        <row r="531">
          <cell r="K531" t="e">
            <v>#N/A</v>
          </cell>
          <cell r="M531" t="e">
            <v>#N/A</v>
          </cell>
        </row>
        <row r="532">
          <cell r="K532" t="e">
            <v>#N/A</v>
          </cell>
          <cell r="M532" t="e">
            <v>#N/A</v>
          </cell>
        </row>
        <row r="533">
          <cell r="K533" t="e">
            <v>#N/A</v>
          </cell>
          <cell r="M533" t="e">
            <v>#N/A</v>
          </cell>
        </row>
        <row r="534">
          <cell r="K534" t="e">
            <v>#N/A</v>
          </cell>
          <cell r="M534" t="e">
            <v>#N/A</v>
          </cell>
        </row>
        <row r="535">
          <cell r="K535" t="e">
            <v>#N/A</v>
          </cell>
          <cell r="M535" t="e">
            <v>#N/A</v>
          </cell>
        </row>
        <row r="536">
          <cell r="K536" t="e">
            <v>#N/A</v>
          </cell>
          <cell r="M536" t="e">
            <v>#N/A</v>
          </cell>
        </row>
        <row r="537">
          <cell r="K537" t="e">
            <v>#N/A</v>
          </cell>
          <cell r="M537" t="e">
            <v>#N/A</v>
          </cell>
        </row>
        <row r="538">
          <cell r="K538" t="e">
            <v>#N/A</v>
          </cell>
          <cell r="M538" t="e">
            <v>#N/A</v>
          </cell>
        </row>
        <row r="539">
          <cell r="K539" t="e">
            <v>#N/A</v>
          </cell>
          <cell r="M539" t="e">
            <v>#N/A</v>
          </cell>
        </row>
        <row r="540">
          <cell r="K540" t="e">
            <v>#N/A</v>
          </cell>
          <cell r="M540" t="e">
            <v>#N/A</v>
          </cell>
        </row>
        <row r="541">
          <cell r="K541" t="e">
            <v>#N/A</v>
          </cell>
          <cell r="M541" t="e">
            <v>#N/A</v>
          </cell>
        </row>
        <row r="542">
          <cell r="K542" t="e">
            <v>#N/A</v>
          </cell>
          <cell r="M542" t="e">
            <v>#N/A</v>
          </cell>
        </row>
        <row r="543">
          <cell r="K543" t="e">
            <v>#N/A</v>
          </cell>
          <cell r="M543" t="e">
            <v>#N/A</v>
          </cell>
        </row>
        <row r="544">
          <cell r="K544" t="e">
            <v>#N/A</v>
          </cell>
          <cell r="M544" t="e">
            <v>#N/A</v>
          </cell>
        </row>
        <row r="545">
          <cell r="K545" t="e">
            <v>#N/A</v>
          </cell>
          <cell r="M545" t="e">
            <v>#N/A</v>
          </cell>
        </row>
        <row r="546">
          <cell r="K546" t="e">
            <v>#N/A</v>
          </cell>
          <cell r="M546" t="e">
            <v>#N/A</v>
          </cell>
        </row>
        <row r="547">
          <cell r="K547" t="e">
            <v>#N/A</v>
          </cell>
          <cell r="M547" t="e">
            <v>#N/A</v>
          </cell>
        </row>
        <row r="548">
          <cell r="K548" t="e">
            <v>#N/A</v>
          </cell>
          <cell r="M548" t="e">
            <v>#N/A</v>
          </cell>
        </row>
        <row r="549">
          <cell r="K549" t="e">
            <v>#N/A</v>
          </cell>
          <cell r="M549" t="e">
            <v>#N/A</v>
          </cell>
        </row>
        <row r="550">
          <cell r="K550" t="e">
            <v>#N/A</v>
          </cell>
          <cell r="M550" t="e">
            <v>#N/A</v>
          </cell>
        </row>
        <row r="551">
          <cell r="K551" t="e">
            <v>#N/A</v>
          </cell>
          <cell r="M551" t="e">
            <v>#N/A</v>
          </cell>
        </row>
        <row r="552">
          <cell r="K552" t="e">
            <v>#N/A</v>
          </cell>
          <cell r="M552" t="e">
            <v>#N/A</v>
          </cell>
        </row>
        <row r="553">
          <cell r="K553" t="e">
            <v>#N/A</v>
          </cell>
          <cell r="M553" t="e">
            <v>#N/A</v>
          </cell>
        </row>
        <row r="554">
          <cell r="K554" t="e">
            <v>#N/A</v>
          </cell>
          <cell r="M554" t="e">
            <v>#N/A</v>
          </cell>
        </row>
        <row r="555">
          <cell r="K555" t="e">
            <v>#N/A</v>
          </cell>
          <cell r="M555" t="e">
            <v>#N/A</v>
          </cell>
        </row>
        <row r="556">
          <cell r="K556" t="e">
            <v>#N/A</v>
          </cell>
          <cell r="M556" t="e">
            <v>#N/A</v>
          </cell>
        </row>
        <row r="557">
          <cell r="K557" t="e">
            <v>#N/A</v>
          </cell>
          <cell r="M557" t="e">
            <v>#N/A</v>
          </cell>
        </row>
        <row r="558">
          <cell r="K558" t="e">
            <v>#N/A</v>
          </cell>
          <cell r="M558" t="e">
            <v>#N/A</v>
          </cell>
        </row>
        <row r="559">
          <cell r="K559" t="e">
            <v>#N/A</v>
          </cell>
          <cell r="M559" t="e">
            <v>#N/A</v>
          </cell>
        </row>
        <row r="560">
          <cell r="K560" t="e">
            <v>#N/A</v>
          </cell>
          <cell r="M560" t="e">
            <v>#N/A</v>
          </cell>
        </row>
        <row r="561">
          <cell r="K561" t="e">
            <v>#N/A</v>
          </cell>
          <cell r="M561" t="e">
            <v>#N/A</v>
          </cell>
        </row>
        <row r="562">
          <cell r="K562" t="e">
            <v>#N/A</v>
          </cell>
          <cell r="M562" t="e">
            <v>#N/A</v>
          </cell>
        </row>
        <row r="563">
          <cell r="K563" t="e">
            <v>#N/A</v>
          </cell>
          <cell r="M563" t="e">
            <v>#N/A</v>
          </cell>
        </row>
        <row r="564">
          <cell r="K564" t="e">
            <v>#N/A</v>
          </cell>
          <cell r="M564" t="e">
            <v>#N/A</v>
          </cell>
        </row>
        <row r="565">
          <cell r="K565" t="e">
            <v>#N/A</v>
          </cell>
          <cell r="M565" t="e">
            <v>#N/A</v>
          </cell>
        </row>
        <row r="566">
          <cell r="K566" t="e">
            <v>#N/A</v>
          </cell>
          <cell r="M566" t="e">
            <v>#N/A</v>
          </cell>
        </row>
        <row r="567">
          <cell r="K567" t="e">
            <v>#N/A</v>
          </cell>
          <cell r="M567" t="e">
            <v>#N/A</v>
          </cell>
        </row>
        <row r="568">
          <cell r="K568" t="e">
            <v>#N/A</v>
          </cell>
          <cell r="M568" t="e">
            <v>#N/A</v>
          </cell>
        </row>
        <row r="569">
          <cell r="K569" t="e">
            <v>#N/A</v>
          </cell>
          <cell r="M569" t="e">
            <v>#N/A</v>
          </cell>
        </row>
        <row r="570">
          <cell r="K570" t="e">
            <v>#N/A</v>
          </cell>
          <cell r="M570" t="e">
            <v>#N/A</v>
          </cell>
        </row>
        <row r="571">
          <cell r="K571" t="e">
            <v>#N/A</v>
          </cell>
          <cell r="M571" t="e">
            <v>#N/A</v>
          </cell>
        </row>
        <row r="572">
          <cell r="K572" t="e">
            <v>#N/A</v>
          </cell>
          <cell r="M572" t="e">
            <v>#N/A</v>
          </cell>
        </row>
        <row r="573">
          <cell r="K573" t="e">
            <v>#N/A</v>
          </cell>
          <cell r="M573" t="e">
            <v>#N/A</v>
          </cell>
        </row>
        <row r="574">
          <cell r="K574" t="e">
            <v>#N/A</v>
          </cell>
          <cell r="M574" t="e">
            <v>#N/A</v>
          </cell>
        </row>
        <row r="575">
          <cell r="K575" t="e">
            <v>#N/A</v>
          </cell>
          <cell r="M575" t="e">
            <v>#N/A</v>
          </cell>
        </row>
        <row r="576">
          <cell r="K576" t="e">
            <v>#N/A</v>
          </cell>
          <cell r="M576" t="e">
            <v>#N/A</v>
          </cell>
        </row>
        <row r="577">
          <cell r="K577" t="e">
            <v>#N/A</v>
          </cell>
          <cell r="M577" t="e">
            <v>#N/A</v>
          </cell>
        </row>
        <row r="578">
          <cell r="K578" t="e">
            <v>#N/A</v>
          </cell>
          <cell r="M578" t="e">
            <v>#N/A</v>
          </cell>
        </row>
        <row r="579">
          <cell r="K579" t="e">
            <v>#N/A</v>
          </cell>
          <cell r="M579" t="e">
            <v>#N/A</v>
          </cell>
        </row>
        <row r="580">
          <cell r="K580" t="e">
            <v>#N/A</v>
          </cell>
          <cell r="M580" t="e">
            <v>#N/A</v>
          </cell>
        </row>
        <row r="581">
          <cell r="K581" t="e">
            <v>#N/A</v>
          </cell>
          <cell r="M581" t="e">
            <v>#N/A</v>
          </cell>
        </row>
        <row r="582">
          <cell r="K582" t="e">
            <v>#N/A</v>
          </cell>
          <cell r="M582" t="e">
            <v>#N/A</v>
          </cell>
        </row>
        <row r="583">
          <cell r="K583" t="e">
            <v>#N/A</v>
          </cell>
          <cell r="M583" t="e">
            <v>#N/A</v>
          </cell>
        </row>
        <row r="584">
          <cell r="K584" t="e">
            <v>#N/A</v>
          </cell>
          <cell r="M584" t="e">
            <v>#N/A</v>
          </cell>
        </row>
        <row r="585">
          <cell r="K585" t="e">
            <v>#N/A</v>
          </cell>
          <cell r="M585" t="e">
            <v>#N/A</v>
          </cell>
        </row>
        <row r="586">
          <cell r="K586" t="e">
            <v>#N/A</v>
          </cell>
          <cell r="M586" t="e">
            <v>#N/A</v>
          </cell>
        </row>
        <row r="587">
          <cell r="K587" t="e">
            <v>#N/A</v>
          </cell>
          <cell r="M587" t="e">
            <v>#N/A</v>
          </cell>
        </row>
        <row r="588">
          <cell r="K588" t="e">
            <v>#N/A</v>
          </cell>
          <cell r="M588" t="e">
            <v>#N/A</v>
          </cell>
        </row>
        <row r="589">
          <cell r="K589" t="e">
            <v>#N/A</v>
          </cell>
          <cell r="M589" t="e">
            <v>#N/A</v>
          </cell>
        </row>
        <row r="590">
          <cell r="K590" t="e">
            <v>#N/A</v>
          </cell>
          <cell r="M590" t="e">
            <v>#N/A</v>
          </cell>
        </row>
        <row r="591">
          <cell r="K591" t="e">
            <v>#N/A</v>
          </cell>
          <cell r="M591" t="e">
            <v>#N/A</v>
          </cell>
        </row>
        <row r="592">
          <cell r="K592" t="e">
            <v>#N/A</v>
          </cell>
          <cell r="M592" t="e">
            <v>#N/A</v>
          </cell>
        </row>
        <row r="593">
          <cell r="K593" t="e">
            <v>#N/A</v>
          </cell>
          <cell r="M593" t="e">
            <v>#N/A</v>
          </cell>
        </row>
        <row r="594">
          <cell r="K594" t="e">
            <v>#N/A</v>
          </cell>
          <cell r="M594" t="e">
            <v>#N/A</v>
          </cell>
        </row>
        <row r="595">
          <cell r="K595" t="e">
            <v>#N/A</v>
          </cell>
          <cell r="M595" t="e">
            <v>#N/A</v>
          </cell>
        </row>
        <row r="596">
          <cell r="K596" t="e">
            <v>#N/A</v>
          </cell>
          <cell r="M596" t="e">
            <v>#N/A</v>
          </cell>
        </row>
        <row r="597">
          <cell r="K597" t="e">
            <v>#N/A</v>
          </cell>
          <cell r="M597" t="e">
            <v>#N/A</v>
          </cell>
        </row>
        <row r="598">
          <cell r="K598" t="e">
            <v>#N/A</v>
          </cell>
          <cell r="M598" t="e">
            <v>#N/A</v>
          </cell>
        </row>
        <row r="599">
          <cell r="K599" t="e">
            <v>#N/A</v>
          </cell>
          <cell r="M599" t="e">
            <v>#N/A</v>
          </cell>
        </row>
        <row r="600">
          <cell r="K600" t="e">
            <v>#N/A</v>
          </cell>
          <cell r="M600" t="e">
            <v>#N/A</v>
          </cell>
        </row>
      </sheetData>
      <sheetData sheetId="2">
        <row r="1">
          <cell r="A1" t="str">
            <v>Filter</v>
          </cell>
          <cell r="K1" t="str">
            <v>Species</v>
          </cell>
          <cell r="M1" t="str">
            <v>Sex</v>
          </cell>
          <cell r="AC1" t="str">
            <v>Amount</v>
          </cell>
        </row>
        <row r="2">
          <cell r="A2" t="str">
            <v>IS_alqt_plus</v>
          </cell>
          <cell r="K2" t="str">
            <v>DMAD</v>
          </cell>
          <cell r="M2" t="str">
            <v>F</v>
          </cell>
          <cell r="AC2">
            <v>1.9</v>
          </cell>
        </row>
        <row r="3">
          <cell r="A3" t="str">
            <v>IS_alqt_minus</v>
          </cell>
          <cell r="K3" t="str">
            <v>PCOQ</v>
          </cell>
          <cell r="M3" t="str">
            <v>M</v>
          </cell>
          <cell r="AC3">
            <v>0.4</v>
          </cell>
        </row>
        <row r="4">
          <cell r="A4" t="str">
            <v>IS_alqt_plus</v>
          </cell>
          <cell r="K4" t="str">
            <v>PCOQ</v>
          </cell>
          <cell r="M4" t="str">
            <v>F</v>
          </cell>
          <cell r="AC4">
            <v>1.5</v>
          </cell>
        </row>
        <row r="5">
          <cell r="A5" t="str">
            <v>IS_alqt_plus</v>
          </cell>
          <cell r="K5" t="str">
            <v>PCOQ</v>
          </cell>
          <cell r="M5" t="str">
            <v>F</v>
          </cell>
          <cell r="AC5">
            <v>1.1000000000000001</v>
          </cell>
        </row>
        <row r="6">
          <cell r="A6" t="str">
            <v>IS_alqt_plus</v>
          </cell>
          <cell r="K6" t="str">
            <v>PCOQ</v>
          </cell>
          <cell r="M6" t="str">
            <v>F</v>
          </cell>
          <cell r="AC6">
            <v>1.5</v>
          </cell>
        </row>
        <row r="7">
          <cell r="A7" t="str">
            <v>IS_alqt_plus</v>
          </cell>
          <cell r="K7" t="str">
            <v>PCOQ</v>
          </cell>
          <cell r="M7" t="str">
            <v>F</v>
          </cell>
          <cell r="AC7">
            <v>1.5</v>
          </cell>
        </row>
        <row r="8">
          <cell r="A8" t="str">
            <v>IS_alqt_plus</v>
          </cell>
          <cell r="K8" t="str">
            <v>PCOQ</v>
          </cell>
          <cell r="M8" t="str">
            <v>F</v>
          </cell>
          <cell r="AC8">
            <v>1.5</v>
          </cell>
        </row>
        <row r="9">
          <cell r="A9" t="str">
            <v>IS_alqt_plus</v>
          </cell>
          <cell r="K9" t="str">
            <v>PCOQ</v>
          </cell>
          <cell r="M9" t="str">
            <v>F</v>
          </cell>
          <cell r="AC9">
            <v>1.5</v>
          </cell>
        </row>
        <row r="10">
          <cell r="A10" t="str">
            <v>IS_alqt_plus</v>
          </cell>
          <cell r="K10" t="str">
            <v>PCOQ</v>
          </cell>
          <cell r="M10" t="str">
            <v>F</v>
          </cell>
          <cell r="AC10">
            <v>1.5</v>
          </cell>
        </row>
        <row r="11">
          <cell r="A11" t="str">
            <v>IS_alqt_plus</v>
          </cell>
          <cell r="K11" t="str">
            <v>PCOQ</v>
          </cell>
          <cell r="M11" t="str">
            <v>F</v>
          </cell>
          <cell r="AC11">
            <v>1.5</v>
          </cell>
        </row>
        <row r="12">
          <cell r="A12" t="str">
            <v>IS_alqt_plus</v>
          </cell>
          <cell r="K12" t="str">
            <v>PCOQ</v>
          </cell>
          <cell r="M12" t="str">
            <v>F</v>
          </cell>
          <cell r="AC12">
            <v>1.5</v>
          </cell>
        </row>
        <row r="13">
          <cell r="A13" t="str">
            <v>IS_alqt_plus</v>
          </cell>
          <cell r="K13" t="str">
            <v>VRUB</v>
          </cell>
          <cell r="M13" t="str">
            <v>M</v>
          </cell>
          <cell r="AC13">
            <v>1</v>
          </cell>
        </row>
        <row r="14">
          <cell r="A14" t="str">
            <v>IS_alqt_plus</v>
          </cell>
          <cell r="K14" t="str">
            <v>VRUB</v>
          </cell>
          <cell r="M14" t="str">
            <v>M</v>
          </cell>
          <cell r="AC14">
            <v>1</v>
          </cell>
        </row>
        <row r="15">
          <cell r="A15" t="str">
            <v>IS_alqt_plus</v>
          </cell>
          <cell r="K15" t="str">
            <v>VRUB</v>
          </cell>
          <cell r="M15" t="str">
            <v>M</v>
          </cell>
          <cell r="AC15">
            <v>1</v>
          </cell>
        </row>
        <row r="16">
          <cell r="A16" t="str">
            <v>IS_alqt_plus</v>
          </cell>
          <cell r="K16" t="str">
            <v>PCOQ</v>
          </cell>
          <cell r="M16" t="str">
            <v>M</v>
          </cell>
          <cell r="AC16">
            <v>0.75</v>
          </cell>
        </row>
        <row r="17">
          <cell r="A17" t="str">
            <v>IS_alqt_plus</v>
          </cell>
          <cell r="K17" t="str">
            <v>VRUB</v>
          </cell>
          <cell r="M17" t="str">
            <v>M</v>
          </cell>
          <cell r="AC17">
            <v>1</v>
          </cell>
        </row>
        <row r="18">
          <cell r="A18" t="str">
            <v>IS_alqt_plus</v>
          </cell>
          <cell r="K18" t="str">
            <v>PCOQ</v>
          </cell>
          <cell r="M18" t="str">
            <v>M</v>
          </cell>
          <cell r="AC18">
            <v>1</v>
          </cell>
        </row>
        <row r="19">
          <cell r="A19" t="str">
            <v>IS_alqt_plus</v>
          </cell>
          <cell r="K19" t="str">
            <v>PCOQ</v>
          </cell>
          <cell r="M19" t="str">
            <v>F</v>
          </cell>
          <cell r="AC19">
            <v>0.75</v>
          </cell>
        </row>
        <row r="20">
          <cell r="A20" t="str">
            <v>IS_alqt_plus</v>
          </cell>
          <cell r="K20" t="str">
            <v>DMAD</v>
          </cell>
          <cell r="M20" t="str">
            <v>F</v>
          </cell>
          <cell r="AC20">
            <v>1</v>
          </cell>
        </row>
        <row r="21">
          <cell r="A21" t="str">
            <v>IS_alqt_plus</v>
          </cell>
          <cell r="K21" t="str">
            <v>DMAD</v>
          </cell>
          <cell r="M21" t="str">
            <v>F</v>
          </cell>
          <cell r="AC21">
            <v>1.2</v>
          </cell>
        </row>
        <row r="22">
          <cell r="A22" t="str">
            <v>IS_alqt_plus</v>
          </cell>
          <cell r="K22" t="str">
            <v>ECOL</v>
          </cell>
          <cell r="M22" t="str">
            <v>M</v>
          </cell>
          <cell r="AC22">
            <v>1</v>
          </cell>
        </row>
        <row r="23">
          <cell r="A23" t="str">
            <v>IS_alqt_plus</v>
          </cell>
          <cell r="K23" t="str">
            <v>ECOL</v>
          </cell>
          <cell r="M23" t="str">
            <v>M</v>
          </cell>
          <cell r="AC23">
            <v>1</v>
          </cell>
        </row>
        <row r="24">
          <cell r="A24" t="str">
            <v>IS_alqt_plus</v>
          </cell>
          <cell r="K24" t="str">
            <v>PCOQ</v>
          </cell>
          <cell r="M24" t="str">
            <v>F</v>
          </cell>
          <cell r="AC24">
            <v>1.3</v>
          </cell>
        </row>
        <row r="25">
          <cell r="A25" t="str">
            <v>IS_alqt_plus</v>
          </cell>
          <cell r="K25" t="str">
            <v>PCOQ</v>
          </cell>
          <cell r="M25" t="str">
            <v>F</v>
          </cell>
          <cell r="AC25">
            <v>1.3</v>
          </cell>
        </row>
        <row r="26">
          <cell r="A26" t="str">
            <v>IS_alqt_plus</v>
          </cell>
          <cell r="K26" t="str">
            <v>ECOR</v>
          </cell>
          <cell r="M26" t="str">
            <v>F</v>
          </cell>
          <cell r="AC26">
            <v>0.75</v>
          </cell>
        </row>
        <row r="27">
          <cell r="A27" t="str">
            <v>IS_alqt_minus</v>
          </cell>
          <cell r="K27" t="str">
            <v>DMAD</v>
          </cell>
          <cell r="M27" t="str">
            <v>F</v>
          </cell>
          <cell r="AC27">
            <v>0.3</v>
          </cell>
        </row>
        <row r="28">
          <cell r="A28" t="str">
            <v>IS_alqt_plus</v>
          </cell>
          <cell r="K28" t="str">
            <v>ECOR</v>
          </cell>
          <cell r="M28" t="str">
            <v>M</v>
          </cell>
          <cell r="AC28">
            <v>1.5</v>
          </cell>
        </row>
        <row r="29">
          <cell r="A29" t="str">
            <v>IS_alqt_plus</v>
          </cell>
          <cell r="K29" t="str">
            <v>ECOR</v>
          </cell>
          <cell r="M29" t="str">
            <v>F</v>
          </cell>
          <cell r="AC29">
            <v>1.3</v>
          </cell>
        </row>
        <row r="30">
          <cell r="A30" t="str">
            <v>IS_alqt_plus</v>
          </cell>
          <cell r="K30" t="str">
            <v>EMON</v>
          </cell>
          <cell r="M30" t="str">
            <v>M</v>
          </cell>
          <cell r="AC30">
            <v>1</v>
          </cell>
        </row>
        <row r="31">
          <cell r="A31" t="str">
            <v>IS_alqt_plus</v>
          </cell>
          <cell r="K31" t="str">
            <v>DMAD</v>
          </cell>
          <cell r="M31" t="str">
            <v>M</v>
          </cell>
          <cell r="AC31">
            <v>1</v>
          </cell>
        </row>
        <row r="32">
          <cell r="A32" t="str">
            <v>IS_alqt_plus</v>
          </cell>
          <cell r="K32" t="str">
            <v>DMAD</v>
          </cell>
          <cell r="M32" t="str">
            <v>M</v>
          </cell>
          <cell r="AC32">
            <v>1.2</v>
          </cell>
        </row>
        <row r="33">
          <cell r="A33" t="str">
            <v>IS_alqt_plus</v>
          </cell>
          <cell r="K33" t="str">
            <v>EMON</v>
          </cell>
          <cell r="M33" t="str">
            <v>M</v>
          </cell>
          <cell r="AC33">
            <v>0.75</v>
          </cell>
        </row>
        <row r="34">
          <cell r="A34" t="str">
            <v>IS_alqt_plus</v>
          </cell>
          <cell r="K34" t="str">
            <v>EMON</v>
          </cell>
          <cell r="M34" t="str">
            <v>F</v>
          </cell>
          <cell r="AC34">
            <v>1.2</v>
          </cell>
        </row>
        <row r="35">
          <cell r="A35" t="str">
            <v>IS_alqt_plus</v>
          </cell>
          <cell r="K35" t="str">
            <v>EMON</v>
          </cell>
          <cell r="M35" t="str">
            <v>F</v>
          </cell>
          <cell r="AC35">
            <v>0.75</v>
          </cell>
        </row>
        <row r="36">
          <cell r="A36" t="str">
            <v>IS_alqt_plus</v>
          </cell>
          <cell r="K36" t="str">
            <v>EMON</v>
          </cell>
          <cell r="M36" t="str">
            <v>M</v>
          </cell>
          <cell r="AC36">
            <v>0.9</v>
          </cell>
        </row>
        <row r="37">
          <cell r="A37" t="str">
            <v>IS_alqt_plus</v>
          </cell>
          <cell r="K37" t="str">
            <v>EMON</v>
          </cell>
          <cell r="M37" t="str">
            <v>F</v>
          </cell>
          <cell r="AC37">
            <v>0.75</v>
          </cell>
        </row>
        <row r="38">
          <cell r="A38" t="str">
            <v>IS_alqt_plus</v>
          </cell>
          <cell r="K38" t="str">
            <v>DMAD</v>
          </cell>
          <cell r="M38" t="str">
            <v>M</v>
          </cell>
          <cell r="AC38">
            <v>0.5</v>
          </cell>
        </row>
        <row r="39">
          <cell r="A39" t="str">
            <v>IS_alqt_minus</v>
          </cell>
          <cell r="K39" t="str">
            <v>DMAD</v>
          </cell>
          <cell r="M39" t="str">
            <v>M</v>
          </cell>
          <cell r="AC39">
            <v>0.4</v>
          </cell>
        </row>
        <row r="40">
          <cell r="A40" t="str">
            <v>IS_alqt_plus</v>
          </cell>
          <cell r="K40" t="str">
            <v>DMAD</v>
          </cell>
          <cell r="M40" t="str">
            <v>F</v>
          </cell>
          <cell r="AC40">
            <v>1</v>
          </cell>
        </row>
        <row r="41">
          <cell r="A41" t="str">
            <v>IS_alqt_minus</v>
          </cell>
          <cell r="K41" t="str">
            <v>NCOU</v>
          </cell>
          <cell r="M41" t="str">
            <v>M</v>
          </cell>
          <cell r="AC41">
            <v>0.2</v>
          </cell>
        </row>
        <row r="42">
          <cell r="A42" t="str">
            <v>IS_alqt_plus</v>
          </cell>
          <cell r="K42" t="str">
            <v>PCOQ</v>
          </cell>
          <cell r="M42" t="str">
            <v>M</v>
          </cell>
          <cell r="AC42">
            <v>0.55000000000000004</v>
          </cell>
        </row>
        <row r="43">
          <cell r="A43" t="str">
            <v>IS_alqt_plus</v>
          </cell>
          <cell r="K43" t="str">
            <v>PCOQ</v>
          </cell>
          <cell r="M43" t="str">
            <v>M</v>
          </cell>
          <cell r="AC43">
            <v>1</v>
          </cell>
        </row>
        <row r="44">
          <cell r="A44" t="str">
            <v>IS_alqt_plus</v>
          </cell>
          <cell r="K44" t="str">
            <v>DMAD</v>
          </cell>
          <cell r="M44" t="str">
            <v>F</v>
          </cell>
          <cell r="AC44">
            <v>1</v>
          </cell>
        </row>
        <row r="45">
          <cell r="A45" t="str">
            <v>unk</v>
          </cell>
          <cell r="K45" t="str">
            <v>DMAD</v>
          </cell>
          <cell r="M45" t="str">
            <v>F</v>
          </cell>
          <cell r="AC45">
            <v>1</v>
          </cell>
        </row>
        <row r="46">
          <cell r="A46" t="str">
            <v>gone</v>
          </cell>
          <cell r="K46" t="str">
            <v>LCAT</v>
          </cell>
          <cell r="M46" t="str">
            <v>M</v>
          </cell>
          <cell r="AC46">
            <v>0</v>
          </cell>
        </row>
        <row r="47">
          <cell r="A47" t="str">
            <v>IS_alqt_minus</v>
          </cell>
          <cell r="K47" t="str">
            <v>LCAT</v>
          </cell>
          <cell r="M47" t="str">
            <v>M</v>
          </cell>
          <cell r="AC47">
            <v>0.4</v>
          </cell>
        </row>
        <row r="48">
          <cell r="A48" t="str">
            <v>IS_alqt_plus</v>
          </cell>
          <cell r="K48" t="str">
            <v>VVV</v>
          </cell>
          <cell r="M48" t="str">
            <v>M</v>
          </cell>
          <cell r="AC48">
            <v>1</v>
          </cell>
        </row>
        <row r="49">
          <cell r="A49" t="str">
            <v>IS_alqt_plus</v>
          </cell>
          <cell r="K49" t="str">
            <v>ECOL</v>
          </cell>
          <cell r="M49" t="str">
            <v>M</v>
          </cell>
          <cell r="AC49">
            <v>1</v>
          </cell>
        </row>
        <row r="50">
          <cell r="A50" t="str">
            <v>unk</v>
          </cell>
          <cell r="K50" t="str">
            <v>ECOL</v>
          </cell>
          <cell r="M50" t="str">
            <v>M</v>
          </cell>
          <cell r="AC50">
            <v>1</v>
          </cell>
        </row>
        <row r="51">
          <cell r="A51" t="str">
            <v>IS_alqt_plus</v>
          </cell>
          <cell r="K51" t="str">
            <v>PDIA</v>
          </cell>
          <cell r="M51" t="str">
            <v>M</v>
          </cell>
          <cell r="AC51">
            <v>0.75</v>
          </cell>
        </row>
        <row r="52">
          <cell r="A52" t="str">
            <v>unk</v>
          </cell>
          <cell r="K52" t="str">
            <v>PDIA</v>
          </cell>
          <cell r="M52" t="str">
            <v>M</v>
          </cell>
          <cell r="AC52">
            <v>0.5</v>
          </cell>
        </row>
        <row r="53">
          <cell r="A53" t="str">
            <v>IS_alqt_plus</v>
          </cell>
          <cell r="K53" t="str">
            <v>PCOQ</v>
          </cell>
          <cell r="M53" t="str">
            <v>F</v>
          </cell>
          <cell r="AC53">
            <v>1</v>
          </cell>
        </row>
        <row r="54">
          <cell r="A54" t="str">
            <v>unk</v>
          </cell>
          <cell r="K54" t="str">
            <v>PCOQ</v>
          </cell>
          <cell r="M54" t="str">
            <v>F</v>
          </cell>
          <cell r="AC54">
            <v>1</v>
          </cell>
        </row>
        <row r="55">
          <cell r="A55" t="str">
            <v>IS_alqt_plus</v>
          </cell>
          <cell r="K55" t="str">
            <v>DMAD</v>
          </cell>
          <cell r="M55" t="str">
            <v>F</v>
          </cell>
          <cell r="AC55">
            <v>1.2</v>
          </cell>
        </row>
        <row r="56">
          <cell r="A56" t="str">
            <v>gone</v>
          </cell>
          <cell r="K56" t="str">
            <v>DMAD</v>
          </cell>
          <cell r="M56" t="str">
            <v>F</v>
          </cell>
          <cell r="AC56">
            <v>0</v>
          </cell>
        </row>
        <row r="57">
          <cell r="A57" t="str">
            <v>IS_alqt_plus</v>
          </cell>
          <cell r="K57" t="str">
            <v>NPYG</v>
          </cell>
          <cell r="M57" t="str">
            <v>F</v>
          </cell>
          <cell r="AC57">
            <v>1.2</v>
          </cell>
        </row>
        <row r="58">
          <cell r="A58" t="str">
            <v>IS_alqt_plus</v>
          </cell>
          <cell r="K58" t="str">
            <v>NPYG</v>
          </cell>
          <cell r="M58" t="str">
            <v>F</v>
          </cell>
          <cell r="AC58">
            <v>1</v>
          </cell>
        </row>
        <row r="59">
          <cell r="A59" t="str">
            <v>IS_alqt_plus</v>
          </cell>
          <cell r="K59" t="str">
            <v>ECOR</v>
          </cell>
          <cell r="M59" t="str">
            <v>F</v>
          </cell>
          <cell r="AC59">
            <v>1</v>
          </cell>
        </row>
        <row r="60">
          <cell r="A60" t="str">
            <v>IS_alqt_plus</v>
          </cell>
          <cell r="K60" t="str">
            <v>ECOR</v>
          </cell>
          <cell r="M60" t="str">
            <v>F</v>
          </cell>
          <cell r="AC60">
            <v>1</v>
          </cell>
        </row>
        <row r="61">
          <cell r="A61" t="str">
            <v>IS_alqt_plus</v>
          </cell>
          <cell r="K61" t="str">
            <v>DMAD</v>
          </cell>
          <cell r="M61" t="str">
            <v>F</v>
          </cell>
          <cell r="AC61">
            <v>1</v>
          </cell>
        </row>
        <row r="62">
          <cell r="A62" t="str">
            <v>IS_alqt_plus</v>
          </cell>
          <cell r="K62" t="str">
            <v>DMAD</v>
          </cell>
          <cell r="M62" t="str">
            <v>F</v>
          </cell>
          <cell r="AC62">
            <v>1</v>
          </cell>
        </row>
        <row r="63">
          <cell r="A63" t="str">
            <v>unk</v>
          </cell>
          <cell r="K63" t="str">
            <v>CMED</v>
          </cell>
          <cell r="M63" t="str">
            <v>M</v>
          </cell>
          <cell r="AC63">
            <v>1</v>
          </cell>
        </row>
        <row r="64">
          <cell r="A64" t="str">
            <v>IS_alqt_plus</v>
          </cell>
          <cell r="K64" t="str">
            <v>EUL</v>
          </cell>
          <cell r="M64" t="str">
            <v>M</v>
          </cell>
          <cell r="AC64">
            <v>1</v>
          </cell>
        </row>
        <row r="65">
          <cell r="A65" t="str">
            <v>IS_alqt_plus</v>
          </cell>
          <cell r="K65" t="str">
            <v>EUL</v>
          </cell>
          <cell r="M65" t="str">
            <v>M</v>
          </cell>
          <cell r="AC65">
            <v>1</v>
          </cell>
        </row>
        <row r="66">
          <cell r="A66" t="str">
            <v>IS_alqt_minus</v>
          </cell>
          <cell r="K66" t="str">
            <v>LCAT</v>
          </cell>
          <cell r="M66" t="str">
            <v>F</v>
          </cell>
          <cell r="AC66">
            <v>0.2</v>
          </cell>
        </row>
        <row r="67">
          <cell r="A67" t="str">
            <v>IS_alqt_minus</v>
          </cell>
          <cell r="K67" t="str">
            <v>LCAT</v>
          </cell>
          <cell r="M67" t="str">
            <v>F</v>
          </cell>
          <cell r="AC67">
            <v>0.2</v>
          </cell>
        </row>
        <row r="68">
          <cell r="A68" t="str">
            <v>IS_alqt_minus</v>
          </cell>
          <cell r="K68" t="str">
            <v>LCAT</v>
          </cell>
          <cell r="M68" t="str">
            <v>F</v>
          </cell>
          <cell r="AC68">
            <v>0.2</v>
          </cell>
        </row>
        <row r="69">
          <cell r="A69" t="str">
            <v>IS_alqt_minus</v>
          </cell>
          <cell r="K69" t="str">
            <v>LCAT</v>
          </cell>
          <cell r="M69" t="str">
            <v>F</v>
          </cell>
          <cell r="AC69">
            <v>0.2</v>
          </cell>
        </row>
        <row r="70">
          <cell r="A70" t="str">
            <v>IS_alqt_plus</v>
          </cell>
          <cell r="K70" t="str">
            <v>DMAD</v>
          </cell>
          <cell r="M70" t="str">
            <v>M</v>
          </cell>
          <cell r="AC70">
            <v>1.2</v>
          </cell>
        </row>
        <row r="71">
          <cell r="A71" t="str">
            <v>IS_alqt_plus</v>
          </cell>
          <cell r="K71" t="str">
            <v>DMAD</v>
          </cell>
          <cell r="M71" t="str">
            <v>M</v>
          </cell>
          <cell r="AC71">
            <v>1</v>
          </cell>
        </row>
        <row r="72">
          <cell r="A72" t="str">
            <v>IS_alqt_plus</v>
          </cell>
          <cell r="K72" t="str">
            <v>DMAD</v>
          </cell>
          <cell r="M72" t="str">
            <v>M</v>
          </cell>
          <cell r="AC72">
            <v>1</v>
          </cell>
        </row>
        <row r="73">
          <cell r="A73" t="str">
            <v>IS_alqt_plus</v>
          </cell>
          <cell r="K73" t="str">
            <v>DMAD</v>
          </cell>
          <cell r="M73" t="str">
            <v>M</v>
          </cell>
          <cell r="AC73">
            <v>1</v>
          </cell>
        </row>
        <row r="74">
          <cell r="A74" t="str">
            <v>IS_alqt_plus</v>
          </cell>
          <cell r="K74" t="str">
            <v>DMAD</v>
          </cell>
          <cell r="M74" t="str">
            <v>M</v>
          </cell>
          <cell r="AC74">
            <v>1</v>
          </cell>
        </row>
        <row r="75">
          <cell r="A75" t="str">
            <v>unk</v>
          </cell>
          <cell r="K75" t="str">
            <v>DMAD</v>
          </cell>
          <cell r="M75" t="str">
            <v>M</v>
          </cell>
          <cell r="AC75">
            <v>1</v>
          </cell>
        </row>
        <row r="76">
          <cell r="A76" t="str">
            <v>IS_alqt_plus</v>
          </cell>
          <cell r="K76" t="str">
            <v>CMED</v>
          </cell>
          <cell r="M76" t="str">
            <v>M</v>
          </cell>
          <cell r="AC76">
            <v>1.25</v>
          </cell>
        </row>
        <row r="77">
          <cell r="A77" t="str">
            <v>IS_alqt_plus</v>
          </cell>
          <cell r="K77" t="str">
            <v>CMED</v>
          </cell>
          <cell r="M77" t="str">
            <v>M</v>
          </cell>
          <cell r="AC77">
            <v>1.5</v>
          </cell>
        </row>
        <row r="78">
          <cell r="A78" t="str">
            <v>IS_alqt_minus</v>
          </cell>
          <cell r="K78" t="str">
            <v>CMED</v>
          </cell>
          <cell r="M78" t="str">
            <v>M</v>
          </cell>
          <cell r="AC78">
            <v>0.45</v>
          </cell>
        </row>
        <row r="79">
          <cell r="A79" t="str">
            <v>IS_alqt_plus</v>
          </cell>
          <cell r="K79" t="str">
            <v>CMED</v>
          </cell>
          <cell r="M79" t="str">
            <v>M</v>
          </cell>
          <cell r="AC79">
            <v>1.5</v>
          </cell>
        </row>
        <row r="80">
          <cell r="A80" t="str">
            <v>IS_alqt_plus</v>
          </cell>
          <cell r="K80" t="str">
            <v>CMED</v>
          </cell>
          <cell r="M80" t="str">
            <v>M</v>
          </cell>
          <cell r="AC80">
            <v>1.5</v>
          </cell>
        </row>
        <row r="81">
          <cell r="A81" t="str">
            <v>IS_alqt_plus</v>
          </cell>
          <cell r="K81" t="str">
            <v>DMAD</v>
          </cell>
          <cell r="M81" t="str">
            <v>F</v>
          </cell>
          <cell r="AC81">
            <v>1.2</v>
          </cell>
        </row>
        <row r="82">
          <cell r="A82" t="str">
            <v>IS_alqt_plus</v>
          </cell>
          <cell r="K82" t="str">
            <v>DMAD</v>
          </cell>
          <cell r="M82" t="str">
            <v>F</v>
          </cell>
          <cell r="AC82">
            <v>1</v>
          </cell>
        </row>
        <row r="83">
          <cell r="A83" t="str">
            <v>IS_alqt_plus</v>
          </cell>
          <cell r="K83" t="str">
            <v>DMAD</v>
          </cell>
          <cell r="M83" t="str">
            <v>F</v>
          </cell>
          <cell r="AC83">
            <v>1.2</v>
          </cell>
        </row>
        <row r="84">
          <cell r="A84" t="str">
            <v>IS_alqt_plus</v>
          </cell>
          <cell r="K84" t="str">
            <v>DMAD</v>
          </cell>
          <cell r="M84" t="str">
            <v>F</v>
          </cell>
          <cell r="AC84">
            <v>1</v>
          </cell>
        </row>
        <row r="85">
          <cell r="A85" t="str">
            <v>IS_alqt_plus</v>
          </cell>
          <cell r="K85" t="str">
            <v>NPYG</v>
          </cell>
          <cell r="M85" t="str">
            <v>F</v>
          </cell>
          <cell r="AC85">
            <v>1</v>
          </cell>
        </row>
        <row r="86">
          <cell r="A86" t="str">
            <v>IS_alqt_plus</v>
          </cell>
          <cell r="K86" t="str">
            <v>NPYG</v>
          </cell>
          <cell r="M86" t="str">
            <v>F</v>
          </cell>
          <cell r="AC86">
            <v>1.2</v>
          </cell>
        </row>
        <row r="87">
          <cell r="A87" t="str">
            <v>IS_alqt_plus</v>
          </cell>
          <cell r="K87" t="str">
            <v>NPYG</v>
          </cell>
          <cell r="M87" t="str">
            <v>F</v>
          </cell>
          <cell r="AC87">
            <v>1</v>
          </cell>
        </row>
        <row r="88">
          <cell r="A88" t="str">
            <v>IS_alqt_plus</v>
          </cell>
          <cell r="K88" t="str">
            <v>NPYG</v>
          </cell>
          <cell r="M88" t="str">
            <v>F</v>
          </cell>
          <cell r="AC88">
            <v>1</v>
          </cell>
        </row>
        <row r="89">
          <cell r="A89" t="str">
            <v>IS_alqt_plus</v>
          </cell>
          <cell r="K89" t="str">
            <v>NPYG</v>
          </cell>
          <cell r="M89" t="str">
            <v>F</v>
          </cell>
          <cell r="AC89">
            <v>1.3</v>
          </cell>
        </row>
        <row r="90">
          <cell r="A90" t="str">
            <v>IS_alqt_plus</v>
          </cell>
          <cell r="K90" t="str">
            <v>NPYG</v>
          </cell>
          <cell r="M90" t="str">
            <v>F</v>
          </cell>
          <cell r="AC90">
            <v>1.1000000000000001</v>
          </cell>
        </row>
        <row r="91">
          <cell r="A91" t="str">
            <v>IS_alqt_plus</v>
          </cell>
          <cell r="K91" t="str">
            <v>PCOQ</v>
          </cell>
          <cell r="M91" t="str">
            <v>M</v>
          </cell>
          <cell r="AC91">
            <v>1.5</v>
          </cell>
        </row>
        <row r="92">
          <cell r="A92" t="str">
            <v>IS_alqt_plus</v>
          </cell>
          <cell r="K92" t="str">
            <v>DMAD</v>
          </cell>
          <cell r="M92" t="str">
            <v>F</v>
          </cell>
          <cell r="AC92">
            <v>1.3</v>
          </cell>
        </row>
        <row r="93">
          <cell r="A93" t="str">
            <v>IS_alqt_plus</v>
          </cell>
          <cell r="K93" t="str">
            <v>DMAD</v>
          </cell>
          <cell r="M93" t="str">
            <v>F</v>
          </cell>
          <cell r="AC93">
            <v>1</v>
          </cell>
        </row>
        <row r="94">
          <cell r="A94" t="str">
            <v>IS_alqt_plus</v>
          </cell>
          <cell r="K94" t="str">
            <v>ECOR</v>
          </cell>
          <cell r="M94" t="str">
            <v>M</v>
          </cell>
          <cell r="AC94">
            <v>1</v>
          </cell>
        </row>
        <row r="95">
          <cell r="A95" t="str">
            <v>gone</v>
          </cell>
          <cell r="K95" t="str">
            <v>ECOR</v>
          </cell>
          <cell r="M95" t="str">
            <v>M</v>
          </cell>
          <cell r="AC95">
            <v>0</v>
          </cell>
        </row>
        <row r="96">
          <cell r="A96" t="str">
            <v>IS_alqt_plus</v>
          </cell>
          <cell r="K96" t="str">
            <v>EMON</v>
          </cell>
          <cell r="M96" t="str">
            <v>F</v>
          </cell>
          <cell r="AC96">
            <v>1</v>
          </cell>
        </row>
        <row r="97">
          <cell r="A97" t="str">
            <v>IS_alqt_plus</v>
          </cell>
          <cell r="K97" t="str">
            <v>EMON</v>
          </cell>
          <cell r="M97" t="str">
            <v>F</v>
          </cell>
          <cell r="AC97">
            <v>1</v>
          </cell>
        </row>
        <row r="98">
          <cell r="A98" t="str">
            <v>gone</v>
          </cell>
          <cell r="K98" t="str">
            <v>EMON</v>
          </cell>
          <cell r="M98" t="str">
            <v>F</v>
          </cell>
          <cell r="AC98">
            <v>0</v>
          </cell>
        </row>
        <row r="99">
          <cell r="A99" t="str">
            <v>IS_alqt_minus</v>
          </cell>
          <cell r="K99" t="str">
            <v>LCAT</v>
          </cell>
          <cell r="M99" t="str">
            <v>F</v>
          </cell>
          <cell r="AC99">
            <v>0.2</v>
          </cell>
        </row>
        <row r="100">
          <cell r="A100" t="str">
            <v>gone</v>
          </cell>
          <cell r="K100" t="str">
            <v>LCAT</v>
          </cell>
          <cell r="M100" t="str">
            <v>F</v>
          </cell>
          <cell r="AC100">
            <v>0.2</v>
          </cell>
        </row>
        <row r="101">
          <cell r="A101" t="str">
            <v>IS_alqt_minus</v>
          </cell>
          <cell r="K101" t="str">
            <v>ECOL</v>
          </cell>
          <cell r="M101" t="str">
            <v>M</v>
          </cell>
          <cell r="AC101">
            <v>0.3</v>
          </cell>
        </row>
        <row r="102">
          <cell r="A102" t="str">
            <v>IS_alqt_plus</v>
          </cell>
          <cell r="K102" t="str">
            <v>ECOL</v>
          </cell>
          <cell r="M102" t="str">
            <v>M</v>
          </cell>
          <cell r="AC102">
            <v>1</v>
          </cell>
        </row>
        <row r="103">
          <cell r="A103" t="str">
            <v>IS_alqt_plus</v>
          </cell>
          <cell r="K103" t="str">
            <v>LTAR</v>
          </cell>
          <cell r="M103" t="str">
            <v>F</v>
          </cell>
          <cell r="AC103">
            <v>1</v>
          </cell>
        </row>
        <row r="104">
          <cell r="A104" t="str">
            <v>IS_alqt_minus</v>
          </cell>
          <cell r="K104" t="str">
            <v>LTAR</v>
          </cell>
          <cell r="M104" t="str">
            <v>F</v>
          </cell>
          <cell r="AC104">
            <v>0.15</v>
          </cell>
        </row>
        <row r="105">
          <cell r="A105" t="str">
            <v>IS_alqt_plus</v>
          </cell>
          <cell r="K105" t="str">
            <v>EFLA</v>
          </cell>
          <cell r="M105" t="str">
            <v>M</v>
          </cell>
          <cell r="AC105">
            <v>1.2</v>
          </cell>
        </row>
        <row r="106">
          <cell r="A106" t="str">
            <v>IS_alqt_plus</v>
          </cell>
          <cell r="K106" t="str">
            <v>EFLA</v>
          </cell>
          <cell r="M106" t="str">
            <v>M</v>
          </cell>
          <cell r="AC106">
            <v>1</v>
          </cell>
        </row>
        <row r="107">
          <cell r="A107" t="str">
            <v>IS_alqt_plus</v>
          </cell>
          <cell r="K107" t="str">
            <v>EFLA</v>
          </cell>
          <cell r="M107" t="str">
            <v>M</v>
          </cell>
          <cell r="AC107">
            <v>1</v>
          </cell>
        </row>
        <row r="108">
          <cell r="A108" t="str">
            <v>IS_alqt_plus</v>
          </cell>
          <cell r="K108" t="str">
            <v>EFLA</v>
          </cell>
          <cell r="M108" t="str">
            <v>M</v>
          </cell>
          <cell r="AC108">
            <v>1.1000000000000001</v>
          </cell>
        </row>
        <row r="109">
          <cell r="A109" t="str">
            <v>IS_alqt_plus</v>
          </cell>
          <cell r="K109" t="str">
            <v>EFLA</v>
          </cell>
          <cell r="M109" t="str">
            <v>F</v>
          </cell>
          <cell r="AC109">
            <v>1</v>
          </cell>
        </row>
        <row r="110">
          <cell r="A110" t="str">
            <v>IS_alqt_plus</v>
          </cell>
          <cell r="K110" t="str">
            <v>EFLA</v>
          </cell>
          <cell r="M110" t="str">
            <v>F</v>
          </cell>
          <cell r="AC110">
            <v>1.2</v>
          </cell>
        </row>
        <row r="111">
          <cell r="A111" t="str">
            <v>IS_alqt_plus</v>
          </cell>
          <cell r="K111" t="str">
            <v>DMAD</v>
          </cell>
          <cell r="M111" t="str">
            <v>F</v>
          </cell>
          <cell r="AC111">
            <v>1.2</v>
          </cell>
        </row>
        <row r="112">
          <cell r="A112" t="str">
            <v>IS_alqt_minus</v>
          </cell>
          <cell r="K112" t="str">
            <v>DMAD</v>
          </cell>
          <cell r="M112" t="str">
            <v>F</v>
          </cell>
          <cell r="AC112">
            <v>0.3</v>
          </cell>
        </row>
        <row r="113">
          <cell r="A113" t="str">
            <v>gone</v>
          </cell>
          <cell r="K113" t="str">
            <v>DMAD</v>
          </cell>
          <cell r="M113" t="str">
            <v>F</v>
          </cell>
          <cell r="AC113">
            <v>0</v>
          </cell>
        </row>
        <row r="114">
          <cell r="A114" t="str">
            <v>gone</v>
          </cell>
          <cell r="K114" t="str">
            <v>LCAT</v>
          </cell>
          <cell r="M114" t="str">
            <v>F</v>
          </cell>
          <cell r="AC114">
            <v>0.2</v>
          </cell>
        </row>
        <row r="115">
          <cell r="A115" t="str">
            <v>gone</v>
          </cell>
          <cell r="K115" t="str">
            <v>LCAT</v>
          </cell>
          <cell r="M115" t="str">
            <v>F</v>
          </cell>
          <cell r="AC115">
            <v>0.2</v>
          </cell>
        </row>
        <row r="116">
          <cell r="A116" t="str">
            <v>gone</v>
          </cell>
          <cell r="K116" t="str">
            <v>LCAT</v>
          </cell>
          <cell r="M116" t="str">
            <v>F</v>
          </cell>
          <cell r="AC116">
            <v>0.2</v>
          </cell>
        </row>
        <row r="117">
          <cell r="A117" t="str">
            <v>IS_alqt_plus</v>
          </cell>
          <cell r="K117" t="str">
            <v>LCAT</v>
          </cell>
          <cell r="M117" t="str">
            <v>F</v>
          </cell>
          <cell r="AC117">
            <v>1.5</v>
          </cell>
        </row>
        <row r="118">
          <cell r="A118" t="str">
            <v>IS_alqt_plus</v>
          </cell>
          <cell r="K118" t="str">
            <v>LCAT</v>
          </cell>
          <cell r="M118" t="str">
            <v>F</v>
          </cell>
          <cell r="AC118">
            <v>1.5</v>
          </cell>
        </row>
        <row r="119">
          <cell r="A119" t="str">
            <v>IS_alqt_plus</v>
          </cell>
          <cell r="K119" t="str">
            <v>NPYG</v>
          </cell>
          <cell r="M119" t="str">
            <v>M</v>
          </cell>
          <cell r="AC119">
            <v>1.5</v>
          </cell>
        </row>
        <row r="120">
          <cell r="A120" t="str">
            <v>gone</v>
          </cell>
          <cell r="K120" t="str">
            <v>NPYG</v>
          </cell>
          <cell r="M120" t="str">
            <v>M</v>
          </cell>
          <cell r="AC120">
            <v>0</v>
          </cell>
        </row>
        <row r="121">
          <cell r="A121" t="str">
            <v>IS_alqt_plus</v>
          </cell>
          <cell r="K121" t="str">
            <v>ESAN</v>
          </cell>
          <cell r="M121" t="str">
            <v>F</v>
          </cell>
          <cell r="AC121">
            <v>1</v>
          </cell>
        </row>
        <row r="122">
          <cell r="A122" t="str">
            <v>IS_alqt_plus</v>
          </cell>
          <cell r="K122" t="str">
            <v>ESAN</v>
          </cell>
          <cell r="M122" t="str">
            <v>F</v>
          </cell>
          <cell r="AC122">
            <v>1.3</v>
          </cell>
        </row>
        <row r="123">
          <cell r="A123" t="str">
            <v>IS_alqt_plus</v>
          </cell>
          <cell r="K123" t="str">
            <v>PCOQ</v>
          </cell>
          <cell r="M123" t="str">
            <v>M</v>
          </cell>
          <cell r="AC123">
            <v>1.25</v>
          </cell>
        </row>
        <row r="124">
          <cell r="A124" t="str">
            <v>IS_alqt_plus</v>
          </cell>
          <cell r="K124" t="str">
            <v>EFLA</v>
          </cell>
          <cell r="M124" t="str">
            <v>M</v>
          </cell>
          <cell r="AC124">
            <v>0.5</v>
          </cell>
        </row>
        <row r="125">
          <cell r="A125" t="str">
            <v>IS_alqt_plus</v>
          </cell>
          <cell r="K125" t="str">
            <v>EFLA</v>
          </cell>
          <cell r="M125" t="str">
            <v>M</v>
          </cell>
          <cell r="AC125">
            <v>1</v>
          </cell>
        </row>
        <row r="126">
          <cell r="A126" t="str">
            <v>gone</v>
          </cell>
          <cell r="K126" t="str">
            <v>EFLA</v>
          </cell>
          <cell r="M126" t="str">
            <v>M</v>
          </cell>
          <cell r="AC126">
            <v>0</v>
          </cell>
        </row>
        <row r="127">
          <cell r="A127" t="str">
            <v>gone</v>
          </cell>
          <cell r="K127" t="str">
            <v>EFLA</v>
          </cell>
          <cell r="M127" t="str">
            <v>F</v>
          </cell>
          <cell r="AC127">
            <v>0</v>
          </cell>
        </row>
        <row r="128">
          <cell r="A128" t="str">
            <v>gone</v>
          </cell>
          <cell r="K128" t="str">
            <v>EFLA</v>
          </cell>
          <cell r="M128" t="str">
            <v>F</v>
          </cell>
          <cell r="AC128">
            <v>0</v>
          </cell>
        </row>
        <row r="129">
          <cell r="A129" t="str">
            <v>IS_alqt_plus</v>
          </cell>
          <cell r="K129" t="str">
            <v>EFLA</v>
          </cell>
          <cell r="M129" t="str">
            <v>M</v>
          </cell>
          <cell r="AC129">
            <v>0.75</v>
          </cell>
        </row>
        <row r="130">
          <cell r="A130" t="str">
            <v>unk</v>
          </cell>
          <cell r="K130" t="str">
            <v>EFLA</v>
          </cell>
          <cell r="M130" t="str">
            <v>M</v>
          </cell>
          <cell r="AC130">
            <v>1</v>
          </cell>
        </row>
        <row r="131">
          <cell r="A131" t="str">
            <v>IS_alqt_plus</v>
          </cell>
          <cell r="K131" t="str">
            <v>PCOQ</v>
          </cell>
          <cell r="M131" t="str">
            <v>M</v>
          </cell>
          <cell r="AC131">
            <v>1</v>
          </cell>
        </row>
        <row r="132">
          <cell r="A132" t="str">
            <v>IS_alqt_plus</v>
          </cell>
          <cell r="K132" t="str">
            <v>PCOQ</v>
          </cell>
          <cell r="M132" t="str">
            <v>M</v>
          </cell>
          <cell r="AC132">
            <v>1</v>
          </cell>
        </row>
        <row r="133">
          <cell r="A133" t="str">
            <v>IS_alqt_plus</v>
          </cell>
          <cell r="K133" t="str">
            <v>DMAD</v>
          </cell>
          <cell r="M133" t="str">
            <v>M</v>
          </cell>
          <cell r="AC133">
            <v>1</v>
          </cell>
        </row>
        <row r="134">
          <cell r="A134" t="str">
            <v>IS_alqt_plus</v>
          </cell>
          <cell r="K134" t="str">
            <v>DMAD</v>
          </cell>
          <cell r="M134" t="str">
            <v>M</v>
          </cell>
          <cell r="AC134">
            <v>1</v>
          </cell>
        </row>
        <row r="135">
          <cell r="A135" t="str">
            <v>IS_alqt_plus</v>
          </cell>
          <cell r="K135" t="str">
            <v>EFUL</v>
          </cell>
          <cell r="M135" t="str">
            <v>F</v>
          </cell>
          <cell r="AC135">
            <v>1</v>
          </cell>
        </row>
        <row r="136">
          <cell r="A136" t="str">
            <v>IS_alqt_plus</v>
          </cell>
          <cell r="K136" t="str">
            <v>EFUL</v>
          </cell>
          <cell r="M136" t="str">
            <v>F</v>
          </cell>
          <cell r="AC136">
            <v>1.2</v>
          </cell>
        </row>
        <row r="137">
          <cell r="A137" t="str">
            <v>IS_alqt_plus</v>
          </cell>
          <cell r="K137" t="str">
            <v>EMON</v>
          </cell>
          <cell r="M137" t="str">
            <v>M</v>
          </cell>
          <cell r="AC137">
            <v>1</v>
          </cell>
        </row>
        <row r="138">
          <cell r="A138" t="str">
            <v>IS_alqt_plus</v>
          </cell>
          <cell r="K138" t="str">
            <v>EMON</v>
          </cell>
          <cell r="M138" t="str">
            <v>M</v>
          </cell>
          <cell r="AC138">
            <v>0.8</v>
          </cell>
        </row>
        <row r="139">
          <cell r="A139" t="str">
            <v>IS_alqt_plus</v>
          </cell>
          <cell r="K139" t="str">
            <v>PCOQ</v>
          </cell>
          <cell r="M139" t="str">
            <v>M</v>
          </cell>
          <cell r="AC139">
            <v>0.75</v>
          </cell>
        </row>
        <row r="140">
          <cell r="A140" t="str">
            <v>gone</v>
          </cell>
          <cell r="K140" t="str">
            <v>PCOQ</v>
          </cell>
          <cell r="M140" t="str">
            <v>M</v>
          </cell>
          <cell r="AC140">
            <v>0</v>
          </cell>
        </row>
        <row r="141">
          <cell r="A141" t="str">
            <v>IS_alqt_plus</v>
          </cell>
          <cell r="K141" t="str">
            <v>EMON</v>
          </cell>
          <cell r="M141" t="str">
            <v>M</v>
          </cell>
          <cell r="AC141">
            <v>1</v>
          </cell>
        </row>
        <row r="142">
          <cell r="A142" t="str">
            <v>gone</v>
          </cell>
          <cell r="K142" t="str">
            <v>EMON</v>
          </cell>
          <cell r="M142" t="str">
            <v>M</v>
          </cell>
          <cell r="AC142">
            <v>0</v>
          </cell>
        </row>
        <row r="143">
          <cell r="A143" t="str">
            <v>IS_alqt_plus</v>
          </cell>
          <cell r="K143" t="str">
            <v>PCOQ</v>
          </cell>
          <cell r="M143" t="str">
            <v>M</v>
          </cell>
          <cell r="AC143">
            <v>1</v>
          </cell>
        </row>
        <row r="144">
          <cell r="A144" t="str">
            <v>IS_alqt_plus</v>
          </cell>
          <cell r="K144" t="str">
            <v>PCOQ</v>
          </cell>
          <cell r="M144" t="str">
            <v>M</v>
          </cell>
          <cell r="AC144">
            <v>1.2</v>
          </cell>
        </row>
        <row r="145">
          <cell r="A145" t="str">
            <v>gone</v>
          </cell>
          <cell r="K145" t="str">
            <v>PCOQ</v>
          </cell>
          <cell r="M145" t="str">
            <v>M</v>
          </cell>
          <cell r="AC145">
            <v>0</v>
          </cell>
        </row>
        <row r="146">
          <cell r="A146" t="str">
            <v>gone</v>
          </cell>
          <cell r="K146" t="str">
            <v>DMAD</v>
          </cell>
          <cell r="M146" t="str">
            <v>M</v>
          </cell>
          <cell r="AC146">
            <v>0</v>
          </cell>
        </row>
        <row r="147">
          <cell r="A147" t="str">
            <v>IS_alqt_plus</v>
          </cell>
          <cell r="K147" t="str">
            <v>PCOQ</v>
          </cell>
          <cell r="M147" t="str">
            <v>M</v>
          </cell>
          <cell r="AC147">
            <v>1</v>
          </cell>
        </row>
        <row r="148">
          <cell r="A148" t="str">
            <v>IS_alqt_plus</v>
          </cell>
          <cell r="K148" t="str">
            <v>PCOQ</v>
          </cell>
          <cell r="M148" t="str">
            <v>M</v>
          </cell>
          <cell r="AC148">
            <v>1</v>
          </cell>
        </row>
        <row r="149">
          <cell r="A149" t="str">
            <v>IS_alqt_plus</v>
          </cell>
          <cell r="K149" t="str">
            <v>PCOQ</v>
          </cell>
          <cell r="M149" t="str">
            <v>F</v>
          </cell>
          <cell r="AC149">
            <v>1</v>
          </cell>
        </row>
        <row r="150">
          <cell r="A150" t="str">
            <v>gone</v>
          </cell>
          <cell r="K150" t="str">
            <v>PDIA</v>
          </cell>
          <cell r="M150" t="str">
            <v>M</v>
          </cell>
          <cell r="AC150">
            <v>0</v>
          </cell>
        </row>
        <row r="151">
          <cell r="A151" t="str">
            <v>gone</v>
          </cell>
          <cell r="K151" t="str">
            <v>PDIA</v>
          </cell>
          <cell r="M151" t="str">
            <v>M</v>
          </cell>
          <cell r="AC151">
            <v>0</v>
          </cell>
        </row>
        <row r="152">
          <cell r="A152" t="str">
            <v>IS_alqt_plus</v>
          </cell>
          <cell r="K152" t="str">
            <v>NPYG</v>
          </cell>
          <cell r="M152" t="str">
            <v>M</v>
          </cell>
          <cell r="AC152">
            <v>1</v>
          </cell>
        </row>
        <row r="153">
          <cell r="A153" t="str">
            <v>gone</v>
          </cell>
          <cell r="K153" t="str">
            <v>NPYG</v>
          </cell>
          <cell r="M153" t="str">
            <v>M</v>
          </cell>
          <cell r="AC153">
            <v>0</v>
          </cell>
        </row>
        <row r="154">
          <cell r="A154" t="str">
            <v>IS_alqt_plus</v>
          </cell>
          <cell r="K154" t="str">
            <v>PCOQ</v>
          </cell>
          <cell r="M154" t="str">
            <v>M</v>
          </cell>
          <cell r="AC154">
            <v>1</v>
          </cell>
        </row>
        <row r="155">
          <cell r="A155" t="str">
            <v>gone</v>
          </cell>
          <cell r="K155" t="str">
            <v>PCOQ</v>
          </cell>
          <cell r="M155" t="str">
            <v>M</v>
          </cell>
          <cell r="AC155">
            <v>0</v>
          </cell>
        </row>
        <row r="156">
          <cell r="A156" t="str">
            <v>IS_alqt_plus</v>
          </cell>
          <cell r="K156" t="str">
            <v>ECOL</v>
          </cell>
          <cell r="M156" t="str">
            <v>M</v>
          </cell>
          <cell r="AC156">
            <v>1</v>
          </cell>
        </row>
        <row r="157">
          <cell r="A157" t="str">
            <v>IS_alqt_plus</v>
          </cell>
          <cell r="K157" t="str">
            <v>ECOL</v>
          </cell>
          <cell r="M157" t="str">
            <v>M</v>
          </cell>
          <cell r="AC157">
            <v>1</v>
          </cell>
        </row>
        <row r="158">
          <cell r="A158" t="str">
            <v>IS_alqt_minus</v>
          </cell>
          <cell r="K158" t="str">
            <v>EFLA</v>
          </cell>
          <cell r="M158" t="str">
            <v>M</v>
          </cell>
          <cell r="AC158">
            <v>0.1</v>
          </cell>
        </row>
        <row r="159">
          <cell r="A159" t="str">
            <v>IS_alqt_plus</v>
          </cell>
          <cell r="K159" t="str">
            <v>EFLA</v>
          </cell>
          <cell r="M159" t="str">
            <v>M</v>
          </cell>
          <cell r="AC159">
            <v>1</v>
          </cell>
        </row>
        <row r="160">
          <cell r="A160" t="str">
            <v>IS_alqt_plus</v>
          </cell>
          <cell r="K160" t="str">
            <v>EMAC</v>
          </cell>
          <cell r="M160" t="str">
            <v>M</v>
          </cell>
          <cell r="AC160">
            <v>1</v>
          </cell>
        </row>
        <row r="161">
          <cell r="A161" t="str">
            <v>unk</v>
          </cell>
          <cell r="K161" t="str">
            <v>EMAC</v>
          </cell>
          <cell r="M161" t="str">
            <v>M</v>
          </cell>
          <cell r="AC161">
            <v>1</v>
          </cell>
        </row>
        <row r="162">
          <cell r="A162" t="str">
            <v>IS_alqt_plus</v>
          </cell>
          <cell r="K162" t="str">
            <v>PCOQ</v>
          </cell>
          <cell r="M162" t="str">
            <v>M</v>
          </cell>
          <cell r="AC162">
            <v>1</v>
          </cell>
        </row>
        <row r="163">
          <cell r="A163" t="str">
            <v>IS_alqt_plus</v>
          </cell>
          <cell r="K163" t="str">
            <v>PCOQ</v>
          </cell>
          <cell r="M163" t="str">
            <v>M</v>
          </cell>
          <cell r="AC163">
            <v>1</v>
          </cell>
        </row>
        <row r="164">
          <cell r="A164" t="str">
            <v>unk</v>
          </cell>
          <cell r="K164" t="str">
            <v>ESAN</v>
          </cell>
          <cell r="M164" t="str">
            <v>F</v>
          </cell>
          <cell r="AC164">
            <v>0.5</v>
          </cell>
        </row>
        <row r="165">
          <cell r="A165" t="str">
            <v>unk</v>
          </cell>
          <cell r="K165" t="str">
            <v>ESAN</v>
          </cell>
          <cell r="M165" t="str">
            <v>F</v>
          </cell>
          <cell r="AC165">
            <v>1</v>
          </cell>
        </row>
        <row r="166">
          <cell r="A166" t="str">
            <v>IS_alqt_plus</v>
          </cell>
          <cell r="K166" t="str">
            <v>PCOQ</v>
          </cell>
          <cell r="M166" t="str">
            <v>F</v>
          </cell>
          <cell r="AC166">
            <v>1</v>
          </cell>
        </row>
        <row r="167">
          <cell r="A167" t="str">
            <v>gone</v>
          </cell>
          <cell r="K167" t="str">
            <v>PCOQ</v>
          </cell>
          <cell r="M167" t="str">
            <v>F</v>
          </cell>
          <cell r="AC167">
            <v>0</v>
          </cell>
        </row>
        <row r="168">
          <cell r="A168" t="str">
            <v>gone</v>
          </cell>
          <cell r="K168" t="str">
            <v>PCOQ</v>
          </cell>
          <cell r="M168" t="str">
            <v>M</v>
          </cell>
          <cell r="AC168">
            <v>0</v>
          </cell>
        </row>
        <row r="169">
          <cell r="A169" t="str">
            <v>gone</v>
          </cell>
          <cell r="K169" t="str">
            <v>PCOQ</v>
          </cell>
          <cell r="M169" t="str">
            <v>M</v>
          </cell>
          <cell r="AC169">
            <v>0</v>
          </cell>
        </row>
        <row r="170">
          <cell r="A170" t="str">
            <v>gone</v>
          </cell>
          <cell r="K170" t="str">
            <v>PCOQ</v>
          </cell>
          <cell r="M170" t="str">
            <v>M</v>
          </cell>
          <cell r="AC170">
            <v>0</v>
          </cell>
        </row>
        <row r="171">
          <cell r="A171" t="str">
            <v>gone</v>
          </cell>
          <cell r="K171" t="str">
            <v>PCOQ</v>
          </cell>
          <cell r="M171" t="str">
            <v>M</v>
          </cell>
          <cell r="AC171">
            <v>0</v>
          </cell>
        </row>
        <row r="172">
          <cell r="A172" t="str">
            <v>IS_alqt_plus</v>
          </cell>
          <cell r="K172" t="str">
            <v>DMAD</v>
          </cell>
          <cell r="M172" t="str">
            <v>M</v>
          </cell>
          <cell r="AC172">
            <v>1</v>
          </cell>
        </row>
        <row r="173">
          <cell r="A173" t="str">
            <v>gone</v>
          </cell>
          <cell r="K173" t="str">
            <v>DMAD</v>
          </cell>
          <cell r="M173" t="str">
            <v>M</v>
          </cell>
          <cell r="AC173">
            <v>0</v>
          </cell>
        </row>
        <row r="174">
          <cell r="A174" t="str">
            <v>IS_alqt_minus</v>
          </cell>
          <cell r="K174" t="str">
            <v>NCOU</v>
          </cell>
          <cell r="M174" t="str">
            <v>F</v>
          </cell>
          <cell r="AC174">
            <v>0.1</v>
          </cell>
        </row>
        <row r="175">
          <cell r="A175" t="str">
            <v>IS_alqt_plus</v>
          </cell>
          <cell r="K175" t="str">
            <v>NCOU</v>
          </cell>
          <cell r="M175" t="str">
            <v>F</v>
          </cell>
          <cell r="AC175">
            <v>1</v>
          </cell>
        </row>
        <row r="176">
          <cell r="A176" t="str">
            <v>IS_alqt_plus</v>
          </cell>
          <cell r="K176" t="str">
            <v>CMED</v>
          </cell>
          <cell r="M176" t="str">
            <v>M</v>
          </cell>
          <cell r="AC176">
            <v>1.3</v>
          </cell>
        </row>
        <row r="177">
          <cell r="A177" t="str">
            <v>IS_alqt_plus</v>
          </cell>
          <cell r="K177" t="str">
            <v>CMED</v>
          </cell>
          <cell r="M177" t="str">
            <v>M</v>
          </cell>
          <cell r="AC177">
            <v>0.8</v>
          </cell>
        </row>
        <row r="178">
          <cell r="A178" t="str">
            <v>IS_alqt_plus</v>
          </cell>
          <cell r="K178" t="str">
            <v>CMED</v>
          </cell>
          <cell r="M178" t="str">
            <v>M</v>
          </cell>
          <cell r="AC178">
            <v>1.3</v>
          </cell>
        </row>
        <row r="179">
          <cell r="A179" t="str">
            <v>IS_alqt_plus</v>
          </cell>
          <cell r="K179" t="str">
            <v>CMED</v>
          </cell>
          <cell r="M179" t="str">
            <v>M</v>
          </cell>
          <cell r="AC179">
            <v>0.6</v>
          </cell>
        </row>
        <row r="180">
          <cell r="A180" t="str">
            <v>IS_alqt_minus</v>
          </cell>
          <cell r="K180" t="str">
            <v>CMED</v>
          </cell>
          <cell r="M180" t="str">
            <v>M</v>
          </cell>
          <cell r="AC180">
            <v>0.4</v>
          </cell>
        </row>
        <row r="181">
          <cell r="A181" t="str">
            <v>IS_alqt_plus</v>
          </cell>
          <cell r="K181" t="str">
            <v>ERUB</v>
          </cell>
          <cell r="M181" t="str">
            <v>F</v>
          </cell>
          <cell r="AC181">
            <v>1</v>
          </cell>
        </row>
        <row r="182">
          <cell r="A182" t="str">
            <v>IS_alqt_plus</v>
          </cell>
          <cell r="K182" t="str">
            <v>ERUB</v>
          </cell>
          <cell r="M182" t="str">
            <v>F</v>
          </cell>
          <cell r="AC182">
            <v>1</v>
          </cell>
        </row>
        <row r="183">
          <cell r="A183" t="str">
            <v>IS_alqt_plus</v>
          </cell>
          <cell r="K183" t="str">
            <v>ERUB</v>
          </cell>
          <cell r="M183" t="str">
            <v>F</v>
          </cell>
          <cell r="AC183">
            <v>1</v>
          </cell>
        </row>
        <row r="184">
          <cell r="A184" t="str">
            <v>IS_alqt_plus</v>
          </cell>
          <cell r="K184" t="str">
            <v>ERUB</v>
          </cell>
          <cell r="M184" t="str">
            <v>F</v>
          </cell>
          <cell r="AC184">
            <v>1.5</v>
          </cell>
        </row>
        <row r="185">
          <cell r="A185" t="str">
            <v>unk</v>
          </cell>
          <cell r="K185" t="str">
            <v>PDIA</v>
          </cell>
          <cell r="M185" t="str">
            <v>M</v>
          </cell>
          <cell r="AC185">
            <v>3</v>
          </cell>
        </row>
        <row r="186">
          <cell r="A186" t="str">
            <v>IS_alqt_plus</v>
          </cell>
          <cell r="K186" t="str">
            <v>ERUB</v>
          </cell>
          <cell r="M186" t="str">
            <v>F</v>
          </cell>
          <cell r="AC186">
            <v>1.5</v>
          </cell>
        </row>
        <row r="187">
          <cell r="A187" t="str">
            <v>IS_alqt_plus</v>
          </cell>
          <cell r="K187" t="str">
            <v>ERUB</v>
          </cell>
          <cell r="M187" t="str">
            <v>F</v>
          </cell>
          <cell r="AC187">
            <v>1</v>
          </cell>
        </row>
        <row r="188">
          <cell r="A188" t="str">
            <v>IS_alqt_plus</v>
          </cell>
          <cell r="K188" t="str">
            <v>PCOQ</v>
          </cell>
          <cell r="M188" t="str">
            <v>F</v>
          </cell>
          <cell r="AC188">
            <v>1</v>
          </cell>
        </row>
        <row r="189">
          <cell r="A189" t="str">
            <v>gone</v>
          </cell>
          <cell r="K189" t="str">
            <v>PCOQ</v>
          </cell>
          <cell r="M189" t="str">
            <v>F</v>
          </cell>
          <cell r="AC189">
            <v>0</v>
          </cell>
        </row>
        <row r="190">
          <cell r="A190" t="str">
            <v>IS_alqt_plus</v>
          </cell>
          <cell r="K190" t="str">
            <v>PCOQ</v>
          </cell>
          <cell r="M190" t="str">
            <v>M</v>
          </cell>
          <cell r="AC190">
            <v>1</v>
          </cell>
        </row>
        <row r="191">
          <cell r="A191" t="str">
            <v>IS_alqt_plus</v>
          </cell>
          <cell r="K191" t="str">
            <v>PCOQ</v>
          </cell>
          <cell r="M191" t="str">
            <v>M</v>
          </cell>
          <cell r="AC191">
            <v>1</v>
          </cell>
        </row>
        <row r="192">
          <cell r="A192" t="str">
            <v>IS_alqt_plus</v>
          </cell>
          <cell r="K192" t="str">
            <v>EMAC</v>
          </cell>
          <cell r="M192" t="str">
            <v>M</v>
          </cell>
          <cell r="AC192">
            <v>1</v>
          </cell>
        </row>
        <row r="193">
          <cell r="A193" t="str">
            <v>gone</v>
          </cell>
          <cell r="K193" t="str">
            <v>ERUB</v>
          </cell>
          <cell r="M193" t="str">
            <v>F</v>
          </cell>
          <cell r="AC193">
            <v>0</v>
          </cell>
        </row>
        <row r="194">
          <cell r="A194" t="str">
            <v>IS_alqt_plus</v>
          </cell>
          <cell r="K194" t="str">
            <v>ERUB</v>
          </cell>
          <cell r="M194" t="str">
            <v>F</v>
          </cell>
          <cell r="AC194">
            <v>0.75</v>
          </cell>
        </row>
        <row r="195">
          <cell r="A195" t="str">
            <v>gone</v>
          </cell>
          <cell r="K195" t="str">
            <v>PCOQ</v>
          </cell>
          <cell r="M195" t="str">
            <v>F</v>
          </cell>
          <cell r="AC195">
            <v>0</v>
          </cell>
        </row>
        <row r="196">
          <cell r="A196" t="str">
            <v>IS_alqt_plus</v>
          </cell>
          <cell r="K196" t="str">
            <v>DMAD</v>
          </cell>
          <cell r="M196" t="str">
            <v>M</v>
          </cell>
          <cell r="AC196">
            <v>1</v>
          </cell>
        </row>
        <row r="197">
          <cell r="A197" t="str">
            <v>gone</v>
          </cell>
          <cell r="K197" t="str">
            <v>DMAD</v>
          </cell>
          <cell r="M197" t="str">
            <v>M</v>
          </cell>
          <cell r="AC197">
            <v>0</v>
          </cell>
        </row>
        <row r="198">
          <cell r="A198" t="str">
            <v>IS_alqt_plus</v>
          </cell>
          <cell r="K198" t="str">
            <v>DMAD</v>
          </cell>
          <cell r="M198" t="str">
            <v>F</v>
          </cell>
          <cell r="AC198">
            <v>1</v>
          </cell>
        </row>
        <row r="199">
          <cell r="A199" t="str">
            <v>IS_alqt_plus</v>
          </cell>
          <cell r="K199" t="str">
            <v>DMAD</v>
          </cell>
          <cell r="M199" t="str">
            <v>F</v>
          </cell>
          <cell r="AC199">
            <v>1</v>
          </cell>
        </row>
        <row r="200">
          <cell r="A200" t="str">
            <v>IS_alqt_plus</v>
          </cell>
          <cell r="K200" t="str">
            <v>DMAD</v>
          </cell>
          <cell r="M200" t="str">
            <v>M</v>
          </cell>
          <cell r="AC200">
            <v>1</v>
          </cell>
        </row>
        <row r="201">
          <cell r="A201" t="str">
            <v>IS_alqt_plus</v>
          </cell>
          <cell r="K201" t="str">
            <v>DMAD</v>
          </cell>
          <cell r="M201" t="str">
            <v>M</v>
          </cell>
          <cell r="AC201">
            <v>1</v>
          </cell>
        </row>
        <row r="202">
          <cell r="A202" t="str">
            <v>IS_alqt_plus</v>
          </cell>
          <cell r="K202" t="str">
            <v>ECOL</v>
          </cell>
          <cell r="M202" t="str">
            <v>M</v>
          </cell>
          <cell r="AC202">
            <v>1</v>
          </cell>
        </row>
        <row r="203">
          <cell r="A203" t="str">
            <v>IS_alqt_plus</v>
          </cell>
          <cell r="K203" t="str">
            <v>ECOL</v>
          </cell>
          <cell r="M203" t="str">
            <v>M</v>
          </cell>
          <cell r="AC203">
            <v>1</v>
          </cell>
        </row>
        <row r="204">
          <cell r="A204" t="str">
            <v>IS_alqt_plus</v>
          </cell>
          <cell r="K204" t="str">
            <v>ECOL</v>
          </cell>
          <cell r="M204" t="str">
            <v>M</v>
          </cell>
          <cell r="AC204">
            <v>1</v>
          </cell>
        </row>
        <row r="205">
          <cell r="A205" t="str">
            <v>IS_alqt_plus</v>
          </cell>
          <cell r="K205" t="str">
            <v>DMAD</v>
          </cell>
          <cell r="M205" t="str">
            <v>F</v>
          </cell>
          <cell r="AC205">
            <v>1</v>
          </cell>
        </row>
        <row r="206">
          <cell r="A206" t="str">
            <v>IS_alqt_plus</v>
          </cell>
          <cell r="K206" t="str">
            <v>DMAD</v>
          </cell>
          <cell r="M206" t="str">
            <v>F</v>
          </cell>
          <cell r="AC206">
            <v>1</v>
          </cell>
        </row>
        <row r="207">
          <cell r="A207" t="str">
            <v>IS_alqt_plus</v>
          </cell>
          <cell r="K207" t="str">
            <v>ECOL</v>
          </cell>
          <cell r="M207" t="str">
            <v>M</v>
          </cell>
          <cell r="AC207">
            <v>1</v>
          </cell>
        </row>
        <row r="208">
          <cell r="A208" t="str">
            <v>IS_alqt_plus</v>
          </cell>
          <cell r="K208" t="str">
            <v>ECOL</v>
          </cell>
          <cell r="M208" t="str">
            <v>M</v>
          </cell>
          <cell r="AC208">
            <v>1</v>
          </cell>
        </row>
        <row r="209">
          <cell r="A209" t="str">
            <v>IS_alqt_plus</v>
          </cell>
          <cell r="K209" t="str">
            <v>NPYG</v>
          </cell>
          <cell r="M209" t="str">
            <v>M</v>
          </cell>
          <cell r="AC209">
            <v>1</v>
          </cell>
        </row>
        <row r="210">
          <cell r="A210" t="str">
            <v>IS_alqt_plus</v>
          </cell>
          <cell r="K210" t="str">
            <v>NPYG</v>
          </cell>
          <cell r="M210" t="str">
            <v>M</v>
          </cell>
          <cell r="AC210">
            <v>1</v>
          </cell>
        </row>
        <row r="211">
          <cell r="A211" t="str">
            <v>IS_alqt_plus</v>
          </cell>
          <cell r="K211" t="str">
            <v>PCOQ</v>
          </cell>
          <cell r="M211" t="str">
            <v>M</v>
          </cell>
          <cell r="AC211">
            <v>1.5</v>
          </cell>
        </row>
        <row r="212">
          <cell r="A212" t="str">
            <v>IS_alqt_plus</v>
          </cell>
          <cell r="K212" t="str">
            <v>PCOQ</v>
          </cell>
          <cell r="M212" t="str">
            <v>M</v>
          </cell>
          <cell r="AC212">
            <v>1.5</v>
          </cell>
        </row>
        <row r="213">
          <cell r="A213" t="str">
            <v>IS_alqt_plus</v>
          </cell>
          <cell r="K213" t="str">
            <v>PCOQ</v>
          </cell>
          <cell r="M213" t="str">
            <v>M</v>
          </cell>
          <cell r="AC213">
            <v>1.5</v>
          </cell>
        </row>
        <row r="214">
          <cell r="A214" t="str">
            <v>IS_alqt_plus</v>
          </cell>
          <cell r="K214" t="str">
            <v>PCOQ</v>
          </cell>
          <cell r="M214" t="str">
            <v>M</v>
          </cell>
          <cell r="AC214">
            <v>1.5</v>
          </cell>
        </row>
        <row r="215">
          <cell r="A215" t="str">
            <v>IS_alqt_plus</v>
          </cell>
          <cell r="K215" t="str">
            <v>CMED</v>
          </cell>
          <cell r="M215" t="str">
            <v>M</v>
          </cell>
          <cell r="AC215">
            <v>0.75</v>
          </cell>
        </row>
        <row r="216">
          <cell r="A216" t="str">
            <v>IS_alqt_plus</v>
          </cell>
          <cell r="K216" t="str">
            <v>CMED</v>
          </cell>
          <cell r="M216" t="str">
            <v>M</v>
          </cell>
          <cell r="AC216">
            <v>1</v>
          </cell>
        </row>
        <row r="217">
          <cell r="A217" t="str">
            <v>IS_alqt_plus</v>
          </cell>
          <cell r="K217" t="str">
            <v>ECOL</v>
          </cell>
          <cell r="M217" t="str">
            <v>F</v>
          </cell>
          <cell r="AC217">
            <v>0.5</v>
          </cell>
        </row>
        <row r="218">
          <cell r="A218" t="str">
            <v>IS_alqt_plus</v>
          </cell>
          <cell r="K218" t="str">
            <v>PCOQ</v>
          </cell>
          <cell r="M218" t="str">
            <v>M</v>
          </cell>
          <cell r="AC218">
            <v>1</v>
          </cell>
        </row>
        <row r="219">
          <cell r="A219" t="str">
            <v>IS_alqt_plus</v>
          </cell>
          <cell r="K219" t="str">
            <v>PCOQ</v>
          </cell>
          <cell r="M219" t="str">
            <v>M</v>
          </cell>
          <cell r="AC219">
            <v>1</v>
          </cell>
        </row>
        <row r="220">
          <cell r="A220" t="str">
            <v>IS_alqt_plus</v>
          </cell>
          <cell r="K220" t="str">
            <v>VRUB</v>
          </cell>
          <cell r="M220" t="str">
            <v>F</v>
          </cell>
          <cell r="AC220">
            <v>1</v>
          </cell>
        </row>
        <row r="221">
          <cell r="A221" t="str">
            <v>IS_alqt_minus</v>
          </cell>
          <cell r="K221" t="str">
            <v>NPYG</v>
          </cell>
          <cell r="M221" t="str">
            <v>F</v>
          </cell>
          <cell r="AC221">
            <v>0.2</v>
          </cell>
        </row>
        <row r="222">
          <cell r="A222" t="str">
            <v>gone</v>
          </cell>
          <cell r="K222" t="str">
            <v>DMAD</v>
          </cell>
          <cell r="M222" t="str">
            <v>F</v>
          </cell>
          <cell r="AC222">
            <v>0</v>
          </cell>
        </row>
        <row r="223">
          <cell r="A223" t="str">
            <v>gone</v>
          </cell>
          <cell r="K223" t="str">
            <v>DMAD</v>
          </cell>
          <cell r="M223" t="str">
            <v>F</v>
          </cell>
          <cell r="AC223">
            <v>0</v>
          </cell>
        </row>
        <row r="224">
          <cell r="A224" t="str">
            <v>IS_alqt_plus</v>
          </cell>
          <cell r="K224" t="str">
            <v>DMAD</v>
          </cell>
          <cell r="M224" t="str">
            <v>M</v>
          </cell>
          <cell r="AC224">
            <v>1</v>
          </cell>
        </row>
        <row r="225">
          <cell r="A225" t="str">
            <v>IS_alqt_plus</v>
          </cell>
          <cell r="K225" t="str">
            <v>DMAD</v>
          </cell>
          <cell r="M225" t="str">
            <v>M</v>
          </cell>
          <cell r="AC225">
            <v>1</v>
          </cell>
        </row>
        <row r="226">
          <cell r="A226" t="str">
            <v>IS_alqt_plus</v>
          </cell>
          <cell r="K226" t="str">
            <v>VRUB</v>
          </cell>
          <cell r="M226" t="str">
            <v>F</v>
          </cell>
          <cell r="AC226">
            <v>1</v>
          </cell>
        </row>
        <row r="227">
          <cell r="A227" t="str">
            <v>IS_alqt_plus</v>
          </cell>
          <cell r="K227" t="str">
            <v>VRUB</v>
          </cell>
          <cell r="M227" t="str">
            <v>F</v>
          </cell>
          <cell r="AC227">
            <v>1</v>
          </cell>
        </row>
        <row r="228">
          <cell r="A228" t="str">
            <v>IS_alqt_plus</v>
          </cell>
          <cell r="K228" t="str">
            <v>VRUB</v>
          </cell>
          <cell r="M228" t="str">
            <v>F</v>
          </cell>
          <cell r="AC228">
            <v>1.2</v>
          </cell>
        </row>
        <row r="229">
          <cell r="A229" t="str">
            <v>IS_alqt_plus</v>
          </cell>
          <cell r="K229" t="str">
            <v>VRUB</v>
          </cell>
          <cell r="M229" t="str">
            <v>F</v>
          </cell>
          <cell r="AC229">
            <v>1.5</v>
          </cell>
        </row>
        <row r="230">
          <cell r="A230" t="str">
            <v>IS_alqt_minus</v>
          </cell>
          <cell r="K230" t="str">
            <v>EMAC</v>
          </cell>
          <cell r="M230" t="str">
            <v>M</v>
          </cell>
          <cell r="AC230">
            <v>0.2</v>
          </cell>
        </row>
        <row r="231">
          <cell r="A231" t="str">
            <v>IS_alqt_plus</v>
          </cell>
          <cell r="K231" t="str">
            <v>EMAC</v>
          </cell>
          <cell r="M231" t="str">
            <v>M</v>
          </cell>
          <cell r="AC231">
            <v>1</v>
          </cell>
        </row>
        <row r="232">
          <cell r="A232" t="str">
            <v>gone</v>
          </cell>
          <cell r="K232" t="str">
            <v>EMAC</v>
          </cell>
          <cell r="M232" t="str">
            <v>M</v>
          </cell>
          <cell r="AC232">
            <v>0</v>
          </cell>
        </row>
        <row r="233">
          <cell r="A233" t="str">
            <v>IS_alqt_plus</v>
          </cell>
          <cell r="K233" t="str">
            <v>VRUB</v>
          </cell>
          <cell r="M233" t="str">
            <v>F</v>
          </cell>
          <cell r="AC233">
            <v>1.5</v>
          </cell>
        </row>
        <row r="234">
          <cell r="A234" t="str">
            <v>unk</v>
          </cell>
          <cell r="K234" t="str">
            <v>VRUB</v>
          </cell>
          <cell r="M234" t="str">
            <v>F</v>
          </cell>
          <cell r="AC234">
            <v>1.5</v>
          </cell>
        </row>
        <row r="235">
          <cell r="A235" t="str">
            <v>IS_alqt_plus</v>
          </cell>
          <cell r="K235" t="str">
            <v>PCOQ</v>
          </cell>
          <cell r="M235" t="str">
            <v>M</v>
          </cell>
          <cell r="AC235">
            <v>1</v>
          </cell>
        </row>
        <row r="236">
          <cell r="A236" t="str">
            <v>IS_alqt_plus</v>
          </cell>
          <cell r="K236" t="str">
            <v>PCOQ</v>
          </cell>
          <cell r="M236" t="str">
            <v>M</v>
          </cell>
          <cell r="AC236">
            <v>1</v>
          </cell>
        </row>
        <row r="237">
          <cell r="A237" t="str">
            <v>IS_alqt_plus</v>
          </cell>
          <cell r="K237" t="str">
            <v>EMON</v>
          </cell>
          <cell r="M237" t="str">
            <v>M</v>
          </cell>
          <cell r="AC237">
            <v>1</v>
          </cell>
        </row>
        <row r="238">
          <cell r="A238" t="str">
            <v>unk</v>
          </cell>
          <cell r="K238" t="str">
            <v>VRUB</v>
          </cell>
          <cell r="M238" t="str">
            <v>F</v>
          </cell>
          <cell r="AC238">
            <v>1.5</v>
          </cell>
        </row>
        <row r="239">
          <cell r="A239" t="str">
            <v>unk</v>
          </cell>
          <cell r="K239" t="str">
            <v>VRUB</v>
          </cell>
          <cell r="M239" t="str">
            <v>F</v>
          </cell>
          <cell r="AC239">
            <v>1.5</v>
          </cell>
        </row>
        <row r="240">
          <cell r="A240" t="str">
            <v>IS_alqt_plus</v>
          </cell>
          <cell r="K240" t="str">
            <v>NPYG</v>
          </cell>
          <cell r="M240" t="str">
            <v>F</v>
          </cell>
          <cell r="AC240">
            <v>1</v>
          </cell>
        </row>
        <row r="241">
          <cell r="A241" t="str">
            <v>IS_alqt_plus</v>
          </cell>
          <cell r="K241" t="str">
            <v>NPYG</v>
          </cell>
          <cell r="M241" t="str">
            <v>F</v>
          </cell>
          <cell r="AC241">
            <v>1.2</v>
          </cell>
        </row>
        <row r="242">
          <cell r="A242" t="str">
            <v>IS_alqt_plus</v>
          </cell>
          <cell r="K242" t="str">
            <v>PCOQ</v>
          </cell>
          <cell r="M242" t="str">
            <v>M</v>
          </cell>
          <cell r="AC242">
            <v>1.3</v>
          </cell>
        </row>
        <row r="243">
          <cell r="A243" t="str">
            <v>IS_alqt_plus</v>
          </cell>
          <cell r="K243" t="str">
            <v>PCOQ</v>
          </cell>
          <cell r="M243" t="str">
            <v>M</v>
          </cell>
          <cell r="AC243">
            <v>1</v>
          </cell>
        </row>
        <row r="244">
          <cell r="A244" t="str">
            <v>gone</v>
          </cell>
          <cell r="K244" t="str">
            <v>PCOQ</v>
          </cell>
          <cell r="M244" t="str">
            <v>M</v>
          </cell>
          <cell r="AC244">
            <v>0</v>
          </cell>
        </row>
        <row r="245">
          <cell r="A245" t="str">
            <v>gone</v>
          </cell>
          <cell r="K245" t="str">
            <v>PCOQ</v>
          </cell>
          <cell r="M245" t="str">
            <v>M</v>
          </cell>
          <cell r="AC245">
            <v>0</v>
          </cell>
        </row>
        <row r="246">
          <cell r="A246" t="str">
            <v>IS_alqt_plus</v>
          </cell>
          <cell r="K246" t="str">
            <v>ECOL</v>
          </cell>
          <cell r="M246" t="str">
            <v>M</v>
          </cell>
          <cell r="AC246">
            <v>1</v>
          </cell>
        </row>
        <row r="247">
          <cell r="A247" t="str">
            <v>IS_alqt_plus</v>
          </cell>
          <cell r="K247" t="str">
            <v>ECOL</v>
          </cell>
          <cell r="M247" t="str">
            <v>M</v>
          </cell>
          <cell r="AC247">
            <v>1</v>
          </cell>
        </row>
        <row r="248">
          <cell r="A248" t="str">
            <v>IS_alqt_plus</v>
          </cell>
          <cell r="K248" t="str">
            <v>EUL</v>
          </cell>
          <cell r="M248" t="str">
            <v>F</v>
          </cell>
          <cell r="AC248">
            <v>0.6</v>
          </cell>
        </row>
        <row r="249">
          <cell r="A249" t="str">
            <v>IS_alqt_plus</v>
          </cell>
          <cell r="K249" t="str">
            <v>EUL</v>
          </cell>
          <cell r="M249" t="str">
            <v>F</v>
          </cell>
          <cell r="AC249">
            <v>0.75</v>
          </cell>
        </row>
        <row r="250">
          <cell r="A250" t="str">
            <v>IS_alqt_plus</v>
          </cell>
          <cell r="K250" t="str">
            <v>CMED</v>
          </cell>
          <cell r="M250" t="str">
            <v>M</v>
          </cell>
          <cell r="AC250">
            <v>1</v>
          </cell>
        </row>
        <row r="251">
          <cell r="A251" t="str">
            <v>IS_alqt_plus</v>
          </cell>
          <cell r="K251" t="str">
            <v>CMED</v>
          </cell>
          <cell r="M251" t="str">
            <v>M</v>
          </cell>
          <cell r="AC251">
            <v>0.5</v>
          </cell>
        </row>
        <row r="252">
          <cell r="A252" t="str">
            <v>IS_alqt_plus</v>
          </cell>
          <cell r="K252" t="str">
            <v>EMON</v>
          </cell>
          <cell r="M252" t="str">
            <v>M</v>
          </cell>
          <cell r="AC252">
            <v>0.75</v>
          </cell>
        </row>
        <row r="253">
          <cell r="A253" t="str">
            <v>IS_alqt_plus</v>
          </cell>
          <cell r="K253" t="str">
            <v>EMON</v>
          </cell>
          <cell r="M253" t="str">
            <v>M</v>
          </cell>
          <cell r="AC253">
            <v>1</v>
          </cell>
        </row>
        <row r="254">
          <cell r="A254" t="str">
            <v>IS_alqt_plus</v>
          </cell>
          <cell r="K254" t="str">
            <v>EMON</v>
          </cell>
          <cell r="M254" t="str">
            <v>M</v>
          </cell>
          <cell r="AC254">
            <v>1</v>
          </cell>
        </row>
        <row r="255">
          <cell r="A255" t="str">
            <v>IS_alqt_plus</v>
          </cell>
          <cell r="K255" t="str">
            <v>DMAD</v>
          </cell>
          <cell r="M255" t="str">
            <v>F</v>
          </cell>
          <cell r="AC255">
            <v>1</v>
          </cell>
        </row>
        <row r="256">
          <cell r="A256" t="str">
            <v>IS_alqt_plus</v>
          </cell>
          <cell r="K256" t="str">
            <v>DMAD</v>
          </cell>
          <cell r="M256" t="str">
            <v>F</v>
          </cell>
          <cell r="AC256">
            <v>1</v>
          </cell>
        </row>
        <row r="257">
          <cell r="A257" t="str">
            <v>IS_alqt_plus</v>
          </cell>
          <cell r="K257" t="str">
            <v>PCOQ</v>
          </cell>
          <cell r="M257" t="str">
            <v>F</v>
          </cell>
          <cell r="AC257">
            <v>1</v>
          </cell>
        </row>
        <row r="258">
          <cell r="A258" t="str">
            <v>gone</v>
          </cell>
          <cell r="K258" t="str">
            <v>PCOQ</v>
          </cell>
          <cell r="M258" t="str">
            <v>F</v>
          </cell>
          <cell r="AC258">
            <v>0</v>
          </cell>
        </row>
        <row r="259">
          <cell r="A259" t="str">
            <v>IS_alqt_plus</v>
          </cell>
          <cell r="K259" t="str">
            <v>DMAD</v>
          </cell>
          <cell r="M259" t="str">
            <v>M</v>
          </cell>
          <cell r="AC259">
            <v>1</v>
          </cell>
        </row>
        <row r="260">
          <cell r="A260" t="str">
            <v>gone</v>
          </cell>
          <cell r="K260" t="str">
            <v>DMAD</v>
          </cell>
          <cell r="M260" t="str">
            <v>M</v>
          </cell>
          <cell r="AC260">
            <v>0</v>
          </cell>
        </row>
        <row r="261">
          <cell r="A261" t="str">
            <v>gone</v>
          </cell>
          <cell r="K261" t="str">
            <v>DMAD</v>
          </cell>
          <cell r="M261" t="str">
            <v>M</v>
          </cell>
          <cell r="AC261">
            <v>0</v>
          </cell>
        </row>
        <row r="262">
          <cell r="A262" t="str">
            <v>IS_alqt_plus</v>
          </cell>
          <cell r="K262" t="str">
            <v>PCOQ</v>
          </cell>
          <cell r="M262" t="str">
            <v>M</v>
          </cell>
          <cell r="AC262">
            <v>1.2</v>
          </cell>
        </row>
        <row r="263">
          <cell r="A263" t="str">
            <v>gone</v>
          </cell>
          <cell r="K263" t="str">
            <v>PCOQ</v>
          </cell>
          <cell r="M263" t="str">
            <v>M</v>
          </cell>
          <cell r="AC263">
            <v>0</v>
          </cell>
        </row>
        <row r="264">
          <cell r="A264" t="str">
            <v>IS_alqt_plus</v>
          </cell>
          <cell r="K264" t="str">
            <v>VRUB</v>
          </cell>
          <cell r="M264" t="str">
            <v>F</v>
          </cell>
          <cell r="AC264">
            <v>0.7</v>
          </cell>
        </row>
        <row r="265">
          <cell r="A265" t="str">
            <v>gone</v>
          </cell>
          <cell r="K265" t="str">
            <v>DMAD</v>
          </cell>
          <cell r="M265" t="str">
            <v>M</v>
          </cell>
          <cell r="AC265">
            <v>0</v>
          </cell>
        </row>
        <row r="266">
          <cell r="A266" t="str">
            <v>IS_alqt_plus</v>
          </cell>
          <cell r="K266" t="str">
            <v>VRUB</v>
          </cell>
          <cell r="M266" t="str">
            <v>F</v>
          </cell>
          <cell r="AC266">
            <v>0.5</v>
          </cell>
        </row>
        <row r="267">
          <cell r="A267" t="str">
            <v>IS_alqt_plus</v>
          </cell>
          <cell r="K267" t="str">
            <v>VRUB</v>
          </cell>
          <cell r="M267" t="str">
            <v>F</v>
          </cell>
          <cell r="AC267">
            <v>0.5</v>
          </cell>
        </row>
        <row r="268">
          <cell r="A268" t="str">
            <v>IS_alqt_plus</v>
          </cell>
          <cell r="K268" t="str">
            <v>VRUB</v>
          </cell>
          <cell r="M268" t="str">
            <v>F</v>
          </cell>
          <cell r="AC268">
            <v>0.5</v>
          </cell>
        </row>
        <row r="269">
          <cell r="A269" t="str">
            <v>IS_alqt_plus</v>
          </cell>
          <cell r="K269" t="str">
            <v>VRUB</v>
          </cell>
          <cell r="M269" t="str">
            <v>F</v>
          </cell>
          <cell r="AC269">
            <v>1.2</v>
          </cell>
        </row>
        <row r="270">
          <cell r="A270" t="str">
            <v>IS_alqt_plus</v>
          </cell>
          <cell r="K270" t="str">
            <v>EMON</v>
          </cell>
          <cell r="M270" t="str">
            <v>M</v>
          </cell>
          <cell r="AC270">
            <v>0.7</v>
          </cell>
        </row>
        <row r="271">
          <cell r="A271" t="str">
            <v>IS_alqt_plus</v>
          </cell>
          <cell r="K271" t="str">
            <v>EUL</v>
          </cell>
          <cell r="M271" t="str">
            <v>F</v>
          </cell>
          <cell r="AC271">
            <v>1.2</v>
          </cell>
        </row>
        <row r="272">
          <cell r="A272" t="str">
            <v>IS_alqt_plus</v>
          </cell>
          <cell r="K272" t="str">
            <v>EUL</v>
          </cell>
          <cell r="M272" t="str">
            <v>F</v>
          </cell>
          <cell r="AC272">
            <v>1</v>
          </cell>
        </row>
        <row r="273">
          <cell r="A273" t="str">
            <v>gone</v>
          </cell>
          <cell r="K273" t="str">
            <v>ERUF</v>
          </cell>
          <cell r="M273" t="str">
            <v>M</v>
          </cell>
          <cell r="AC273">
            <v>0</v>
          </cell>
        </row>
        <row r="274">
          <cell r="A274" t="str">
            <v>IS_alqt_plus</v>
          </cell>
          <cell r="K274" t="str">
            <v>EFLA</v>
          </cell>
          <cell r="M274" t="str">
            <v>M</v>
          </cell>
          <cell r="AC274">
            <v>0.75</v>
          </cell>
        </row>
        <row r="275">
          <cell r="A275" t="str">
            <v>IS_alqt_plus</v>
          </cell>
          <cell r="K275" t="str">
            <v>ECOR</v>
          </cell>
          <cell r="M275" t="str">
            <v>M</v>
          </cell>
          <cell r="AC275">
            <v>0.75</v>
          </cell>
        </row>
        <row r="276">
          <cell r="A276" t="str">
            <v>IS_alqt_plus</v>
          </cell>
          <cell r="K276" t="str">
            <v>DMAD</v>
          </cell>
          <cell r="M276" t="str">
            <v>M</v>
          </cell>
          <cell r="AC276">
            <v>1</v>
          </cell>
        </row>
        <row r="277">
          <cell r="A277" t="str">
            <v>IS_alqt_minus</v>
          </cell>
          <cell r="K277" t="str">
            <v>ECOR</v>
          </cell>
          <cell r="M277" t="str">
            <v>M</v>
          </cell>
          <cell r="AC277">
            <v>0.3</v>
          </cell>
        </row>
        <row r="278">
          <cell r="A278" t="str">
            <v>IS_alqt_plus</v>
          </cell>
          <cell r="K278" t="str">
            <v>ECOR</v>
          </cell>
          <cell r="M278" t="str">
            <v>M</v>
          </cell>
          <cell r="AC278">
            <v>1</v>
          </cell>
        </row>
        <row r="279">
          <cell r="A279" t="str">
            <v>IS_alqt_plus</v>
          </cell>
          <cell r="K279" t="str">
            <v>ECOR</v>
          </cell>
          <cell r="M279" t="str">
            <v>F</v>
          </cell>
          <cell r="AC279">
            <v>1.3</v>
          </cell>
        </row>
        <row r="280">
          <cell r="A280" t="str">
            <v>IS_alqt_plus</v>
          </cell>
          <cell r="K280" t="str">
            <v>ECOR</v>
          </cell>
          <cell r="M280" t="str">
            <v>F</v>
          </cell>
          <cell r="AC280">
            <v>1</v>
          </cell>
        </row>
        <row r="281">
          <cell r="A281" t="str">
            <v>IS_alqt_plus</v>
          </cell>
          <cell r="K281" t="str">
            <v>EMAC</v>
          </cell>
          <cell r="M281" t="str">
            <v>M</v>
          </cell>
          <cell r="AC281">
            <v>0.75</v>
          </cell>
        </row>
        <row r="282">
          <cell r="A282" t="str">
            <v>IS_alqt_plus</v>
          </cell>
          <cell r="K282" t="str">
            <v>EMAC</v>
          </cell>
          <cell r="M282" t="str">
            <v>M</v>
          </cell>
          <cell r="AC282">
            <v>0.75</v>
          </cell>
        </row>
        <row r="283">
          <cell r="A283" t="str">
            <v>IS_alqt_plus</v>
          </cell>
          <cell r="K283" t="str">
            <v>EMAC</v>
          </cell>
          <cell r="M283" t="str">
            <v>M</v>
          </cell>
          <cell r="AC283">
            <v>1</v>
          </cell>
        </row>
        <row r="284">
          <cell r="A284" t="str">
            <v>IS_alqt_plus</v>
          </cell>
          <cell r="K284" t="str">
            <v>DMAD</v>
          </cell>
          <cell r="M284" t="str">
            <v>F</v>
          </cell>
          <cell r="AC284">
            <v>1.2</v>
          </cell>
        </row>
        <row r="285">
          <cell r="A285" t="str">
            <v>IS_alqt_minus</v>
          </cell>
          <cell r="K285" t="str">
            <v>DMAD</v>
          </cell>
          <cell r="M285" t="str">
            <v>F</v>
          </cell>
          <cell r="AC285">
            <v>0.3</v>
          </cell>
        </row>
        <row r="286">
          <cell r="A286" t="str">
            <v>gone</v>
          </cell>
          <cell r="K286" t="str">
            <v>DMAD</v>
          </cell>
          <cell r="M286" t="str">
            <v>F</v>
          </cell>
          <cell r="AC286">
            <v>0</v>
          </cell>
        </row>
        <row r="287">
          <cell r="A287" t="str">
            <v>gone</v>
          </cell>
          <cell r="K287" t="str">
            <v>DMAD</v>
          </cell>
          <cell r="M287" t="str">
            <v>F</v>
          </cell>
          <cell r="AC287">
            <v>0</v>
          </cell>
        </row>
        <row r="288">
          <cell r="A288" t="str">
            <v>IS_alqt_plus</v>
          </cell>
          <cell r="K288" t="str">
            <v>VRUB</v>
          </cell>
          <cell r="M288" t="str">
            <v>F</v>
          </cell>
          <cell r="AC288">
            <v>1.2</v>
          </cell>
        </row>
        <row r="289">
          <cell r="A289" t="str">
            <v>IS_alqt_plus</v>
          </cell>
          <cell r="K289" t="str">
            <v>VRUB</v>
          </cell>
          <cell r="M289" t="str">
            <v>F</v>
          </cell>
          <cell r="AC289">
            <v>1.5</v>
          </cell>
        </row>
        <row r="290">
          <cell r="A290" t="str">
            <v>IS_alqt_plus</v>
          </cell>
          <cell r="K290" t="str">
            <v>VRUB</v>
          </cell>
          <cell r="M290" t="str">
            <v>F</v>
          </cell>
          <cell r="AC290">
            <v>1.8</v>
          </cell>
        </row>
        <row r="291">
          <cell r="A291" t="str">
            <v>IS_alqt_plus</v>
          </cell>
          <cell r="K291" t="str">
            <v>LCAT</v>
          </cell>
          <cell r="M291" t="str">
            <v>M</v>
          </cell>
          <cell r="AC291">
            <v>1.5</v>
          </cell>
        </row>
        <row r="292">
          <cell r="A292" t="str">
            <v>IS_alqt_plus</v>
          </cell>
          <cell r="K292" t="str">
            <v>LCAT</v>
          </cell>
          <cell r="M292" t="str">
            <v>M</v>
          </cell>
          <cell r="AC292">
            <v>1.5</v>
          </cell>
        </row>
        <row r="293">
          <cell r="A293" t="str">
            <v>gone</v>
          </cell>
          <cell r="K293" t="str">
            <v>LCAT</v>
          </cell>
          <cell r="M293" t="str">
            <v>M</v>
          </cell>
          <cell r="AC293">
            <v>0</v>
          </cell>
        </row>
        <row r="294">
          <cell r="A294" t="str">
            <v>gone</v>
          </cell>
          <cell r="K294" t="str">
            <v>LCAT</v>
          </cell>
          <cell r="M294" t="str">
            <v>M</v>
          </cell>
          <cell r="AC294">
            <v>0</v>
          </cell>
        </row>
        <row r="295">
          <cell r="A295" t="str">
            <v>IS_alqt_plus</v>
          </cell>
          <cell r="K295" t="str">
            <v>PCOQ</v>
          </cell>
          <cell r="M295" t="str">
            <v>M</v>
          </cell>
          <cell r="AC295">
            <v>1.3</v>
          </cell>
        </row>
        <row r="296">
          <cell r="A296" t="str">
            <v>gone</v>
          </cell>
          <cell r="K296" t="str">
            <v>PCOQ</v>
          </cell>
          <cell r="M296" t="str">
            <v>M</v>
          </cell>
          <cell r="AC296">
            <v>0</v>
          </cell>
        </row>
        <row r="297">
          <cell r="A297" t="str">
            <v>IS_alqt_plus</v>
          </cell>
          <cell r="K297" t="str">
            <v>EFLA</v>
          </cell>
          <cell r="M297" t="str">
            <v>M</v>
          </cell>
          <cell r="AC297">
            <v>0.6</v>
          </cell>
        </row>
        <row r="298">
          <cell r="A298" t="str">
            <v>IS_alqt_plus</v>
          </cell>
          <cell r="K298" t="str">
            <v>EFLA</v>
          </cell>
          <cell r="M298" t="str">
            <v>M</v>
          </cell>
          <cell r="AC298">
            <v>0.7</v>
          </cell>
        </row>
        <row r="299">
          <cell r="A299" t="str">
            <v>IS_alqt_plus</v>
          </cell>
          <cell r="K299" t="str">
            <v>EUL</v>
          </cell>
          <cell r="M299" t="str">
            <v>M</v>
          </cell>
          <cell r="AC299">
            <v>1.25</v>
          </cell>
        </row>
        <row r="300">
          <cell r="A300" t="str">
            <v>IS_alqt_plus</v>
          </cell>
          <cell r="K300" t="str">
            <v>EUL</v>
          </cell>
          <cell r="M300" t="str">
            <v>M</v>
          </cell>
          <cell r="AC300">
            <v>0.75</v>
          </cell>
        </row>
        <row r="301">
          <cell r="A301" t="str">
            <v>IS_alqt_plus</v>
          </cell>
          <cell r="K301" t="str">
            <v>EUL</v>
          </cell>
          <cell r="M301" t="str">
            <v>M</v>
          </cell>
          <cell r="AC301">
            <v>1.25</v>
          </cell>
        </row>
        <row r="302">
          <cell r="A302" t="str">
            <v>IS_alqt_plus</v>
          </cell>
          <cell r="K302" t="str">
            <v>EUL</v>
          </cell>
          <cell r="M302" t="str">
            <v>M</v>
          </cell>
          <cell r="AC302">
            <v>1.25</v>
          </cell>
        </row>
        <row r="303">
          <cell r="A303" t="str">
            <v>IS_alqt_plus</v>
          </cell>
          <cell r="K303" t="str">
            <v>EUL</v>
          </cell>
          <cell r="M303" t="str">
            <v>M</v>
          </cell>
          <cell r="AC303">
            <v>1</v>
          </cell>
        </row>
        <row r="304">
          <cell r="A304" t="str">
            <v>unk</v>
          </cell>
          <cell r="K304" t="str">
            <v>EFLA</v>
          </cell>
          <cell r="M304" t="str">
            <v>M</v>
          </cell>
          <cell r="AC304">
            <v>0.75</v>
          </cell>
        </row>
        <row r="305">
          <cell r="A305" t="str">
            <v>IS_alqt_plus</v>
          </cell>
          <cell r="K305" t="str">
            <v>PCOQ</v>
          </cell>
          <cell r="M305" t="str">
            <v>M</v>
          </cell>
          <cell r="AC305">
            <v>0.5</v>
          </cell>
        </row>
        <row r="306">
          <cell r="A306" t="str">
            <v>gone</v>
          </cell>
          <cell r="K306" t="str">
            <v>PCOQ</v>
          </cell>
          <cell r="M306" t="str">
            <v>M</v>
          </cell>
          <cell r="AC306">
            <v>0</v>
          </cell>
        </row>
        <row r="307">
          <cell r="A307" t="str">
            <v>IS_alqt_plus</v>
          </cell>
          <cell r="K307" t="str">
            <v>LCAT</v>
          </cell>
          <cell r="M307" t="str">
            <v>F</v>
          </cell>
          <cell r="AC307">
            <v>1</v>
          </cell>
        </row>
        <row r="308">
          <cell r="A308" t="str">
            <v>IS_alqt_plus</v>
          </cell>
          <cell r="K308" t="str">
            <v>LCAT</v>
          </cell>
          <cell r="M308" t="str">
            <v>F</v>
          </cell>
          <cell r="AC308">
            <v>0.75</v>
          </cell>
        </row>
        <row r="309">
          <cell r="A309" t="str">
            <v>IS_alqt_minus</v>
          </cell>
          <cell r="K309" t="str">
            <v>MMUR</v>
          </cell>
          <cell r="M309" t="str">
            <v>F</v>
          </cell>
          <cell r="AC309">
            <v>0.25</v>
          </cell>
        </row>
        <row r="310">
          <cell r="A310" t="str">
            <v>IS_alqt_plus</v>
          </cell>
          <cell r="K310" t="str">
            <v>VRUB</v>
          </cell>
          <cell r="M310" t="str">
            <v>M</v>
          </cell>
          <cell r="AC310">
            <v>1.1000000000000001</v>
          </cell>
        </row>
        <row r="311">
          <cell r="A311" t="str">
            <v>IS_alqt_plus</v>
          </cell>
          <cell r="K311" t="str">
            <v>EFLA</v>
          </cell>
          <cell r="M311" t="str">
            <v>F</v>
          </cell>
          <cell r="AC311">
            <v>1.5</v>
          </cell>
        </row>
        <row r="312">
          <cell r="A312" t="str">
            <v>IS_alqt_plus</v>
          </cell>
          <cell r="K312" t="str">
            <v>EFLA</v>
          </cell>
          <cell r="M312" t="str">
            <v>F</v>
          </cell>
          <cell r="AC312">
            <v>0.6</v>
          </cell>
        </row>
        <row r="313">
          <cell r="A313" t="str">
            <v>IS_alqt_plus</v>
          </cell>
          <cell r="K313" t="str">
            <v>EFLA</v>
          </cell>
          <cell r="M313" t="str">
            <v>M</v>
          </cell>
          <cell r="AC313">
            <v>1.3</v>
          </cell>
        </row>
        <row r="314">
          <cell r="A314" t="str">
            <v>IS_alqt_plus</v>
          </cell>
          <cell r="K314" t="str">
            <v>EFLA</v>
          </cell>
          <cell r="M314" t="str">
            <v>M</v>
          </cell>
          <cell r="AC314">
            <v>1.2</v>
          </cell>
        </row>
        <row r="315">
          <cell r="A315" t="str">
            <v>gone</v>
          </cell>
          <cell r="K315" t="str">
            <v>EFLA</v>
          </cell>
          <cell r="M315" t="str">
            <v>M</v>
          </cell>
          <cell r="AC315">
            <v>0</v>
          </cell>
        </row>
        <row r="316">
          <cell r="A316" t="str">
            <v>IS_alqt_plus</v>
          </cell>
          <cell r="K316" t="str">
            <v>PCOQ</v>
          </cell>
          <cell r="M316" t="str">
            <v>F</v>
          </cell>
          <cell r="AC316">
            <v>1.2</v>
          </cell>
        </row>
        <row r="317">
          <cell r="A317" t="str">
            <v>IS_alqt_plus</v>
          </cell>
          <cell r="K317" t="str">
            <v>PCOQ</v>
          </cell>
          <cell r="M317" t="str">
            <v>F</v>
          </cell>
          <cell r="AC317">
            <v>1.2</v>
          </cell>
        </row>
        <row r="318">
          <cell r="A318" t="str">
            <v>IS_alqt_plus</v>
          </cell>
          <cell r="K318" t="str">
            <v>PCOQ</v>
          </cell>
          <cell r="M318" t="str">
            <v>F</v>
          </cell>
          <cell r="AC318">
            <v>1</v>
          </cell>
        </row>
        <row r="319">
          <cell r="A319" t="str">
            <v>IS_alqt_plus</v>
          </cell>
          <cell r="K319" t="str">
            <v>PCOQ</v>
          </cell>
          <cell r="M319" t="str">
            <v>F</v>
          </cell>
          <cell r="AC319">
            <v>1</v>
          </cell>
        </row>
        <row r="320">
          <cell r="A320" t="str">
            <v>gone</v>
          </cell>
          <cell r="K320" t="str">
            <v>PCOQ</v>
          </cell>
          <cell r="M320" t="str">
            <v>F</v>
          </cell>
          <cell r="AC320">
            <v>0</v>
          </cell>
        </row>
        <row r="321">
          <cell r="A321" t="str">
            <v>gone</v>
          </cell>
          <cell r="K321" t="str">
            <v>PCOQ</v>
          </cell>
          <cell r="M321" t="str">
            <v>F</v>
          </cell>
          <cell r="AC321">
            <v>0</v>
          </cell>
        </row>
        <row r="322">
          <cell r="A322" t="str">
            <v>unk</v>
          </cell>
          <cell r="K322" t="str">
            <v>PCOQ</v>
          </cell>
          <cell r="M322" t="str">
            <v>F</v>
          </cell>
          <cell r="AC322">
            <v>1</v>
          </cell>
        </row>
        <row r="323">
          <cell r="A323" t="str">
            <v>unk</v>
          </cell>
          <cell r="K323" t="str">
            <v>PCOQ</v>
          </cell>
          <cell r="M323" t="str">
            <v>F</v>
          </cell>
          <cell r="AC323">
            <v>1</v>
          </cell>
        </row>
        <row r="324">
          <cell r="A324" t="str">
            <v>IS_alqt_plus</v>
          </cell>
          <cell r="K324" t="str">
            <v>PCOQ</v>
          </cell>
          <cell r="M324" t="str">
            <v>F</v>
          </cell>
          <cell r="AC324">
            <v>1.2</v>
          </cell>
        </row>
        <row r="325">
          <cell r="A325" t="str">
            <v>IS_alqt_plus</v>
          </cell>
          <cell r="K325" t="str">
            <v>PCOQ</v>
          </cell>
          <cell r="M325" t="str">
            <v>F</v>
          </cell>
          <cell r="AC325">
            <v>1.5</v>
          </cell>
        </row>
        <row r="326">
          <cell r="A326" t="str">
            <v>IS_alqt_plus</v>
          </cell>
          <cell r="K326" t="str">
            <v>PCOQ</v>
          </cell>
          <cell r="M326" t="str">
            <v>F</v>
          </cell>
          <cell r="AC326">
            <v>1</v>
          </cell>
        </row>
        <row r="327">
          <cell r="A327" t="str">
            <v>IS_alqt_plus</v>
          </cell>
          <cell r="K327" t="str">
            <v>PCOQ</v>
          </cell>
          <cell r="M327" t="str">
            <v>F</v>
          </cell>
          <cell r="AC327">
            <v>1.3</v>
          </cell>
        </row>
        <row r="328">
          <cell r="A328" t="str">
            <v>IS_alqt_plus</v>
          </cell>
          <cell r="K328" t="str">
            <v>VRUB</v>
          </cell>
          <cell r="M328" t="str">
            <v>M</v>
          </cell>
          <cell r="AC328">
            <v>1.5</v>
          </cell>
        </row>
        <row r="329">
          <cell r="A329" t="str">
            <v>IS_alqt_plus</v>
          </cell>
          <cell r="K329" t="str">
            <v>VRUB</v>
          </cell>
          <cell r="M329" t="str">
            <v>M</v>
          </cell>
          <cell r="AC329">
            <v>1.5</v>
          </cell>
        </row>
        <row r="330">
          <cell r="A330" t="str">
            <v>IS_alqt_plus</v>
          </cell>
          <cell r="K330" t="str">
            <v>VRUB</v>
          </cell>
          <cell r="M330" t="str">
            <v>M</v>
          </cell>
          <cell r="AC330">
            <v>1.3</v>
          </cell>
        </row>
        <row r="331">
          <cell r="A331" t="str">
            <v>IS_alqt_plus</v>
          </cell>
          <cell r="K331" t="str">
            <v>VRUB</v>
          </cell>
          <cell r="M331" t="str">
            <v>M</v>
          </cell>
          <cell r="AC331">
            <v>1.3</v>
          </cell>
        </row>
        <row r="332">
          <cell r="A332" t="str">
            <v>IS_alqt_plus</v>
          </cell>
          <cell r="K332" t="str">
            <v>LCAT</v>
          </cell>
          <cell r="M332" t="str">
            <v>M</v>
          </cell>
          <cell r="AC332">
            <v>1</v>
          </cell>
        </row>
        <row r="333">
          <cell r="A333" t="str">
            <v>IS_alqt_plus</v>
          </cell>
          <cell r="K333" t="str">
            <v>DMAD</v>
          </cell>
          <cell r="M333" t="str">
            <v>F</v>
          </cell>
          <cell r="AC333">
            <v>1</v>
          </cell>
        </row>
        <row r="334">
          <cell r="A334" t="str">
            <v>IS_alqt_plus</v>
          </cell>
          <cell r="K334" t="str">
            <v>DMAD</v>
          </cell>
          <cell r="M334" t="str">
            <v>F</v>
          </cell>
          <cell r="AC334">
            <v>1</v>
          </cell>
        </row>
        <row r="335">
          <cell r="A335" t="str">
            <v>IS_alqt_plus</v>
          </cell>
          <cell r="K335" t="str">
            <v>DMAD</v>
          </cell>
          <cell r="M335" t="str">
            <v>F</v>
          </cell>
          <cell r="AC335">
            <v>1</v>
          </cell>
        </row>
        <row r="336">
          <cell r="A336" t="str">
            <v>unk</v>
          </cell>
          <cell r="K336" t="str">
            <v>DMAD</v>
          </cell>
          <cell r="M336" t="str">
            <v>F</v>
          </cell>
          <cell r="AC336">
            <v>1</v>
          </cell>
        </row>
        <row r="337">
          <cell r="A337" t="str">
            <v>IS_alqt_plus</v>
          </cell>
          <cell r="K337" t="str">
            <v>PCOQ</v>
          </cell>
          <cell r="M337" t="str">
            <v>F</v>
          </cell>
          <cell r="AC337">
            <v>1.3</v>
          </cell>
        </row>
        <row r="338">
          <cell r="A338" t="str">
            <v>gone</v>
          </cell>
          <cell r="K338" t="str">
            <v>PCOQ</v>
          </cell>
          <cell r="M338" t="str">
            <v>F</v>
          </cell>
          <cell r="AC338">
            <v>0</v>
          </cell>
        </row>
        <row r="339">
          <cell r="A339" t="str">
            <v>IS_alqt_minus</v>
          </cell>
          <cell r="K339" t="str">
            <v>PCOQ</v>
          </cell>
          <cell r="M339" t="str">
            <v>F</v>
          </cell>
          <cell r="AC339">
            <v>0.2</v>
          </cell>
        </row>
        <row r="340">
          <cell r="A340" t="str">
            <v>gone</v>
          </cell>
          <cell r="K340" t="str">
            <v>PCOQ</v>
          </cell>
          <cell r="M340" t="str">
            <v>F</v>
          </cell>
          <cell r="AC340">
            <v>0</v>
          </cell>
        </row>
        <row r="341">
          <cell r="A341" t="str">
            <v>unk</v>
          </cell>
          <cell r="K341" t="str">
            <v>PCOQ</v>
          </cell>
          <cell r="M341" t="str">
            <v>F</v>
          </cell>
          <cell r="AC341">
            <v>0.6</v>
          </cell>
        </row>
        <row r="342">
          <cell r="A342" t="str">
            <v>unk</v>
          </cell>
          <cell r="K342" t="str">
            <v>PCOQ</v>
          </cell>
          <cell r="M342" t="str">
            <v>F</v>
          </cell>
          <cell r="AC342">
            <v>0.6</v>
          </cell>
        </row>
        <row r="343">
          <cell r="A343" t="str">
            <v>unk</v>
          </cell>
          <cell r="K343" t="str">
            <v>LCAT</v>
          </cell>
          <cell r="M343" t="str">
            <v>M</v>
          </cell>
          <cell r="AC343">
            <v>1</v>
          </cell>
        </row>
        <row r="344">
          <cell r="A344" t="str">
            <v>unk</v>
          </cell>
          <cell r="K344" t="str">
            <v>LCAT</v>
          </cell>
          <cell r="M344" t="str">
            <v>M</v>
          </cell>
          <cell r="AC344">
            <v>0.5</v>
          </cell>
        </row>
        <row r="345">
          <cell r="A345" t="str">
            <v>IS_alqt_plus</v>
          </cell>
          <cell r="K345" t="str">
            <v>LCAT</v>
          </cell>
          <cell r="M345" t="str">
            <v>M</v>
          </cell>
          <cell r="AC345">
            <v>1</v>
          </cell>
        </row>
        <row r="346">
          <cell r="A346" t="str">
            <v>IS_alqt_plus</v>
          </cell>
          <cell r="K346" t="str">
            <v>LCAT</v>
          </cell>
          <cell r="M346" t="str">
            <v>M</v>
          </cell>
          <cell r="AC346">
            <v>1</v>
          </cell>
        </row>
        <row r="347">
          <cell r="A347" t="str">
            <v>IS_alqt_plus</v>
          </cell>
          <cell r="K347" t="str">
            <v>DMAD</v>
          </cell>
          <cell r="M347" t="str">
            <v>F</v>
          </cell>
          <cell r="AC347">
            <v>1.5</v>
          </cell>
        </row>
        <row r="348">
          <cell r="A348" t="str">
            <v>IS_alqt_plus</v>
          </cell>
          <cell r="K348" t="str">
            <v>DMAD</v>
          </cell>
          <cell r="M348" t="str">
            <v>F</v>
          </cell>
          <cell r="AC348">
            <v>0.65</v>
          </cell>
        </row>
        <row r="349">
          <cell r="A349" t="str">
            <v>IS_alqt_plus</v>
          </cell>
          <cell r="K349" t="str">
            <v>DMAD</v>
          </cell>
          <cell r="M349" t="str">
            <v>F</v>
          </cell>
          <cell r="AC349">
            <v>1.5</v>
          </cell>
        </row>
        <row r="350">
          <cell r="A350" t="str">
            <v>IS_alqt_plus</v>
          </cell>
          <cell r="K350" t="str">
            <v>DMAD</v>
          </cell>
          <cell r="M350" t="str">
            <v>F</v>
          </cell>
          <cell r="AC350">
            <v>1.5</v>
          </cell>
        </row>
        <row r="351">
          <cell r="A351" t="str">
            <v>IS_alqt_plus</v>
          </cell>
          <cell r="K351" t="str">
            <v>ECOL</v>
          </cell>
          <cell r="M351" t="str">
            <v>M</v>
          </cell>
          <cell r="AC351">
            <v>1.5</v>
          </cell>
        </row>
        <row r="352">
          <cell r="A352" t="str">
            <v>IS_alqt_plus</v>
          </cell>
          <cell r="K352" t="str">
            <v>ECOL</v>
          </cell>
          <cell r="M352" t="str">
            <v>M</v>
          </cell>
          <cell r="AC352">
            <v>1.5</v>
          </cell>
        </row>
        <row r="353">
          <cell r="A353" t="str">
            <v>IS_alqt_plus</v>
          </cell>
          <cell r="K353" t="str">
            <v>ECOL</v>
          </cell>
          <cell r="M353" t="str">
            <v>M</v>
          </cell>
          <cell r="AC353">
            <v>1.5</v>
          </cell>
        </row>
        <row r="354">
          <cell r="A354" t="str">
            <v>IS_alqt_plus</v>
          </cell>
          <cell r="K354" t="str">
            <v>ECOL</v>
          </cell>
          <cell r="M354" t="str">
            <v>M</v>
          </cell>
          <cell r="AC354">
            <v>1.5</v>
          </cell>
        </row>
        <row r="355">
          <cell r="A355" t="str">
            <v>unk</v>
          </cell>
          <cell r="K355" t="str">
            <v>LCAT</v>
          </cell>
          <cell r="M355" t="str">
            <v>M</v>
          </cell>
          <cell r="AC355">
            <v>1</v>
          </cell>
        </row>
        <row r="356">
          <cell r="A356" t="str">
            <v>unk</v>
          </cell>
          <cell r="K356" t="str">
            <v>LCAT</v>
          </cell>
          <cell r="M356" t="str">
            <v>M</v>
          </cell>
          <cell r="AC356">
            <v>1</v>
          </cell>
        </row>
        <row r="357">
          <cell r="A357" t="str">
            <v>IS_alqt_plus</v>
          </cell>
          <cell r="K357" t="str">
            <v>ECOR</v>
          </cell>
          <cell r="M357" t="str">
            <v>F</v>
          </cell>
          <cell r="AC357">
            <v>1</v>
          </cell>
        </row>
        <row r="358">
          <cell r="A358" t="str">
            <v>IS_alqt_plus</v>
          </cell>
          <cell r="K358" t="str">
            <v>ECOR</v>
          </cell>
          <cell r="M358" t="str">
            <v>F</v>
          </cell>
          <cell r="AC358">
            <v>1</v>
          </cell>
        </row>
        <row r="359">
          <cell r="A359" t="str">
            <v>IS_alqt_plus</v>
          </cell>
          <cell r="K359" t="str">
            <v>ECOR</v>
          </cell>
          <cell r="M359" t="str">
            <v>F</v>
          </cell>
          <cell r="AC359">
            <v>1</v>
          </cell>
        </row>
        <row r="360">
          <cell r="A360" t="str">
            <v>IS_alqt_plus</v>
          </cell>
          <cell r="K360" t="str">
            <v>ECOR</v>
          </cell>
          <cell r="M360" t="str">
            <v>F</v>
          </cell>
          <cell r="AC360">
            <v>1</v>
          </cell>
        </row>
        <row r="361">
          <cell r="A361" t="str">
            <v>IS_alqt_plus</v>
          </cell>
          <cell r="K361" t="str">
            <v>ECOR</v>
          </cell>
          <cell r="M361" t="str">
            <v>F</v>
          </cell>
          <cell r="AC361">
            <v>1</v>
          </cell>
        </row>
        <row r="362">
          <cell r="A362" t="str">
            <v>unk</v>
          </cell>
          <cell r="K362" t="str">
            <v>ECOR</v>
          </cell>
          <cell r="M362" t="str">
            <v>F</v>
          </cell>
          <cell r="AC362">
            <v>1</v>
          </cell>
        </row>
        <row r="363">
          <cell r="A363" t="str">
            <v>gone</v>
          </cell>
          <cell r="K363" t="str">
            <v>LTAR</v>
          </cell>
          <cell r="M363" t="str">
            <v>M</v>
          </cell>
          <cell r="AC363">
            <v>0</v>
          </cell>
        </row>
        <row r="364">
          <cell r="A364" t="str">
            <v>gone</v>
          </cell>
          <cell r="K364" t="str">
            <v>LTAR</v>
          </cell>
          <cell r="M364" t="str">
            <v>M</v>
          </cell>
          <cell r="AC364">
            <v>0</v>
          </cell>
        </row>
        <row r="365">
          <cell r="A365" t="str">
            <v>IS_alqt_plus</v>
          </cell>
          <cell r="K365" t="str">
            <v>CMED</v>
          </cell>
          <cell r="M365" t="str">
            <v>M</v>
          </cell>
          <cell r="AC365">
            <v>1</v>
          </cell>
        </row>
        <row r="366">
          <cell r="A366" t="str">
            <v>IS_alqt_plus</v>
          </cell>
          <cell r="K366" t="str">
            <v>PCOQ</v>
          </cell>
          <cell r="M366" t="str">
            <v>M</v>
          </cell>
          <cell r="AC366">
            <v>1.5</v>
          </cell>
        </row>
        <row r="367">
          <cell r="A367" t="str">
            <v>IS_alqt_plus</v>
          </cell>
          <cell r="K367" t="str">
            <v>PCOQ</v>
          </cell>
          <cell r="M367" t="str">
            <v>M</v>
          </cell>
          <cell r="AC367">
            <v>1.5</v>
          </cell>
        </row>
        <row r="368">
          <cell r="A368" t="str">
            <v>IS_alqt_plus</v>
          </cell>
          <cell r="K368" t="str">
            <v>PCOQ</v>
          </cell>
          <cell r="M368" t="str">
            <v>M</v>
          </cell>
          <cell r="AC368">
            <v>1.5</v>
          </cell>
        </row>
        <row r="369">
          <cell r="A369" t="str">
            <v>IS_alqt_plus</v>
          </cell>
          <cell r="K369" t="str">
            <v>PCOQ</v>
          </cell>
          <cell r="M369" t="str">
            <v>M</v>
          </cell>
          <cell r="AC369">
            <v>0.5</v>
          </cell>
        </row>
        <row r="370">
          <cell r="A370" t="str">
            <v>IS_alqt_plus</v>
          </cell>
          <cell r="K370" t="str">
            <v>CMED</v>
          </cell>
          <cell r="M370" t="str">
            <v>M</v>
          </cell>
          <cell r="AC370">
            <v>1.4</v>
          </cell>
        </row>
        <row r="371">
          <cell r="A371" t="str">
            <v>unk</v>
          </cell>
          <cell r="K371" t="str">
            <v>CMED</v>
          </cell>
          <cell r="M371" t="str">
            <v>M</v>
          </cell>
          <cell r="AC371">
            <v>1.25</v>
          </cell>
        </row>
        <row r="372">
          <cell r="A372" t="str">
            <v>IS_alqt_plus</v>
          </cell>
          <cell r="K372" t="str">
            <v>HGG</v>
          </cell>
          <cell r="M372" t="str">
            <v>M</v>
          </cell>
          <cell r="AC372">
            <v>0.75</v>
          </cell>
        </row>
        <row r="373">
          <cell r="A373" t="str">
            <v>IS_alqt_plus</v>
          </cell>
          <cell r="K373" t="str">
            <v>CMED</v>
          </cell>
          <cell r="M373" t="str">
            <v>M</v>
          </cell>
          <cell r="AC373">
            <v>1.4</v>
          </cell>
        </row>
        <row r="374">
          <cell r="A374" t="str">
            <v>IS_alqt_plus</v>
          </cell>
          <cell r="K374" t="str">
            <v>CMED</v>
          </cell>
          <cell r="M374" t="str">
            <v>M</v>
          </cell>
          <cell r="AC374">
            <v>1.5</v>
          </cell>
        </row>
        <row r="375">
          <cell r="A375" t="str">
            <v>IS_alqt_plus</v>
          </cell>
          <cell r="K375" t="str">
            <v>EFLA</v>
          </cell>
          <cell r="M375" t="str">
            <v>M</v>
          </cell>
          <cell r="AC375">
            <v>1</v>
          </cell>
        </row>
        <row r="376">
          <cell r="A376" t="str">
            <v>unk</v>
          </cell>
          <cell r="K376" t="str">
            <v>LCAT</v>
          </cell>
          <cell r="M376" t="str">
            <v>M</v>
          </cell>
          <cell r="AC376">
            <v>1</v>
          </cell>
        </row>
        <row r="377">
          <cell r="A377" t="str">
            <v>IS_alqt_plus</v>
          </cell>
          <cell r="K377" t="str">
            <v>VVV</v>
          </cell>
          <cell r="M377" t="str">
            <v>M</v>
          </cell>
          <cell r="AC377">
            <v>1.5</v>
          </cell>
        </row>
        <row r="378">
          <cell r="A378" t="str">
            <v>IS_alqt_plus</v>
          </cell>
          <cell r="K378" t="str">
            <v>VVV</v>
          </cell>
          <cell r="M378" t="str">
            <v>M</v>
          </cell>
          <cell r="AC378">
            <v>1.5</v>
          </cell>
        </row>
        <row r="379">
          <cell r="A379" t="str">
            <v>IS_alqt_plus</v>
          </cell>
          <cell r="K379" t="str">
            <v>VVV</v>
          </cell>
          <cell r="M379" t="str">
            <v>M</v>
          </cell>
          <cell r="AC379">
            <v>1.5</v>
          </cell>
        </row>
        <row r="380">
          <cell r="A380" t="str">
            <v>IS_alqt_plus</v>
          </cell>
          <cell r="K380" t="str">
            <v>ECOR</v>
          </cell>
          <cell r="M380" t="str">
            <v>F</v>
          </cell>
          <cell r="AC380">
            <v>0.75</v>
          </cell>
        </row>
        <row r="381">
          <cell r="A381" t="str">
            <v>IS_alqt_plus</v>
          </cell>
          <cell r="K381" t="str">
            <v>ECOR</v>
          </cell>
          <cell r="M381" t="str">
            <v>F</v>
          </cell>
          <cell r="AC381">
            <v>1</v>
          </cell>
        </row>
        <row r="382">
          <cell r="A382" t="str">
            <v>IS_alqt_plus</v>
          </cell>
          <cell r="K382" t="str">
            <v>ECOL</v>
          </cell>
          <cell r="M382" t="str">
            <v>M</v>
          </cell>
          <cell r="AC382">
            <v>1</v>
          </cell>
        </row>
        <row r="383">
          <cell r="A383" t="str">
            <v>IS_alqt_plus</v>
          </cell>
          <cell r="K383" t="str">
            <v>ECOL</v>
          </cell>
          <cell r="M383" t="str">
            <v>M</v>
          </cell>
          <cell r="AC383">
            <v>1</v>
          </cell>
        </row>
        <row r="384">
          <cell r="A384" t="str">
            <v>IS_alqt_plus</v>
          </cell>
          <cell r="K384" t="str">
            <v>EFLA</v>
          </cell>
          <cell r="M384" t="str">
            <v>F</v>
          </cell>
          <cell r="AC384">
            <v>1.5</v>
          </cell>
        </row>
        <row r="385">
          <cell r="A385" t="str">
            <v>IS_alqt_plus</v>
          </cell>
          <cell r="K385" t="str">
            <v>EFLA</v>
          </cell>
          <cell r="M385" t="str">
            <v>F</v>
          </cell>
          <cell r="AC385">
            <v>0.5</v>
          </cell>
        </row>
        <row r="386">
          <cell r="A386" t="str">
            <v>IS_alqt_plus</v>
          </cell>
          <cell r="K386" t="str">
            <v>CMED</v>
          </cell>
          <cell r="M386" t="str">
            <v>M</v>
          </cell>
          <cell r="AC386">
            <v>0.5</v>
          </cell>
        </row>
        <row r="387">
          <cell r="A387" t="str">
            <v>IS_alqt_plus</v>
          </cell>
          <cell r="K387" t="str">
            <v>EMON</v>
          </cell>
          <cell r="M387" t="str">
            <v>F</v>
          </cell>
          <cell r="AC387">
            <v>1.3</v>
          </cell>
        </row>
        <row r="388">
          <cell r="A388" t="str">
            <v>IS_alqt_plus</v>
          </cell>
          <cell r="K388" t="str">
            <v>EMON</v>
          </cell>
          <cell r="M388" t="str">
            <v>F</v>
          </cell>
          <cell r="AC388">
            <v>1.5</v>
          </cell>
        </row>
        <row r="389">
          <cell r="A389" t="str">
            <v>IS_alqt_plus</v>
          </cell>
          <cell r="K389" t="str">
            <v>EMON</v>
          </cell>
          <cell r="M389" t="str">
            <v>F</v>
          </cell>
          <cell r="AC389">
            <v>1.3</v>
          </cell>
        </row>
        <row r="390">
          <cell r="A390" t="str">
            <v>IS_alqt_plus</v>
          </cell>
          <cell r="K390" t="str">
            <v>EMON</v>
          </cell>
          <cell r="M390" t="str">
            <v>M</v>
          </cell>
          <cell r="AC390">
            <v>1.5</v>
          </cell>
        </row>
        <row r="391">
          <cell r="A391" t="str">
            <v>IS_alqt_plus</v>
          </cell>
          <cell r="K391" t="str">
            <v>EFLA</v>
          </cell>
          <cell r="M391" t="str">
            <v>F</v>
          </cell>
          <cell r="AC391">
            <v>0.7</v>
          </cell>
        </row>
        <row r="392">
          <cell r="A392" t="str">
            <v>IS_alqt_plus</v>
          </cell>
          <cell r="K392" t="str">
            <v>DMAD</v>
          </cell>
          <cell r="M392" t="str">
            <v>F</v>
          </cell>
          <cell r="AC392">
            <v>1.2</v>
          </cell>
        </row>
        <row r="393">
          <cell r="A393" t="str">
            <v>IS_alqt_plus</v>
          </cell>
          <cell r="K393" t="str">
            <v>DMAD</v>
          </cell>
          <cell r="M393" t="str">
            <v>F</v>
          </cell>
          <cell r="AC393">
            <v>1</v>
          </cell>
        </row>
        <row r="394">
          <cell r="A394" t="str">
            <v>IS_alqt_plus</v>
          </cell>
          <cell r="K394" t="str">
            <v>DMAD</v>
          </cell>
          <cell r="M394" t="str">
            <v>F</v>
          </cell>
          <cell r="AC394">
            <v>1.5</v>
          </cell>
        </row>
        <row r="395">
          <cell r="A395" t="str">
            <v>IS_alqt_plus</v>
          </cell>
          <cell r="K395" t="str">
            <v>DMAD</v>
          </cell>
          <cell r="M395" t="str">
            <v>F</v>
          </cell>
          <cell r="AC395">
            <v>1.5</v>
          </cell>
        </row>
        <row r="396">
          <cell r="A396" t="str">
            <v>IS_alqt_plus</v>
          </cell>
          <cell r="K396" t="str">
            <v>DMAD</v>
          </cell>
          <cell r="M396" t="str">
            <v>F</v>
          </cell>
          <cell r="AC396">
            <v>1.5</v>
          </cell>
        </row>
        <row r="397">
          <cell r="A397" t="str">
            <v>IS_alqt_plus</v>
          </cell>
          <cell r="K397" t="str">
            <v>DMAD</v>
          </cell>
          <cell r="M397" t="str">
            <v>F</v>
          </cell>
          <cell r="AC397">
            <v>1.5</v>
          </cell>
        </row>
        <row r="398">
          <cell r="A398" t="str">
            <v>IS_alqt_plus</v>
          </cell>
          <cell r="K398" t="str">
            <v>DMAD</v>
          </cell>
          <cell r="M398" t="str">
            <v>F</v>
          </cell>
          <cell r="AC398">
            <v>1.2</v>
          </cell>
        </row>
        <row r="399">
          <cell r="A399" t="str">
            <v>IS_alqt_plus</v>
          </cell>
          <cell r="K399" t="str">
            <v>PCOQ</v>
          </cell>
          <cell r="M399" t="str">
            <v>M</v>
          </cell>
          <cell r="AC399">
            <v>1.1000000000000001</v>
          </cell>
        </row>
        <row r="400">
          <cell r="A400" t="str">
            <v>gone</v>
          </cell>
          <cell r="K400" t="str">
            <v>PCOQ</v>
          </cell>
          <cell r="M400" t="str">
            <v>M</v>
          </cell>
          <cell r="AC400">
            <v>0</v>
          </cell>
        </row>
        <row r="401">
          <cell r="A401" t="str">
            <v>IS_alqt_plus</v>
          </cell>
          <cell r="K401" t="str">
            <v>CMED</v>
          </cell>
          <cell r="M401" t="str">
            <v>M</v>
          </cell>
          <cell r="AC401">
            <v>1.25</v>
          </cell>
        </row>
        <row r="402">
          <cell r="A402" t="str">
            <v>IS_alqt_plus</v>
          </cell>
          <cell r="K402" t="str">
            <v>DMAD</v>
          </cell>
          <cell r="M402" t="str">
            <v>F</v>
          </cell>
          <cell r="AC402">
            <v>1</v>
          </cell>
        </row>
        <row r="403">
          <cell r="A403" t="str">
            <v>IS_alqt_plus</v>
          </cell>
          <cell r="K403" t="str">
            <v>DMAD</v>
          </cell>
          <cell r="M403" t="str">
            <v>F</v>
          </cell>
          <cell r="AC403">
            <v>1</v>
          </cell>
        </row>
        <row r="404">
          <cell r="A404" t="str">
            <v>IS_alqt_plus</v>
          </cell>
          <cell r="K404" t="str">
            <v>DMAD</v>
          </cell>
          <cell r="M404" t="str">
            <v>F</v>
          </cell>
          <cell r="AC404">
            <v>1.2</v>
          </cell>
        </row>
        <row r="405">
          <cell r="A405" t="str">
            <v>IS_alqt_plus</v>
          </cell>
          <cell r="K405" t="str">
            <v>DMAD</v>
          </cell>
          <cell r="M405" t="str">
            <v>F</v>
          </cell>
          <cell r="AC405">
            <v>1.5</v>
          </cell>
        </row>
        <row r="406">
          <cell r="A406" t="str">
            <v>IS_alqt_minus</v>
          </cell>
          <cell r="K406" t="str">
            <v>CMED</v>
          </cell>
          <cell r="M406" t="str">
            <v>F</v>
          </cell>
          <cell r="AC406">
            <v>0.1</v>
          </cell>
        </row>
        <row r="407">
          <cell r="A407" t="str">
            <v>IS_alqt_minus</v>
          </cell>
          <cell r="K407" t="str">
            <v>CMED</v>
          </cell>
          <cell r="M407" t="str">
            <v>F</v>
          </cell>
          <cell r="AC407">
            <v>0.25</v>
          </cell>
        </row>
        <row r="408">
          <cell r="A408" t="str">
            <v>IS_alqt_minus</v>
          </cell>
          <cell r="K408" t="str">
            <v>CMED</v>
          </cell>
          <cell r="M408" t="str">
            <v>F</v>
          </cell>
          <cell r="AC408">
            <v>0.2</v>
          </cell>
        </row>
        <row r="409">
          <cell r="A409" t="str">
            <v>IS_alqt_plus</v>
          </cell>
          <cell r="K409" t="str">
            <v>EMON</v>
          </cell>
          <cell r="M409" t="str">
            <v>M</v>
          </cell>
          <cell r="AC409">
            <v>0.5</v>
          </cell>
        </row>
        <row r="410">
          <cell r="A410" t="str">
            <v>IS_alqt_plus</v>
          </cell>
          <cell r="K410" t="str">
            <v>EMON</v>
          </cell>
          <cell r="M410" t="str">
            <v>M</v>
          </cell>
          <cell r="AC410">
            <v>1.5</v>
          </cell>
        </row>
        <row r="411">
          <cell r="A411" t="str">
            <v>unk</v>
          </cell>
          <cell r="K411" t="str">
            <v>VVV</v>
          </cell>
          <cell r="M411" t="str">
            <v>F</v>
          </cell>
          <cell r="AC411">
            <v>1</v>
          </cell>
        </row>
        <row r="412">
          <cell r="A412" t="str">
            <v>gone</v>
          </cell>
          <cell r="K412" t="str">
            <v>VVV</v>
          </cell>
          <cell r="M412" t="str">
            <v>F</v>
          </cell>
          <cell r="AC412">
            <v>0</v>
          </cell>
        </row>
        <row r="413">
          <cell r="A413" t="str">
            <v>IS_alqt_plus</v>
          </cell>
          <cell r="K413" t="str">
            <v>VVV</v>
          </cell>
          <cell r="M413" t="str">
            <v>F</v>
          </cell>
          <cell r="AC413">
            <v>1.5</v>
          </cell>
        </row>
        <row r="414">
          <cell r="A414" t="str">
            <v>IS_alqt_plus</v>
          </cell>
          <cell r="K414" t="str">
            <v>EFLA</v>
          </cell>
          <cell r="M414" t="str">
            <v>M</v>
          </cell>
          <cell r="AC414">
            <v>1.5</v>
          </cell>
        </row>
        <row r="415">
          <cell r="A415" t="str">
            <v>IS_alqt_plus</v>
          </cell>
          <cell r="K415" t="str">
            <v>EFLA</v>
          </cell>
          <cell r="M415" t="str">
            <v>M</v>
          </cell>
          <cell r="AC415">
            <v>1.5</v>
          </cell>
        </row>
        <row r="416">
          <cell r="A416" t="str">
            <v>IS_alqt_plus</v>
          </cell>
          <cell r="K416" t="str">
            <v>EFLA</v>
          </cell>
          <cell r="M416" t="str">
            <v>M</v>
          </cell>
          <cell r="AC416">
            <v>0.7</v>
          </cell>
        </row>
        <row r="417">
          <cell r="A417" t="str">
            <v>IS_alqt_minus</v>
          </cell>
          <cell r="K417" t="str">
            <v>EFLA</v>
          </cell>
          <cell r="M417" t="str">
            <v>M</v>
          </cell>
          <cell r="AC417">
            <v>0.3</v>
          </cell>
        </row>
        <row r="418">
          <cell r="A418" t="str">
            <v>IS_alqt_plus</v>
          </cell>
          <cell r="K418" t="str">
            <v>EFLA</v>
          </cell>
          <cell r="M418" t="str">
            <v>M</v>
          </cell>
          <cell r="AC418">
            <v>0.5</v>
          </cell>
        </row>
        <row r="419">
          <cell r="A419" t="str">
            <v>IS_alqt_plus</v>
          </cell>
          <cell r="K419" t="str">
            <v>EMON</v>
          </cell>
          <cell r="M419" t="str">
            <v>F</v>
          </cell>
          <cell r="AC419">
            <v>0.5</v>
          </cell>
        </row>
        <row r="420">
          <cell r="A420" t="str">
            <v>IS_alqt_plus</v>
          </cell>
          <cell r="K420" t="str">
            <v>VVV</v>
          </cell>
          <cell r="M420" t="str">
            <v>F</v>
          </cell>
          <cell r="AC420">
            <v>1.5</v>
          </cell>
        </row>
        <row r="421">
          <cell r="A421" t="str">
            <v>IS_alqt_plus</v>
          </cell>
          <cell r="K421" t="str">
            <v>VVV</v>
          </cell>
          <cell r="M421" t="str">
            <v>F</v>
          </cell>
          <cell r="AC421">
            <v>1.5</v>
          </cell>
        </row>
        <row r="422">
          <cell r="A422" t="str">
            <v>IS_alqt_plus</v>
          </cell>
          <cell r="K422" t="str">
            <v>VVV</v>
          </cell>
          <cell r="M422" t="str">
            <v>F</v>
          </cell>
          <cell r="AC422">
            <v>1.5</v>
          </cell>
        </row>
        <row r="423">
          <cell r="A423" t="str">
            <v>IS_alqt_plus</v>
          </cell>
          <cell r="K423" t="str">
            <v>VVV</v>
          </cell>
          <cell r="M423" t="str">
            <v>F</v>
          </cell>
          <cell r="AC423">
            <v>1.5</v>
          </cell>
        </row>
        <row r="424">
          <cell r="A424" t="str">
            <v>IS_alqt_plus</v>
          </cell>
          <cell r="K424" t="str">
            <v>VVV</v>
          </cell>
          <cell r="M424" t="str">
            <v>F</v>
          </cell>
          <cell r="AC424">
            <v>1.5</v>
          </cell>
        </row>
        <row r="425">
          <cell r="A425" t="str">
            <v>IS_alqt_plus</v>
          </cell>
          <cell r="K425" t="str">
            <v>VVV</v>
          </cell>
          <cell r="M425" t="str">
            <v>F</v>
          </cell>
          <cell r="AC425">
            <v>1.5</v>
          </cell>
        </row>
        <row r="426">
          <cell r="A426" t="str">
            <v>IS_alqt_plus</v>
          </cell>
          <cell r="K426" t="str">
            <v>DMAD</v>
          </cell>
          <cell r="M426" t="str">
            <v>M</v>
          </cell>
          <cell r="AC426">
            <v>1.5</v>
          </cell>
        </row>
        <row r="427">
          <cell r="A427" t="str">
            <v>IS_alqt_plus</v>
          </cell>
          <cell r="K427" t="str">
            <v>DMAD</v>
          </cell>
          <cell r="M427" t="str">
            <v>M</v>
          </cell>
          <cell r="AC427">
            <v>1.5</v>
          </cell>
        </row>
        <row r="428">
          <cell r="A428" t="str">
            <v>IS_alqt_plus</v>
          </cell>
          <cell r="K428" t="str">
            <v>PCOQ</v>
          </cell>
          <cell r="M428" t="str">
            <v>M</v>
          </cell>
          <cell r="AC428">
            <v>1.5</v>
          </cell>
        </row>
        <row r="429">
          <cell r="A429" t="str">
            <v>IS_alqt_plus</v>
          </cell>
          <cell r="K429" t="str">
            <v>PCOQ</v>
          </cell>
          <cell r="M429" t="str">
            <v>M</v>
          </cell>
          <cell r="AC429">
            <v>1.5</v>
          </cell>
        </row>
        <row r="430">
          <cell r="A430" t="str">
            <v>IS_alqt_plus</v>
          </cell>
          <cell r="K430" t="str">
            <v>PCOQ</v>
          </cell>
          <cell r="M430" t="str">
            <v>M</v>
          </cell>
          <cell r="AC430">
            <v>1.5</v>
          </cell>
        </row>
        <row r="431">
          <cell r="A431" t="str">
            <v>IS_alqt_plus</v>
          </cell>
          <cell r="K431" t="str">
            <v>PCOQ</v>
          </cell>
          <cell r="M431" t="str">
            <v>M</v>
          </cell>
          <cell r="AC431">
            <v>1.5</v>
          </cell>
        </row>
        <row r="432">
          <cell r="A432" t="str">
            <v>IS_alqt_plus</v>
          </cell>
          <cell r="K432" t="str">
            <v>PCOQ</v>
          </cell>
          <cell r="M432" t="str">
            <v>M</v>
          </cell>
          <cell r="AC432">
            <v>1.5</v>
          </cell>
        </row>
        <row r="433">
          <cell r="A433" t="str">
            <v>IS_alqt_plus</v>
          </cell>
          <cell r="K433" t="str">
            <v>PCOQ</v>
          </cell>
          <cell r="M433" t="str">
            <v>M</v>
          </cell>
          <cell r="AC433">
            <v>0.5</v>
          </cell>
        </row>
        <row r="434">
          <cell r="A434" t="str">
            <v>IS_alqt_plus</v>
          </cell>
          <cell r="K434" t="str">
            <v>PCOQ</v>
          </cell>
          <cell r="M434" t="str">
            <v>M</v>
          </cell>
          <cell r="AC434">
            <v>1.5</v>
          </cell>
        </row>
        <row r="435">
          <cell r="A435" t="str">
            <v>IS_alqt_plus</v>
          </cell>
          <cell r="K435" t="str">
            <v>PCOQ</v>
          </cell>
          <cell r="M435" t="str">
            <v>M</v>
          </cell>
          <cell r="AC435">
            <v>0.5</v>
          </cell>
        </row>
        <row r="436">
          <cell r="A436" t="str">
            <v>IS_alqt_plus</v>
          </cell>
          <cell r="K436" t="str">
            <v>NPYG</v>
          </cell>
          <cell r="M436" t="str">
            <v>M</v>
          </cell>
          <cell r="AC436">
            <v>0.5</v>
          </cell>
        </row>
        <row r="437">
          <cell r="A437" t="str">
            <v>IS_alqt_plus</v>
          </cell>
          <cell r="K437" t="str">
            <v>EFUL</v>
          </cell>
          <cell r="M437" t="str">
            <v>F</v>
          </cell>
          <cell r="AC437">
            <v>0.6</v>
          </cell>
        </row>
        <row r="438">
          <cell r="A438" t="str">
            <v>IS_alqt_plus</v>
          </cell>
          <cell r="K438" t="str">
            <v>EFUL</v>
          </cell>
          <cell r="M438" t="str">
            <v>F</v>
          </cell>
          <cell r="AC438">
            <v>0.6</v>
          </cell>
        </row>
        <row r="439">
          <cell r="A439" t="str">
            <v>IS_alqt_plus</v>
          </cell>
          <cell r="K439" t="str">
            <v>EFUL</v>
          </cell>
          <cell r="M439" t="str">
            <v>F</v>
          </cell>
          <cell r="AC439">
            <v>0.9</v>
          </cell>
        </row>
        <row r="440">
          <cell r="A440" t="str">
            <v>IS_alqt_plus</v>
          </cell>
          <cell r="K440" t="str">
            <v>EFUL</v>
          </cell>
          <cell r="M440" t="str">
            <v>F</v>
          </cell>
          <cell r="AC440">
            <v>0.9</v>
          </cell>
        </row>
        <row r="441">
          <cell r="A441" t="str">
            <v>unk</v>
          </cell>
          <cell r="K441" t="str">
            <v>EFUL</v>
          </cell>
          <cell r="M441" t="str">
            <v>F</v>
          </cell>
          <cell r="AC441">
            <v>1</v>
          </cell>
        </row>
        <row r="442">
          <cell r="A442" t="str">
            <v>unk</v>
          </cell>
          <cell r="K442" t="str">
            <v>EFUL</v>
          </cell>
          <cell r="M442" t="str">
            <v>F</v>
          </cell>
          <cell r="AC442">
            <v>1</v>
          </cell>
        </row>
        <row r="443">
          <cell r="A443" t="str">
            <v>unk</v>
          </cell>
          <cell r="K443" t="str">
            <v>EFUL</v>
          </cell>
          <cell r="M443" t="str">
            <v>F</v>
          </cell>
          <cell r="AC443">
            <v>1</v>
          </cell>
        </row>
        <row r="444">
          <cell r="A444" t="str">
            <v>unk</v>
          </cell>
          <cell r="K444" t="str">
            <v>EFUL</v>
          </cell>
          <cell r="M444" t="str">
            <v>F</v>
          </cell>
          <cell r="AC444">
            <v>2</v>
          </cell>
        </row>
        <row r="445">
          <cell r="A445" t="str">
            <v>IS_alqt_plus</v>
          </cell>
          <cell r="K445" t="str">
            <v>ERUB</v>
          </cell>
          <cell r="M445" t="str">
            <v>F</v>
          </cell>
          <cell r="AC445">
            <v>1.5</v>
          </cell>
        </row>
        <row r="446">
          <cell r="A446" t="str">
            <v>gone</v>
          </cell>
          <cell r="K446" t="str">
            <v>ERUB</v>
          </cell>
          <cell r="M446" t="str">
            <v>F</v>
          </cell>
          <cell r="AC446">
            <v>0</v>
          </cell>
        </row>
        <row r="447">
          <cell r="A447" t="str">
            <v>gone</v>
          </cell>
          <cell r="K447" t="str">
            <v>ERUB</v>
          </cell>
          <cell r="M447" t="str">
            <v>F</v>
          </cell>
          <cell r="AC447">
            <v>0</v>
          </cell>
        </row>
        <row r="448">
          <cell r="A448" t="str">
            <v>IS_alqt_plus</v>
          </cell>
          <cell r="K448" t="str">
            <v>ERUB</v>
          </cell>
          <cell r="M448" t="str">
            <v>F</v>
          </cell>
          <cell r="AC448">
            <v>1.8</v>
          </cell>
        </row>
        <row r="449">
          <cell r="A449" t="str">
            <v>IS_alqt_plus</v>
          </cell>
          <cell r="K449" t="str">
            <v>ERUB</v>
          </cell>
          <cell r="M449" t="str">
            <v>F</v>
          </cell>
          <cell r="AC449">
            <v>1</v>
          </cell>
        </row>
        <row r="450">
          <cell r="A450" t="str">
            <v>IS_alqt_plus</v>
          </cell>
          <cell r="K450" t="str">
            <v>ERUB</v>
          </cell>
          <cell r="M450" t="str">
            <v>M</v>
          </cell>
          <cell r="AC450">
            <v>1</v>
          </cell>
        </row>
        <row r="451">
          <cell r="A451" t="str">
            <v>gone</v>
          </cell>
          <cell r="K451" t="str">
            <v>ERUB</v>
          </cell>
          <cell r="M451" t="str">
            <v>M</v>
          </cell>
          <cell r="AC451">
            <v>0</v>
          </cell>
        </row>
        <row r="452">
          <cell r="A452" t="str">
            <v>IS_alqt_plus</v>
          </cell>
          <cell r="K452" t="str">
            <v>CMED</v>
          </cell>
          <cell r="M452" t="str">
            <v>F</v>
          </cell>
          <cell r="AC452">
            <v>1</v>
          </cell>
        </row>
        <row r="453">
          <cell r="A453" t="str">
            <v>gone</v>
          </cell>
          <cell r="K453" t="str">
            <v>CMED</v>
          </cell>
          <cell r="M453" t="str">
            <v>F</v>
          </cell>
          <cell r="AC453">
            <v>0</v>
          </cell>
        </row>
        <row r="454">
          <cell r="A454" t="str">
            <v>IS_alqt_plus</v>
          </cell>
          <cell r="K454" t="str">
            <v>CMED</v>
          </cell>
          <cell r="M454" t="str">
            <v>F</v>
          </cell>
          <cell r="AC454">
            <v>1.1499999999999999</v>
          </cell>
        </row>
        <row r="455">
          <cell r="A455" t="str">
            <v>IS_alqt_plus</v>
          </cell>
          <cell r="K455" t="str">
            <v>CMED</v>
          </cell>
          <cell r="M455" t="str">
            <v>F</v>
          </cell>
          <cell r="AC455">
            <v>1.2</v>
          </cell>
        </row>
        <row r="456">
          <cell r="A456" t="str">
            <v>IS_alqt_plus</v>
          </cell>
          <cell r="K456" t="str">
            <v>VVV</v>
          </cell>
          <cell r="M456" t="str">
            <v>F</v>
          </cell>
          <cell r="AC456">
            <v>1.5</v>
          </cell>
        </row>
        <row r="457">
          <cell r="A457" t="str">
            <v>IS_alqt_plus</v>
          </cell>
          <cell r="K457" t="str">
            <v>VVV</v>
          </cell>
          <cell r="M457" t="str">
            <v>F</v>
          </cell>
          <cell r="AC457">
            <v>1.5</v>
          </cell>
        </row>
        <row r="458">
          <cell r="A458" t="str">
            <v>IS_alqt_plus</v>
          </cell>
          <cell r="K458" t="str">
            <v>VVV</v>
          </cell>
          <cell r="M458" t="str">
            <v>F</v>
          </cell>
          <cell r="AC458">
            <v>1.5</v>
          </cell>
        </row>
        <row r="459">
          <cell r="A459" t="str">
            <v>IS_alqt_plus</v>
          </cell>
          <cell r="K459" t="str">
            <v>VVV</v>
          </cell>
          <cell r="M459" t="str">
            <v>F</v>
          </cell>
          <cell r="AC459">
            <v>1.5</v>
          </cell>
        </row>
        <row r="460">
          <cell r="A460" t="str">
            <v>IS_alqt_plus</v>
          </cell>
          <cell r="K460" t="str">
            <v>VVV</v>
          </cell>
          <cell r="M460" t="str">
            <v>F</v>
          </cell>
          <cell r="AC460">
            <v>1.5</v>
          </cell>
        </row>
        <row r="461">
          <cell r="A461" t="str">
            <v>IS_alqt_plus</v>
          </cell>
          <cell r="K461" t="str">
            <v>CMED</v>
          </cell>
          <cell r="M461" t="str">
            <v>M</v>
          </cell>
          <cell r="AC461">
            <v>1.5</v>
          </cell>
        </row>
        <row r="462">
          <cell r="A462" t="str">
            <v>IS_alqt_plus</v>
          </cell>
          <cell r="K462" t="str">
            <v>CMED</v>
          </cell>
          <cell r="M462" t="str">
            <v>M</v>
          </cell>
          <cell r="AC462">
            <v>1.2</v>
          </cell>
        </row>
        <row r="463">
          <cell r="A463" t="str">
            <v>IS_alqt_plus</v>
          </cell>
          <cell r="K463" t="str">
            <v>MMUR</v>
          </cell>
          <cell r="M463" t="str">
            <v>M</v>
          </cell>
          <cell r="AC463">
            <v>0.5</v>
          </cell>
        </row>
        <row r="464">
          <cell r="A464" t="str">
            <v>IS_alqt_plus</v>
          </cell>
          <cell r="K464" t="str">
            <v>PCOQ</v>
          </cell>
          <cell r="M464" t="str">
            <v>M</v>
          </cell>
          <cell r="AC464">
            <v>1.7</v>
          </cell>
        </row>
        <row r="465">
          <cell r="A465" t="str">
            <v>IS_alqt_plus</v>
          </cell>
          <cell r="K465" t="str">
            <v>PCOQ</v>
          </cell>
          <cell r="M465" t="str">
            <v>M</v>
          </cell>
          <cell r="AC465">
            <v>1.5</v>
          </cell>
        </row>
        <row r="466">
          <cell r="A466" t="str">
            <v>IS_alqt_plus</v>
          </cell>
          <cell r="K466" t="str">
            <v>PCOQ</v>
          </cell>
          <cell r="M466" t="str">
            <v>M</v>
          </cell>
          <cell r="AC466">
            <v>0.5</v>
          </cell>
        </row>
        <row r="467">
          <cell r="A467" t="str">
            <v>IS_alqt_plus</v>
          </cell>
          <cell r="K467" t="str">
            <v>HGG</v>
          </cell>
          <cell r="M467" t="str">
            <v>F</v>
          </cell>
          <cell r="AC467">
            <v>1</v>
          </cell>
        </row>
        <row r="468">
          <cell r="A468" t="str">
            <v>unk</v>
          </cell>
          <cell r="K468" t="str">
            <v>HGG</v>
          </cell>
          <cell r="M468" t="str">
            <v>F</v>
          </cell>
          <cell r="AC468">
            <v>1</v>
          </cell>
        </row>
        <row r="469">
          <cell r="A469" t="str">
            <v>IS_alqt_plus</v>
          </cell>
          <cell r="K469" t="str">
            <v>ECOR</v>
          </cell>
          <cell r="M469" t="str">
            <v>M</v>
          </cell>
          <cell r="AC469">
            <v>2</v>
          </cell>
        </row>
        <row r="470">
          <cell r="A470" t="str">
            <v>IS_alqt_plus</v>
          </cell>
          <cell r="K470" t="str">
            <v>ECOR</v>
          </cell>
          <cell r="M470" t="str">
            <v>F</v>
          </cell>
          <cell r="AC470">
            <v>1.8</v>
          </cell>
        </row>
        <row r="471">
          <cell r="A471" t="str">
            <v>IS_alqt_plus</v>
          </cell>
          <cell r="K471" t="str">
            <v>ECOR</v>
          </cell>
          <cell r="M471" t="str">
            <v>F</v>
          </cell>
          <cell r="AC471">
            <v>1.8</v>
          </cell>
        </row>
        <row r="472">
          <cell r="A472" t="str">
            <v>IS_alqt_plus</v>
          </cell>
          <cell r="K472" t="str">
            <v>ECOR</v>
          </cell>
          <cell r="M472" t="str">
            <v>F</v>
          </cell>
          <cell r="AC472">
            <v>1.5</v>
          </cell>
        </row>
        <row r="473">
          <cell r="A473" t="str">
            <v>IS_alqt_plus</v>
          </cell>
          <cell r="K473" t="str">
            <v>ECOR</v>
          </cell>
          <cell r="M473" t="str">
            <v>F</v>
          </cell>
          <cell r="AC473">
            <v>1.5</v>
          </cell>
        </row>
        <row r="474">
          <cell r="A474" t="str">
            <v>IS_alqt_plus</v>
          </cell>
          <cell r="K474" t="str">
            <v>ECOR</v>
          </cell>
          <cell r="M474" t="str">
            <v>F</v>
          </cell>
          <cell r="AC474">
            <v>1.2</v>
          </cell>
        </row>
        <row r="475">
          <cell r="A475" t="str">
            <v>IS_alqt_plus</v>
          </cell>
          <cell r="K475" t="str">
            <v>CMED</v>
          </cell>
          <cell r="M475" t="str">
            <v>M</v>
          </cell>
          <cell r="AC475">
            <v>1</v>
          </cell>
        </row>
        <row r="476">
          <cell r="A476" t="str">
            <v>IS_alqt_plus</v>
          </cell>
          <cell r="K476" t="str">
            <v>PCOQ</v>
          </cell>
          <cell r="M476" t="str">
            <v>M</v>
          </cell>
          <cell r="AC476">
            <v>1.9</v>
          </cell>
        </row>
        <row r="477">
          <cell r="A477" t="str">
            <v>IS_alqt_plus</v>
          </cell>
          <cell r="K477" t="str">
            <v>PCOQ</v>
          </cell>
          <cell r="M477" t="str">
            <v>M</v>
          </cell>
          <cell r="AC477">
            <v>0.5</v>
          </cell>
        </row>
        <row r="478">
          <cell r="A478" t="str">
            <v>IS_alqt_minus</v>
          </cell>
          <cell r="K478" t="str">
            <v>VVV</v>
          </cell>
          <cell r="M478" t="str">
            <v>F</v>
          </cell>
          <cell r="AC478">
            <v>0.2</v>
          </cell>
        </row>
        <row r="479">
          <cell r="A479" t="str">
            <v>IS_alqt_plus</v>
          </cell>
          <cell r="K479" t="str">
            <v>PCOQ</v>
          </cell>
          <cell r="M479" t="str">
            <v>M</v>
          </cell>
          <cell r="AC479">
            <v>1.7</v>
          </cell>
        </row>
        <row r="480">
          <cell r="A480" t="str">
            <v>IS_alqt_plus</v>
          </cell>
          <cell r="K480" t="str">
            <v>PCOQ</v>
          </cell>
          <cell r="M480" t="str">
            <v>M</v>
          </cell>
          <cell r="AC480">
            <v>1.8</v>
          </cell>
        </row>
        <row r="481">
          <cell r="A481" t="str">
            <v>IS_alqt_plus</v>
          </cell>
          <cell r="K481" t="str">
            <v>PCOQ</v>
          </cell>
          <cell r="M481" t="str">
            <v>M</v>
          </cell>
          <cell r="AC481">
            <v>0.8</v>
          </cell>
        </row>
        <row r="482">
          <cell r="A482" t="str">
            <v>IS_alqt_minus</v>
          </cell>
          <cell r="K482" t="str">
            <v>VVV</v>
          </cell>
          <cell r="M482" t="str">
            <v>F</v>
          </cell>
          <cell r="AC482">
            <v>0.2</v>
          </cell>
        </row>
        <row r="483">
          <cell r="A483" t="str">
            <v>IS_alqt_minus</v>
          </cell>
          <cell r="K483" t="str">
            <v>VVV</v>
          </cell>
          <cell r="M483" t="str">
            <v>F</v>
          </cell>
          <cell r="AC483">
            <v>0.2</v>
          </cell>
        </row>
        <row r="484">
          <cell r="A484" t="str">
            <v>IS_alqt_plus</v>
          </cell>
          <cell r="K484" t="str">
            <v>ERUF</v>
          </cell>
          <cell r="M484" t="str">
            <v>F</v>
          </cell>
          <cell r="AC484">
            <v>0.7</v>
          </cell>
        </row>
        <row r="485">
          <cell r="A485" t="str">
            <v>IS_alqt_minus</v>
          </cell>
          <cell r="K485" t="str">
            <v>VVV</v>
          </cell>
          <cell r="M485" t="str">
            <v>F</v>
          </cell>
          <cell r="AC485">
            <v>0.2</v>
          </cell>
        </row>
        <row r="486">
          <cell r="A486" t="str">
            <v>IS_alqt_plus</v>
          </cell>
          <cell r="K486" t="str">
            <v>CMED</v>
          </cell>
          <cell r="M486" t="str">
            <v>M</v>
          </cell>
          <cell r="AC486">
            <v>1</v>
          </cell>
        </row>
        <row r="487">
          <cell r="A487" t="str">
            <v>IS_alqt_plus</v>
          </cell>
          <cell r="K487" t="str">
            <v>MMUR</v>
          </cell>
          <cell r="M487" t="str">
            <v>F</v>
          </cell>
          <cell r="AC487">
            <v>1</v>
          </cell>
        </row>
        <row r="488">
          <cell r="A488" t="str">
            <v>IS_alqt_plus</v>
          </cell>
          <cell r="K488" t="str">
            <v>GMOH</v>
          </cell>
          <cell r="M488" t="str">
            <v>F</v>
          </cell>
          <cell r="AC488">
            <v>1.1000000000000001</v>
          </cell>
        </row>
        <row r="489">
          <cell r="A489" t="str">
            <v>gone</v>
          </cell>
          <cell r="K489" t="str">
            <v>PCOQ</v>
          </cell>
          <cell r="M489" t="str">
            <v>M</v>
          </cell>
          <cell r="AC489">
            <v>0</v>
          </cell>
        </row>
        <row r="490">
          <cell r="A490" t="str">
            <v>gone</v>
          </cell>
          <cell r="K490" t="str">
            <v>PCOQ</v>
          </cell>
          <cell r="M490" t="str">
            <v>M</v>
          </cell>
          <cell r="AC490">
            <v>0</v>
          </cell>
        </row>
        <row r="491">
          <cell r="A491" t="str">
            <v>IS_alqt_plus</v>
          </cell>
          <cell r="K491" t="str">
            <v>PCOQ</v>
          </cell>
          <cell r="M491" t="str">
            <v>M</v>
          </cell>
          <cell r="AC491">
            <v>2</v>
          </cell>
        </row>
        <row r="492">
          <cell r="A492" t="str">
            <v>IS_alqt_plus</v>
          </cell>
          <cell r="K492" t="str">
            <v>PCOQ</v>
          </cell>
          <cell r="M492" t="str">
            <v>M</v>
          </cell>
          <cell r="AC492">
            <v>1.6</v>
          </cell>
        </row>
        <row r="493">
          <cell r="A493" t="str">
            <v>IS_alqt_plus</v>
          </cell>
          <cell r="K493" t="str">
            <v>PCOQ</v>
          </cell>
          <cell r="M493" t="str">
            <v>M</v>
          </cell>
          <cell r="AC493">
            <v>1.8</v>
          </cell>
        </row>
        <row r="494">
          <cell r="A494" t="str">
            <v>gone</v>
          </cell>
          <cell r="K494" t="str">
            <v>PCOQ</v>
          </cell>
          <cell r="M494" t="str">
            <v>M</v>
          </cell>
          <cell r="AC494">
            <v>0</v>
          </cell>
        </row>
        <row r="495">
          <cell r="A495" t="str">
            <v>IS_alqt_plus</v>
          </cell>
          <cell r="K495" t="str">
            <v>ECOL</v>
          </cell>
          <cell r="M495" t="str">
            <v>F</v>
          </cell>
          <cell r="AC495">
            <v>0.6</v>
          </cell>
        </row>
        <row r="496">
          <cell r="A496" t="str">
            <v>IS_alqt_plus</v>
          </cell>
          <cell r="K496" t="str">
            <v>EFLA</v>
          </cell>
          <cell r="M496" t="str">
            <v>M</v>
          </cell>
          <cell r="AC496">
            <v>1.8</v>
          </cell>
        </row>
        <row r="497">
          <cell r="A497" t="str">
            <v>IS_alqt_plus</v>
          </cell>
          <cell r="K497" t="str">
            <v>EFLA</v>
          </cell>
          <cell r="M497" t="str">
            <v>M</v>
          </cell>
          <cell r="AC497">
            <v>2</v>
          </cell>
        </row>
        <row r="498">
          <cell r="A498" t="str">
            <v>IS_alqt_plus</v>
          </cell>
          <cell r="K498" t="str">
            <v>EFLA</v>
          </cell>
          <cell r="M498" t="str">
            <v>M</v>
          </cell>
          <cell r="AC498">
            <v>2</v>
          </cell>
        </row>
        <row r="499">
          <cell r="A499" t="str">
            <v>IS_alqt_plus</v>
          </cell>
          <cell r="K499" t="str">
            <v>ECOL</v>
          </cell>
          <cell r="M499" t="str">
            <v>M</v>
          </cell>
          <cell r="AC499">
            <v>1</v>
          </cell>
        </row>
        <row r="500">
          <cell r="A500" t="str">
            <v>IS_alqt_plus</v>
          </cell>
          <cell r="K500" t="str">
            <v>ECOL</v>
          </cell>
          <cell r="M500" t="str">
            <v>M</v>
          </cell>
          <cell r="AC500">
            <v>1</v>
          </cell>
        </row>
        <row r="501">
          <cell r="A501" t="str">
            <v>IS_alqt_plus</v>
          </cell>
          <cell r="K501" t="str">
            <v>ERUB</v>
          </cell>
          <cell r="M501" t="str">
            <v>M</v>
          </cell>
          <cell r="AC501">
            <v>1.2</v>
          </cell>
        </row>
        <row r="502">
          <cell r="A502" t="str">
            <v>IS_alqt_plus</v>
          </cell>
          <cell r="K502" t="str">
            <v>ECOR</v>
          </cell>
          <cell r="M502" t="str">
            <v>F</v>
          </cell>
          <cell r="AC502">
            <v>0.75</v>
          </cell>
        </row>
        <row r="503">
          <cell r="A503" t="str">
            <v>IS_alqt_plus</v>
          </cell>
          <cell r="K503" t="str">
            <v>PCOQ</v>
          </cell>
          <cell r="M503" t="str">
            <v>M</v>
          </cell>
          <cell r="AC503">
            <v>2</v>
          </cell>
        </row>
        <row r="504">
          <cell r="A504" t="str">
            <v>IS_alqt_plus</v>
          </cell>
          <cell r="K504" t="str">
            <v>DMAD</v>
          </cell>
          <cell r="M504" t="str">
            <v>F</v>
          </cell>
          <cell r="AC504">
            <v>1.8</v>
          </cell>
        </row>
        <row r="505">
          <cell r="A505" t="str">
            <v>IS_alqt_plus</v>
          </cell>
          <cell r="K505" t="str">
            <v>DMAD</v>
          </cell>
          <cell r="M505" t="str">
            <v>M</v>
          </cell>
          <cell r="AC505">
            <v>1</v>
          </cell>
        </row>
        <row r="506">
          <cell r="A506" t="str">
            <v>IS_alqt_plus</v>
          </cell>
          <cell r="K506" t="str">
            <v>PCOQ</v>
          </cell>
          <cell r="M506" t="str">
            <v>M</v>
          </cell>
          <cell r="AC506">
            <v>2</v>
          </cell>
        </row>
        <row r="507">
          <cell r="A507" t="str">
            <v>IS_alqt_plus</v>
          </cell>
          <cell r="K507" t="str">
            <v>PCOQ</v>
          </cell>
          <cell r="M507" t="str">
            <v>M</v>
          </cell>
          <cell r="AC507">
            <v>1.1000000000000001</v>
          </cell>
        </row>
        <row r="508">
          <cell r="A508" t="str">
            <v>IS_alqt_plus</v>
          </cell>
          <cell r="K508" t="str">
            <v>ECOL</v>
          </cell>
          <cell r="M508" t="str">
            <v>M</v>
          </cell>
          <cell r="AC508">
            <v>1.5</v>
          </cell>
        </row>
        <row r="509">
          <cell r="A509" t="str">
            <v>IS_alqt_plus</v>
          </cell>
          <cell r="K509" t="str">
            <v>ECOL</v>
          </cell>
          <cell r="M509" t="str">
            <v>M</v>
          </cell>
          <cell r="AC509">
            <v>1.4</v>
          </cell>
        </row>
        <row r="510">
          <cell r="A510" t="str">
            <v>IS_alqt_minus</v>
          </cell>
          <cell r="K510" t="str">
            <v>VVV</v>
          </cell>
          <cell r="M510" t="str">
            <v>F</v>
          </cell>
          <cell r="AC510">
            <v>0.2</v>
          </cell>
        </row>
        <row r="511">
          <cell r="A511" t="str">
            <v>IS_alqt_minus</v>
          </cell>
          <cell r="K511" t="str">
            <v>VVV</v>
          </cell>
          <cell r="M511" t="str">
            <v>F</v>
          </cell>
          <cell r="AC511">
            <v>0.2</v>
          </cell>
        </row>
        <row r="512">
          <cell r="A512" t="str">
            <v>IS_alqt_minus</v>
          </cell>
          <cell r="K512" t="str">
            <v>VVV</v>
          </cell>
          <cell r="M512" t="str">
            <v>F</v>
          </cell>
          <cell r="AC512">
            <v>0.2</v>
          </cell>
        </row>
        <row r="513">
          <cell r="A513" t="str">
            <v>IS_alqt_minus</v>
          </cell>
          <cell r="K513" t="str">
            <v>VVV</v>
          </cell>
          <cell r="M513" t="str">
            <v>F</v>
          </cell>
          <cell r="AC513">
            <v>0.2</v>
          </cell>
        </row>
        <row r="514">
          <cell r="A514" t="str">
            <v>IS_alqt_plus</v>
          </cell>
          <cell r="K514" t="str">
            <v>PCOQ</v>
          </cell>
          <cell r="M514" t="str">
            <v>M</v>
          </cell>
          <cell r="AC514">
            <v>1.1000000000000001</v>
          </cell>
        </row>
        <row r="515">
          <cell r="A515" t="str">
            <v>IS_alqt_plus</v>
          </cell>
          <cell r="K515" t="str">
            <v>PCOQ</v>
          </cell>
          <cell r="M515" t="str">
            <v>M</v>
          </cell>
          <cell r="AC515">
            <v>1.2</v>
          </cell>
        </row>
        <row r="516">
          <cell r="A516" t="str">
            <v>gone</v>
          </cell>
          <cell r="K516" t="str">
            <v>PCOQ</v>
          </cell>
          <cell r="M516" t="str">
            <v>M</v>
          </cell>
          <cell r="AC516">
            <v>0</v>
          </cell>
        </row>
        <row r="517">
          <cell r="A517" t="str">
            <v>IS_alqt_plus</v>
          </cell>
          <cell r="K517" t="str">
            <v>EMON</v>
          </cell>
          <cell r="M517" t="str">
            <v>F</v>
          </cell>
          <cell r="AC517">
            <v>1.2</v>
          </cell>
        </row>
        <row r="518">
          <cell r="A518" t="str">
            <v>IS_alqt_plus</v>
          </cell>
          <cell r="K518" t="str">
            <v>EMON</v>
          </cell>
          <cell r="M518" t="str">
            <v>F</v>
          </cell>
          <cell r="AC518">
            <v>1</v>
          </cell>
        </row>
        <row r="519">
          <cell r="A519" t="str">
            <v>IS_alqt_minus</v>
          </cell>
          <cell r="K519" t="str">
            <v>VVV</v>
          </cell>
          <cell r="M519" t="str">
            <v>F</v>
          </cell>
          <cell r="AC519">
            <v>0.2</v>
          </cell>
        </row>
        <row r="520">
          <cell r="A520" t="str">
            <v>IS_alqt_plus</v>
          </cell>
          <cell r="K520" t="str">
            <v>VVV</v>
          </cell>
          <cell r="M520" t="str">
            <v>F</v>
          </cell>
          <cell r="AC520">
            <v>1.5</v>
          </cell>
        </row>
        <row r="521">
          <cell r="A521" t="str">
            <v>IS_alqt_plus</v>
          </cell>
          <cell r="K521" t="str">
            <v>EMAC</v>
          </cell>
          <cell r="M521" t="str">
            <v>M</v>
          </cell>
          <cell r="AC521">
            <v>0.5</v>
          </cell>
        </row>
        <row r="522">
          <cell r="A522" t="str">
            <v>IS_alqt_plus</v>
          </cell>
          <cell r="K522" t="str">
            <v>EMAC</v>
          </cell>
          <cell r="M522" t="str">
            <v>M</v>
          </cell>
          <cell r="AC522">
            <v>0.5</v>
          </cell>
        </row>
        <row r="523">
          <cell r="A523" t="str">
            <v>unk</v>
          </cell>
          <cell r="K523" t="str">
            <v>EMAC</v>
          </cell>
          <cell r="M523" t="str">
            <v>M</v>
          </cell>
          <cell r="AC523">
            <v>1</v>
          </cell>
        </row>
        <row r="524">
          <cell r="A524" t="str">
            <v>IS_alqt_plus</v>
          </cell>
          <cell r="K524" t="str">
            <v>PCOQ</v>
          </cell>
          <cell r="M524" t="str">
            <v>M</v>
          </cell>
          <cell r="AC524">
            <v>1.3</v>
          </cell>
        </row>
        <row r="525">
          <cell r="A525" t="str">
            <v>IS_alqt_plus</v>
          </cell>
          <cell r="K525" t="str">
            <v>PCOQ</v>
          </cell>
          <cell r="M525" t="str">
            <v>M</v>
          </cell>
          <cell r="AC525">
            <v>1.8</v>
          </cell>
        </row>
        <row r="526">
          <cell r="A526" t="str">
            <v>IS_alqt_plus</v>
          </cell>
          <cell r="K526" t="str">
            <v>PCOQ</v>
          </cell>
          <cell r="M526" t="str">
            <v>M</v>
          </cell>
          <cell r="AC526">
            <v>1.8</v>
          </cell>
        </row>
        <row r="527">
          <cell r="A527" t="str">
            <v>IS_alqt_plus</v>
          </cell>
          <cell r="K527" t="str">
            <v>PCOQ</v>
          </cell>
          <cell r="M527" t="str">
            <v>M</v>
          </cell>
          <cell r="AC527">
            <v>1.8</v>
          </cell>
        </row>
        <row r="528">
          <cell r="A528" t="str">
            <v>IS_alqt_plus</v>
          </cell>
          <cell r="K528" t="str">
            <v>PCOQ</v>
          </cell>
          <cell r="M528" t="str">
            <v>M</v>
          </cell>
          <cell r="AC528">
            <v>1.8</v>
          </cell>
        </row>
        <row r="529">
          <cell r="A529" t="str">
            <v>IS_alqt_plus</v>
          </cell>
          <cell r="K529" t="str">
            <v>PCOQ</v>
          </cell>
          <cell r="M529" t="str">
            <v>M</v>
          </cell>
          <cell r="AC529">
            <v>1.8</v>
          </cell>
        </row>
        <row r="530">
          <cell r="A530" t="str">
            <v>IS_alqt_plus</v>
          </cell>
          <cell r="K530" t="str">
            <v>PCOQ</v>
          </cell>
          <cell r="M530" t="str">
            <v>M</v>
          </cell>
          <cell r="AC530">
            <v>1.8</v>
          </cell>
        </row>
        <row r="531">
          <cell r="A531" t="str">
            <v>IS_alqt_plus</v>
          </cell>
          <cell r="K531" t="str">
            <v>PCOQ</v>
          </cell>
          <cell r="M531" t="str">
            <v>M</v>
          </cell>
          <cell r="AC531">
            <v>1.8</v>
          </cell>
        </row>
        <row r="532">
          <cell r="A532" t="str">
            <v>IS_alqt_plus</v>
          </cell>
          <cell r="K532" t="str">
            <v>PCOQ</v>
          </cell>
          <cell r="M532" t="str">
            <v>M</v>
          </cell>
          <cell r="AC532">
            <v>1.8</v>
          </cell>
        </row>
        <row r="533">
          <cell r="A533" t="str">
            <v>IS_alqt_plus</v>
          </cell>
          <cell r="K533" t="str">
            <v>PCOQ</v>
          </cell>
          <cell r="M533" t="str">
            <v>M</v>
          </cell>
          <cell r="AC533">
            <v>1.8</v>
          </cell>
        </row>
        <row r="534">
          <cell r="A534" t="str">
            <v>IS_alqt_plus</v>
          </cell>
          <cell r="K534" t="str">
            <v>PCOQ</v>
          </cell>
          <cell r="M534" t="str">
            <v>M</v>
          </cell>
          <cell r="AC534">
            <v>1.8</v>
          </cell>
        </row>
        <row r="535">
          <cell r="A535" t="str">
            <v>IS_alqt_plus</v>
          </cell>
          <cell r="K535" t="str">
            <v>PCOQ</v>
          </cell>
          <cell r="M535" t="str">
            <v>F</v>
          </cell>
          <cell r="AC535">
            <v>2</v>
          </cell>
        </row>
        <row r="536">
          <cell r="A536" t="str">
            <v>IS_alqt_plus</v>
          </cell>
          <cell r="K536" t="str">
            <v>PCOQ</v>
          </cell>
          <cell r="M536" t="str">
            <v>F</v>
          </cell>
          <cell r="AC536">
            <v>1.5</v>
          </cell>
        </row>
        <row r="537">
          <cell r="A537" t="str">
            <v>IS_alqt_plus</v>
          </cell>
          <cell r="K537" t="str">
            <v>PCOQ</v>
          </cell>
          <cell r="M537" t="str">
            <v>F</v>
          </cell>
          <cell r="AC537">
            <v>1</v>
          </cell>
        </row>
        <row r="538">
          <cell r="A538" t="str">
            <v>IS_alqt_plus</v>
          </cell>
          <cell r="K538" t="str">
            <v>PCOQ</v>
          </cell>
          <cell r="M538" t="str">
            <v>F</v>
          </cell>
          <cell r="AC538">
            <v>1</v>
          </cell>
        </row>
        <row r="539">
          <cell r="A539" t="str">
            <v>gone</v>
          </cell>
          <cell r="K539" t="str">
            <v>PCOQ</v>
          </cell>
          <cell r="M539" t="str">
            <v>F</v>
          </cell>
          <cell r="AC539">
            <v>0</v>
          </cell>
        </row>
        <row r="540">
          <cell r="A540" t="str">
            <v>gone</v>
          </cell>
          <cell r="K540" t="str">
            <v>PCOQ</v>
          </cell>
          <cell r="M540" t="str">
            <v>F</v>
          </cell>
          <cell r="AC540">
            <v>0</v>
          </cell>
        </row>
        <row r="541">
          <cell r="A541" t="str">
            <v>IS_alqt_minus</v>
          </cell>
          <cell r="K541" t="str">
            <v>ERUF</v>
          </cell>
          <cell r="M541" t="str">
            <v>F</v>
          </cell>
          <cell r="AC541">
            <v>0.2</v>
          </cell>
        </row>
        <row r="542">
          <cell r="A542" t="str">
            <v>IS_alqt_plus</v>
          </cell>
          <cell r="K542" t="str">
            <v>ERUF</v>
          </cell>
          <cell r="M542" t="str">
            <v>F</v>
          </cell>
          <cell r="AC542">
            <v>1.5</v>
          </cell>
        </row>
        <row r="543">
          <cell r="A543" t="str">
            <v>IS_alqt_plus</v>
          </cell>
          <cell r="K543" t="str">
            <v>PCOQ</v>
          </cell>
          <cell r="M543" t="str">
            <v>F</v>
          </cell>
          <cell r="AC543">
            <v>0.9</v>
          </cell>
        </row>
        <row r="544">
          <cell r="A544" t="str">
            <v>gone</v>
          </cell>
          <cell r="K544" t="str">
            <v>PCOQ</v>
          </cell>
          <cell r="M544" t="str">
            <v>F</v>
          </cell>
          <cell r="AC544">
            <v>0</v>
          </cell>
        </row>
        <row r="545">
          <cell r="A545" t="str">
            <v>IS_alqt_plus</v>
          </cell>
          <cell r="K545" t="str">
            <v>PCOQ</v>
          </cell>
          <cell r="M545" t="str">
            <v>M</v>
          </cell>
          <cell r="AC545">
            <v>2</v>
          </cell>
        </row>
        <row r="546">
          <cell r="A546" t="str">
            <v>gone</v>
          </cell>
          <cell r="K546" t="str">
            <v>PCOQ</v>
          </cell>
          <cell r="M546" t="str">
            <v>M</v>
          </cell>
          <cell r="AC546">
            <v>0</v>
          </cell>
        </row>
        <row r="547">
          <cell r="A547" t="str">
            <v>IS_alqt_plus</v>
          </cell>
          <cell r="K547" t="str">
            <v>NPYG</v>
          </cell>
          <cell r="M547" t="str">
            <v>M</v>
          </cell>
          <cell r="AC547">
            <v>1.8</v>
          </cell>
        </row>
        <row r="548">
          <cell r="A548" t="str">
            <v>IS_alqt_plus</v>
          </cell>
          <cell r="K548" t="str">
            <v>NPYG</v>
          </cell>
          <cell r="M548" t="str">
            <v>F</v>
          </cell>
          <cell r="AC548">
            <v>1.7</v>
          </cell>
        </row>
        <row r="549">
          <cell r="A549" t="str">
            <v>IS_alqt_plus</v>
          </cell>
          <cell r="K549" t="str">
            <v>NPYG</v>
          </cell>
          <cell r="M549" t="str">
            <v>F</v>
          </cell>
          <cell r="AC549">
            <v>1.3</v>
          </cell>
        </row>
        <row r="550">
          <cell r="A550" t="str">
            <v>IS_alqt_plus</v>
          </cell>
          <cell r="K550" t="str">
            <v>NCOU</v>
          </cell>
          <cell r="M550" t="str">
            <v>F</v>
          </cell>
          <cell r="AC550">
            <v>0.9</v>
          </cell>
        </row>
        <row r="551">
          <cell r="A551" t="str">
            <v>gone</v>
          </cell>
          <cell r="K551" t="str">
            <v>NCOU</v>
          </cell>
          <cell r="M551" t="str">
            <v>F</v>
          </cell>
          <cell r="AC551">
            <v>0</v>
          </cell>
        </row>
        <row r="552">
          <cell r="A552" t="str">
            <v>IS_alqt_minus</v>
          </cell>
          <cell r="K552" t="str">
            <v>NPYG</v>
          </cell>
          <cell r="M552" t="str">
            <v>M</v>
          </cell>
          <cell r="AC552">
            <v>0.4</v>
          </cell>
        </row>
        <row r="553">
          <cell r="A553" t="str">
            <v>IS_alqt_plus</v>
          </cell>
          <cell r="K553" t="str">
            <v>NPYG</v>
          </cell>
          <cell r="M553" t="str">
            <v>F</v>
          </cell>
          <cell r="AC553">
            <v>1.7</v>
          </cell>
        </row>
        <row r="554">
          <cell r="A554" t="str">
            <v>IS_alqt_plus</v>
          </cell>
          <cell r="K554" t="str">
            <v>VVV</v>
          </cell>
          <cell r="M554" t="str">
            <v>F</v>
          </cell>
          <cell r="AC554">
            <v>1.5</v>
          </cell>
        </row>
        <row r="555">
          <cell r="A555" t="str">
            <v>IS_alqt_plus</v>
          </cell>
          <cell r="K555" t="str">
            <v>DMAD</v>
          </cell>
          <cell r="M555" t="str">
            <v>M</v>
          </cell>
          <cell r="AC555">
            <v>1.8</v>
          </cell>
        </row>
        <row r="556">
          <cell r="A556" t="str">
            <v>IS_alqt_plus</v>
          </cell>
          <cell r="K556" t="str">
            <v>DMAD</v>
          </cell>
          <cell r="M556" t="str">
            <v>M</v>
          </cell>
          <cell r="AC556">
            <v>0.8</v>
          </cell>
        </row>
        <row r="557">
          <cell r="A557" t="str">
            <v>IS_alqt_plus</v>
          </cell>
          <cell r="K557" t="str">
            <v>DMAD</v>
          </cell>
          <cell r="M557" t="str">
            <v>M</v>
          </cell>
          <cell r="AC557">
            <v>1.4</v>
          </cell>
        </row>
        <row r="558">
          <cell r="A558" t="str">
            <v>IS_alqt_plus</v>
          </cell>
          <cell r="K558" t="str">
            <v>EMAC</v>
          </cell>
          <cell r="M558" t="str">
            <v>F</v>
          </cell>
          <cell r="AC558">
            <v>1.7</v>
          </cell>
        </row>
        <row r="559">
          <cell r="A559" t="str">
            <v>gone</v>
          </cell>
          <cell r="K559" t="str">
            <v>EMAC</v>
          </cell>
          <cell r="M559" t="str">
            <v>F</v>
          </cell>
          <cell r="AC559">
            <v>0</v>
          </cell>
        </row>
        <row r="560">
          <cell r="A560" t="str">
            <v>IS_alqt_plus</v>
          </cell>
          <cell r="K560" t="str">
            <v>EMAC</v>
          </cell>
          <cell r="M560" t="str">
            <v>M</v>
          </cell>
          <cell r="AC560">
            <v>1.4</v>
          </cell>
        </row>
        <row r="561">
          <cell r="A561" t="str">
            <v>IS_alqt_plus</v>
          </cell>
          <cell r="K561" t="str">
            <v>VVV</v>
          </cell>
          <cell r="M561" t="str">
            <v>F</v>
          </cell>
          <cell r="AC561">
            <v>1.5</v>
          </cell>
        </row>
        <row r="562">
          <cell r="A562" t="str">
            <v>IS_alqt_plus</v>
          </cell>
          <cell r="K562" t="str">
            <v>CMED</v>
          </cell>
          <cell r="M562" t="str">
            <v>F</v>
          </cell>
          <cell r="AC562">
            <v>0.5</v>
          </cell>
        </row>
        <row r="563">
          <cell r="A563" t="str">
            <v>IS_alqt_plus</v>
          </cell>
          <cell r="K563" t="str">
            <v>CMED</v>
          </cell>
          <cell r="M563" t="str">
            <v>F</v>
          </cell>
          <cell r="AC563">
            <v>0.5</v>
          </cell>
        </row>
        <row r="564">
          <cell r="A564" t="str">
            <v>IS_alqt_plus</v>
          </cell>
          <cell r="K564" t="str">
            <v>PCOQ</v>
          </cell>
          <cell r="M564" t="str">
            <v>F</v>
          </cell>
          <cell r="AC564">
            <v>1</v>
          </cell>
        </row>
        <row r="565">
          <cell r="A565" t="str">
            <v>IS_alqt_plus</v>
          </cell>
          <cell r="K565" t="str">
            <v>PCOQ</v>
          </cell>
          <cell r="M565" t="str">
            <v>F</v>
          </cell>
          <cell r="AC565">
            <v>1</v>
          </cell>
        </row>
        <row r="566">
          <cell r="A566" t="str">
            <v>IS_alqt_minus</v>
          </cell>
          <cell r="K566" t="str">
            <v>PCOQ</v>
          </cell>
          <cell r="M566" t="str">
            <v>M</v>
          </cell>
          <cell r="AC566">
            <v>0.2</v>
          </cell>
        </row>
        <row r="567">
          <cell r="A567" t="str">
            <v>IS_alqt_plus</v>
          </cell>
          <cell r="K567" t="str">
            <v>DMAD</v>
          </cell>
          <cell r="M567" t="str">
            <v>M</v>
          </cell>
          <cell r="AC567">
            <v>0.8</v>
          </cell>
        </row>
        <row r="568">
          <cell r="A568" t="str">
            <v>gone</v>
          </cell>
          <cell r="K568" t="str">
            <v>PCOQ</v>
          </cell>
          <cell r="M568" t="str">
            <v>M</v>
          </cell>
          <cell r="AC568">
            <v>0</v>
          </cell>
        </row>
        <row r="569">
          <cell r="A569" t="str">
            <v>IS_alqt_plus</v>
          </cell>
          <cell r="K569" t="str">
            <v>DMAD</v>
          </cell>
          <cell r="M569" t="str">
            <v>M</v>
          </cell>
          <cell r="AC569">
            <v>2</v>
          </cell>
        </row>
        <row r="570">
          <cell r="A570" t="str">
            <v>IS_alqt_plus</v>
          </cell>
          <cell r="K570" t="str">
            <v>VVV</v>
          </cell>
          <cell r="M570" t="str">
            <v>F</v>
          </cell>
          <cell r="AC570">
            <v>1.5</v>
          </cell>
        </row>
        <row r="571">
          <cell r="A571" t="str">
            <v>IS_alqt_plus</v>
          </cell>
          <cell r="K571" t="str">
            <v>DMAD</v>
          </cell>
          <cell r="M571" t="str">
            <v>F</v>
          </cell>
          <cell r="AC571">
            <v>1.5</v>
          </cell>
        </row>
        <row r="572">
          <cell r="A572" t="str">
            <v>IS_alqt_plus</v>
          </cell>
          <cell r="K572" t="str">
            <v>DMAD</v>
          </cell>
          <cell r="M572" t="str">
            <v>M</v>
          </cell>
          <cell r="AC572">
            <v>1.5</v>
          </cell>
        </row>
        <row r="573">
          <cell r="A573" t="str">
            <v>IS_alqt_plus</v>
          </cell>
          <cell r="K573" t="str">
            <v>DMAD</v>
          </cell>
          <cell r="M573" t="str">
            <v>M</v>
          </cell>
          <cell r="AC573">
            <v>1.2</v>
          </cell>
        </row>
        <row r="574">
          <cell r="A574" t="str">
            <v>IS_alqt_plus</v>
          </cell>
          <cell r="K574" t="str">
            <v>VVV</v>
          </cell>
          <cell r="M574" t="str">
            <v>F</v>
          </cell>
          <cell r="AC574">
            <v>1.5</v>
          </cell>
        </row>
        <row r="575">
          <cell r="A575" t="str">
            <v>IS_alqt_plus</v>
          </cell>
          <cell r="K575" t="str">
            <v>VVV</v>
          </cell>
          <cell r="M575" t="str">
            <v>F</v>
          </cell>
          <cell r="AC575">
            <v>1.5</v>
          </cell>
        </row>
        <row r="576">
          <cell r="A576" t="str">
            <v>IS_alqt_plus</v>
          </cell>
          <cell r="K576" t="str">
            <v>NPYG</v>
          </cell>
          <cell r="M576" t="str">
            <v>M</v>
          </cell>
          <cell r="AC576">
            <v>1.1000000000000001</v>
          </cell>
        </row>
        <row r="577">
          <cell r="A577" t="str">
            <v>IS_alqt_plus</v>
          </cell>
          <cell r="K577" t="str">
            <v>PCOQ</v>
          </cell>
          <cell r="M577" t="str">
            <v>M</v>
          </cell>
          <cell r="AC577">
            <v>0.5</v>
          </cell>
        </row>
        <row r="578">
          <cell r="A578" t="str">
            <v>IS_alqt_plus</v>
          </cell>
          <cell r="K578" t="str">
            <v>VVV</v>
          </cell>
          <cell r="M578" t="str">
            <v>F</v>
          </cell>
          <cell r="AC578">
            <v>1.5</v>
          </cell>
        </row>
        <row r="579">
          <cell r="A579" t="str">
            <v>IS_alqt_plus</v>
          </cell>
          <cell r="K579" t="str">
            <v>PCOQ</v>
          </cell>
          <cell r="M579" t="str">
            <v>F</v>
          </cell>
          <cell r="AC579">
            <v>0.5</v>
          </cell>
        </row>
        <row r="580">
          <cell r="A580" t="str">
            <v>IS_alqt_plus</v>
          </cell>
          <cell r="K580" t="str">
            <v>DMAD</v>
          </cell>
          <cell r="M580" t="str">
            <v>F</v>
          </cell>
          <cell r="AC580">
            <v>1.5</v>
          </cell>
        </row>
        <row r="581">
          <cell r="A581" t="str">
            <v>IS_alqt_plus</v>
          </cell>
          <cell r="K581" t="str">
            <v>DMAD</v>
          </cell>
          <cell r="M581" t="str">
            <v>F</v>
          </cell>
          <cell r="AC581">
            <v>1.5</v>
          </cell>
        </row>
        <row r="582">
          <cell r="A582" t="str">
            <v>IS_alqt_plus</v>
          </cell>
          <cell r="K582" t="str">
            <v>DMAD</v>
          </cell>
          <cell r="M582" t="str">
            <v>F</v>
          </cell>
          <cell r="AC582">
            <v>1</v>
          </cell>
        </row>
        <row r="583">
          <cell r="A583" t="str">
            <v>IS_alqt_plus</v>
          </cell>
          <cell r="K583" t="str">
            <v>DMAD</v>
          </cell>
          <cell r="M583" t="str">
            <v>F</v>
          </cell>
          <cell r="AC583">
            <v>1</v>
          </cell>
        </row>
        <row r="584">
          <cell r="A584" t="str">
            <v>IS_alqt_plus</v>
          </cell>
          <cell r="K584" t="str">
            <v>DMAD</v>
          </cell>
          <cell r="M584" t="str">
            <v>F</v>
          </cell>
          <cell r="AC584">
            <v>0.8</v>
          </cell>
        </row>
        <row r="585">
          <cell r="A585" t="str">
            <v>IS_alqt_plus</v>
          </cell>
          <cell r="K585" t="str">
            <v>DMAD</v>
          </cell>
          <cell r="M585" t="str">
            <v>F</v>
          </cell>
          <cell r="AC585">
            <v>0.8</v>
          </cell>
        </row>
        <row r="586">
          <cell r="A586" t="str">
            <v>gone</v>
          </cell>
          <cell r="K586" t="str">
            <v>ECOR</v>
          </cell>
          <cell r="M586" t="str">
            <v>F</v>
          </cell>
          <cell r="AC586">
            <v>0</v>
          </cell>
        </row>
        <row r="587">
          <cell r="A587" t="str">
            <v>IS_alqt_plus</v>
          </cell>
          <cell r="K587" t="str">
            <v>VVV</v>
          </cell>
          <cell r="M587" t="str">
            <v>F</v>
          </cell>
          <cell r="AC587">
            <v>1.5</v>
          </cell>
        </row>
        <row r="588">
          <cell r="A588" t="str">
            <v>IS_alqt_plus</v>
          </cell>
          <cell r="K588" t="str">
            <v>LTAR</v>
          </cell>
          <cell r="M588" t="str">
            <v>F</v>
          </cell>
          <cell r="AC588">
            <v>1.5</v>
          </cell>
        </row>
        <row r="589">
          <cell r="A589" t="str">
            <v>IS_alqt_plus</v>
          </cell>
          <cell r="K589" t="str">
            <v>DMAD</v>
          </cell>
          <cell r="M589" t="str">
            <v>F</v>
          </cell>
          <cell r="AC589">
            <v>1.1000000000000001</v>
          </cell>
        </row>
        <row r="590">
          <cell r="A590" t="str">
            <v>IS_alqt_plus</v>
          </cell>
          <cell r="K590" t="str">
            <v>PCOQ</v>
          </cell>
          <cell r="M590" t="str">
            <v>F</v>
          </cell>
          <cell r="AC590">
            <v>1.25</v>
          </cell>
        </row>
        <row r="591">
          <cell r="A591" t="str">
            <v>IS_alqt_plus</v>
          </cell>
          <cell r="K591" t="str">
            <v>VVV</v>
          </cell>
          <cell r="M591" t="str">
            <v>F</v>
          </cell>
          <cell r="AC591">
            <v>1.5</v>
          </cell>
        </row>
        <row r="592">
          <cell r="A592" t="str">
            <v>IS_alqt_plus</v>
          </cell>
          <cell r="K592" t="str">
            <v>VVV</v>
          </cell>
          <cell r="M592" t="str">
            <v>F</v>
          </cell>
          <cell r="AC592">
            <v>1.5</v>
          </cell>
        </row>
        <row r="593">
          <cell r="A593" t="str">
            <v>IS_alqt_plus</v>
          </cell>
          <cell r="K593" t="str">
            <v>VVV</v>
          </cell>
          <cell r="M593" t="str">
            <v>F</v>
          </cell>
          <cell r="AC593">
            <v>1.5</v>
          </cell>
        </row>
        <row r="594">
          <cell r="A594" t="str">
            <v>IS_alqt_plus</v>
          </cell>
          <cell r="K594" t="str">
            <v>VVV</v>
          </cell>
          <cell r="M594" t="str">
            <v>F</v>
          </cell>
          <cell r="AC594">
            <v>1.5</v>
          </cell>
        </row>
        <row r="595">
          <cell r="A595" t="str">
            <v>IS_alqt_plus</v>
          </cell>
          <cell r="K595" t="str">
            <v>EFLA</v>
          </cell>
          <cell r="M595" t="str">
            <v>F</v>
          </cell>
          <cell r="AC595">
            <v>2</v>
          </cell>
        </row>
        <row r="596">
          <cell r="A596" t="str">
            <v>gone</v>
          </cell>
          <cell r="K596" t="str">
            <v>EFLA</v>
          </cell>
          <cell r="M596" t="str">
            <v>F</v>
          </cell>
          <cell r="AC596">
            <v>0</v>
          </cell>
        </row>
        <row r="597">
          <cell r="A597" t="str">
            <v>IS_alqt_plus</v>
          </cell>
          <cell r="K597" t="str">
            <v>PCOQ</v>
          </cell>
          <cell r="M597" t="str">
            <v>F</v>
          </cell>
          <cell r="AC597">
            <v>1</v>
          </cell>
        </row>
        <row r="598">
          <cell r="A598" t="str">
            <v>IS_alqt_plus</v>
          </cell>
          <cell r="K598" t="str">
            <v>PCOQ</v>
          </cell>
          <cell r="M598" t="str">
            <v>M</v>
          </cell>
          <cell r="AC598">
            <v>1</v>
          </cell>
        </row>
        <row r="599">
          <cell r="A599" t="str">
            <v>IS_alqt_plus</v>
          </cell>
          <cell r="K599" t="str">
            <v>PCOQ</v>
          </cell>
          <cell r="M599" t="str">
            <v>M</v>
          </cell>
          <cell r="AC599">
            <v>1</v>
          </cell>
        </row>
        <row r="600">
          <cell r="A600" t="str">
            <v>IS_alqt_plus</v>
          </cell>
          <cell r="K600" t="str">
            <v>VVV</v>
          </cell>
          <cell r="M600" t="str">
            <v>F</v>
          </cell>
          <cell r="AC600">
            <v>1.5</v>
          </cell>
        </row>
        <row r="601">
          <cell r="A601" t="str">
            <v>IS_alqt_plus</v>
          </cell>
          <cell r="K601" t="str">
            <v>VVV</v>
          </cell>
          <cell r="M601" t="str">
            <v>F</v>
          </cell>
          <cell r="AC601">
            <v>1.5</v>
          </cell>
        </row>
        <row r="602">
          <cell r="A602" t="str">
            <v>IS_alqt_plus</v>
          </cell>
          <cell r="K602" t="str">
            <v>NPYG</v>
          </cell>
          <cell r="M602" t="str">
            <v>M</v>
          </cell>
          <cell r="AC602">
            <v>1</v>
          </cell>
        </row>
        <row r="603">
          <cell r="A603" t="str">
            <v>IS_alqt_plus</v>
          </cell>
          <cell r="K603" t="str">
            <v>PCOQ</v>
          </cell>
          <cell r="M603" t="str">
            <v>M</v>
          </cell>
          <cell r="AC603">
            <v>1.5</v>
          </cell>
        </row>
        <row r="604">
          <cell r="A604" t="str">
            <v>IS_alqt_plus</v>
          </cell>
          <cell r="K604" t="str">
            <v>PCOQ</v>
          </cell>
          <cell r="M604" t="str">
            <v>F</v>
          </cell>
          <cell r="AC604">
            <v>0.7</v>
          </cell>
        </row>
        <row r="605">
          <cell r="A605" t="str">
            <v>IS_alqt_plus</v>
          </cell>
          <cell r="K605" t="str">
            <v>PCOQ</v>
          </cell>
          <cell r="M605" t="str">
            <v>F</v>
          </cell>
          <cell r="AC605">
            <v>1</v>
          </cell>
        </row>
        <row r="606">
          <cell r="A606" t="str">
            <v>IS_alqt_plus</v>
          </cell>
          <cell r="K606" t="str">
            <v>NPYG</v>
          </cell>
          <cell r="M606" t="str">
            <v>M</v>
          </cell>
          <cell r="AC606">
            <v>0.6</v>
          </cell>
        </row>
        <row r="607">
          <cell r="A607" t="str">
            <v>IS_alqt_plus</v>
          </cell>
          <cell r="K607" t="str">
            <v>EMON</v>
          </cell>
          <cell r="M607" t="str">
            <v>M</v>
          </cell>
          <cell r="AC607">
            <v>1</v>
          </cell>
        </row>
        <row r="608">
          <cell r="A608" t="str">
            <v>IS_alqt_plus</v>
          </cell>
          <cell r="K608" t="str">
            <v>EMON</v>
          </cell>
          <cell r="M608" t="str">
            <v>M</v>
          </cell>
          <cell r="AC608">
            <v>1</v>
          </cell>
        </row>
        <row r="609">
          <cell r="A609" t="str">
            <v>IS_alqt_plus</v>
          </cell>
          <cell r="K609" t="str">
            <v>DMAD</v>
          </cell>
          <cell r="M609" t="str">
            <v>F</v>
          </cell>
          <cell r="AC609">
            <v>1.2</v>
          </cell>
        </row>
        <row r="610">
          <cell r="A610" t="str">
            <v>IS_alqt_plus</v>
          </cell>
          <cell r="K610" t="str">
            <v>EUL</v>
          </cell>
          <cell r="M610" t="str">
            <v>M</v>
          </cell>
          <cell r="AC610">
            <v>1</v>
          </cell>
        </row>
        <row r="611">
          <cell r="A611" t="str">
            <v>IS_alqt_plus</v>
          </cell>
          <cell r="K611" t="str">
            <v>EUL</v>
          </cell>
          <cell r="M611" t="str">
            <v>M</v>
          </cell>
          <cell r="AC611">
            <v>1.2</v>
          </cell>
        </row>
        <row r="612">
          <cell r="A612" t="str">
            <v>IS_alqt_plus</v>
          </cell>
          <cell r="K612" t="str">
            <v>PCOQ</v>
          </cell>
          <cell r="M612" t="str">
            <v>F</v>
          </cell>
          <cell r="AC612">
            <v>1</v>
          </cell>
        </row>
        <row r="613">
          <cell r="A613" t="str">
            <v>IS_alqt_plus</v>
          </cell>
          <cell r="K613" t="str">
            <v>PCOQ</v>
          </cell>
          <cell r="M613" t="str">
            <v>F</v>
          </cell>
          <cell r="AC613">
            <v>1</v>
          </cell>
        </row>
        <row r="614">
          <cell r="A614" t="str">
            <v>IS_alqt_plus</v>
          </cell>
          <cell r="K614" t="str">
            <v>DMAD</v>
          </cell>
          <cell r="M614" t="str">
            <v>M</v>
          </cell>
          <cell r="AC614">
            <v>1.5</v>
          </cell>
        </row>
        <row r="615">
          <cell r="A615" t="str">
            <v>IS_alqt_plus</v>
          </cell>
          <cell r="K615" t="str">
            <v>VVV</v>
          </cell>
          <cell r="M615" t="str">
            <v>F</v>
          </cell>
          <cell r="AC615">
            <v>1.5</v>
          </cell>
        </row>
        <row r="616">
          <cell r="A616" t="str">
            <v>IS_alqt_minus</v>
          </cell>
          <cell r="K616" t="str">
            <v>VVV</v>
          </cell>
          <cell r="M616" t="str">
            <v>F</v>
          </cell>
          <cell r="AC616">
            <v>0.2</v>
          </cell>
        </row>
        <row r="617">
          <cell r="A617" t="str">
            <v>IS_alqt_plus</v>
          </cell>
          <cell r="K617" t="str">
            <v>EMON</v>
          </cell>
          <cell r="M617" t="str">
            <v>F</v>
          </cell>
          <cell r="AC617">
            <v>1.2</v>
          </cell>
        </row>
        <row r="618">
          <cell r="A618" t="str">
            <v>IS_alqt_plus</v>
          </cell>
          <cell r="K618" t="str">
            <v>ECOR</v>
          </cell>
          <cell r="M618" t="str">
            <v>M</v>
          </cell>
          <cell r="AC618">
            <v>1.1000000000000001</v>
          </cell>
        </row>
        <row r="619">
          <cell r="A619" t="str">
            <v>IS_alqt_plus</v>
          </cell>
          <cell r="K619" t="str">
            <v>EMON</v>
          </cell>
          <cell r="M619" t="str">
            <v>M</v>
          </cell>
          <cell r="AC619">
            <v>1</v>
          </cell>
        </row>
        <row r="620">
          <cell r="A620" t="str">
            <v>IS_alqt_plus</v>
          </cell>
          <cell r="K620" t="str">
            <v>EMON</v>
          </cell>
          <cell r="M620" t="str">
            <v>M</v>
          </cell>
          <cell r="AC620">
            <v>1.2</v>
          </cell>
        </row>
        <row r="621">
          <cell r="A621" t="str">
            <v>IS_alqt_plus</v>
          </cell>
          <cell r="K621" t="str">
            <v>DMAD</v>
          </cell>
          <cell r="M621" t="str">
            <v>M</v>
          </cell>
          <cell r="AC621">
            <v>1.4</v>
          </cell>
        </row>
        <row r="622">
          <cell r="A622" t="str">
            <v>IS_alqt_plus</v>
          </cell>
          <cell r="K622" t="str">
            <v>CMED</v>
          </cell>
          <cell r="M622" t="str">
            <v>F</v>
          </cell>
          <cell r="AC622">
            <v>1</v>
          </cell>
        </row>
        <row r="623">
          <cell r="A623" t="str">
            <v>IS_alqt_plus</v>
          </cell>
          <cell r="K623" t="str">
            <v>CMED</v>
          </cell>
          <cell r="M623" t="str">
            <v>F</v>
          </cell>
          <cell r="AC623">
            <v>1</v>
          </cell>
        </row>
        <row r="624">
          <cell r="A624" t="str">
            <v>IS_alqt_plus</v>
          </cell>
          <cell r="K624" t="str">
            <v>DMAD</v>
          </cell>
          <cell r="M624" t="str">
            <v>F</v>
          </cell>
          <cell r="AC624">
            <v>1.3</v>
          </cell>
        </row>
        <row r="625">
          <cell r="A625" t="str">
            <v>IS_alqt_plus</v>
          </cell>
          <cell r="K625" t="str">
            <v>CMED</v>
          </cell>
          <cell r="M625" t="str">
            <v>F</v>
          </cell>
          <cell r="AC625">
            <v>0.9</v>
          </cell>
        </row>
        <row r="626">
          <cell r="A626" t="str">
            <v>IS_alqt_plus</v>
          </cell>
          <cell r="K626" t="str">
            <v>EFLA</v>
          </cell>
          <cell r="M626" t="str">
            <v>M</v>
          </cell>
          <cell r="AC626">
            <v>1</v>
          </cell>
        </row>
        <row r="627">
          <cell r="A627" t="str">
            <v>IS_alqt_plus</v>
          </cell>
          <cell r="K627" t="str">
            <v>EFLA</v>
          </cell>
          <cell r="M627" t="str">
            <v>M</v>
          </cell>
          <cell r="AC627">
            <v>1.3</v>
          </cell>
        </row>
        <row r="628">
          <cell r="A628" t="str">
            <v>IS_alqt_plus</v>
          </cell>
          <cell r="K628" t="str">
            <v>EFLA</v>
          </cell>
          <cell r="M628" t="str">
            <v>M</v>
          </cell>
          <cell r="AC628">
            <v>1.3</v>
          </cell>
        </row>
        <row r="629">
          <cell r="A629" t="str">
            <v>IS_alqt_plus</v>
          </cell>
          <cell r="K629" t="str">
            <v>EFLA</v>
          </cell>
          <cell r="M629" t="str">
            <v>M</v>
          </cell>
          <cell r="AC629">
            <v>1.5</v>
          </cell>
        </row>
        <row r="630">
          <cell r="A630" t="str">
            <v>unk</v>
          </cell>
          <cell r="K630" t="str">
            <v>VVV</v>
          </cell>
          <cell r="M630" t="str">
            <v>F</v>
          </cell>
          <cell r="AC630">
            <v>1.5</v>
          </cell>
        </row>
        <row r="631">
          <cell r="A631" t="str">
            <v>IS_alqt_plus</v>
          </cell>
          <cell r="K631" t="str">
            <v>EMON</v>
          </cell>
          <cell r="M631" t="str">
            <v>M</v>
          </cell>
          <cell r="AC631">
            <v>1.5</v>
          </cell>
        </row>
        <row r="632">
          <cell r="A632" t="str">
            <v>IS_alqt_plus</v>
          </cell>
          <cell r="K632" t="str">
            <v>EMON</v>
          </cell>
          <cell r="M632" t="str">
            <v>M</v>
          </cell>
          <cell r="AC632">
            <v>1</v>
          </cell>
        </row>
        <row r="633">
          <cell r="A633" t="str">
            <v>IS_alqt_plus</v>
          </cell>
          <cell r="K633" t="str">
            <v>DMAD</v>
          </cell>
          <cell r="M633" t="str">
            <v>F</v>
          </cell>
          <cell r="AC633">
            <v>1.3</v>
          </cell>
        </row>
        <row r="634">
          <cell r="A634" t="str">
            <v>IS_alqt_plus</v>
          </cell>
          <cell r="K634" t="str">
            <v>VVV</v>
          </cell>
          <cell r="M634" t="str">
            <v>F</v>
          </cell>
          <cell r="AC634">
            <v>1.2</v>
          </cell>
        </row>
        <row r="635">
          <cell r="A635" t="str">
            <v>IS_alqt_plus</v>
          </cell>
          <cell r="K635" t="str">
            <v>VVV</v>
          </cell>
          <cell r="M635" t="str">
            <v>F</v>
          </cell>
          <cell r="AC635">
            <v>1.2</v>
          </cell>
        </row>
        <row r="636">
          <cell r="A636" t="str">
            <v>IS_alqt_plus</v>
          </cell>
          <cell r="K636" t="str">
            <v>VVV</v>
          </cell>
          <cell r="M636" t="str">
            <v>F</v>
          </cell>
          <cell r="AC636">
            <v>1.2</v>
          </cell>
        </row>
        <row r="637">
          <cell r="A637" t="str">
            <v>IS_alqt_plus</v>
          </cell>
          <cell r="K637" t="str">
            <v>VVV</v>
          </cell>
          <cell r="M637" t="str">
            <v>F</v>
          </cell>
          <cell r="AC637">
            <v>1.2</v>
          </cell>
        </row>
        <row r="638">
          <cell r="A638" t="str">
            <v>IS_alqt_plus</v>
          </cell>
          <cell r="K638" t="str">
            <v>VVV</v>
          </cell>
          <cell r="M638" t="str">
            <v>F</v>
          </cell>
          <cell r="AC638">
            <v>1.2</v>
          </cell>
        </row>
        <row r="639">
          <cell r="A639" t="str">
            <v>IS_alqt_minus</v>
          </cell>
          <cell r="K639" t="str">
            <v>CMED</v>
          </cell>
          <cell r="M639" t="str">
            <v>M</v>
          </cell>
          <cell r="AC639">
            <v>0.3</v>
          </cell>
        </row>
        <row r="640">
          <cell r="A640" t="str">
            <v>unk</v>
          </cell>
          <cell r="K640" t="str">
            <v>CMED</v>
          </cell>
          <cell r="M640" t="str">
            <v>M</v>
          </cell>
          <cell r="AC640">
            <v>0.75</v>
          </cell>
        </row>
        <row r="641">
          <cell r="A641" t="str">
            <v>IS_alqt_plus</v>
          </cell>
          <cell r="K641" t="str">
            <v>EFLA</v>
          </cell>
          <cell r="M641" t="str">
            <v>M</v>
          </cell>
          <cell r="AC641">
            <v>1.2</v>
          </cell>
        </row>
        <row r="642">
          <cell r="A642" t="str">
            <v>IS_alqt_plus</v>
          </cell>
          <cell r="K642" t="str">
            <v>EFLA</v>
          </cell>
          <cell r="M642" t="str">
            <v>M</v>
          </cell>
          <cell r="AC642">
            <v>1.5</v>
          </cell>
        </row>
        <row r="643">
          <cell r="A643" t="str">
            <v>IS_alqt_plus</v>
          </cell>
          <cell r="K643" t="str">
            <v>EFLA</v>
          </cell>
          <cell r="M643" t="str">
            <v>M</v>
          </cell>
          <cell r="AC643">
            <v>1.5</v>
          </cell>
        </row>
        <row r="644">
          <cell r="A644" t="str">
            <v>IS_alqt_plus</v>
          </cell>
          <cell r="K644" t="str">
            <v>EFLA</v>
          </cell>
          <cell r="M644" t="str">
            <v>M</v>
          </cell>
          <cell r="AC644">
            <v>1.5</v>
          </cell>
        </row>
        <row r="645">
          <cell r="A645" t="str">
            <v>IS_alqt_plus</v>
          </cell>
          <cell r="K645" t="str">
            <v>PCOQ</v>
          </cell>
          <cell r="M645" t="str">
            <v>M</v>
          </cell>
          <cell r="AC645">
            <v>0.5</v>
          </cell>
        </row>
        <row r="646">
          <cell r="A646" t="str">
            <v>IS_alqt_plus</v>
          </cell>
          <cell r="K646" t="str">
            <v>PCOQ</v>
          </cell>
          <cell r="M646" t="str">
            <v>M</v>
          </cell>
          <cell r="AC646">
            <v>1.3</v>
          </cell>
        </row>
        <row r="647">
          <cell r="A647" t="str">
            <v>IS_alqt_plus</v>
          </cell>
          <cell r="K647" t="str">
            <v>PCOQ</v>
          </cell>
          <cell r="M647" t="str">
            <v>M</v>
          </cell>
          <cell r="AC647">
            <v>1.2</v>
          </cell>
        </row>
        <row r="648">
          <cell r="A648" t="str">
            <v>IS_alqt_plus</v>
          </cell>
          <cell r="K648" t="str">
            <v>PCOQ</v>
          </cell>
          <cell r="M648" t="str">
            <v>M</v>
          </cell>
          <cell r="AC648">
            <v>1.5</v>
          </cell>
        </row>
        <row r="649">
          <cell r="A649" t="str">
            <v>IS_alqt_plus</v>
          </cell>
          <cell r="K649" t="str">
            <v>PCOQ</v>
          </cell>
          <cell r="M649" t="str">
            <v>M</v>
          </cell>
          <cell r="AC649">
            <v>1.5</v>
          </cell>
        </row>
        <row r="650">
          <cell r="A650" t="str">
            <v>IS_alqt_plus</v>
          </cell>
          <cell r="K650" t="str">
            <v>DMAD</v>
          </cell>
          <cell r="M650" t="str">
            <v>F</v>
          </cell>
          <cell r="AC650">
            <v>1.2</v>
          </cell>
        </row>
        <row r="651">
          <cell r="A651" t="str">
            <v>IS_alqt_plus</v>
          </cell>
          <cell r="K651" t="str">
            <v>NPYG</v>
          </cell>
          <cell r="M651" t="str">
            <v>M</v>
          </cell>
          <cell r="AC651">
            <v>1.2</v>
          </cell>
        </row>
        <row r="652">
          <cell r="A652" t="str">
            <v>IS_alqt_plus</v>
          </cell>
          <cell r="K652" t="str">
            <v>DMAD</v>
          </cell>
          <cell r="M652" t="str">
            <v>M</v>
          </cell>
          <cell r="AC652">
            <v>1.5</v>
          </cell>
        </row>
        <row r="653">
          <cell r="A653" t="str">
            <v>IS_alqt_plus</v>
          </cell>
          <cell r="K653" t="str">
            <v>DMAD</v>
          </cell>
          <cell r="M653" t="str">
            <v>M</v>
          </cell>
          <cell r="AC653">
            <v>0.8</v>
          </cell>
        </row>
        <row r="654">
          <cell r="A654" t="str">
            <v>IS_alqt_plus</v>
          </cell>
          <cell r="K654" t="str">
            <v>VVV</v>
          </cell>
          <cell r="M654" t="str">
            <v>F</v>
          </cell>
          <cell r="AC654">
            <v>1.2</v>
          </cell>
        </row>
        <row r="655">
          <cell r="A655" t="str">
            <v>IS_alqt_plus</v>
          </cell>
          <cell r="K655" t="str">
            <v>VVV</v>
          </cell>
          <cell r="M655" t="str">
            <v>F</v>
          </cell>
          <cell r="AC655">
            <v>1.2</v>
          </cell>
        </row>
        <row r="656">
          <cell r="A656" t="str">
            <v>IS_alqt_plus</v>
          </cell>
          <cell r="K656" t="str">
            <v>DMAD</v>
          </cell>
          <cell r="M656" t="str">
            <v>M</v>
          </cell>
          <cell r="AC656">
            <v>1.5</v>
          </cell>
        </row>
        <row r="657">
          <cell r="A657" t="str">
            <v>IS_alqt_plus</v>
          </cell>
          <cell r="K657" t="str">
            <v>CMED</v>
          </cell>
          <cell r="M657" t="str">
            <v>M</v>
          </cell>
          <cell r="AC657">
            <v>1.5</v>
          </cell>
        </row>
        <row r="658">
          <cell r="A658" t="str">
            <v>IS_alqt_plus</v>
          </cell>
          <cell r="K658" t="str">
            <v>CMED</v>
          </cell>
          <cell r="M658" t="str">
            <v>M</v>
          </cell>
          <cell r="AC658">
            <v>0.75</v>
          </cell>
        </row>
        <row r="659">
          <cell r="A659" t="str">
            <v>IS_alqt_plus</v>
          </cell>
          <cell r="K659" t="str">
            <v>CMED</v>
          </cell>
          <cell r="M659" t="str">
            <v>M</v>
          </cell>
          <cell r="AC659">
            <v>0.5</v>
          </cell>
        </row>
        <row r="660">
          <cell r="A660" t="str">
            <v>IS_alqt_plus</v>
          </cell>
          <cell r="K660" t="str">
            <v>ECOL</v>
          </cell>
          <cell r="M660" t="str">
            <v>M</v>
          </cell>
          <cell r="AC660">
            <v>1.5</v>
          </cell>
        </row>
        <row r="661">
          <cell r="A661" t="str">
            <v>IS_alqt_plus</v>
          </cell>
          <cell r="K661" t="str">
            <v>PCOQ</v>
          </cell>
          <cell r="M661" t="str">
            <v>F</v>
          </cell>
          <cell r="AC661">
            <v>1.5</v>
          </cell>
        </row>
        <row r="662">
          <cell r="A662" t="str">
            <v>IS_alqt_plus</v>
          </cell>
          <cell r="K662" t="str">
            <v>PCOQ</v>
          </cell>
          <cell r="M662" t="str">
            <v>F</v>
          </cell>
          <cell r="AC662">
            <v>0.5</v>
          </cell>
        </row>
        <row r="663">
          <cell r="A663" t="str">
            <v>IS_alqt_plus</v>
          </cell>
          <cell r="K663" t="str">
            <v>NPYG</v>
          </cell>
          <cell r="M663" t="str">
            <v>F</v>
          </cell>
          <cell r="AC663">
            <v>1</v>
          </cell>
        </row>
        <row r="664">
          <cell r="A664" t="str">
            <v>IS_alqt_plus</v>
          </cell>
          <cell r="K664" t="str">
            <v>NPYG</v>
          </cell>
          <cell r="M664" t="str">
            <v>F</v>
          </cell>
          <cell r="AC664">
            <v>1.25</v>
          </cell>
        </row>
        <row r="665">
          <cell r="A665" t="str">
            <v>IS_alqt_plus</v>
          </cell>
          <cell r="K665" t="str">
            <v>NPYG</v>
          </cell>
          <cell r="M665" t="str">
            <v>M</v>
          </cell>
          <cell r="AC665">
            <v>1</v>
          </cell>
        </row>
        <row r="666">
          <cell r="A666" t="str">
            <v>IS_alqt_plus</v>
          </cell>
          <cell r="K666" t="str">
            <v>NPYG</v>
          </cell>
          <cell r="M666" t="str">
            <v>M</v>
          </cell>
          <cell r="AC666">
            <v>1.2</v>
          </cell>
        </row>
        <row r="667">
          <cell r="A667" t="str">
            <v>IS_alqt_minus</v>
          </cell>
          <cell r="K667" t="str">
            <v>EMAC</v>
          </cell>
          <cell r="M667" t="str">
            <v>M</v>
          </cell>
          <cell r="AC667">
            <v>0.25</v>
          </cell>
        </row>
        <row r="668">
          <cell r="A668" t="str">
            <v>IS_alqt_plus</v>
          </cell>
          <cell r="K668" t="str">
            <v>EMAC</v>
          </cell>
          <cell r="M668" t="str">
            <v>M</v>
          </cell>
          <cell r="AC668">
            <v>0.5</v>
          </cell>
        </row>
        <row r="669">
          <cell r="A669" t="str">
            <v>IS_alqt_plus</v>
          </cell>
          <cell r="K669" t="str">
            <v>PCOQ</v>
          </cell>
          <cell r="M669" t="str">
            <v>M</v>
          </cell>
          <cell r="AC669">
            <v>1.5</v>
          </cell>
        </row>
        <row r="670">
          <cell r="A670" t="str">
            <v>IS_alqt_plus</v>
          </cell>
          <cell r="K670" t="str">
            <v>PCOQ</v>
          </cell>
          <cell r="M670" t="str">
            <v>M</v>
          </cell>
          <cell r="AC670">
            <v>1.5</v>
          </cell>
        </row>
        <row r="671">
          <cell r="A671" t="str">
            <v>IS_alqt_plus</v>
          </cell>
          <cell r="K671" t="str">
            <v>DMAD</v>
          </cell>
          <cell r="M671" t="str">
            <v>M</v>
          </cell>
          <cell r="AC671">
            <v>1</v>
          </cell>
        </row>
        <row r="672">
          <cell r="A672" t="str">
            <v>IS_alqt_minus</v>
          </cell>
          <cell r="K672" t="str">
            <v>PCOQ</v>
          </cell>
          <cell r="M672" t="str">
            <v>F</v>
          </cell>
          <cell r="AC672">
            <v>0.4</v>
          </cell>
        </row>
        <row r="673">
          <cell r="A673" t="str">
            <v>IS_alqt_plus</v>
          </cell>
          <cell r="K673" t="str">
            <v>PCOQ</v>
          </cell>
          <cell r="M673" t="str">
            <v>M</v>
          </cell>
          <cell r="AC673">
            <v>1.5</v>
          </cell>
        </row>
        <row r="674">
          <cell r="A674" t="str">
            <v>IS_alqt_plus</v>
          </cell>
          <cell r="K674" t="str">
            <v>VVV</v>
          </cell>
          <cell r="M674" t="str">
            <v>F</v>
          </cell>
          <cell r="AC674">
            <v>1.2</v>
          </cell>
        </row>
        <row r="675">
          <cell r="A675" t="str">
            <v>IS_alqt_plus</v>
          </cell>
          <cell r="K675" t="str">
            <v>VVV</v>
          </cell>
          <cell r="M675" t="str">
            <v>F</v>
          </cell>
          <cell r="AC675">
            <v>1.2</v>
          </cell>
        </row>
        <row r="676">
          <cell r="A676" t="str">
            <v>IS_alqt_plus</v>
          </cell>
          <cell r="K676" t="str">
            <v>VVV</v>
          </cell>
          <cell r="M676" t="str">
            <v>F</v>
          </cell>
          <cell r="AC676">
            <v>1.2</v>
          </cell>
        </row>
        <row r="677">
          <cell r="A677" t="str">
            <v>IS_alqt_plus</v>
          </cell>
          <cell r="K677" t="str">
            <v>LCAT</v>
          </cell>
          <cell r="M677" t="str">
            <v>M</v>
          </cell>
          <cell r="AC677">
            <v>0.5</v>
          </cell>
        </row>
        <row r="678">
          <cell r="A678" t="str">
            <v>IS_alqt_plus</v>
          </cell>
          <cell r="K678" t="str">
            <v>LCAT</v>
          </cell>
          <cell r="M678" t="str">
            <v>M</v>
          </cell>
          <cell r="AC678">
            <v>1.5</v>
          </cell>
        </row>
        <row r="679">
          <cell r="A679" t="str">
            <v>IS_alqt_plus</v>
          </cell>
          <cell r="K679" t="str">
            <v>LCAT</v>
          </cell>
          <cell r="M679" t="str">
            <v>M</v>
          </cell>
          <cell r="AC679">
            <v>1.5</v>
          </cell>
        </row>
        <row r="680">
          <cell r="A680" t="str">
            <v>IS_alqt_plus</v>
          </cell>
          <cell r="K680" t="str">
            <v>DMAD</v>
          </cell>
          <cell r="M680" t="str">
            <v>M</v>
          </cell>
          <cell r="AC680">
            <v>1.2</v>
          </cell>
        </row>
        <row r="681">
          <cell r="A681" t="str">
            <v>IS_alqt_plus</v>
          </cell>
          <cell r="K681" t="str">
            <v>PCOQ</v>
          </cell>
          <cell r="M681" t="str">
            <v>F</v>
          </cell>
          <cell r="AC681">
            <v>1.5</v>
          </cell>
        </row>
        <row r="682">
          <cell r="A682" t="str">
            <v>IS_alqt_minus</v>
          </cell>
          <cell r="K682" t="str">
            <v>NPYG</v>
          </cell>
          <cell r="M682" t="str">
            <v>F</v>
          </cell>
          <cell r="AC682">
            <v>0.3</v>
          </cell>
        </row>
        <row r="683">
          <cell r="A683" t="str">
            <v>IS_alqt_plus</v>
          </cell>
          <cell r="K683" t="str">
            <v>NPYG</v>
          </cell>
          <cell r="M683" t="str">
            <v>F</v>
          </cell>
          <cell r="AC683">
            <v>1.6</v>
          </cell>
        </row>
        <row r="684">
          <cell r="A684" t="str">
            <v>IS_alqt_plus</v>
          </cell>
          <cell r="K684" t="str">
            <v>NPYG</v>
          </cell>
          <cell r="M684" t="str">
            <v>F</v>
          </cell>
          <cell r="AC684">
            <v>1.6</v>
          </cell>
        </row>
        <row r="685">
          <cell r="A685" t="str">
            <v>IS_alqt_plus</v>
          </cell>
          <cell r="K685" t="str">
            <v>NPYG</v>
          </cell>
          <cell r="M685" t="str">
            <v>F</v>
          </cell>
          <cell r="AC685">
            <v>0.7</v>
          </cell>
        </row>
        <row r="686">
          <cell r="A686" t="str">
            <v>IS_alqt_plus</v>
          </cell>
          <cell r="K686" t="str">
            <v>NPYG</v>
          </cell>
          <cell r="M686" t="str">
            <v>M</v>
          </cell>
          <cell r="AC686">
            <v>0.5</v>
          </cell>
        </row>
        <row r="687">
          <cell r="A687" t="str">
            <v>gone</v>
          </cell>
          <cell r="K687" t="str">
            <v>LCAT</v>
          </cell>
          <cell r="M687" t="str">
            <v>M</v>
          </cell>
          <cell r="AC687">
            <v>0</v>
          </cell>
        </row>
        <row r="688">
          <cell r="A688" t="str">
            <v>IS_alqt_plus</v>
          </cell>
          <cell r="K688" t="str">
            <v>ERUB</v>
          </cell>
          <cell r="M688" t="str">
            <v>M</v>
          </cell>
          <cell r="AC688">
            <v>1</v>
          </cell>
        </row>
        <row r="689">
          <cell r="A689" t="str">
            <v>IS_alqt_plus</v>
          </cell>
          <cell r="K689" t="str">
            <v>ERUB</v>
          </cell>
          <cell r="M689" t="str">
            <v>M</v>
          </cell>
          <cell r="AC689">
            <v>1</v>
          </cell>
        </row>
        <row r="690">
          <cell r="A690" t="str">
            <v>IS_alqt_plus</v>
          </cell>
          <cell r="K690" t="str">
            <v>NCOU</v>
          </cell>
          <cell r="M690" t="str">
            <v>F</v>
          </cell>
          <cell r="AC690">
            <v>1.5</v>
          </cell>
        </row>
        <row r="691">
          <cell r="A691" t="str">
            <v>unk</v>
          </cell>
          <cell r="K691" t="str">
            <v>DMAD</v>
          </cell>
          <cell r="M691" t="str">
            <v>M</v>
          </cell>
          <cell r="AC691">
            <v>5</v>
          </cell>
        </row>
        <row r="692">
          <cell r="A692" t="str">
            <v>IS_alqt_plus</v>
          </cell>
          <cell r="K692" t="str">
            <v>LCAT</v>
          </cell>
          <cell r="M692" t="str">
            <v>M</v>
          </cell>
          <cell r="AC692">
            <v>0.5</v>
          </cell>
        </row>
        <row r="693">
          <cell r="A693" t="str">
            <v>IS_alqt_plus</v>
          </cell>
          <cell r="K693" t="str">
            <v>CMED</v>
          </cell>
          <cell r="M693" t="str">
            <v>M</v>
          </cell>
          <cell r="AC693">
            <v>0.5</v>
          </cell>
        </row>
        <row r="694">
          <cell r="A694" t="str">
            <v>IS_alqt_plus</v>
          </cell>
          <cell r="K694" t="str">
            <v>DMAD</v>
          </cell>
          <cell r="M694" t="str">
            <v>F</v>
          </cell>
          <cell r="AC694">
            <v>1.25</v>
          </cell>
        </row>
        <row r="695">
          <cell r="A695" t="str">
            <v>IS_alqt_plus</v>
          </cell>
          <cell r="K695" t="str">
            <v>ECOR</v>
          </cell>
          <cell r="M695" t="str">
            <v>F</v>
          </cell>
          <cell r="AC695">
            <v>1</v>
          </cell>
        </row>
        <row r="696">
          <cell r="A696" t="str">
            <v>IS_alqt_minus</v>
          </cell>
          <cell r="K696" t="str">
            <v>LCAT</v>
          </cell>
          <cell r="M696" t="str">
            <v>M</v>
          </cell>
          <cell r="AC696">
            <v>0.2</v>
          </cell>
        </row>
        <row r="697">
          <cell r="A697" t="str">
            <v>IS_alqt_plus</v>
          </cell>
          <cell r="K697" t="str">
            <v>LCAT</v>
          </cell>
          <cell r="M697" t="str">
            <v>M</v>
          </cell>
          <cell r="AC697">
            <v>0.5</v>
          </cell>
        </row>
        <row r="698">
          <cell r="A698" t="str">
            <v>IS_alqt_plus</v>
          </cell>
          <cell r="K698" t="str">
            <v>PCOQ</v>
          </cell>
          <cell r="M698" t="str">
            <v>M</v>
          </cell>
          <cell r="AC698">
            <v>1</v>
          </cell>
        </row>
        <row r="699">
          <cell r="A699" t="str">
            <v>IS_alqt_plus</v>
          </cell>
          <cell r="K699" t="str">
            <v>PCOQ</v>
          </cell>
          <cell r="M699" t="str">
            <v>M</v>
          </cell>
          <cell r="AC699">
            <v>1.3</v>
          </cell>
        </row>
        <row r="700">
          <cell r="A700" t="str">
            <v>IS_alqt_plus</v>
          </cell>
          <cell r="K700" t="str">
            <v>PCOQ</v>
          </cell>
          <cell r="M700" t="str">
            <v>M</v>
          </cell>
          <cell r="AC700">
            <v>1.5</v>
          </cell>
        </row>
        <row r="701">
          <cell r="A701" t="str">
            <v>IS_alqt_minus</v>
          </cell>
          <cell r="K701" t="str">
            <v>LCAT</v>
          </cell>
          <cell r="M701" t="str">
            <v>M</v>
          </cell>
          <cell r="AC701">
            <v>0.2</v>
          </cell>
        </row>
        <row r="702">
          <cell r="A702" t="str">
            <v>IS_alqt_plus</v>
          </cell>
          <cell r="K702" t="str">
            <v>LCAT</v>
          </cell>
          <cell r="M702" t="str">
            <v>M</v>
          </cell>
          <cell r="AC702">
            <v>0.5</v>
          </cell>
        </row>
        <row r="703">
          <cell r="A703" t="str">
            <v>IS_alqt_plus</v>
          </cell>
          <cell r="K703" t="str">
            <v>EMON</v>
          </cell>
          <cell r="M703" t="str">
            <v>M</v>
          </cell>
          <cell r="AC703">
            <v>0.8</v>
          </cell>
        </row>
        <row r="704">
          <cell r="A704" t="str">
            <v>IS_alqt_plus</v>
          </cell>
          <cell r="K704" t="str">
            <v>DMAD</v>
          </cell>
          <cell r="M704" t="str">
            <v>F</v>
          </cell>
          <cell r="AC704">
            <v>1.5</v>
          </cell>
        </row>
        <row r="705">
          <cell r="A705" t="str">
            <v>unk</v>
          </cell>
          <cell r="K705" t="str">
            <v>DMAD</v>
          </cell>
          <cell r="M705" t="str">
            <v>F</v>
          </cell>
          <cell r="AC705">
            <v>3</v>
          </cell>
        </row>
        <row r="706">
          <cell r="A706" t="str">
            <v>IS_alqt_plus</v>
          </cell>
          <cell r="K706" t="str">
            <v>PCOQ</v>
          </cell>
          <cell r="M706" t="str">
            <v>F</v>
          </cell>
          <cell r="AC706">
            <v>1.5</v>
          </cell>
        </row>
        <row r="707">
          <cell r="A707" t="str">
            <v>IS_alqt_plus</v>
          </cell>
          <cell r="K707" t="str">
            <v>LTAR</v>
          </cell>
          <cell r="M707" t="str">
            <v>F</v>
          </cell>
          <cell r="AC707">
            <v>1.2</v>
          </cell>
        </row>
        <row r="708">
          <cell r="A708" t="str">
            <v>IS_alqt_plus</v>
          </cell>
          <cell r="K708" t="str">
            <v>PCOQ</v>
          </cell>
          <cell r="M708" t="str">
            <v>M</v>
          </cell>
          <cell r="AC708">
            <v>1</v>
          </cell>
        </row>
        <row r="709">
          <cell r="A709" t="str">
            <v>unk</v>
          </cell>
          <cell r="K709" t="str">
            <v>ECOR</v>
          </cell>
          <cell r="M709" t="str">
            <v>F</v>
          </cell>
          <cell r="AC709">
            <v>5</v>
          </cell>
        </row>
        <row r="710">
          <cell r="A710" t="str">
            <v>IS_alqt_plus</v>
          </cell>
          <cell r="K710" t="str">
            <v>CMED</v>
          </cell>
          <cell r="M710" t="str">
            <v>M</v>
          </cell>
          <cell r="AC710">
            <v>0.5</v>
          </cell>
        </row>
        <row r="711">
          <cell r="A711" t="str">
            <v>IS_alqt_plus</v>
          </cell>
          <cell r="K711" t="str">
            <v>PCOQ</v>
          </cell>
          <cell r="M711" t="str">
            <v>M</v>
          </cell>
          <cell r="AC711">
            <v>1</v>
          </cell>
        </row>
        <row r="712">
          <cell r="A712" t="str">
            <v>IS_alqt_plus</v>
          </cell>
          <cell r="K712" t="str">
            <v>LCAT</v>
          </cell>
          <cell r="M712" t="str">
            <v>M</v>
          </cell>
          <cell r="AC712">
            <v>0.5</v>
          </cell>
        </row>
        <row r="713">
          <cell r="A713" t="str">
            <v>IS_alqt_plus</v>
          </cell>
          <cell r="K713" t="str">
            <v>CMED</v>
          </cell>
          <cell r="M713" t="str">
            <v>M</v>
          </cell>
          <cell r="AC713">
            <v>0.5</v>
          </cell>
        </row>
        <row r="714">
          <cell r="A714" t="str">
            <v>IS_alqt_minus</v>
          </cell>
          <cell r="K714" t="str">
            <v>LCAT</v>
          </cell>
          <cell r="M714" t="str">
            <v>M</v>
          </cell>
          <cell r="AC714">
            <v>0.2</v>
          </cell>
        </row>
        <row r="715">
          <cell r="A715" t="str">
            <v>IS_alqt_plus</v>
          </cell>
          <cell r="K715" t="str">
            <v>NPYG</v>
          </cell>
          <cell r="M715" t="str">
            <v>M</v>
          </cell>
          <cell r="AC715">
            <v>1.25</v>
          </cell>
        </row>
        <row r="716">
          <cell r="A716" t="str">
            <v>IS_alqt_minus</v>
          </cell>
          <cell r="K716" t="str">
            <v>LCAT</v>
          </cell>
          <cell r="M716" t="str">
            <v>M</v>
          </cell>
          <cell r="AC716">
            <v>0.2</v>
          </cell>
        </row>
        <row r="717">
          <cell r="A717" t="str">
            <v>IS_alqt_minus</v>
          </cell>
          <cell r="K717" t="str">
            <v>LCAT</v>
          </cell>
          <cell r="M717" t="str">
            <v>M</v>
          </cell>
          <cell r="AC717">
            <v>0.2</v>
          </cell>
        </row>
        <row r="718">
          <cell r="A718" t="str">
            <v>IS_alqt_plus</v>
          </cell>
          <cell r="K718" t="str">
            <v>ECOR</v>
          </cell>
          <cell r="M718" t="str">
            <v>M</v>
          </cell>
          <cell r="AC718">
            <v>1.5</v>
          </cell>
        </row>
        <row r="719">
          <cell r="A719" t="str">
            <v>IS_alqt_plus</v>
          </cell>
          <cell r="K719" t="str">
            <v>EFLA</v>
          </cell>
          <cell r="M719" t="str">
            <v>M</v>
          </cell>
          <cell r="AC719">
            <v>0.75</v>
          </cell>
        </row>
        <row r="720">
          <cell r="A720" t="str">
            <v>IS_alqt_plus</v>
          </cell>
          <cell r="K720" t="str">
            <v>CMED</v>
          </cell>
          <cell r="M720" t="str">
            <v>M</v>
          </cell>
          <cell r="AC720">
            <v>0.5</v>
          </cell>
        </row>
        <row r="721">
          <cell r="A721" t="str">
            <v>IS_alqt_plus</v>
          </cell>
          <cell r="K721" t="str">
            <v>CMED</v>
          </cell>
          <cell r="M721" t="str">
            <v>M</v>
          </cell>
          <cell r="AC721">
            <v>0.5</v>
          </cell>
        </row>
        <row r="722">
          <cell r="A722" t="str">
            <v>IS_alqt_minus</v>
          </cell>
          <cell r="K722" t="str">
            <v>LCAT</v>
          </cell>
          <cell r="M722" t="str">
            <v>M</v>
          </cell>
          <cell r="AC722">
            <v>0.2</v>
          </cell>
        </row>
        <row r="723">
          <cell r="A723" t="str">
            <v>unk</v>
          </cell>
          <cell r="K723" t="str">
            <v>LCAT</v>
          </cell>
          <cell r="M723" t="str">
            <v>M</v>
          </cell>
          <cell r="AC723">
            <v>1</v>
          </cell>
        </row>
        <row r="724">
          <cell r="A724" t="str">
            <v>IS_alqt_plus</v>
          </cell>
          <cell r="K724" t="str">
            <v>DMAD</v>
          </cell>
          <cell r="M724" t="str">
            <v>F</v>
          </cell>
          <cell r="AC724">
            <v>1.25</v>
          </cell>
        </row>
        <row r="725">
          <cell r="A725" t="str">
            <v>IS_alqt_plus</v>
          </cell>
          <cell r="K725" t="str">
            <v>DMAD</v>
          </cell>
          <cell r="M725" t="str">
            <v>F</v>
          </cell>
          <cell r="AC725">
            <v>1.25</v>
          </cell>
        </row>
        <row r="726">
          <cell r="A726" t="str">
            <v>unk</v>
          </cell>
          <cell r="K726" t="str">
            <v>LCAT</v>
          </cell>
          <cell r="M726" t="str">
            <v>M</v>
          </cell>
          <cell r="AC726">
            <v>1</v>
          </cell>
        </row>
        <row r="727">
          <cell r="A727" t="str">
            <v>unk</v>
          </cell>
          <cell r="K727" t="str">
            <v>LCAT</v>
          </cell>
          <cell r="M727" t="str">
            <v>M</v>
          </cell>
          <cell r="AC727">
            <v>1</v>
          </cell>
        </row>
        <row r="728">
          <cell r="A728" t="str">
            <v>IS_alqt_plus</v>
          </cell>
          <cell r="K728" t="str">
            <v>DMAD</v>
          </cell>
          <cell r="M728" t="str">
            <v>F</v>
          </cell>
          <cell r="AC728">
            <v>1.3</v>
          </cell>
        </row>
        <row r="729">
          <cell r="A729" t="str">
            <v>IS_alqt_plus</v>
          </cell>
          <cell r="K729" t="str">
            <v>DMAD</v>
          </cell>
          <cell r="M729" t="str">
            <v>F</v>
          </cell>
          <cell r="AC729">
            <v>1</v>
          </cell>
        </row>
        <row r="730">
          <cell r="A730" t="str">
            <v>IS_alqt_plus</v>
          </cell>
          <cell r="K730" t="str">
            <v>DMAD</v>
          </cell>
          <cell r="M730" t="str">
            <v>F</v>
          </cell>
          <cell r="AC730">
            <v>1.6</v>
          </cell>
        </row>
        <row r="731">
          <cell r="A731" t="str">
            <v>IS_alqt_plus</v>
          </cell>
          <cell r="K731" t="str">
            <v>EMON</v>
          </cell>
          <cell r="M731" t="str">
            <v>F</v>
          </cell>
          <cell r="AC731">
            <v>1</v>
          </cell>
        </row>
        <row r="732">
          <cell r="A732" t="str">
            <v>unk</v>
          </cell>
          <cell r="K732" t="str">
            <v>LCAT</v>
          </cell>
          <cell r="M732" t="str">
            <v>M</v>
          </cell>
          <cell r="AC732">
            <v>2</v>
          </cell>
        </row>
        <row r="733">
          <cell r="A733" t="str">
            <v>unk</v>
          </cell>
          <cell r="K733" t="str">
            <v>LCAT</v>
          </cell>
          <cell r="M733" t="str">
            <v>M</v>
          </cell>
          <cell r="AC733">
            <v>2</v>
          </cell>
        </row>
        <row r="734">
          <cell r="A734" t="str">
            <v>IS_alqt_plus</v>
          </cell>
          <cell r="K734" t="str">
            <v>DMAD</v>
          </cell>
          <cell r="M734" t="str">
            <v>M</v>
          </cell>
          <cell r="AC734">
            <v>1.5</v>
          </cell>
        </row>
        <row r="735">
          <cell r="A735" t="str">
            <v>unk</v>
          </cell>
          <cell r="K735" t="str">
            <v>LCAT</v>
          </cell>
          <cell r="M735" t="str">
            <v>M</v>
          </cell>
          <cell r="AC735">
            <v>0.5</v>
          </cell>
        </row>
        <row r="736">
          <cell r="A736" t="str">
            <v>IS_alqt_plus</v>
          </cell>
          <cell r="K736" t="str">
            <v>EFLA</v>
          </cell>
          <cell r="M736" t="str">
            <v>M</v>
          </cell>
          <cell r="AC736">
            <v>1</v>
          </cell>
        </row>
        <row r="737">
          <cell r="A737" t="str">
            <v>IS_alqt_plus</v>
          </cell>
          <cell r="K737" t="str">
            <v>PCOQ</v>
          </cell>
          <cell r="M737" t="str">
            <v>F</v>
          </cell>
          <cell r="AC737">
            <v>1.5</v>
          </cell>
        </row>
        <row r="738">
          <cell r="A738" t="str">
            <v>IS_alqt_plus</v>
          </cell>
          <cell r="K738" t="str">
            <v>PCOQ</v>
          </cell>
          <cell r="M738" t="str">
            <v>F</v>
          </cell>
          <cell r="AC738">
            <v>1.5</v>
          </cell>
        </row>
        <row r="739">
          <cell r="A739" t="str">
            <v>IS_alqt_plus</v>
          </cell>
          <cell r="K739" t="str">
            <v>PCOQ</v>
          </cell>
          <cell r="M739" t="str">
            <v>F</v>
          </cell>
          <cell r="AC739">
            <v>0.5</v>
          </cell>
        </row>
        <row r="740">
          <cell r="A740" t="str">
            <v>IS_alqt_plus</v>
          </cell>
          <cell r="K740" t="str">
            <v>EFLA</v>
          </cell>
          <cell r="M740" t="str">
            <v>F</v>
          </cell>
          <cell r="AC740">
            <v>0.5</v>
          </cell>
        </row>
        <row r="741">
          <cell r="A741" t="str">
            <v>IS_alqt_plus</v>
          </cell>
          <cell r="K741" t="str">
            <v>PCOQ</v>
          </cell>
          <cell r="M741" t="str">
            <v>M</v>
          </cell>
          <cell r="AC741">
            <v>1</v>
          </cell>
        </row>
        <row r="742">
          <cell r="A742" t="str">
            <v>IS_alqt_plus</v>
          </cell>
          <cell r="K742" t="str">
            <v>PCOQ</v>
          </cell>
          <cell r="M742" t="str">
            <v>M</v>
          </cell>
          <cell r="AC742">
            <v>1.5</v>
          </cell>
        </row>
        <row r="743">
          <cell r="A743" t="str">
            <v>IS_alqt_plus</v>
          </cell>
          <cell r="K743" t="str">
            <v>PCOQ</v>
          </cell>
          <cell r="M743" t="str">
            <v>M</v>
          </cell>
          <cell r="AC743">
            <v>1.6</v>
          </cell>
        </row>
        <row r="744">
          <cell r="A744" t="str">
            <v>unk</v>
          </cell>
          <cell r="K744" t="str">
            <v>PCOQ</v>
          </cell>
          <cell r="M744" t="str">
            <v>M</v>
          </cell>
          <cell r="AC744">
            <v>5</v>
          </cell>
        </row>
        <row r="745">
          <cell r="A745" t="str">
            <v>IS_alqt_plus</v>
          </cell>
          <cell r="K745" t="str">
            <v>DMAD</v>
          </cell>
          <cell r="M745" t="str">
            <v>F</v>
          </cell>
          <cell r="AC745">
            <v>1</v>
          </cell>
        </row>
        <row r="746">
          <cell r="A746" t="str">
            <v>IS_alqt_plus</v>
          </cell>
          <cell r="K746" t="str">
            <v>LTAR</v>
          </cell>
          <cell r="M746" t="str">
            <v>F</v>
          </cell>
          <cell r="AC746">
            <v>0.75</v>
          </cell>
        </row>
        <row r="747">
          <cell r="A747" t="str">
            <v>IS_alqt_plus</v>
          </cell>
          <cell r="K747" t="str">
            <v>ECOL</v>
          </cell>
          <cell r="M747" t="str">
            <v>M</v>
          </cell>
          <cell r="AC747">
            <v>1.5</v>
          </cell>
        </row>
        <row r="748">
          <cell r="A748" t="str">
            <v>gone</v>
          </cell>
          <cell r="K748" t="str">
            <v>ECOL</v>
          </cell>
          <cell r="M748" t="str">
            <v>M</v>
          </cell>
          <cell r="AC748">
            <v>0</v>
          </cell>
        </row>
        <row r="749">
          <cell r="A749" t="str">
            <v>unk</v>
          </cell>
          <cell r="K749" t="str">
            <v>PCOQ</v>
          </cell>
          <cell r="M749" t="str">
            <v>F</v>
          </cell>
          <cell r="AC749">
            <v>3</v>
          </cell>
        </row>
        <row r="750">
          <cell r="A750" t="str">
            <v>IS_alqt_plus</v>
          </cell>
          <cell r="K750" t="str">
            <v>PCOQ</v>
          </cell>
          <cell r="M750" t="str">
            <v>F</v>
          </cell>
          <cell r="AC750">
            <v>1.6</v>
          </cell>
        </row>
        <row r="751">
          <cell r="A751" t="str">
            <v>IS_alqt_plus</v>
          </cell>
          <cell r="K751" t="str">
            <v>PCOQ</v>
          </cell>
          <cell r="M751" t="str">
            <v>F</v>
          </cell>
          <cell r="AC751">
            <v>1.5</v>
          </cell>
        </row>
        <row r="752">
          <cell r="A752" t="str">
            <v>IS_alqt_plus</v>
          </cell>
          <cell r="K752" t="str">
            <v>DMAD</v>
          </cell>
          <cell r="M752" t="str">
            <v>F</v>
          </cell>
          <cell r="AC752">
            <v>1.5</v>
          </cell>
        </row>
        <row r="753">
          <cell r="A753" t="str">
            <v>IS_alqt_plus</v>
          </cell>
          <cell r="K753" t="str">
            <v>DMAD</v>
          </cell>
          <cell r="M753" t="str">
            <v>F</v>
          </cell>
          <cell r="AC753">
            <v>1.5</v>
          </cell>
        </row>
        <row r="754">
          <cell r="A754" t="str">
            <v>IS_alqt_plus</v>
          </cell>
          <cell r="K754" t="str">
            <v>DMAD</v>
          </cell>
          <cell r="M754" t="str">
            <v>F</v>
          </cell>
          <cell r="AC754">
            <v>1.5</v>
          </cell>
        </row>
        <row r="755">
          <cell r="A755" t="str">
            <v>IS_alqt_plus</v>
          </cell>
          <cell r="K755" t="str">
            <v>CMED</v>
          </cell>
          <cell r="M755" t="str">
            <v>M</v>
          </cell>
          <cell r="AC755">
            <v>0.7</v>
          </cell>
        </row>
        <row r="756">
          <cell r="A756" t="str">
            <v>IS_alqt_plus</v>
          </cell>
          <cell r="K756" t="str">
            <v>NPYG</v>
          </cell>
          <cell r="M756" t="str">
            <v>M</v>
          </cell>
          <cell r="AC756">
            <v>0.6</v>
          </cell>
        </row>
        <row r="757">
          <cell r="A757" t="str">
            <v>IS_alqt_plus</v>
          </cell>
          <cell r="K757" t="str">
            <v>DMAD</v>
          </cell>
          <cell r="M757" t="str">
            <v>F</v>
          </cell>
          <cell r="AC757">
            <v>1.5</v>
          </cell>
        </row>
        <row r="758">
          <cell r="A758" t="str">
            <v>IS_alqt_plus</v>
          </cell>
          <cell r="K758" t="str">
            <v>DMAD</v>
          </cell>
          <cell r="M758" t="str">
            <v>F</v>
          </cell>
          <cell r="AC758">
            <v>1.6</v>
          </cell>
        </row>
        <row r="759">
          <cell r="A759" t="str">
            <v>IS_alqt_plus</v>
          </cell>
          <cell r="K759" t="str">
            <v>DMAD</v>
          </cell>
          <cell r="M759" t="str">
            <v>F</v>
          </cell>
          <cell r="AC759">
            <v>1.6</v>
          </cell>
        </row>
        <row r="760">
          <cell r="A760" t="str">
            <v>IS_alqt_plus</v>
          </cell>
          <cell r="K760" t="str">
            <v>DMAD</v>
          </cell>
          <cell r="M760" t="str">
            <v>F</v>
          </cell>
          <cell r="AC760">
            <v>1.8</v>
          </cell>
        </row>
        <row r="761">
          <cell r="A761" t="str">
            <v>IS_alqt_plus</v>
          </cell>
          <cell r="K761" t="str">
            <v>DMAD</v>
          </cell>
          <cell r="M761" t="str">
            <v>F</v>
          </cell>
          <cell r="AC761">
            <v>1.5</v>
          </cell>
        </row>
        <row r="762">
          <cell r="A762" t="str">
            <v>IS_alqt_plus</v>
          </cell>
          <cell r="K762" t="str">
            <v>CMED</v>
          </cell>
          <cell r="M762" t="str">
            <v>M</v>
          </cell>
          <cell r="AC762">
            <v>0.8</v>
          </cell>
        </row>
        <row r="763">
          <cell r="A763" t="str">
            <v>unk</v>
          </cell>
          <cell r="K763" t="str">
            <v>LCAT</v>
          </cell>
          <cell r="M763" t="str">
            <v>M</v>
          </cell>
          <cell r="AC763">
            <v>1</v>
          </cell>
        </row>
        <row r="764">
          <cell r="A764" t="str">
            <v>unk</v>
          </cell>
          <cell r="K764" t="str">
            <v>LCAT</v>
          </cell>
          <cell r="M764" t="str">
            <v>M</v>
          </cell>
          <cell r="AC764">
            <v>1</v>
          </cell>
        </row>
        <row r="765">
          <cell r="A765" t="str">
            <v>IS_alqt_plus</v>
          </cell>
          <cell r="K765" t="str">
            <v>LCAT</v>
          </cell>
          <cell r="M765" t="str">
            <v>M</v>
          </cell>
          <cell r="AC765">
            <v>1</v>
          </cell>
        </row>
        <row r="766">
          <cell r="A766" t="str">
            <v>IS_alqt_plus</v>
          </cell>
          <cell r="K766" t="str">
            <v>LCAT</v>
          </cell>
          <cell r="M766" t="str">
            <v>M</v>
          </cell>
          <cell r="AC766">
            <v>1</v>
          </cell>
        </row>
        <row r="767">
          <cell r="A767" t="str">
            <v>IS_alqt_plus</v>
          </cell>
          <cell r="K767" t="str">
            <v>LCAT</v>
          </cell>
          <cell r="M767" t="str">
            <v>M</v>
          </cell>
          <cell r="AC767">
            <v>1</v>
          </cell>
        </row>
        <row r="768">
          <cell r="A768" t="str">
            <v>IS_alqt_plus</v>
          </cell>
          <cell r="K768" t="str">
            <v>ERUB</v>
          </cell>
          <cell r="M768" t="str">
            <v>M</v>
          </cell>
          <cell r="AC768">
            <v>0.5</v>
          </cell>
        </row>
        <row r="769">
          <cell r="A769" t="str">
            <v>IS_alqt_plus</v>
          </cell>
          <cell r="K769" t="str">
            <v>PCOQ</v>
          </cell>
          <cell r="M769" t="str">
            <v>M</v>
          </cell>
          <cell r="AC769">
            <v>1.5</v>
          </cell>
        </row>
        <row r="770">
          <cell r="A770" t="str">
            <v>IS_alqt_plus</v>
          </cell>
          <cell r="K770" t="str">
            <v>PCOQ</v>
          </cell>
          <cell r="M770" t="str">
            <v>M</v>
          </cell>
          <cell r="AC770">
            <v>1.5</v>
          </cell>
        </row>
        <row r="771">
          <cell r="A771" t="str">
            <v>IS_alqt_plus</v>
          </cell>
          <cell r="K771" t="str">
            <v>PCOQ</v>
          </cell>
          <cell r="M771" t="str">
            <v>M</v>
          </cell>
          <cell r="AC771">
            <v>1.5</v>
          </cell>
        </row>
        <row r="772">
          <cell r="A772" t="str">
            <v>IS_alqt_plus</v>
          </cell>
          <cell r="K772" t="str">
            <v>PCOQ</v>
          </cell>
          <cell r="M772" t="str">
            <v>M</v>
          </cell>
          <cell r="AC772">
            <v>1.5</v>
          </cell>
        </row>
        <row r="773">
          <cell r="A773" t="str">
            <v>IS_alqt_plus</v>
          </cell>
          <cell r="K773" t="str">
            <v>PCOQ</v>
          </cell>
          <cell r="M773" t="str">
            <v>M</v>
          </cell>
          <cell r="AC773">
            <v>1.5</v>
          </cell>
        </row>
        <row r="774">
          <cell r="A774" t="str">
            <v>IS_alqt_plus</v>
          </cell>
          <cell r="K774" t="str">
            <v>PCOQ</v>
          </cell>
          <cell r="M774" t="str">
            <v>M</v>
          </cell>
          <cell r="AC774">
            <v>0.5</v>
          </cell>
        </row>
        <row r="775">
          <cell r="A775" t="str">
            <v>gone</v>
          </cell>
          <cell r="K775" t="str">
            <v>PCOQ</v>
          </cell>
          <cell r="M775" t="str">
            <v>M</v>
          </cell>
          <cell r="AC775">
            <v>0</v>
          </cell>
        </row>
        <row r="776">
          <cell r="A776" t="str">
            <v>gone</v>
          </cell>
          <cell r="K776" t="str">
            <v>PCOQ</v>
          </cell>
          <cell r="M776" t="str">
            <v>M</v>
          </cell>
          <cell r="AC776">
            <v>1</v>
          </cell>
        </row>
        <row r="777">
          <cell r="A777" t="str">
            <v>IS_alqt_minus</v>
          </cell>
          <cell r="K777" t="str">
            <v>CMED</v>
          </cell>
          <cell r="M777" t="str">
            <v>F</v>
          </cell>
          <cell r="AC777">
            <v>0.25</v>
          </cell>
        </row>
        <row r="778">
          <cell r="A778" t="str">
            <v>IS_alqt_plus</v>
          </cell>
          <cell r="K778" t="str">
            <v>CMED</v>
          </cell>
          <cell r="M778" t="str">
            <v>F</v>
          </cell>
          <cell r="AC778">
            <v>0.7</v>
          </cell>
        </row>
        <row r="779">
          <cell r="A779" t="str">
            <v>IS_alqt_minus</v>
          </cell>
          <cell r="K779" t="str">
            <v>CMED</v>
          </cell>
          <cell r="M779" t="str">
            <v>F</v>
          </cell>
          <cell r="AC779">
            <v>0.2</v>
          </cell>
        </row>
        <row r="780">
          <cell r="A780" t="str">
            <v>IS_alqt_plus</v>
          </cell>
          <cell r="K780" t="str">
            <v>PCOQ</v>
          </cell>
          <cell r="M780" t="str">
            <v>M</v>
          </cell>
          <cell r="AC780">
            <v>1.5</v>
          </cell>
        </row>
        <row r="781">
          <cell r="A781" t="str">
            <v>IS_alqt_plus</v>
          </cell>
          <cell r="K781" t="str">
            <v>PCOQ</v>
          </cell>
          <cell r="M781" t="str">
            <v>M</v>
          </cell>
          <cell r="AC781">
            <v>1.5</v>
          </cell>
        </row>
        <row r="782">
          <cell r="A782" t="str">
            <v>IS_alqt_plus</v>
          </cell>
          <cell r="K782" t="str">
            <v>PCOQ</v>
          </cell>
          <cell r="M782" t="str">
            <v>M</v>
          </cell>
          <cell r="AC782">
            <v>1.5</v>
          </cell>
        </row>
        <row r="783">
          <cell r="A783" t="str">
            <v>IS_alqt_plus</v>
          </cell>
          <cell r="K783" t="str">
            <v>PCOQ</v>
          </cell>
          <cell r="M783" t="str">
            <v>M</v>
          </cell>
          <cell r="AC783">
            <v>1.5</v>
          </cell>
        </row>
        <row r="784">
          <cell r="A784" t="str">
            <v>IS_alqt_plus</v>
          </cell>
          <cell r="K784" t="str">
            <v>PCOQ</v>
          </cell>
          <cell r="M784" t="str">
            <v>M</v>
          </cell>
          <cell r="AC784">
            <v>1.8</v>
          </cell>
        </row>
        <row r="785">
          <cell r="A785" t="str">
            <v>IS_alqt_plus</v>
          </cell>
          <cell r="K785" t="str">
            <v>PCOQ</v>
          </cell>
          <cell r="M785" t="str">
            <v>M</v>
          </cell>
          <cell r="AC785">
            <v>1.8</v>
          </cell>
        </row>
        <row r="786">
          <cell r="A786" t="str">
            <v>IS_alqt_plus</v>
          </cell>
          <cell r="K786" t="str">
            <v>LCAT</v>
          </cell>
          <cell r="M786" t="str">
            <v>M</v>
          </cell>
          <cell r="AC786">
            <v>1</v>
          </cell>
        </row>
        <row r="787">
          <cell r="A787" t="str">
            <v>IS_alqt_minus</v>
          </cell>
          <cell r="K787" t="str">
            <v>LCAT</v>
          </cell>
          <cell r="M787" t="str">
            <v>M</v>
          </cell>
          <cell r="AC787">
            <v>0.4</v>
          </cell>
        </row>
        <row r="788">
          <cell r="A788" t="str">
            <v>IS_alqt_plus</v>
          </cell>
          <cell r="K788" t="str">
            <v>LCAT</v>
          </cell>
          <cell r="M788" t="str">
            <v>M</v>
          </cell>
          <cell r="AC788">
            <v>1.5</v>
          </cell>
        </row>
        <row r="789">
          <cell r="A789" t="str">
            <v>IS_alqt_plus</v>
          </cell>
          <cell r="K789" t="str">
            <v>CMED</v>
          </cell>
          <cell r="M789" t="str">
            <v>F</v>
          </cell>
          <cell r="AC789">
            <v>1</v>
          </cell>
        </row>
        <row r="790">
          <cell r="A790" t="str">
            <v>IS_alqt_plus</v>
          </cell>
          <cell r="K790" t="str">
            <v>CMED</v>
          </cell>
          <cell r="M790" t="str">
            <v>M</v>
          </cell>
          <cell r="AC790">
            <v>1.1000000000000001</v>
          </cell>
        </row>
        <row r="791">
          <cell r="A791" t="str">
            <v>IS_alqt_plus</v>
          </cell>
          <cell r="K791" t="str">
            <v>CMED</v>
          </cell>
          <cell r="M791" t="str">
            <v>M</v>
          </cell>
          <cell r="AC791">
            <v>1.5</v>
          </cell>
        </row>
        <row r="792">
          <cell r="A792" t="str">
            <v>IS_alqt_plus</v>
          </cell>
          <cell r="K792" t="str">
            <v>PCOQ</v>
          </cell>
          <cell r="M792" t="str">
            <v>M</v>
          </cell>
          <cell r="AC792">
            <v>1.8</v>
          </cell>
        </row>
        <row r="793">
          <cell r="A793" t="str">
            <v>IS_alqt_plus</v>
          </cell>
          <cell r="K793" t="str">
            <v>PCOQ</v>
          </cell>
          <cell r="M793" t="str">
            <v>M</v>
          </cell>
          <cell r="AC793">
            <v>1.4</v>
          </cell>
        </row>
        <row r="794">
          <cell r="A794" t="str">
            <v>IS_alqt_plus</v>
          </cell>
          <cell r="K794" t="str">
            <v>PCOQ</v>
          </cell>
          <cell r="M794" t="str">
            <v>M</v>
          </cell>
          <cell r="AC794">
            <v>1.5</v>
          </cell>
        </row>
        <row r="795">
          <cell r="A795" t="str">
            <v>IS_alqt_plus</v>
          </cell>
          <cell r="K795" t="str">
            <v>PCOQ</v>
          </cell>
          <cell r="M795" t="str">
            <v>M</v>
          </cell>
          <cell r="AC795">
            <v>1.5</v>
          </cell>
        </row>
        <row r="796">
          <cell r="A796" t="str">
            <v>IS_alqt_plus</v>
          </cell>
          <cell r="K796" t="str">
            <v>PCOQ</v>
          </cell>
          <cell r="M796" t="str">
            <v>M</v>
          </cell>
          <cell r="AC796">
            <v>1.5</v>
          </cell>
        </row>
        <row r="797">
          <cell r="A797" t="str">
            <v>IS_alqt_minus</v>
          </cell>
          <cell r="K797" t="str">
            <v>EMON</v>
          </cell>
          <cell r="M797" t="str">
            <v>M</v>
          </cell>
          <cell r="AC797">
            <v>0.4</v>
          </cell>
        </row>
        <row r="798">
          <cell r="A798" t="str">
            <v>IS_alqt_plus</v>
          </cell>
          <cell r="K798" t="str">
            <v>PCOQ</v>
          </cell>
          <cell r="M798" t="str">
            <v>F</v>
          </cell>
          <cell r="AC798">
            <v>1.5</v>
          </cell>
        </row>
        <row r="799">
          <cell r="A799" t="str">
            <v>gone</v>
          </cell>
          <cell r="K799" t="str">
            <v>ERUB</v>
          </cell>
          <cell r="M799" t="str">
            <v>M</v>
          </cell>
          <cell r="AC799">
            <v>0</v>
          </cell>
        </row>
        <row r="800">
          <cell r="A800" t="str">
            <v>gone</v>
          </cell>
          <cell r="K800" t="str">
            <v>ERUB</v>
          </cell>
          <cell r="M800" t="str">
            <v>M</v>
          </cell>
          <cell r="AC800">
            <v>0</v>
          </cell>
        </row>
        <row r="801">
          <cell r="A801" t="str">
            <v>IS_alqt_plus</v>
          </cell>
          <cell r="K801" t="str">
            <v>ERUB</v>
          </cell>
          <cell r="M801" t="str">
            <v>M</v>
          </cell>
          <cell r="AC801">
            <v>0.5</v>
          </cell>
        </row>
        <row r="802">
          <cell r="A802" t="str">
            <v>IS_alqt_plus</v>
          </cell>
          <cell r="K802" t="str">
            <v>ECOL</v>
          </cell>
          <cell r="M802" t="str">
            <v>F</v>
          </cell>
          <cell r="AC802">
            <v>1.5</v>
          </cell>
        </row>
        <row r="803">
          <cell r="A803" t="str">
            <v>IS_alqt_plus</v>
          </cell>
          <cell r="K803" t="str">
            <v>ECOL</v>
          </cell>
          <cell r="M803" t="str">
            <v>F</v>
          </cell>
          <cell r="AC803">
            <v>0.5</v>
          </cell>
        </row>
        <row r="804">
          <cell r="A804" t="str">
            <v>IS_alqt_plus</v>
          </cell>
          <cell r="K804" t="str">
            <v>ECOL</v>
          </cell>
          <cell r="M804" t="str">
            <v>M</v>
          </cell>
          <cell r="AC804">
            <v>1.5</v>
          </cell>
        </row>
        <row r="805">
          <cell r="A805" t="str">
            <v>IS_alqt_plus</v>
          </cell>
          <cell r="K805" t="str">
            <v>ECOL</v>
          </cell>
          <cell r="M805" t="str">
            <v>M</v>
          </cell>
          <cell r="AC805">
            <v>1.5</v>
          </cell>
        </row>
        <row r="806">
          <cell r="A806" t="str">
            <v>IS_alqt_plus</v>
          </cell>
          <cell r="K806" t="str">
            <v>ECOL</v>
          </cell>
          <cell r="M806" t="str">
            <v>M</v>
          </cell>
          <cell r="AC806">
            <v>1.5</v>
          </cell>
        </row>
        <row r="807">
          <cell r="A807" t="str">
            <v>gone</v>
          </cell>
          <cell r="K807" t="str">
            <v>PCOQ</v>
          </cell>
          <cell r="M807" t="str">
            <v>M</v>
          </cell>
          <cell r="AC807">
            <v>0</v>
          </cell>
        </row>
        <row r="808">
          <cell r="A808" t="str">
            <v>gone</v>
          </cell>
          <cell r="K808" t="str">
            <v>PCOQ</v>
          </cell>
          <cell r="M808" t="str">
            <v>M</v>
          </cell>
          <cell r="AC808">
            <v>0</v>
          </cell>
        </row>
        <row r="809">
          <cell r="A809" t="str">
            <v>unk</v>
          </cell>
          <cell r="K809" t="str">
            <v>PCOQ</v>
          </cell>
          <cell r="M809" t="str">
            <v>M</v>
          </cell>
          <cell r="AC809">
            <v>1</v>
          </cell>
        </row>
        <row r="810">
          <cell r="A810" t="str">
            <v>IS_alqt_plus</v>
          </cell>
          <cell r="K810" t="str">
            <v>CMED</v>
          </cell>
          <cell r="M810" t="str">
            <v>M</v>
          </cell>
          <cell r="AC810">
            <v>1.25</v>
          </cell>
        </row>
        <row r="811">
          <cell r="A811" t="str">
            <v>IS_alqt_plus</v>
          </cell>
          <cell r="K811" t="str">
            <v>EMON</v>
          </cell>
          <cell r="M811" t="str">
            <v>F</v>
          </cell>
          <cell r="AC811">
            <v>1.5</v>
          </cell>
        </row>
        <row r="812">
          <cell r="A812" t="str">
            <v>IS_alqt_plus</v>
          </cell>
          <cell r="K812" t="str">
            <v>ECOL</v>
          </cell>
          <cell r="M812" t="str">
            <v>M</v>
          </cell>
          <cell r="AC812">
            <v>1.5</v>
          </cell>
        </row>
        <row r="813">
          <cell r="A813" t="str">
            <v>IS_alqt_plus</v>
          </cell>
          <cell r="K813" t="str">
            <v>ECOL</v>
          </cell>
          <cell r="M813" t="str">
            <v>M</v>
          </cell>
          <cell r="AC813">
            <v>1.5</v>
          </cell>
        </row>
        <row r="814">
          <cell r="A814" t="str">
            <v>IS_alqt_minus</v>
          </cell>
          <cell r="K814" t="str">
            <v>CMED</v>
          </cell>
          <cell r="M814" t="str">
            <v>M</v>
          </cell>
          <cell r="AC814">
            <v>0.2</v>
          </cell>
        </row>
        <row r="815">
          <cell r="A815" t="str">
            <v>IS_alqt_plus</v>
          </cell>
          <cell r="K815" t="str">
            <v>LCAT</v>
          </cell>
          <cell r="M815" t="str">
            <v>M</v>
          </cell>
          <cell r="AC815">
            <v>1.5</v>
          </cell>
        </row>
        <row r="816">
          <cell r="A816" t="str">
            <v>IS_alqt_plus</v>
          </cell>
          <cell r="K816" t="str">
            <v>NPYG</v>
          </cell>
          <cell r="M816" t="str">
            <v>F</v>
          </cell>
          <cell r="AC816">
            <v>1.5</v>
          </cell>
        </row>
        <row r="817">
          <cell r="A817" t="str">
            <v>IS_alqt_plus</v>
          </cell>
          <cell r="K817" t="str">
            <v>NPYG</v>
          </cell>
          <cell r="M817" t="str">
            <v>F</v>
          </cell>
          <cell r="AC817">
            <v>1.5</v>
          </cell>
        </row>
        <row r="818">
          <cell r="A818" t="str">
            <v>IS_alqt_plus</v>
          </cell>
          <cell r="K818" t="str">
            <v>NPYG</v>
          </cell>
          <cell r="M818" t="str">
            <v>F</v>
          </cell>
          <cell r="AC818">
            <v>1.5</v>
          </cell>
        </row>
        <row r="819">
          <cell r="A819" t="str">
            <v>IS_alqt_plus</v>
          </cell>
          <cell r="K819" t="str">
            <v>DMAD</v>
          </cell>
          <cell r="M819" t="str">
            <v>M</v>
          </cell>
          <cell r="AC819">
            <v>1.8</v>
          </cell>
        </row>
        <row r="820">
          <cell r="A820" t="str">
            <v>IS_alqt_plus</v>
          </cell>
          <cell r="K820" t="str">
            <v>DMAD</v>
          </cell>
          <cell r="M820" t="str">
            <v>M</v>
          </cell>
          <cell r="AC820">
            <v>1.8</v>
          </cell>
        </row>
        <row r="821">
          <cell r="A821" t="str">
            <v>IS_alqt_plus</v>
          </cell>
          <cell r="K821" t="str">
            <v>DMAD</v>
          </cell>
          <cell r="M821" t="str">
            <v>M</v>
          </cell>
          <cell r="AC821">
            <v>1.8</v>
          </cell>
        </row>
        <row r="822">
          <cell r="A822" t="str">
            <v>unk</v>
          </cell>
          <cell r="K822" t="str">
            <v>LCAT</v>
          </cell>
          <cell r="M822" t="str">
            <v>M</v>
          </cell>
          <cell r="AC822">
            <v>1.5</v>
          </cell>
        </row>
        <row r="823">
          <cell r="A823" t="str">
            <v>IS_alqt_plus</v>
          </cell>
          <cell r="K823" t="str">
            <v>VRUB</v>
          </cell>
          <cell r="M823" t="str">
            <v>M</v>
          </cell>
          <cell r="AC823">
            <v>0.8</v>
          </cell>
        </row>
        <row r="824">
          <cell r="A824" t="str">
            <v>IS_alqt_plus</v>
          </cell>
          <cell r="K824" t="str">
            <v>VRUB</v>
          </cell>
          <cell r="M824" t="str">
            <v>M</v>
          </cell>
          <cell r="AC824">
            <v>1</v>
          </cell>
        </row>
        <row r="825">
          <cell r="A825" t="str">
            <v>gone</v>
          </cell>
          <cell r="K825" t="str">
            <v>PCOQ</v>
          </cell>
          <cell r="M825" t="str">
            <v>M</v>
          </cell>
          <cell r="AC825">
            <v>0</v>
          </cell>
        </row>
        <row r="826">
          <cell r="A826" t="str">
            <v>IS_alqt_plus</v>
          </cell>
          <cell r="K826" t="str">
            <v>PCOQ</v>
          </cell>
          <cell r="M826" t="str">
            <v>M</v>
          </cell>
          <cell r="AC826">
            <v>1.2</v>
          </cell>
        </row>
        <row r="827">
          <cell r="A827" t="str">
            <v>IS_alqt_plus</v>
          </cell>
          <cell r="K827" t="str">
            <v>DMAD</v>
          </cell>
          <cell r="M827" t="str">
            <v>M</v>
          </cell>
          <cell r="AC827">
            <v>1.4</v>
          </cell>
        </row>
        <row r="828">
          <cell r="A828" t="str">
            <v>IS_alqt_plus</v>
          </cell>
          <cell r="K828" t="str">
            <v>DMAD</v>
          </cell>
          <cell r="M828" t="str">
            <v>M</v>
          </cell>
          <cell r="AC828">
            <v>1.25</v>
          </cell>
        </row>
        <row r="829">
          <cell r="A829" t="str">
            <v>IS_alqt_plus</v>
          </cell>
          <cell r="K829" t="str">
            <v>DMAD</v>
          </cell>
          <cell r="M829" t="str">
            <v>M</v>
          </cell>
          <cell r="AC829">
            <v>1.4</v>
          </cell>
        </row>
        <row r="830">
          <cell r="A830" t="str">
            <v>IS_alqt_plus</v>
          </cell>
          <cell r="K830" t="str">
            <v>DMAD</v>
          </cell>
          <cell r="M830" t="str">
            <v>M</v>
          </cell>
          <cell r="AC830">
            <v>1.1000000000000001</v>
          </cell>
        </row>
        <row r="831">
          <cell r="A831" t="str">
            <v>IS_alqt_plus</v>
          </cell>
          <cell r="K831" t="str">
            <v>NPYG</v>
          </cell>
          <cell r="M831" t="str">
            <v>M</v>
          </cell>
          <cell r="AC831">
            <v>0.5</v>
          </cell>
        </row>
        <row r="832">
          <cell r="A832" t="str">
            <v>IS_alqt_plus</v>
          </cell>
          <cell r="K832" t="str">
            <v>PCOQ</v>
          </cell>
          <cell r="M832" t="str">
            <v>F</v>
          </cell>
          <cell r="AC832">
            <v>1</v>
          </cell>
        </row>
        <row r="833">
          <cell r="A833" t="str">
            <v>IS_alqt_plus</v>
          </cell>
          <cell r="K833" t="str">
            <v>PCOQ</v>
          </cell>
          <cell r="M833" t="str">
            <v>M</v>
          </cell>
          <cell r="AC833">
            <v>1</v>
          </cell>
        </row>
        <row r="834">
          <cell r="A834" t="str">
            <v>IS_alqt_minus</v>
          </cell>
          <cell r="K834" t="str">
            <v>CMED</v>
          </cell>
          <cell r="M834" t="str">
            <v>M</v>
          </cell>
          <cell r="AC834">
            <v>0.3</v>
          </cell>
        </row>
        <row r="835">
          <cell r="A835" t="str">
            <v>IS_alqt_plus</v>
          </cell>
          <cell r="K835" t="str">
            <v>VRUB</v>
          </cell>
          <cell r="M835" t="str">
            <v>M</v>
          </cell>
          <cell r="AC835">
            <v>1</v>
          </cell>
        </row>
        <row r="836">
          <cell r="A836" t="str">
            <v>IS_alqt_plus</v>
          </cell>
          <cell r="K836" t="str">
            <v>VRUB</v>
          </cell>
          <cell r="M836" t="str">
            <v>M</v>
          </cell>
          <cell r="AC836">
            <v>1.2</v>
          </cell>
        </row>
        <row r="837">
          <cell r="A837" t="str">
            <v>IS_alqt_plus</v>
          </cell>
          <cell r="K837" t="str">
            <v>VRUB</v>
          </cell>
          <cell r="M837" t="str">
            <v>M</v>
          </cell>
          <cell r="AC837">
            <v>1.5</v>
          </cell>
        </row>
        <row r="838">
          <cell r="A838" t="str">
            <v>unk</v>
          </cell>
          <cell r="K838" t="str">
            <v>PCOQ</v>
          </cell>
          <cell r="M838" t="str">
            <v>M</v>
          </cell>
          <cell r="AC838">
            <v>1.5</v>
          </cell>
        </row>
        <row r="839">
          <cell r="A839" t="str">
            <v>IS_alqt_plus</v>
          </cell>
          <cell r="K839" t="str">
            <v>DMAD</v>
          </cell>
          <cell r="M839" t="str">
            <v>F</v>
          </cell>
          <cell r="AC839">
            <v>1.5</v>
          </cell>
        </row>
        <row r="840">
          <cell r="A840" t="str">
            <v>IS_alqt_plus</v>
          </cell>
          <cell r="K840" t="str">
            <v>DMAD</v>
          </cell>
          <cell r="M840" t="str">
            <v>F</v>
          </cell>
          <cell r="AC840">
            <v>1.5</v>
          </cell>
        </row>
        <row r="841">
          <cell r="A841" t="str">
            <v>IS_alqt_plus</v>
          </cell>
          <cell r="K841" t="str">
            <v>DMAD</v>
          </cell>
          <cell r="M841" t="str">
            <v>F</v>
          </cell>
          <cell r="AC841">
            <v>1.5</v>
          </cell>
        </row>
        <row r="842">
          <cell r="A842" t="str">
            <v>IS_alqt_plus</v>
          </cell>
          <cell r="K842" t="str">
            <v>DMAD</v>
          </cell>
          <cell r="M842" t="str">
            <v>M</v>
          </cell>
          <cell r="AC842">
            <v>1.5</v>
          </cell>
        </row>
        <row r="843">
          <cell r="A843" t="str">
            <v>IS_alqt_plus</v>
          </cell>
          <cell r="K843" t="str">
            <v>DMAD</v>
          </cell>
          <cell r="M843" t="str">
            <v>M</v>
          </cell>
          <cell r="AC843">
            <v>0.75</v>
          </cell>
        </row>
        <row r="844">
          <cell r="A844" t="str">
            <v>IS_alqt_plus</v>
          </cell>
          <cell r="K844" t="str">
            <v>DMAD</v>
          </cell>
          <cell r="M844" t="str">
            <v>M</v>
          </cell>
          <cell r="AC844">
            <v>1.5</v>
          </cell>
        </row>
        <row r="845">
          <cell r="A845" t="str">
            <v>IS_alqt_plus</v>
          </cell>
          <cell r="K845" t="str">
            <v>PCOQ</v>
          </cell>
          <cell r="M845" t="str">
            <v>F</v>
          </cell>
          <cell r="AC845">
            <v>1.5</v>
          </cell>
        </row>
        <row r="846">
          <cell r="A846" t="str">
            <v>IS_alqt_plus</v>
          </cell>
          <cell r="K846" t="str">
            <v>PCOQ</v>
          </cell>
          <cell r="M846" t="str">
            <v>F</v>
          </cell>
          <cell r="AC846">
            <v>1.5</v>
          </cell>
        </row>
        <row r="847">
          <cell r="A847" t="str">
            <v>IS_alqt_plus</v>
          </cell>
          <cell r="K847" t="str">
            <v>PCOQ</v>
          </cell>
          <cell r="M847" t="str">
            <v>F</v>
          </cell>
          <cell r="AC847">
            <v>1.5</v>
          </cell>
        </row>
        <row r="848">
          <cell r="A848" t="str">
            <v>IS_alqt_plus</v>
          </cell>
          <cell r="K848" t="str">
            <v>PCOQ</v>
          </cell>
          <cell r="M848" t="str">
            <v>F</v>
          </cell>
          <cell r="AC848">
            <v>1.5</v>
          </cell>
        </row>
        <row r="849">
          <cell r="A849" t="str">
            <v>IS_alqt_plus</v>
          </cell>
          <cell r="K849" t="str">
            <v>PCOQ</v>
          </cell>
          <cell r="M849" t="str">
            <v>F</v>
          </cell>
          <cell r="AC849">
            <v>1.5</v>
          </cell>
        </row>
        <row r="850">
          <cell r="A850" t="str">
            <v>IS_alqt_plus</v>
          </cell>
          <cell r="K850" t="str">
            <v>PCOQ</v>
          </cell>
          <cell r="M850" t="str">
            <v>F</v>
          </cell>
          <cell r="AC850">
            <v>0.5</v>
          </cell>
        </row>
        <row r="851">
          <cell r="A851" t="str">
            <v>IS_alqt_plus</v>
          </cell>
          <cell r="K851" t="str">
            <v>EUL</v>
          </cell>
          <cell r="M851" t="str">
            <v>M</v>
          </cell>
          <cell r="AC851">
            <v>0.9</v>
          </cell>
        </row>
        <row r="852">
          <cell r="A852" t="str">
            <v>IS_alqt_plus</v>
          </cell>
          <cell r="K852" t="str">
            <v>DMAD</v>
          </cell>
          <cell r="M852" t="str">
            <v>F</v>
          </cell>
          <cell r="AC852">
            <v>1.5</v>
          </cell>
        </row>
        <row r="853">
          <cell r="A853" t="str">
            <v>IS_alqt_plus</v>
          </cell>
          <cell r="K853" t="str">
            <v>DMAD</v>
          </cell>
          <cell r="M853" t="str">
            <v>F</v>
          </cell>
          <cell r="AC853">
            <v>0.7</v>
          </cell>
        </row>
        <row r="854">
          <cell r="A854" t="str">
            <v>IS_alqt_plus</v>
          </cell>
          <cell r="K854" t="str">
            <v>DMAD</v>
          </cell>
          <cell r="M854" t="str">
            <v>F</v>
          </cell>
          <cell r="AC854">
            <v>1.5</v>
          </cell>
        </row>
        <row r="855">
          <cell r="A855" t="str">
            <v>IS_alqt_minus</v>
          </cell>
          <cell r="K855" t="str">
            <v>EMON</v>
          </cell>
          <cell r="M855" t="str">
            <v>F</v>
          </cell>
          <cell r="AC855">
            <v>0.1</v>
          </cell>
        </row>
        <row r="856">
          <cell r="A856" t="str">
            <v>IS_alqt_plus</v>
          </cell>
          <cell r="K856" t="str">
            <v>EMON</v>
          </cell>
          <cell r="M856" t="str">
            <v>F</v>
          </cell>
          <cell r="AC856">
            <v>1.5</v>
          </cell>
        </row>
        <row r="857">
          <cell r="A857" t="str">
            <v>IS_alqt_plus</v>
          </cell>
          <cell r="K857" t="str">
            <v>EMON</v>
          </cell>
          <cell r="M857" t="str">
            <v>F</v>
          </cell>
          <cell r="AC857">
            <v>1.5</v>
          </cell>
        </row>
        <row r="858">
          <cell r="A858" t="str">
            <v>IS_alqt_plus</v>
          </cell>
          <cell r="K858" t="str">
            <v>EMON</v>
          </cell>
          <cell r="M858" t="str">
            <v>F</v>
          </cell>
          <cell r="AC858">
            <v>1.5</v>
          </cell>
        </row>
        <row r="859">
          <cell r="A859" t="str">
            <v>IS_alqt_plus</v>
          </cell>
          <cell r="K859" t="str">
            <v>PCOQ</v>
          </cell>
          <cell r="M859" t="str">
            <v>M</v>
          </cell>
          <cell r="AC859">
            <v>1.5</v>
          </cell>
        </row>
        <row r="860">
          <cell r="A860" t="str">
            <v>IS_alqt_plus</v>
          </cell>
          <cell r="K860" t="str">
            <v>NPYG</v>
          </cell>
          <cell r="M860" t="str">
            <v>F</v>
          </cell>
          <cell r="AC860">
            <v>1.25</v>
          </cell>
        </row>
        <row r="861">
          <cell r="A861" t="str">
            <v>IS_alqt_plus</v>
          </cell>
          <cell r="K861" t="str">
            <v>NPYG</v>
          </cell>
          <cell r="M861" t="str">
            <v>F</v>
          </cell>
          <cell r="AC861">
            <v>1.4</v>
          </cell>
        </row>
        <row r="862">
          <cell r="A862" t="str">
            <v>IS_alqt_plus</v>
          </cell>
          <cell r="K862" t="str">
            <v>NPYG</v>
          </cell>
          <cell r="M862" t="str">
            <v>F</v>
          </cell>
          <cell r="AC862">
            <v>1.25</v>
          </cell>
        </row>
        <row r="863">
          <cell r="A863" t="str">
            <v>IS_alqt_plus</v>
          </cell>
          <cell r="K863" t="str">
            <v>DMAD</v>
          </cell>
          <cell r="M863" t="str">
            <v>F</v>
          </cell>
          <cell r="AC863">
            <v>1.5</v>
          </cell>
        </row>
        <row r="864">
          <cell r="A864" t="str">
            <v>IS_alqt_plus</v>
          </cell>
          <cell r="K864" t="str">
            <v>DMAD</v>
          </cell>
          <cell r="M864" t="str">
            <v>F</v>
          </cell>
          <cell r="AC864">
            <v>1.5</v>
          </cell>
        </row>
        <row r="865">
          <cell r="A865" t="str">
            <v>IS_alqt_plus</v>
          </cell>
          <cell r="K865" t="str">
            <v>DMAD</v>
          </cell>
          <cell r="M865" t="str">
            <v>F</v>
          </cell>
          <cell r="AC865">
            <v>1.5</v>
          </cell>
        </row>
        <row r="866">
          <cell r="A866" t="str">
            <v>IS_alqt_plus</v>
          </cell>
          <cell r="K866" t="str">
            <v>DMAD</v>
          </cell>
          <cell r="M866" t="str">
            <v>F</v>
          </cell>
          <cell r="AC866">
            <v>1.5</v>
          </cell>
        </row>
        <row r="867">
          <cell r="A867" t="str">
            <v>IS_alqt_plus</v>
          </cell>
          <cell r="K867" t="str">
            <v>DMAD</v>
          </cell>
          <cell r="M867" t="str">
            <v>F</v>
          </cell>
          <cell r="AC867">
            <v>1.5</v>
          </cell>
        </row>
        <row r="868">
          <cell r="A868" t="str">
            <v>IS_alqt_plus</v>
          </cell>
          <cell r="K868" t="str">
            <v>DMAD</v>
          </cell>
          <cell r="M868" t="str">
            <v>F</v>
          </cell>
          <cell r="AC868">
            <v>1.25</v>
          </cell>
        </row>
        <row r="869">
          <cell r="A869" t="str">
            <v>IS_alqt_plus</v>
          </cell>
          <cell r="K869" t="str">
            <v>DMAD</v>
          </cell>
          <cell r="M869" t="str">
            <v>M</v>
          </cell>
          <cell r="AC869">
            <v>1.5</v>
          </cell>
        </row>
        <row r="870">
          <cell r="A870" t="str">
            <v>IS_alqt_plus</v>
          </cell>
          <cell r="K870" t="str">
            <v>DMAD</v>
          </cell>
          <cell r="M870" t="str">
            <v>M</v>
          </cell>
          <cell r="AC870">
            <v>1.5</v>
          </cell>
        </row>
        <row r="871">
          <cell r="A871" t="str">
            <v>IS_alqt_plus</v>
          </cell>
          <cell r="K871" t="str">
            <v>DMAD</v>
          </cell>
          <cell r="M871" t="str">
            <v>M</v>
          </cell>
          <cell r="AC871">
            <v>1.5</v>
          </cell>
        </row>
        <row r="872">
          <cell r="A872" t="str">
            <v>IS_alqt_plus</v>
          </cell>
          <cell r="K872" t="str">
            <v>PCOQ</v>
          </cell>
          <cell r="M872" t="str">
            <v>F</v>
          </cell>
          <cell r="AC872">
            <v>1.5</v>
          </cell>
        </row>
        <row r="873">
          <cell r="A873" t="str">
            <v>IS_alqt_plus</v>
          </cell>
          <cell r="K873" t="str">
            <v>PCOQ</v>
          </cell>
          <cell r="M873" t="str">
            <v>F</v>
          </cell>
          <cell r="AC873">
            <v>1.25</v>
          </cell>
        </row>
        <row r="874">
          <cell r="A874" t="str">
            <v>IS_alqt_plus</v>
          </cell>
          <cell r="K874" t="str">
            <v>NPYG</v>
          </cell>
          <cell r="M874" t="str">
            <v>M</v>
          </cell>
          <cell r="AC874">
            <v>1.5</v>
          </cell>
        </row>
        <row r="875">
          <cell r="A875" t="str">
            <v>IS_alqt_plus</v>
          </cell>
          <cell r="K875" t="str">
            <v>NPYG</v>
          </cell>
          <cell r="M875" t="str">
            <v>M</v>
          </cell>
          <cell r="AC875">
            <v>1.5</v>
          </cell>
        </row>
        <row r="876">
          <cell r="A876" t="str">
            <v>IS_alqt_plus</v>
          </cell>
          <cell r="K876" t="str">
            <v>NPYG</v>
          </cell>
          <cell r="M876" t="str">
            <v>M</v>
          </cell>
          <cell r="AC876">
            <v>1</v>
          </cell>
        </row>
        <row r="877">
          <cell r="A877" t="str">
            <v>IS_alqt_plus</v>
          </cell>
          <cell r="K877" t="str">
            <v>PCOQ</v>
          </cell>
          <cell r="M877" t="str">
            <v>F</v>
          </cell>
          <cell r="AC877">
            <v>0.8</v>
          </cell>
        </row>
        <row r="878">
          <cell r="A878" t="str">
            <v>IS_alqt_plus</v>
          </cell>
          <cell r="K878" t="str">
            <v>PCOQ</v>
          </cell>
          <cell r="M878" t="str">
            <v>F</v>
          </cell>
          <cell r="AC878">
            <v>1.5</v>
          </cell>
        </row>
        <row r="879">
          <cell r="A879" t="str">
            <v>IS_alqt_plus</v>
          </cell>
          <cell r="K879" t="str">
            <v>PCOQ</v>
          </cell>
          <cell r="M879" t="str">
            <v>F</v>
          </cell>
          <cell r="AC879">
            <v>1.5</v>
          </cell>
        </row>
        <row r="880">
          <cell r="A880" t="str">
            <v>IS_alqt_plus</v>
          </cell>
          <cell r="K880" t="str">
            <v>VRUB</v>
          </cell>
          <cell r="M880" t="str">
            <v>M</v>
          </cell>
          <cell r="AC880">
            <v>1.5</v>
          </cell>
        </row>
        <row r="881">
          <cell r="A881" t="str">
            <v>IS_alqt_plus</v>
          </cell>
          <cell r="K881" t="str">
            <v>VRUB</v>
          </cell>
          <cell r="M881" t="str">
            <v>M</v>
          </cell>
          <cell r="AC881">
            <v>1.5</v>
          </cell>
        </row>
        <row r="882">
          <cell r="A882" t="str">
            <v>IS_alqt_plus</v>
          </cell>
          <cell r="K882" t="str">
            <v>VRUB</v>
          </cell>
          <cell r="M882" t="str">
            <v>M</v>
          </cell>
          <cell r="AC882">
            <v>1</v>
          </cell>
        </row>
        <row r="883">
          <cell r="A883" t="str">
            <v>IS_alqt_plus</v>
          </cell>
          <cell r="K883" t="str">
            <v>VRUB</v>
          </cell>
          <cell r="M883" t="str">
            <v>M</v>
          </cell>
          <cell r="AC883">
            <v>1</v>
          </cell>
        </row>
        <row r="884">
          <cell r="A884" t="str">
            <v>IS_alqt_plus</v>
          </cell>
          <cell r="K884" t="str">
            <v>VRUB</v>
          </cell>
          <cell r="M884" t="str">
            <v>M</v>
          </cell>
          <cell r="AC884">
            <v>1</v>
          </cell>
        </row>
        <row r="885">
          <cell r="A885" t="str">
            <v>IS_alqt_plus</v>
          </cell>
          <cell r="K885" t="str">
            <v>VRUB</v>
          </cell>
          <cell r="M885" t="str">
            <v>M</v>
          </cell>
          <cell r="AC885">
            <v>1</v>
          </cell>
        </row>
        <row r="886">
          <cell r="A886" t="str">
            <v>IS_alqt_plus</v>
          </cell>
          <cell r="K886" t="str">
            <v>PCOQ</v>
          </cell>
          <cell r="M886" t="str">
            <v>M</v>
          </cell>
          <cell r="AC886">
            <v>1.5</v>
          </cell>
        </row>
        <row r="887">
          <cell r="A887" t="str">
            <v>IS_alqt_plus</v>
          </cell>
          <cell r="K887" t="str">
            <v>PCOQ</v>
          </cell>
          <cell r="M887" t="str">
            <v>M</v>
          </cell>
          <cell r="AC887">
            <v>1.5</v>
          </cell>
        </row>
        <row r="888">
          <cell r="A888" t="str">
            <v>IS_alqt_plus</v>
          </cell>
          <cell r="K888" t="str">
            <v>ECOR</v>
          </cell>
          <cell r="M888" t="str">
            <v>F</v>
          </cell>
          <cell r="AC888">
            <v>1.5</v>
          </cell>
        </row>
        <row r="889">
          <cell r="A889" t="str">
            <v>IS_alqt_plus</v>
          </cell>
          <cell r="K889" t="str">
            <v>ECOR</v>
          </cell>
          <cell r="M889" t="str">
            <v>F</v>
          </cell>
          <cell r="AC889">
            <v>1.5</v>
          </cell>
        </row>
        <row r="890">
          <cell r="A890" t="str">
            <v>IS_alqt_plus</v>
          </cell>
          <cell r="K890" t="str">
            <v>ECOR</v>
          </cell>
          <cell r="M890" t="str">
            <v>F</v>
          </cell>
          <cell r="AC890">
            <v>1.5</v>
          </cell>
        </row>
        <row r="891">
          <cell r="A891" t="str">
            <v>IS_alqt_plus</v>
          </cell>
          <cell r="K891" t="str">
            <v>PCOQ</v>
          </cell>
          <cell r="M891" t="str">
            <v>M</v>
          </cell>
          <cell r="AC891">
            <v>1.5</v>
          </cell>
        </row>
        <row r="892">
          <cell r="A892" t="str">
            <v>IS_alqt_plus</v>
          </cell>
          <cell r="K892" t="str">
            <v>PCOQ</v>
          </cell>
          <cell r="M892" t="str">
            <v>M</v>
          </cell>
          <cell r="AC892">
            <v>0.8</v>
          </cell>
        </row>
        <row r="893">
          <cell r="A893" t="str">
            <v>IS_alqt_plus</v>
          </cell>
          <cell r="K893" t="str">
            <v>PCOQ</v>
          </cell>
          <cell r="M893" t="str">
            <v>M</v>
          </cell>
          <cell r="AC893">
            <v>1.4</v>
          </cell>
        </row>
        <row r="894">
          <cell r="A894" t="str">
            <v>IS_alqt_minus</v>
          </cell>
          <cell r="K894" t="str">
            <v>OCRA</v>
          </cell>
          <cell r="M894" t="str">
            <v>F</v>
          </cell>
          <cell r="AC894">
            <v>0.4</v>
          </cell>
        </row>
        <row r="895">
          <cell r="A895" t="str">
            <v>IS_alqt_plus</v>
          </cell>
          <cell r="K895" t="str">
            <v>VRUB</v>
          </cell>
          <cell r="M895" t="str">
            <v>M</v>
          </cell>
          <cell r="AC895">
            <v>1</v>
          </cell>
        </row>
        <row r="896">
          <cell r="A896" t="str">
            <v>IS_alqt_plus</v>
          </cell>
          <cell r="K896" t="str">
            <v>PCOQ</v>
          </cell>
          <cell r="M896" t="str">
            <v>M</v>
          </cell>
          <cell r="AC896">
            <v>1.4</v>
          </cell>
        </row>
        <row r="897">
          <cell r="A897" t="str">
            <v>IS_alqt_plus</v>
          </cell>
          <cell r="K897" t="str">
            <v>PCOQ</v>
          </cell>
          <cell r="M897" t="str">
            <v>F</v>
          </cell>
          <cell r="AC897">
            <v>0.5</v>
          </cell>
        </row>
        <row r="898">
          <cell r="A898" t="str">
            <v>IS_alqt_plus</v>
          </cell>
          <cell r="K898" t="str">
            <v>PCOQ</v>
          </cell>
          <cell r="M898" t="str">
            <v>F</v>
          </cell>
          <cell r="AC898">
            <v>1.5</v>
          </cell>
        </row>
        <row r="899">
          <cell r="A899" t="str">
            <v>IS_alqt_plus</v>
          </cell>
          <cell r="K899" t="str">
            <v>PCOQ</v>
          </cell>
          <cell r="M899" t="str">
            <v>F</v>
          </cell>
          <cell r="AC899">
            <v>1.5</v>
          </cell>
        </row>
        <row r="900">
          <cell r="A900" t="str">
            <v>IS_alqt_plus</v>
          </cell>
          <cell r="K900" t="str">
            <v>PCOQ</v>
          </cell>
          <cell r="M900" t="str">
            <v>F</v>
          </cell>
          <cell r="AC900">
            <v>1.5</v>
          </cell>
        </row>
        <row r="901">
          <cell r="A901" t="str">
            <v>IS_alqt_minus</v>
          </cell>
          <cell r="K901" t="str">
            <v>CMED</v>
          </cell>
          <cell r="M901" t="str">
            <v>M</v>
          </cell>
          <cell r="AC901">
            <v>0.4</v>
          </cell>
        </row>
        <row r="902">
          <cell r="A902" t="str">
            <v>IS_alqt_plus</v>
          </cell>
          <cell r="K902" t="str">
            <v>EFLA</v>
          </cell>
          <cell r="M902" t="str">
            <v>M</v>
          </cell>
          <cell r="AC902">
            <v>1.2</v>
          </cell>
        </row>
        <row r="903">
          <cell r="A903" t="str">
            <v>IS_alqt_plus</v>
          </cell>
          <cell r="K903" t="str">
            <v>EFLA</v>
          </cell>
          <cell r="M903" t="str">
            <v>M</v>
          </cell>
          <cell r="AC903">
            <v>1.5</v>
          </cell>
        </row>
        <row r="904">
          <cell r="A904" t="str">
            <v>IS_alqt_plus</v>
          </cell>
          <cell r="K904" t="str">
            <v>EFLA</v>
          </cell>
          <cell r="M904" t="str">
            <v>M</v>
          </cell>
          <cell r="AC904">
            <v>1.5</v>
          </cell>
        </row>
        <row r="905">
          <cell r="A905" t="str">
            <v>IS_alqt_plus</v>
          </cell>
          <cell r="K905" t="str">
            <v>EFLA</v>
          </cell>
          <cell r="M905" t="str">
            <v>M</v>
          </cell>
          <cell r="AC905">
            <v>1.5</v>
          </cell>
        </row>
        <row r="906">
          <cell r="A906" t="str">
            <v>IS_alqt_plus</v>
          </cell>
          <cell r="K906" t="str">
            <v>EFLA</v>
          </cell>
          <cell r="M906" t="str">
            <v>M</v>
          </cell>
          <cell r="AC906">
            <v>1</v>
          </cell>
        </row>
        <row r="907">
          <cell r="A907" t="str">
            <v>IS_alqt_plus</v>
          </cell>
          <cell r="K907" t="str">
            <v>VRUB</v>
          </cell>
          <cell r="M907" t="str">
            <v>M</v>
          </cell>
          <cell r="AC907">
            <v>1</v>
          </cell>
        </row>
        <row r="908">
          <cell r="A908" t="str">
            <v>IS_alqt_plus</v>
          </cell>
          <cell r="K908" t="str">
            <v>PCOQ</v>
          </cell>
          <cell r="M908" t="str">
            <v>M</v>
          </cell>
          <cell r="AC908">
            <v>1.4</v>
          </cell>
        </row>
        <row r="909">
          <cell r="A909" t="str">
            <v>IS_alqt_plus</v>
          </cell>
          <cell r="K909" t="str">
            <v>PCOQ</v>
          </cell>
          <cell r="M909" t="str">
            <v>M</v>
          </cell>
          <cell r="AC909">
            <v>1.5</v>
          </cell>
        </row>
        <row r="910">
          <cell r="A910" t="str">
            <v>IS_alqt_plus</v>
          </cell>
          <cell r="K910" t="str">
            <v>PCOQ</v>
          </cell>
          <cell r="M910" t="str">
            <v>M</v>
          </cell>
          <cell r="AC910">
            <v>1.4</v>
          </cell>
        </row>
        <row r="911">
          <cell r="A911" t="str">
            <v>IS_alqt_plus</v>
          </cell>
          <cell r="K911" t="str">
            <v>PCOQ</v>
          </cell>
          <cell r="M911" t="str">
            <v>M</v>
          </cell>
          <cell r="AC911">
            <v>1.5</v>
          </cell>
        </row>
        <row r="912">
          <cell r="A912" t="str">
            <v>IS_alqt_plus</v>
          </cell>
          <cell r="K912" t="str">
            <v>DMAD</v>
          </cell>
          <cell r="M912" t="str">
            <v>F</v>
          </cell>
          <cell r="AC912">
            <v>1</v>
          </cell>
        </row>
        <row r="913">
          <cell r="A913" t="str">
            <v>IS_alqt_plus</v>
          </cell>
          <cell r="K913" t="str">
            <v>EFLA</v>
          </cell>
          <cell r="M913" t="str">
            <v>F</v>
          </cell>
          <cell r="AC913">
            <v>1.5</v>
          </cell>
        </row>
        <row r="914">
          <cell r="A914" t="str">
            <v>IS_alqt_plus</v>
          </cell>
          <cell r="K914" t="str">
            <v>EFLA</v>
          </cell>
          <cell r="M914" t="str">
            <v>F</v>
          </cell>
          <cell r="AC914">
            <v>1.5</v>
          </cell>
        </row>
        <row r="915">
          <cell r="A915" t="str">
            <v>IS_alqt_plus</v>
          </cell>
          <cell r="K915" t="str">
            <v>EFLA</v>
          </cell>
          <cell r="M915" t="str">
            <v>F</v>
          </cell>
          <cell r="AC915">
            <v>1.2</v>
          </cell>
        </row>
        <row r="916">
          <cell r="A916" t="str">
            <v>IS_alqt_plus</v>
          </cell>
          <cell r="K916" t="str">
            <v>EFLA</v>
          </cell>
          <cell r="M916" t="str">
            <v>F</v>
          </cell>
          <cell r="AC916">
            <v>1.2</v>
          </cell>
        </row>
        <row r="917">
          <cell r="A917" t="str">
            <v>IS_alqt_plus</v>
          </cell>
          <cell r="K917" t="str">
            <v>EFLA</v>
          </cell>
          <cell r="M917" t="str">
            <v>F</v>
          </cell>
          <cell r="AC917">
            <v>1.5</v>
          </cell>
        </row>
        <row r="918">
          <cell r="A918" t="str">
            <v>IS_alqt_plus</v>
          </cell>
          <cell r="K918" t="str">
            <v>PCOQ</v>
          </cell>
          <cell r="M918" t="str">
            <v>F</v>
          </cell>
          <cell r="AC918">
            <v>1</v>
          </cell>
        </row>
        <row r="919">
          <cell r="A919" t="str">
            <v>IS_alqt_plus</v>
          </cell>
          <cell r="K919" t="str">
            <v>PCOQ</v>
          </cell>
          <cell r="M919" t="str">
            <v>F</v>
          </cell>
          <cell r="AC919">
            <v>0.8</v>
          </cell>
        </row>
        <row r="920">
          <cell r="A920" t="str">
            <v>IS_alqt_plus</v>
          </cell>
          <cell r="K920" t="str">
            <v>NPYG</v>
          </cell>
          <cell r="M920" t="str">
            <v>M</v>
          </cell>
          <cell r="AC920">
            <v>1.5</v>
          </cell>
        </row>
        <row r="921">
          <cell r="A921" t="str">
            <v>IS_alqt_plus</v>
          </cell>
          <cell r="K921" t="str">
            <v>NPYG</v>
          </cell>
          <cell r="M921" t="str">
            <v>M</v>
          </cell>
          <cell r="AC921">
            <v>1.5</v>
          </cell>
        </row>
        <row r="922">
          <cell r="A922" t="str">
            <v>IS_alqt_plus</v>
          </cell>
          <cell r="K922" t="str">
            <v>NPYG</v>
          </cell>
          <cell r="M922" t="str">
            <v>M</v>
          </cell>
          <cell r="AC922">
            <v>1.5</v>
          </cell>
        </row>
        <row r="923">
          <cell r="A923" t="str">
            <v>IS_alqt_plus</v>
          </cell>
          <cell r="K923" t="str">
            <v>DMAD</v>
          </cell>
          <cell r="M923" t="str">
            <v>F</v>
          </cell>
          <cell r="AC923">
            <v>1.5</v>
          </cell>
        </row>
        <row r="924">
          <cell r="A924" t="str">
            <v>IS_alqt_plus</v>
          </cell>
          <cell r="K924" t="str">
            <v>DMAD</v>
          </cell>
          <cell r="M924" t="str">
            <v>F</v>
          </cell>
          <cell r="AC924">
            <v>1.5</v>
          </cell>
        </row>
        <row r="925">
          <cell r="A925" t="str">
            <v>IS_alqt_plus</v>
          </cell>
          <cell r="K925" t="str">
            <v>PCOQ</v>
          </cell>
          <cell r="M925" t="str">
            <v>F</v>
          </cell>
          <cell r="AC925">
            <v>0.8</v>
          </cell>
        </row>
        <row r="926">
          <cell r="A926" t="str">
            <v>IS_alqt_plus</v>
          </cell>
          <cell r="K926" t="str">
            <v>DMAD</v>
          </cell>
          <cell r="M926" t="str">
            <v>F</v>
          </cell>
          <cell r="AC926">
            <v>1</v>
          </cell>
        </row>
        <row r="927">
          <cell r="A927" t="str">
            <v>IS_alqt_plus</v>
          </cell>
          <cell r="K927" t="str">
            <v>DMAD</v>
          </cell>
          <cell r="M927" t="str">
            <v>F</v>
          </cell>
          <cell r="AC927">
            <v>1.5</v>
          </cell>
        </row>
        <row r="928">
          <cell r="A928" t="str">
            <v>IS_alqt_plus</v>
          </cell>
          <cell r="K928" t="str">
            <v>DMAD</v>
          </cell>
          <cell r="M928" t="str">
            <v>F</v>
          </cell>
          <cell r="AC928">
            <v>1.5</v>
          </cell>
        </row>
        <row r="929">
          <cell r="A929" t="str">
            <v>IS_alqt_plus</v>
          </cell>
          <cell r="K929" t="str">
            <v>MMUR</v>
          </cell>
          <cell r="M929" t="str">
            <v>F</v>
          </cell>
          <cell r="AC929">
            <v>0.5</v>
          </cell>
        </row>
        <row r="930">
          <cell r="A930" t="str">
            <v>IS_alqt_plus</v>
          </cell>
          <cell r="K930" t="str">
            <v>CMED</v>
          </cell>
          <cell r="M930" t="str">
            <v>F</v>
          </cell>
          <cell r="AC930">
            <v>0.5</v>
          </cell>
        </row>
        <row r="931">
          <cell r="A931" t="str">
            <v>IS_alqt_plus</v>
          </cell>
          <cell r="K931" t="str">
            <v>CMED</v>
          </cell>
          <cell r="M931" t="str">
            <v>F</v>
          </cell>
          <cell r="AC931">
            <v>0.5</v>
          </cell>
        </row>
        <row r="932">
          <cell r="A932" t="str">
            <v>IS_alqt_plus</v>
          </cell>
          <cell r="K932" t="str">
            <v>PCOQ</v>
          </cell>
          <cell r="M932" t="str">
            <v>F</v>
          </cell>
          <cell r="AC932">
            <v>1.5</v>
          </cell>
        </row>
        <row r="933">
          <cell r="A933" t="str">
            <v>IS_alqt_plus</v>
          </cell>
          <cell r="K933" t="str">
            <v>PCOQ</v>
          </cell>
          <cell r="M933" t="str">
            <v>F</v>
          </cell>
          <cell r="AC933">
            <v>1.5</v>
          </cell>
        </row>
        <row r="934">
          <cell r="A934" t="str">
            <v>IS_alqt_plus</v>
          </cell>
          <cell r="K934" t="str">
            <v>PCOQ</v>
          </cell>
          <cell r="M934" t="str">
            <v>F</v>
          </cell>
          <cell r="AC934">
            <v>1.5</v>
          </cell>
        </row>
        <row r="935">
          <cell r="A935" t="str">
            <v>IS_alqt_plus</v>
          </cell>
          <cell r="K935" t="str">
            <v>PCOQ</v>
          </cell>
          <cell r="M935" t="str">
            <v>F</v>
          </cell>
          <cell r="AC935">
            <v>1.5</v>
          </cell>
        </row>
        <row r="936">
          <cell r="A936" t="str">
            <v>IS_alqt_plus</v>
          </cell>
          <cell r="K936" t="str">
            <v>PCOQ</v>
          </cell>
          <cell r="M936" t="str">
            <v>F</v>
          </cell>
          <cell r="AC936">
            <v>1.5</v>
          </cell>
        </row>
        <row r="937">
          <cell r="A937" t="str">
            <v>IS_alqt_plus</v>
          </cell>
          <cell r="K937" t="str">
            <v>PCOQ</v>
          </cell>
          <cell r="M937" t="str">
            <v>F</v>
          </cell>
          <cell r="AC937">
            <v>1.5</v>
          </cell>
        </row>
        <row r="938">
          <cell r="A938" t="str">
            <v>IS_alqt_plus</v>
          </cell>
          <cell r="K938" t="str">
            <v>PCOQ</v>
          </cell>
          <cell r="M938" t="str">
            <v>F</v>
          </cell>
          <cell r="AC938">
            <v>1.5</v>
          </cell>
        </row>
        <row r="939">
          <cell r="A939" t="str">
            <v>IS_alqt_plus</v>
          </cell>
          <cell r="K939" t="str">
            <v>PCOQ</v>
          </cell>
          <cell r="M939" t="str">
            <v>F</v>
          </cell>
          <cell r="AC939">
            <v>1.5</v>
          </cell>
        </row>
        <row r="940">
          <cell r="A940" t="str">
            <v>IS_alqt_plus</v>
          </cell>
          <cell r="K940" t="str">
            <v>PCOQ</v>
          </cell>
          <cell r="M940" t="str">
            <v>F</v>
          </cell>
          <cell r="AC940">
            <v>1.5</v>
          </cell>
        </row>
        <row r="941">
          <cell r="A941" t="str">
            <v>IS_alqt_plus</v>
          </cell>
          <cell r="K941" t="str">
            <v>PCOQ</v>
          </cell>
          <cell r="M941" t="str">
            <v>F</v>
          </cell>
          <cell r="AC941">
            <v>1.5</v>
          </cell>
        </row>
        <row r="942">
          <cell r="A942" t="str">
            <v>IS_alqt_plus</v>
          </cell>
          <cell r="K942" t="str">
            <v>PCOQ</v>
          </cell>
          <cell r="M942" t="str">
            <v>M</v>
          </cell>
          <cell r="AC942">
            <v>1.5</v>
          </cell>
        </row>
        <row r="943">
          <cell r="A943" t="str">
            <v>IS_alqt_plus</v>
          </cell>
          <cell r="K943" t="str">
            <v>PCOQ</v>
          </cell>
          <cell r="M943" t="str">
            <v>M</v>
          </cell>
          <cell r="AC943">
            <v>1.5</v>
          </cell>
        </row>
        <row r="944">
          <cell r="A944" t="str">
            <v>IS_alqt_plus</v>
          </cell>
          <cell r="K944" t="str">
            <v>PCOQ</v>
          </cell>
          <cell r="M944" t="str">
            <v>M</v>
          </cell>
          <cell r="AC944">
            <v>1.5</v>
          </cell>
        </row>
        <row r="945">
          <cell r="A945" t="str">
            <v>IS_alqt_plus</v>
          </cell>
          <cell r="K945" t="str">
            <v>PCOQ</v>
          </cell>
          <cell r="M945" t="str">
            <v>M</v>
          </cell>
          <cell r="AC945">
            <v>1.5</v>
          </cell>
        </row>
        <row r="946">
          <cell r="A946" t="str">
            <v>IS_alqt_plus</v>
          </cell>
          <cell r="K946" t="str">
            <v>PCOQ</v>
          </cell>
          <cell r="M946" t="str">
            <v>F</v>
          </cell>
          <cell r="AC946">
            <v>1</v>
          </cell>
        </row>
        <row r="947">
          <cell r="A947" t="str">
            <v>IS_alqt_plus</v>
          </cell>
          <cell r="K947" t="str">
            <v>PCOQ</v>
          </cell>
          <cell r="M947" t="str">
            <v>F</v>
          </cell>
          <cell r="AC947">
            <v>1.5</v>
          </cell>
        </row>
        <row r="948">
          <cell r="A948" t="str">
            <v>IS_alqt_plus</v>
          </cell>
          <cell r="K948" t="str">
            <v>PCOQ</v>
          </cell>
          <cell r="M948" t="str">
            <v>F</v>
          </cell>
          <cell r="AC948">
            <v>1.5</v>
          </cell>
        </row>
        <row r="949">
          <cell r="A949" t="str">
            <v>IS_alqt_plus</v>
          </cell>
          <cell r="K949" t="str">
            <v>PCOQ</v>
          </cell>
          <cell r="M949" t="str">
            <v>M</v>
          </cell>
          <cell r="AC949">
            <v>1.5</v>
          </cell>
        </row>
        <row r="950">
          <cell r="A950" t="str">
            <v>IS_alqt_plus</v>
          </cell>
          <cell r="K950" t="str">
            <v>PCOQ</v>
          </cell>
          <cell r="M950" t="str">
            <v>M</v>
          </cell>
          <cell r="AC950">
            <v>1.5</v>
          </cell>
        </row>
        <row r="951">
          <cell r="A951" t="str">
            <v>IS_alqt_plus</v>
          </cell>
          <cell r="K951" t="str">
            <v>PCOQ</v>
          </cell>
          <cell r="M951" t="str">
            <v>M</v>
          </cell>
          <cell r="AC951">
            <v>1.5</v>
          </cell>
        </row>
        <row r="952">
          <cell r="A952" t="str">
            <v>IS_alqt_plus</v>
          </cell>
          <cell r="K952" t="str">
            <v>CMED</v>
          </cell>
          <cell r="M952" t="str">
            <v>M</v>
          </cell>
          <cell r="AC952">
            <v>0.5</v>
          </cell>
        </row>
        <row r="953">
          <cell r="A953" t="str">
            <v>IS_alqt_plus</v>
          </cell>
          <cell r="K953" t="str">
            <v>PCOQ</v>
          </cell>
          <cell r="M953" t="str">
            <v>F</v>
          </cell>
          <cell r="AC953">
            <v>1.5</v>
          </cell>
        </row>
        <row r="954">
          <cell r="A954" t="str">
            <v>IS_alqt_plus</v>
          </cell>
          <cell r="K954" t="str">
            <v>PCOQ</v>
          </cell>
          <cell r="M954" t="str">
            <v>F</v>
          </cell>
          <cell r="AC954">
            <v>1.5</v>
          </cell>
        </row>
        <row r="955">
          <cell r="A955" t="str">
            <v>IS_alqt_plus</v>
          </cell>
          <cell r="K955" t="str">
            <v>PCOQ</v>
          </cell>
          <cell r="M955" t="str">
            <v>F</v>
          </cell>
          <cell r="AC955">
            <v>1.5</v>
          </cell>
        </row>
        <row r="956">
          <cell r="A956" t="str">
            <v>IS_alqt_plus</v>
          </cell>
          <cell r="K956" t="str">
            <v>DMAD</v>
          </cell>
          <cell r="M956" t="str">
            <v>F</v>
          </cell>
          <cell r="AC956">
            <v>1.5</v>
          </cell>
        </row>
        <row r="957">
          <cell r="A957" t="str">
            <v>IS_alqt_plus</v>
          </cell>
          <cell r="K957" t="str">
            <v>DMAD</v>
          </cell>
          <cell r="M957" t="str">
            <v>F</v>
          </cell>
          <cell r="AC957">
            <v>1.1000000000000001</v>
          </cell>
        </row>
        <row r="958">
          <cell r="A958" t="str">
            <v>IS_alqt_plus</v>
          </cell>
          <cell r="K958" t="str">
            <v>DMAD</v>
          </cell>
          <cell r="M958" t="str">
            <v>F</v>
          </cell>
          <cell r="AC958">
            <v>1.5</v>
          </cell>
        </row>
        <row r="959">
          <cell r="A959" t="str">
            <v>IS_alqt_plus</v>
          </cell>
          <cell r="K959" t="str">
            <v>CMED</v>
          </cell>
          <cell r="M959" t="str">
            <v>M</v>
          </cell>
          <cell r="AC959">
            <v>0.8</v>
          </cell>
        </row>
        <row r="960">
          <cell r="A960" t="str">
            <v>IS_alqt_minus</v>
          </cell>
          <cell r="K960" t="str">
            <v>CMED</v>
          </cell>
          <cell r="M960" t="str">
            <v>F</v>
          </cell>
          <cell r="AC960">
            <v>0.4</v>
          </cell>
        </row>
        <row r="961">
          <cell r="A961" t="str">
            <v>IS_alqt_plus</v>
          </cell>
          <cell r="K961" t="str">
            <v>CMED</v>
          </cell>
          <cell r="M961" t="str">
            <v>F</v>
          </cell>
          <cell r="AC961">
            <v>0.6</v>
          </cell>
        </row>
        <row r="962">
          <cell r="A962" t="str">
            <v>IS_alqt_plus</v>
          </cell>
          <cell r="K962" t="str">
            <v>PCOQ</v>
          </cell>
          <cell r="M962" t="str">
            <v>M</v>
          </cell>
          <cell r="AC962">
            <v>1.5</v>
          </cell>
        </row>
        <row r="963">
          <cell r="A963" t="str">
            <v>IS_alqt_plus</v>
          </cell>
          <cell r="K963" t="str">
            <v>PCOQ</v>
          </cell>
          <cell r="M963" t="str">
            <v>M</v>
          </cell>
          <cell r="AC963">
            <v>1</v>
          </cell>
        </row>
        <row r="964">
          <cell r="A964" t="str">
            <v>IS_alqt_plus</v>
          </cell>
          <cell r="K964" t="str">
            <v>PCOQ</v>
          </cell>
          <cell r="M964" t="str">
            <v>M</v>
          </cell>
          <cell r="AC964">
            <v>1.5</v>
          </cell>
        </row>
        <row r="965">
          <cell r="A965" t="str">
            <v>IS_alqt_plus</v>
          </cell>
          <cell r="K965" t="str">
            <v>PCOQ</v>
          </cell>
          <cell r="M965" t="str">
            <v>M</v>
          </cell>
          <cell r="AC965">
            <v>0.5</v>
          </cell>
        </row>
        <row r="966">
          <cell r="A966" t="str">
            <v>IS_alqt_plus</v>
          </cell>
          <cell r="K966" t="str">
            <v>PCOQ</v>
          </cell>
          <cell r="M966" t="str">
            <v>M</v>
          </cell>
          <cell r="AC966">
            <v>0.5</v>
          </cell>
        </row>
        <row r="967">
          <cell r="A967" t="str">
            <v>IS_alqt_plus</v>
          </cell>
          <cell r="K967" t="str">
            <v>PCOQ</v>
          </cell>
          <cell r="M967" t="str">
            <v>M</v>
          </cell>
          <cell r="AC967">
            <v>1.5</v>
          </cell>
        </row>
        <row r="968">
          <cell r="A968" t="str">
            <v>IS_alqt_plus</v>
          </cell>
          <cell r="K968" t="str">
            <v>PCOQ</v>
          </cell>
          <cell r="M968" t="str">
            <v>M</v>
          </cell>
          <cell r="AC968">
            <v>1.5</v>
          </cell>
        </row>
        <row r="969">
          <cell r="A969" t="str">
            <v>IS_alqt_plus</v>
          </cell>
          <cell r="K969" t="str">
            <v>PCOQ</v>
          </cell>
          <cell r="M969" t="str">
            <v>M</v>
          </cell>
          <cell r="AC969">
            <v>1.5</v>
          </cell>
        </row>
        <row r="970">
          <cell r="A970" t="str">
            <v>gone</v>
          </cell>
          <cell r="K970" t="str">
            <v>PCOQ</v>
          </cell>
          <cell r="M970" t="str">
            <v>M</v>
          </cell>
          <cell r="AC970">
            <v>0</v>
          </cell>
        </row>
        <row r="971">
          <cell r="A971" t="str">
            <v>IS_alqt_minus</v>
          </cell>
          <cell r="K971" t="str">
            <v>EFLA</v>
          </cell>
          <cell r="M971" t="str">
            <v>M</v>
          </cell>
          <cell r="AC971">
            <v>0.3</v>
          </cell>
        </row>
        <row r="972">
          <cell r="A972" t="str">
            <v>IS_alqt_minus</v>
          </cell>
          <cell r="K972" t="str">
            <v>DMAD</v>
          </cell>
          <cell r="M972" t="str">
            <v>M</v>
          </cell>
          <cell r="AC972">
            <v>0.1</v>
          </cell>
        </row>
        <row r="973">
          <cell r="A973" t="str">
            <v>IS_alqt_plus</v>
          </cell>
          <cell r="K973" t="str">
            <v>DMAD</v>
          </cell>
          <cell r="M973" t="str">
            <v>M</v>
          </cell>
          <cell r="AC973">
            <v>1.5</v>
          </cell>
        </row>
        <row r="974">
          <cell r="A974" t="str">
            <v>IS_alqt_plus</v>
          </cell>
          <cell r="K974" t="str">
            <v>DMAD</v>
          </cell>
          <cell r="M974" t="str">
            <v>M</v>
          </cell>
          <cell r="AC974">
            <v>1.5</v>
          </cell>
        </row>
        <row r="975">
          <cell r="A975" t="str">
            <v>IS_alqt_plus</v>
          </cell>
          <cell r="K975" t="str">
            <v>DMAD</v>
          </cell>
          <cell r="M975" t="str">
            <v>M</v>
          </cell>
          <cell r="AC975">
            <v>1.5</v>
          </cell>
        </row>
        <row r="976">
          <cell r="A976" t="str">
            <v>IS_alqt_plus</v>
          </cell>
          <cell r="K976" t="str">
            <v>DMAD</v>
          </cell>
          <cell r="M976" t="str">
            <v>M</v>
          </cell>
          <cell r="AC976">
            <v>1.1000000000000001</v>
          </cell>
        </row>
        <row r="977">
          <cell r="A977" t="str">
            <v>IS_alqt_plus</v>
          </cell>
          <cell r="K977" t="str">
            <v>DMAD</v>
          </cell>
          <cell r="M977" t="str">
            <v>M</v>
          </cell>
          <cell r="AC977">
            <v>1.5</v>
          </cell>
        </row>
        <row r="978">
          <cell r="A978" t="str">
            <v>IS_alqt_plus</v>
          </cell>
          <cell r="K978" t="str">
            <v>PCOQ</v>
          </cell>
          <cell r="M978" t="str">
            <v>M</v>
          </cell>
          <cell r="AC978">
            <v>0.7</v>
          </cell>
        </row>
        <row r="979">
          <cell r="A979" t="str">
            <v>IS_alqt_plus</v>
          </cell>
          <cell r="K979" t="str">
            <v>DMAD</v>
          </cell>
          <cell r="M979" t="str">
            <v>F</v>
          </cell>
          <cell r="AC979">
            <v>0.7</v>
          </cell>
        </row>
        <row r="980">
          <cell r="A980" t="str">
            <v>IS_alqt_plus</v>
          </cell>
          <cell r="K980" t="str">
            <v>DMAD</v>
          </cell>
          <cell r="M980" t="str">
            <v>F</v>
          </cell>
          <cell r="AC980">
            <v>1.5</v>
          </cell>
        </row>
        <row r="981">
          <cell r="A981" t="str">
            <v>IS_alqt_plus</v>
          </cell>
          <cell r="K981" t="str">
            <v>DMAD</v>
          </cell>
          <cell r="M981" t="str">
            <v>F</v>
          </cell>
          <cell r="AC981">
            <v>1.5</v>
          </cell>
        </row>
        <row r="982">
          <cell r="A982" t="str">
            <v>IS_alqt_plus</v>
          </cell>
          <cell r="K982" t="str">
            <v>DMAD</v>
          </cell>
          <cell r="M982" t="str">
            <v>F</v>
          </cell>
          <cell r="AC982">
            <v>1.5</v>
          </cell>
        </row>
        <row r="983">
          <cell r="A983" t="str">
            <v>IS_alqt_plus</v>
          </cell>
          <cell r="K983" t="str">
            <v>DMAD</v>
          </cell>
          <cell r="M983" t="str">
            <v>F</v>
          </cell>
          <cell r="AC983">
            <v>1.5</v>
          </cell>
        </row>
        <row r="984">
          <cell r="A984" t="str">
            <v>IS_alqt_plus</v>
          </cell>
          <cell r="K984" t="str">
            <v>DMAD</v>
          </cell>
          <cell r="M984" t="str">
            <v>F</v>
          </cell>
          <cell r="AC984">
            <v>1.5</v>
          </cell>
        </row>
        <row r="985">
          <cell r="A985" t="str">
            <v>IS_alqt_plus</v>
          </cell>
          <cell r="K985" t="str">
            <v>DMAD</v>
          </cell>
          <cell r="M985" t="str">
            <v>F</v>
          </cell>
          <cell r="AC985">
            <v>1.5</v>
          </cell>
        </row>
        <row r="986">
          <cell r="A986" t="str">
            <v>IS_alqt_plus</v>
          </cell>
          <cell r="K986" t="str">
            <v>DMAD</v>
          </cell>
          <cell r="M986" t="str">
            <v>F</v>
          </cell>
          <cell r="AC986">
            <v>1.5</v>
          </cell>
        </row>
        <row r="987">
          <cell r="A987" t="str">
            <v>IS_alqt_plus</v>
          </cell>
          <cell r="K987" t="str">
            <v>DMAD</v>
          </cell>
          <cell r="M987" t="str">
            <v>F</v>
          </cell>
          <cell r="AC987">
            <v>1.5</v>
          </cell>
        </row>
        <row r="988">
          <cell r="A988" t="str">
            <v>IS_alqt_plus</v>
          </cell>
          <cell r="K988" t="str">
            <v>DMAD</v>
          </cell>
          <cell r="M988" t="str">
            <v>M</v>
          </cell>
          <cell r="AC988">
            <v>1.3</v>
          </cell>
        </row>
        <row r="989">
          <cell r="A989" t="str">
            <v>IS_alqt_plus</v>
          </cell>
          <cell r="K989" t="str">
            <v>DMAD</v>
          </cell>
          <cell r="M989" t="str">
            <v>M</v>
          </cell>
          <cell r="AC989">
            <v>1.5</v>
          </cell>
        </row>
        <row r="990">
          <cell r="A990" t="str">
            <v>IS_alqt_plus</v>
          </cell>
          <cell r="K990" t="str">
            <v>DMAD</v>
          </cell>
          <cell r="M990" t="str">
            <v>M</v>
          </cell>
          <cell r="AC990">
            <v>1.5</v>
          </cell>
        </row>
        <row r="991">
          <cell r="A991" t="str">
            <v>IS_alqt_plus</v>
          </cell>
          <cell r="K991" t="str">
            <v>DMAD</v>
          </cell>
          <cell r="M991" t="str">
            <v>M</v>
          </cell>
          <cell r="AC991">
            <v>1.5</v>
          </cell>
        </row>
        <row r="992">
          <cell r="A992" t="str">
            <v>IS_alqt_plus</v>
          </cell>
          <cell r="K992" t="str">
            <v>DMAD</v>
          </cell>
          <cell r="M992" t="str">
            <v>M</v>
          </cell>
          <cell r="AC992">
            <v>1.5</v>
          </cell>
        </row>
        <row r="993">
          <cell r="A993" t="str">
            <v>IS_alqt_plus</v>
          </cell>
          <cell r="K993" t="str">
            <v>ECOR</v>
          </cell>
          <cell r="M993" t="str">
            <v>F</v>
          </cell>
          <cell r="AC993">
            <v>1.5</v>
          </cell>
        </row>
        <row r="994">
          <cell r="A994" t="str">
            <v>IS_alqt_plus</v>
          </cell>
          <cell r="K994" t="str">
            <v>ECOR</v>
          </cell>
          <cell r="M994" t="str">
            <v>F</v>
          </cell>
          <cell r="AC994">
            <v>1.5</v>
          </cell>
        </row>
        <row r="995">
          <cell r="A995" t="str">
            <v>IS_alqt_plus</v>
          </cell>
          <cell r="K995" t="str">
            <v>ECOR</v>
          </cell>
          <cell r="M995" t="str">
            <v>F</v>
          </cell>
          <cell r="AC995">
            <v>1</v>
          </cell>
        </row>
        <row r="996">
          <cell r="A996" t="str">
            <v>IS_alqt_plus</v>
          </cell>
          <cell r="K996" t="str">
            <v>EFLA</v>
          </cell>
          <cell r="M996" t="str">
            <v>M</v>
          </cell>
          <cell r="AC996">
            <v>1.5</v>
          </cell>
        </row>
        <row r="997">
          <cell r="A997" t="str">
            <v>IS_alqt_plus</v>
          </cell>
          <cell r="K997" t="str">
            <v>EFLA</v>
          </cell>
          <cell r="M997" t="str">
            <v>M</v>
          </cell>
          <cell r="AC997">
            <v>1.5</v>
          </cell>
        </row>
        <row r="998">
          <cell r="A998" t="str">
            <v>IS_alqt_plus</v>
          </cell>
          <cell r="K998" t="str">
            <v>EFLA</v>
          </cell>
          <cell r="M998" t="str">
            <v>M</v>
          </cell>
          <cell r="AC998">
            <v>1.5</v>
          </cell>
        </row>
        <row r="999">
          <cell r="A999" t="str">
            <v>IS_alqt_plus</v>
          </cell>
          <cell r="K999" t="str">
            <v>EFLA</v>
          </cell>
          <cell r="M999" t="str">
            <v>M</v>
          </cell>
          <cell r="AC999">
            <v>1.5</v>
          </cell>
        </row>
        <row r="1000">
          <cell r="A1000" t="str">
            <v>IS_alqt_plus</v>
          </cell>
          <cell r="K1000" t="str">
            <v>EFLA</v>
          </cell>
          <cell r="M1000" t="str">
            <v>M</v>
          </cell>
          <cell r="AC1000">
            <v>1.5</v>
          </cell>
        </row>
        <row r="1001">
          <cell r="A1001" t="str">
            <v>IS_alqt_plus</v>
          </cell>
          <cell r="K1001" t="str">
            <v>EFLA</v>
          </cell>
          <cell r="M1001" t="str">
            <v>M</v>
          </cell>
          <cell r="AC1001">
            <v>1.5</v>
          </cell>
        </row>
        <row r="1002">
          <cell r="A1002" t="str">
            <v>IS_alqt_plus</v>
          </cell>
          <cell r="K1002" t="str">
            <v>EFLA</v>
          </cell>
          <cell r="M1002" t="str">
            <v>M</v>
          </cell>
          <cell r="AC1002">
            <v>1.5</v>
          </cell>
        </row>
        <row r="1003">
          <cell r="A1003" t="str">
            <v>IS_alqt_plus</v>
          </cell>
          <cell r="K1003" t="str">
            <v>EFLA</v>
          </cell>
          <cell r="M1003" t="str">
            <v>M</v>
          </cell>
          <cell r="AC1003">
            <v>1.5</v>
          </cell>
        </row>
        <row r="1004">
          <cell r="A1004" t="str">
            <v>IS_alqt_plus</v>
          </cell>
          <cell r="K1004" t="str">
            <v>ECOR</v>
          </cell>
          <cell r="M1004" t="str">
            <v>F</v>
          </cell>
          <cell r="AC1004">
            <v>1.2</v>
          </cell>
        </row>
        <row r="1005">
          <cell r="A1005" t="str">
            <v>IS_alqt_plus</v>
          </cell>
          <cell r="K1005" t="str">
            <v>ECOR</v>
          </cell>
          <cell r="M1005" t="str">
            <v>F</v>
          </cell>
          <cell r="AC1005">
            <v>1.5</v>
          </cell>
        </row>
        <row r="1006">
          <cell r="A1006" t="str">
            <v>IS_alqt_plus</v>
          </cell>
          <cell r="K1006" t="str">
            <v>ECOR</v>
          </cell>
          <cell r="M1006" t="str">
            <v>F</v>
          </cell>
          <cell r="AC1006">
            <v>1.5</v>
          </cell>
        </row>
        <row r="1007">
          <cell r="A1007" t="str">
            <v>IS_alqt_plus</v>
          </cell>
          <cell r="K1007" t="str">
            <v>EFLA</v>
          </cell>
          <cell r="M1007" t="str">
            <v>M</v>
          </cell>
          <cell r="AC1007">
            <v>1.5</v>
          </cell>
        </row>
        <row r="1008">
          <cell r="A1008" t="str">
            <v>IS_alqt_plus</v>
          </cell>
          <cell r="K1008" t="str">
            <v>EFLA</v>
          </cell>
          <cell r="M1008" t="str">
            <v>M</v>
          </cell>
          <cell r="AC1008">
            <v>1.5</v>
          </cell>
        </row>
        <row r="1009">
          <cell r="A1009" t="str">
            <v>IS_alqt_plus</v>
          </cell>
          <cell r="K1009" t="str">
            <v>EFLA</v>
          </cell>
          <cell r="M1009" t="str">
            <v>M</v>
          </cell>
          <cell r="AC1009">
            <v>1.5</v>
          </cell>
        </row>
        <row r="1010">
          <cell r="A1010" t="str">
            <v>IS_alqt_plus</v>
          </cell>
          <cell r="K1010" t="str">
            <v>EFLA</v>
          </cell>
          <cell r="M1010" t="str">
            <v>M</v>
          </cell>
          <cell r="AC1010">
            <v>1.5</v>
          </cell>
        </row>
        <row r="1011">
          <cell r="A1011" t="str">
            <v>IS_alqt_minus</v>
          </cell>
          <cell r="K1011" t="str">
            <v>CMED</v>
          </cell>
          <cell r="M1011" t="str">
            <v>F</v>
          </cell>
          <cell r="AC1011">
            <v>0.4</v>
          </cell>
        </row>
        <row r="1012">
          <cell r="A1012" t="str">
            <v>IS_alqt_plus</v>
          </cell>
          <cell r="K1012" t="str">
            <v>PCOQ</v>
          </cell>
          <cell r="M1012" t="str">
            <v>F</v>
          </cell>
          <cell r="AC1012">
            <v>1.5</v>
          </cell>
        </row>
        <row r="1013">
          <cell r="A1013" t="str">
            <v>IS_alqt_plus</v>
          </cell>
          <cell r="K1013" t="str">
            <v>PCOQ</v>
          </cell>
          <cell r="M1013" t="str">
            <v>F</v>
          </cell>
          <cell r="AC1013">
            <v>1.5</v>
          </cell>
        </row>
        <row r="1014">
          <cell r="A1014" t="str">
            <v>IS_alqt_plus</v>
          </cell>
          <cell r="K1014" t="str">
            <v>PCOQ</v>
          </cell>
          <cell r="M1014" t="str">
            <v>F</v>
          </cell>
          <cell r="AC1014">
            <v>1.5</v>
          </cell>
        </row>
        <row r="1015">
          <cell r="A1015" t="str">
            <v>IS_alqt_plus</v>
          </cell>
          <cell r="K1015" t="str">
            <v>PCOQ</v>
          </cell>
          <cell r="M1015" t="str">
            <v>F</v>
          </cell>
          <cell r="AC1015">
            <v>0.6</v>
          </cell>
        </row>
        <row r="1016">
          <cell r="A1016" t="str">
            <v>IS_alqt_plus</v>
          </cell>
          <cell r="K1016" t="str">
            <v>PCOQ</v>
          </cell>
          <cell r="M1016" t="str">
            <v>F</v>
          </cell>
          <cell r="AC1016">
            <v>1.5</v>
          </cell>
        </row>
        <row r="1017">
          <cell r="A1017" t="str">
            <v>IS_alqt_plus</v>
          </cell>
          <cell r="K1017" t="str">
            <v>PCOQ</v>
          </cell>
          <cell r="M1017" t="str">
            <v>F</v>
          </cell>
          <cell r="AC1017">
            <v>1.5</v>
          </cell>
        </row>
        <row r="1018">
          <cell r="A1018" t="str">
            <v>IS_alqt_plus</v>
          </cell>
          <cell r="K1018" t="str">
            <v>PCOQ</v>
          </cell>
          <cell r="M1018" t="str">
            <v>F</v>
          </cell>
          <cell r="AC1018">
            <v>1.5</v>
          </cell>
        </row>
        <row r="1019">
          <cell r="A1019" t="str">
            <v>IS_alqt_plus</v>
          </cell>
          <cell r="K1019" t="str">
            <v>DMAD</v>
          </cell>
          <cell r="M1019" t="str">
            <v>M</v>
          </cell>
          <cell r="AC1019">
            <v>1.5</v>
          </cell>
        </row>
        <row r="1020">
          <cell r="A1020" t="str">
            <v>IS_alqt_plus</v>
          </cell>
          <cell r="K1020" t="str">
            <v>DMAD</v>
          </cell>
          <cell r="M1020" t="str">
            <v>M</v>
          </cell>
          <cell r="AC1020">
            <v>1.4</v>
          </cell>
        </row>
        <row r="1021">
          <cell r="A1021" t="str">
            <v>IS_alqt_plus</v>
          </cell>
          <cell r="K1021" t="str">
            <v>DMAD</v>
          </cell>
          <cell r="M1021" t="str">
            <v>M</v>
          </cell>
          <cell r="AC1021">
            <v>1.4</v>
          </cell>
        </row>
        <row r="1022">
          <cell r="A1022" t="str">
            <v>IS_alqt_plus</v>
          </cell>
          <cell r="K1022" t="str">
            <v>PCOQ</v>
          </cell>
          <cell r="M1022" t="str">
            <v>M</v>
          </cell>
          <cell r="AC1022">
            <v>1.5</v>
          </cell>
        </row>
        <row r="1023">
          <cell r="A1023" t="str">
            <v>IS_alqt_plus</v>
          </cell>
          <cell r="K1023" t="str">
            <v>PCOQ</v>
          </cell>
          <cell r="M1023" t="str">
            <v>M</v>
          </cell>
          <cell r="AC1023">
            <v>1.5</v>
          </cell>
        </row>
        <row r="1024">
          <cell r="A1024" t="str">
            <v>IS_alqt_plus</v>
          </cell>
          <cell r="K1024" t="str">
            <v>PCOQ</v>
          </cell>
          <cell r="M1024" t="str">
            <v>M</v>
          </cell>
          <cell r="AC1024">
            <v>1.5</v>
          </cell>
        </row>
        <row r="1025">
          <cell r="A1025" t="str">
            <v>IS_alqt_plus</v>
          </cell>
          <cell r="K1025" t="str">
            <v>PCOQ</v>
          </cell>
          <cell r="M1025" t="str">
            <v>M</v>
          </cell>
          <cell r="AC1025">
            <v>1.5</v>
          </cell>
        </row>
        <row r="1026">
          <cell r="A1026" t="str">
            <v>IS_alqt_plus</v>
          </cell>
          <cell r="K1026" t="str">
            <v>PCOQ</v>
          </cell>
          <cell r="M1026" t="str">
            <v>M</v>
          </cell>
          <cell r="AC1026">
            <v>1.5</v>
          </cell>
        </row>
        <row r="1027">
          <cell r="A1027" t="str">
            <v>IS_alqt_plus</v>
          </cell>
          <cell r="K1027" t="str">
            <v>PCOQ</v>
          </cell>
          <cell r="M1027" t="str">
            <v>M</v>
          </cell>
          <cell r="AC1027">
            <v>1.8</v>
          </cell>
        </row>
        <row r="1028">
          <cell r="A1028" t="str">
            <v>IS_alqt_plus</v>
          </cell>
          <cell r="K1028" t="str">
            <v>PCOQ</v>
          </cell>
          <cell r="M1028" t="str">
            <v>M</v>
          </cell>
          <cell r="AC1028">
            <v>1.5</v>
          </cell>
        </row>
        <row r="1029">
          <cell r="A1029" t="str">
            <v>IS_alqt_plus</v>
          </cell>
          <cell r="K1029" t="str">
            <v>PCOQ</v>
          </cell>
          <cell r="M1029" t="str">
            <v>M</v>
          </cell>
          <cell r="AC1029">
            <v>1.8</v>
          </cell>
        </row>
        <row r="1030">
          <cell r="A1030" t="str">
            <v>IS_alqt_plus</v>
          </cell>
          <cell r="K1030" t="str">
            <v>PCOQ</v>
          </cell>
          <cell r="M1030" t="str">
            <v>F</v>
          </cell>
          <cell r="AC1030">
            <v>1</v>
          </cell>
        </row>
        <row r="1031">
          <cell r="A1031" t="str">
            <v>IS_alqt_plus</v>
          </cell>
          <cell r="K1031" t="str">
            <v>PCOQ</v>
          </cell>
          <cell r="M1031" t="str">
            <v>F</v>
          </cell>
          <cell r="AC1031">
            <v>1</v>
          </cell>
        </row>
        <row r="1032">
          <cell r="A1032" t="str">
            <v>IS_alqt_plus</v>
          </cell>
          <cell r="K1032" t="str">
            <v>PCOQ</v>
          </cell>
          <cell r="M1032" t="str">
            <v>F</v>
          </cell>
          <cell r="AC1032">
            <v>1</v>
          </cell>
        </row>
        <row r="1033">
          <cell r="A1033" t="str">
            <v>unk</v>
          </cell>
          <cell r="K1033" t="str">
            <v>PCOQ</v>
          </cell>
          <cell r="M1033" t="str">
            <v>M</v>
          </cell>
          <cell r="AC1033">
            <v>1</v>
          </cell>
        </row>
        <row r="1034">
          <cell r="A1034" t="str">
            <v>IS_alqt_minus</v>
          </cell>
          <cell r="K1034" t="str">
            <v>PCOQ</v>
          </cell>
          <cell r="M1034" t="str">
            <v>F</v>
          </cell>
          <cell r="AC1034">
            <v>0.4</v>
          </cell>
        </row>
        <row r="1035">
          <cell r="A1035" t="str">
            <v>IS_alqt_plus</v>
          </cell>
          <cell r="K1035" t="str">
            <v>PCOQ</v>
          </cell>
          <cell r="M1035" t="str">
            <v>F</v>
          </cell>
          <cell r="AC1035">
            <v>1.1000000000000001</v>
          </cell>
        </row>
        <row r="1036">
          <cell r="A1036" t="str">
            <v>IS_alqt_plus</v>
          </cell>
          <cell r="K1036" t="str">
            <v>PCOQ</v>
          </cell>
          <cell r="M1036" t="str">
            <v>F</v>
          </cell>
          <cell r="AC1036">
            <v>1</v>
          </cell>
        </row>
        <row r="1037">
          <cell r="A1037" t="str">
            <v>IS_alqt_plus</v>
          </cell>
          <cell r="K1037" t="str">
            <v>PCOQ</v>
          </cell>
          <cell r="M1037" t="str">
            <v>F</v>
          </cell>
          <cell r="AC1037">
            <v>1.4</v>
          </cell>
        </row>
        <row r="1038">
          <cell r="A1038" t="str">
            <v>IS_alqt_plus</v>
          </cell>
          <cell r="K1038" t="str">
            <v>PCOQ</v>
          </cell>
          <cell r="M1038" t="str">
            <v>F</v>
          </cell>
          <cell r="AC1038">
            <v>1</v>
          </cell>
        </row>
        <row r="1039">
          <cell r="A1039" t="str">
            <v>IS_alqt_plus</v>
          </cell>
          <cell r="K1039" t="str">
            <v>DMAD</v>
          </cell>
          <cell r="M1039" t="str">
            <v>M</v>
          </cell>
          <cell r="AC1039">
            <v>0.7</v>
          </cell>
        </row>
        <row r="1040">
          <cell r="A1040" t="str">
            <v>IS_alqt_plus</v>
          </cell>
          <cell r="K1040" t="str">
            <v>DMAD</v>
          </cell>
          <cell r="M1040" t="str">
            <v>M</v>
          </cell>
          <cell r="AC1040">
            <v>1.5</v>
          </cell>
        </row>
        <row r="1041">
          <cell r="A1041" t="str">
            <v>IS_alqt_plus</v>
          </cell>
          <cell r="K1041" t="str">
            <v>DMAD</v>
          </cell>
          <cell r="M1041" t="str">
            <v>M</v>
          </cell>
          <cell r="AC1041">
            <v>1.5</v>
          </cell>
        </row>
        <row r="1042">
          <cell r="A1042" t="str">
            <v>IS_alqt_plus</v>
          </cell>
          <cell r="K1042" t="str">
            <v>NPYG</v>
          </cell>
          <cell r="M1042" t="str">
            <v>F</v>
          </cell>
          <cell r="AC1042">
            <v>1.5</v>
          </cell>
        </row>
        <row r="1043">
          <cell r="A1043" t="str">
            <v>IS_alqt_plus</v>
          </cell>
          <cell r="K1043" t="str">
            <v>NPYG</v>
          </cell>
          <cell r="M1043" t="str">
            <v>F</v>
          </cell>
          <cell r="AC1043">
            <v>1</v>
          </cell>
        </row>
        <row r="1044">
          <cell r="A1044" t="str">
            <v>IS_alqt_plus</v>
          </cell>
          <cell r="K1044" t="str">
            <v>PCOQ</v>
          </cell>
          <cell r="M1044" t="str">
            <v>F</v>
          </cell>
          <cell r="AC1044">
            <v>1.2</v>
          </cell>
        </row>
        <row r="1045">
          <cell r="A1045" t="str">
            <v>IS_alqt_plus</v>
          </cell>
          <cell r="K1045" t="str">
            <v>PCOQ</v>
          </cell>
          <cell r="M1045" t="str">
            <v>F</v>
          </cell>
          <cell r="AC1045">
            <v>0.5</v>
          </cell>
        </row>
        <row r="1046">
          <cell r="A1046" t="str">
            <v>IS_alqt_plus</v>
          </cell>
          <cell r="K1046" t="str">
            <v>DMAD</v>
          </cell>
          <cell r="M1046" t="str">
            <v>M</v>
          </cell>
          <cell r="AC1046">
            <v>1.5</v>
          </cell>
        </row>
        <row r="1047">
          <cell r="A1047" t="str">
            <v>IS_alqt_plus</v>
          </cell>
          <cell r="K1047" t="str">
            <v>DMAD</v>
          </cell>
          <cell r="M1047" t="str">
            <v>M</v>
          </cell>
          <cell r="AC1047">
            <v>1.5</v>
          </cell>
        </row>
        <row r="1048">
          <cell r="A1048" t="str">
            <v>IS_alqt_plus</v>
          </cell>
          <cell r="K1048" t="str">
            <v>ECOR</v>
          </cell>
          <cell r="M1048" t="str">
            <v>M</v>
          </cell>
          <cell r="AC1048">
            <v>1.5</v>
          </cell>
        </row>
        <row r="1049">
          <cell r="A1049" t="str">
            <v>IS_alqt_plus</v>
          </cell>
          <cell r="K1049" t="str">
            <v>PCOQ</v>
          </cell>
          <cell r="M1049" t="str">
            <v>M</v>
          </cell>
          <cell r="AC1049">
            <v>1.5</v>
          </cell>
        </row>
        <row r="1050">
          <cell r="A1050" t="str">
            <v>IS_alqt_plus</v>
          </cell>
          <cell r="K1050" t="str">
            <v>PCOQ</v>
          </cell>
          <cell r="M1050" t="str">
            <v>M</v>
          </cell>
          <cell r="AC1050">
            <v>1.5</v>
          </cell>
        </row>
        <row r="1051">
          <cell r="A1051" t="str">
            <v>IS_alqt_plus</v>
          </cell>
          <cell r="K1051" t="str">
            <v>PCOQ</v>
          </cell>
          <cell r="M1051" t="str">
            <v>M</v>
          </cell>
          <cell r="AC1051">
            <v>1.5</v>
          </cell>
        </row>
        <row r="1052">
          <cell r="A1052" t="str">
            <v>IS_alqt_minus</v>
          </cell>
          <cell r="K1052" t="str">
            <v>PCOQ</v>
          </cell>
          <cell r="M1052" t="str">
            <v>M</v>
          </cell>
          <cell r="AC1052">
            <v>0.4</v>
          </cell>
        </row>
        <row r="1053">
          <cell r="A1053" t="str">
            <v>IS_alqt_plus</v>
          </cell>
          <cell r="K1053" t="str">
            <v>NCOU</v>
          </cell>
          <cell r="M1053" t="str">
            <v>F</v>
          </cell>
          <cell r="AC1053">
            <v>1</v>
          </cell>
        </row>
        <row r="1054">
          <cell r="A1054" t="str">
            <v>IS_alqt_plus</v>
          </cell>
          <cell r="K1054" t="str">
            <v>NCOU</v>
          </cell>
          <cell r="M1054" t="str">
            <v>F</v>
          </cell>
          <cell r="AC1054">
            <v>1.5</v>
          </cell>
        </row>
        <row r="1055">
          <cell r="A1055" t="str">
            <v>IS_alqt_plus</v>
          </cell>
          <cell r="K1055" t="str">
            <v>NCOU</v>
          </cell>
          <cell r="M1055" t="str">
            <v>F</v>
          </cell>
          <cell r="AC1055">
            <v>1.5</v>
          </cell>
        </row>
        <row r="1056">
          <cell r="A1056" t="str">
            <v>IS_alqt_plus</v>
          </cell>
          <cell r="K1056" t="str">
            <v>DMAD</v>
          </cell>
          <cell r="M1056" t="str">
            <v>F</v>
          </cell>
          <cell r="AC1056">
            <v>1.2</v>
          </cell>
        </row>
        <row r="1057">
          <cell r="A1057" t="str">
            <v>IS_alqt_plus</v>
          </cell>
          <cell r="K1057" t="str">
            <v>DMAD</v>
          </cell>
          <cell r="M1057" t="str">
            <v>F</v>
          </cell>
          <cell r="AC1057">
            <v>1.5</v>
          </cell>
        </row>
        <row r="1058">
          <cell r="A1058" t="str">
            <v>IS_alqt_plus</v>
          </cell>
          <cell r="K1058" t="str">
            <v>DMAD</v>
          </cell>
          <cell r="M1058" t="str">
            <v>F</v>
          </cell>
          <cell r="AC1058">
            <v>1</v>
          </cell>
        </row>
        <row r="1059">
          <cell r="A1059" t="str">
            <v>IS_alqt_minus</v>
          </cell>
          <cell r="K1059" t="str">
            <v>CMED</v>
          </cell>
          <cell r="M1059" t="str">
            <v>F</v>
          </cell>
          <cell r="AC1059">
            <v>0.2</v>
          </cell>
        </row>
        <row r="1060">
          <cell r="A1060" t="str">
            <v>IS_alqt_minus</v>
          </cell>
          <cell r="K1060" t="str">
            <v>CMED</v>
          </cell>
          <cell r="M1060" t="str">
            <v>F</v>
          </cell>
          <cell r="AC1060">
            <v>0.1</v>
          </cell>
        </row>
        <row r="1061">
          <cell r="A1061" t="str">
            <v>IS_alqt_minus</v>
          </cell>
          <cell r="K1061" t="str">
            <v>CMED</v>
          </cell>
          <cell r="M1061" t="str">
            <v>F</v>
          </cell>
          <cell r="AC1061">
            <v>0.25</v>
          </cell>
        </row>
        <row r="1062">
          <cell r="A1062" t="str">
            <v>IS_alqt_plus</v>
          </cell>
          <cell r="K1062" t="str">
            <v>CMED</v>
          </cell>
          <cell r="M1062" t="str">
            <v>F</v>
          </cell>
          <cell r="AC1062">
            <v>1.5</v>
          </cell>
        </row>
        <row r="1063">
          <cell r="A1063" t="str">
            <v>unk</v>
          </cell>
          <cell r="K1063" t="str">
            <v>PCOQ</v>
          </cell>
          <cell r="M1063" t="str">
            <v>F</v>
          </cell>
          <cell r="AC1063">
            <v>1</v>
          </cell>
        </row>
        <row r="1064">
          <cell r="A1064" t="str">
            <v>unk</v>
          </cell>
          <cell r="K1064" t="str">
            <v>PCOQ</v>
          </cell>
          <cell r="M1064" t="str">
            <v>F</v>
          </cell>
          <cell r="AC1064">
            <v>1</v>
          </cell>
        </row>
        <row r="1065">
          <cell r="A1065" t="str">
            <v>unk</v>
          </cell>
          <cell r="K1065" t="str">
            <v>PCOQ</v>
          </cell>
          <cell r="M1065" t="str">
            <v>F</v>
          </cell>
          <cell r="AC1065">
            <v>1</v>
          </cell>
        </row>
        <row r="1066">
          <cell r="A1066" t="str">
            <v>unk</v>
          </cell>
          <cell r="K1066" t="str">
            <v>PCOQ</v>
          </cell>
          <cell r="M1066" t="str">
            <v>F</v>
          </cell>
          <cell r="AC1066">
            <v>1</v>
          </cell>
        </row>
        <row r="1067">
          <cell r="A1067" t="str">
            <v>unk</v>
          </cell>
          <cell r="K1067" t="str">
            <v>PCOQ</v>
          </cell>
          <cell r="M1067" t="str">
            <v>F</v>
          </cell>
          <cell r="AC1067">
            <v>1</v>
          </cell>
        </row>
        <row r="1068">
          <cell r="A1068" t="str">
            <v>unk</v>
          </cell>
          <cell r="K1068" t="str">
            <v>PCOQ</v>
          </cell>
          <cell r="M1068" t="str">
            <v>F</v>
          </cell>
          <cell r="AC1068">
            <v>1</v>
          </cell>
        </row>
        <row r="1069">
          <cell r="A1069" t="str">
            <v>unk</v>
          </cell>
          <cell r="K1069" t="str">
            <v>PCOQ</v>
          </cell>
          <cell r="M1069" t="str">
            <v>F</v>
          </cell>
          <cell r="AC1069">
            <v>1</v>
          </cell>
        </row>
        <row r="1070">
          <cell r="A1070" t="str">
            <v>unk</v>
          </cell>
          <cell r="K1070" t="str">
            <v>PCOQ</v>
          </cell>
          <cell r="M1070" t="str">
            <v>F</v>
          </cell>
          <cell r="AC1070">
            <v>1</v>
          </cell>
        </row>
        <row r="1071">
          <cell r="A1071" t="str">
            <v>IS_alqt_plus</v>
          </cell>
          <cell r="K1071" t="str">
            <v>CMED</v>
          </cell>
          <cell r="M1071" t="str">
            <v>F</v>
          </cell>
          <cell r="AC1071">
            <v>1.3</v>
          </cell>
        </row>
        <row r="1072">
          <cell r="A1072" t="str">
            <v>IS_alqt_plus</v>
          </cell>
          <cell r="K1072" t="str">
            <v>PCOQ</v>
          </cell>
          <cell r="M1072" t="str">
            <v>F</v>
          </cell>
          <cell r="AC1072">
            <v>1</v>
          </cell>
        </row>
        <row r="1073">
          <cell r="A1073" t="str">
            <v>IS_alqt_plus</v>
          </cell>
          <cell r="K1073" t="str">
            <v>PCOQ</v>
          </cell>
          <cell r="M1073" t="str">
            <v>F</v>
          </cell>
          <cell r="AC1073">
            <v>1</v>
          </cell>
        </row>
        <row r="1074">
          <cell r="A1074" t="str">
            <v>IS_alqt_plus</v>
          </cell>
          <cell r="K1074" t="str">
            <v>PCOQ</v>
          </cell>
          <cell r="M1074" t="str">
            <v>F</v>
          </cell>
          <cell r="AC1074">
            <v>0.5</v>
          </cell>
        </row>
        <row r="1075">
          <cell r="A1075" t="str">
            <v>IS_alqt_plus</v>
          </cell>
          <cell r="K1075" t="str">
            <v>DMAD</v>
          </cell>
          <cell r="M1075" t="str">
            <v>F</v>
          </cell>
          <cell r="AC1075">
            <v>1.5</v>
          </cell>
        </row>
        <row r="1076">
          <cell r="A1076" t="str">
            <v>IS_alqt_plus</v>
          </cell>
          <cell r="K1076" t="str">
            <v>DMAD</v>
          </cell>
          <cell r="M1076" t="str">
            <v>F</v>
          </cell>
          <cell r="AC1076">
            <v>1.5</v>
          </cell>
        </row>
        <row r="1077">
          <cell r="A1077" t="str">
            <v>IS_alqt_plus</v>
          </cell>
          <cell r="K1077" t="str">
            <v>DMAD</v>
          </cell>
          <cell r="M1077" t="str">
            <v>F</v>
          </cell>
          <cell r="AC1077">
            <v>1.5</v>
          </cell>
        </row>
        <row r="1078">
          <cell r="A1078" t="str">
            <v>IS_alqt_plus</v>
          </cell>
          <cell r="K1078" t="str">
            <v>DMAD</v>
          </cell>
          <cell r="M1078" t="str">
            <v>F</v>
          </cell>
          <cell r="AC1078">
            <v>1.5</v>
          </cell>
        </row>
        <row r="1079">
          <cell r="A1079" t="str">
            <v>IS_alqt_plus</v>
          </cell>
          <cell r="K1079" t="str">
            <v>DMAD</v>
          </cell>
          <cell r="M1079" t="str">
            <v>F</v>
          </cell>
          <cell r="AC1079">
            <v>1.5</v>
          </cell>
        </row>
        <row r="1080">
          <cell r="A1080" t="str">
            <v>IS_alqt_plus</v>
          </cell>
          <cell r="K1080" t="str">
            <v>DMAD</v>
          </cell>
          <cell r="M1080" t="str">
            <v>F</v>
          </cell>
          <cell r="AC1080">
            <v>1.5</v>
          </cell>
        </row>
        <row r="1081">
          <cell r="A1081" t="str">
            <v>IS_alqt_plus</v>
          </cell>
          <cell r="K1081" t="str">
            <v>DMAD</v>
          </cell>
          <cell r="M1081" t="str">
            <v>F</v>
          </cell>
          <cell r="AC1081">
            <v>1.5</v>
          </cell>
        </row>
        <row r="1082">
          <cell r="A1082" t="str">
            <v>IS_alqt_plus</v>
          </cell>
          <cell r="K1082" t="str">
            <v>DMAD</v>
          </cell>
          <cell r="M1082" t="str">
            <v>F</v>
          </cell>
          <cell r="AC1082">
            <v>1.5</v>
          </cell>
        </row>
        <row r="1083">
          <cell r="A1083" t="str">
            <v>IS_alqt_plus</v>
          </cell>
          <cell r="K1083" t="str">
            <v>DMAD</v>
          </cell>
          <cell r="M1083" t="str">
            <v>F</v>
          </cell>
          <cell r="AC1083">
            <v>1.5</v>
          </cell>
        </row>
        <row r="1084">
          <cell r="A1084" t="str">
            <v>IS_alqt_plus</v>
          </cell>
          <cell r="K1084" t="str">
            <v>DMAD</v>
          </cell>
          <cell r="M1084" t="str">
            <v>F</v>
          </cell>
          <cell r="AC1084">
            <v>1.5</v>
          </cell>
        </row>
        <row r="1085">
          <cell r="A1085" t="str">
            <v>IS_alqt_plus</v>
          </cell>
          <cell r="K1085" t="str">
            <v>DMAD</v>
          </cell>
          <cell r="M1085" t="str">
            <v>F</v>
          </cell>
          <cell r="AC1085">
            <v>1.5</v>
          </cell>
        </row>
        <row r="1086">
          <cell r="A1086" t="str">
            <v>IS_alqt_plus</v>
          </cell>
          <cell r="K1086" t="str">
            <v>DMAD</v>
          </cell>
          <cell r="M1086" t="str">
            <v>F</v>
          </cell>
          <cell r="AC1086">
            <v>1.5</v>
          </cell>
        </row>
        <row r="1087">
          <cell r="A1087" t="str">
            <v>IS_alqt_plus</v>
          </cell>
          <cell r="K1087" t="str">
            <v>DMAD</v>
          </cell>
          <cell r="M1087" t="str">
            <v>F</v>
          </cell>
          <cell r="AC1087">
            <v>1</v>
          </cell>
        </row>
        <row r="1088">
          <cell r="A1088" t="str">
            <v>IS_alqt_plus</v>
          </cell>
          <cell r="K1088" t="str">
            <v>DMAD</v>
          </cell>
          <cell r="M1088" t="str">
            <v>F</v>
          </cell>
          <cell r="AC1088">
            <v>1.5</v>
          </cell>
        </row>
        <row r="1089">
          <cell r="A1089" t="str">
            <v>IS_alqt_plus</v>
          </cell>
          <cell r="K1089" t="str">
            <v>CMED</v>
          </cell>
          <cell r="M1089" t="str">
            <v>F</v>
          </cell>
          <cell r="AC1089">
            <v>0.5</v>
          </cell>
        </row>
        <row r="1090">
          <cell r="A1090" t="str">
            <v>gone</v>
          </cell>
          <cell r="K1090" t="str">
            <v>CMED</v>
          </cell>
          <cell r="M1090" t="str">
            <v>M</v>
          </cell>
          <cell r="AC1090">
            <v>0</v>
          </cell>
        </row>
        <row r="1091">
          <cell r="A1091" t="str">
            <v>IS_alqt_plus</v>
          </cell>
          <cell r="K1091" t="str">
            <v>CMED</v>
          </cell>
          <cell r="M1091" t="str">
            <v>M</v>
          </cell>
          <cell r="AC1091">
            <v>0.5</v>
          </cell>
        </row>
        <row r="1092">
          <cell r="A1092" t="str">
            <v>IS_alqt_plus</v>
          </cell>
          <cell r="K1092" t="str">
            <v>CMED</v>
          </cell>
          <cell r="M1092" t="str">
            <v>M</v>
          </cell>
          <cell r="AC1092">
            <v>0.6</v>
          </cell>
        </row>
        <row r="1093">
          <cell r="A1093" t="str">
            <v>IS_alqt_plus</v>
          </cell>
          <cell r="K1093" t="str">
            <v>CMED</v>
          </cell>
          <cell r="M1093" t="str">
            <v>M</v>
          </cell>
          <cell r="AC1093">
            <v>0.5</v>
          </cell>
        </row>
        <row r="1094">
          <cell r="A1094" t="str">
            <v>IS_alqt_plus</v>
          </cell>
          <cell r="K1094" t="str">
            <v>CMED</v>
          </cell>
          <cell r="M1094" t="str">
            <v>F</v>
          </cell>
          <cell r="AC1094">
            <v>0.8</v>
          </cell>
        </row>
        <row r="1095">
          <cell r="A1095" t="str">
            <v>IS_alqt_plus</v>
          </cell>
          <cell r="K1095" t="str">
            <v>CMED</v>
          </cell>
          <cell r="M1095" t="str">
            <v>M</v>
          </cell>
          <cell r="AC1095">
            <v>1</v>
          </cell>
        </row>
        <row r="1096">
          <cell r="A1096" t="str">
            <v>IS_alqt_plus</v>
          </cell>
          <cell r="K1096" t="str">
            <v>CMED</v>
          </cell>
          <cell r="M1096" t="str">
            <v>M</v>
          </cell>
          <cell r="AC1096">
            <v>0.5</v>
          </cell>
        </row>
        <row r="1097">
          <cell r="A1097" t="str">
            <v>IS_alqt_plus</v>
          </cell>
          <cell r="K1097" t="str">
            <v>PCOQ</v>
          </cell>
          <cell r="M1097" t="str">
            <v>F</v>
          </cell>
          <cell r="AC1097">
            <v>1</v>
          </cell>
        </row>
        <row r="1098">
          <cell r="A1098" t="str">
            <v>IS_alqt_plus</v>
          </cell>
          <cell r="K1098" t="str">
            <v>PCOQ</v>
          </cell>
          <cell r="M1098" t="str">
            <v>M</v>
          </cell>
          <cell r="AC1098">
            <v>1.5</v>
          </cell>
        </row>
        <row r="1099">
          <cell r="A1099" t="str">
            <v>IS_alqt_plus</v>
          </cell>
          <cell r="K1099" t="str">
            <v>PCOQ</v>
          </cell>
          <cell r="M1099" t="str">
            <v>M</v>
          </cell>
          <cell r="AC1099">
            <v>1.5</v>
          </cell>
        </row>
        <row r="1100">
          <cell r="A1100" t="str">
            <v>IS_alqt_plus</v>
          </cell>
          <cell r="K1100" t="str">
            <v>PCOQ</v>
          </cell>
          <cell r="M1100" t="str">
            <v>M</v>
          </cell>
          <cell r="AC1100">
            <v>1.5</v>
          </cell>
        </row>
        <row r="1101">
          <cell r="A1101" t="str">
            <v>IS_alqt_plus</v>
          </cell>
          <cell r="K1101" t="str">
            <v>PCOQ</v>
          </cell>
          <cell r="M1101" t="str">
            <v>M</v>
          </cell>
          <cell r="AC1101">
            <v>0.5</v>
          </cell>
        </row>
        <row r="1102">
          <cell r="A1102" t="str">
            <v>IS_alqt_plus</v>
          </cell>
          <cell r="K1102" t="str">
            <v>CMED</v>
          </cell>
          <cell r="M1102" t="str">
            <v>F</v>
          </cell>
          <cell r="AC1102">
            <v>0.6</v>
          </cell>
        </row>
        <row r="1103">
          <cell r="A1103" t="str">
            <v>IS_alqt_plus</v>
          </cell>
          <cell r="K1103" t="str">
            <v>EMON</v>
          </cell>
          <cell r="M1103" t="str">
            <v>F</v>
          </cell>
          <cell r="AC1103">
            <v>1.5</v>
          </cell>
        </row>
        <row r="1104">
          <cell r="A1104" t="str">
            <v>IS_alqt_plus</v>
          </cell>
          <cell r="K1104" t="str">
            <v>EMON</v>
          </cell>
          <cell r="M1104" t="str">
            <v>F</v>
          </cell>
          <cell r="AC1104">
            <v>1.5</v>
          </cell>
        </row>
        <row r="1105">
          <cell r="A1105" t="str">
            <v>IS_alqt_plus</v>
          </cell>
          <cell r="K1105" t="str">
            <v>EMON</v>
          </cell>
          <cell r="M1105" t="str">
            <v>F</v>
          </cell>
          <cell r="AC1105">
            <v>1.5</v>
          </cell>
        </row>
        <row r="1106">
          <cell r="A1106" t="str">
            <v>IS_alqt_plus</v>
          </cell>
          <cell r="K1106" t="str">
            <v>CMED</v>
          </cell>
          <cell r="M1106" t="str">
            <v>M</v>
          </cell>
          <cell r="AC1106">
            <v>1</v>
          </cell>
        </row>
        <row r="1107">
          <cell r="A1107" t="str">
            <v>gone</v>
          </cell>
          <cell r="K1107" t="str">
            <v>CMED</v>
          </cell>
          <cell r="M1107" t="str">
            <v>M</v>
          </cell>
          <cell r="AC1107">
            <v>0</v>
          </cell>
        </row>
        <row r="1108">
          <cell r="A1108" t="str">
            <v>IS_alqt_plus</v>
          </cell>
          <cell r="K1108" t="str">
            <v>PCOQ</v>
          </cell>
          <cell r="M1108" t="str">
            <v>F</v>
          </cell>
          <cell r="AC1108">
            <v>1.5</v>
          </cell>
        </row>
        <row r="1109">
          <cell r="A1109" t="str">
            <v>IS_alqt_plus</v>
          </cell>
          <cell r="K1109" t="str">
            <v>PCOQ</v>
          </cell>
          <cell r="M1109" t="str">
            <v>F</v>
          </cell>
          <cell r="AC1109">
            <v>1.5</v>
          </cell>
        </row>
        <row r="1110">
          <cell r="A1110" t="str">
            <v>IS_alqt_plus</v>
          </cell>
          <cell r="K1110" t="str">
            <v>PCOQ</v>
          </cell>
          <cell r="M1110" t="str">
            <v>F</v>
          </cell>
          <cell r="AC1110">
            <v>0.5</v>
          </cell>
        </row>
        <row r="1111">
          <cell r="A1111" t="str">
            <v>IS_alqt_plus</v>
          </cell>
          <cell r="K1111" t="str">
            <v>PCOQ</v>
          </cell>
          <cell r="M1111" t="str">
            <v>M</v>
          </cell>
          <cell r="AC1111">
            <v>1.5</v>
          </cell>
        </row>
        <row r="1112">
          <cell r="A1112" t="str">
            <v>IS_alqt_plus</v>
          </cell>
          <cell r="K1112" t="str">
            <v>PCOQ</v>
          </cell>
          <cell r="M1112" t="str">
            <v>M</v>
          </cell>
          <cell r="AC1112">
            <v>1.5</v>
          </cell>
        </row>
        <row r="1113">
          <cell r="A1113" t="str">
            <v>IS_alqt_plus</v>
          </cell>
          <cell r="K1113" t="str">
            <v>PCOQ</v>
          </cell>
          <cell r="M1113" t="str">
            <v>M</v>
          </cell>
          <cell r="AC1113">
            <v>1.5</v>
          </cell>
        </row>
        <row r="1114">
          <cell r="A1114" t="str">
            <v>IS_alqt_plus</v>
          </cell>
          <cell r="K1114" t="str">
            <v>PCOQ</v>
          </cell>
          <cell r="M1114" t="str">
            <v>F</v>
          </cell>
          <cell r="AC1114">
            <v>1.5</v>
          </cell>
        </row>
        <row r="1115">
          <cell r="A1115" t="str">
            <v>IS_alqt_plus</v>
          </cell>
          <cell r="K1115" t="str">
            <v>PCOQ</v>
          </cell>
          <cell r="M1115" t="str">
            <v>F</v>
          </cell>
          <cell r="AC1115">
            <v>1.5</v>
          </cell>
        </row>
        <row r="1116">
          <cell r="A1116" t="str">
            <v>IS_alqt_plus</v>
          </cell>
          <cell r="K1116" t="str">
            <v>PCOQ</v>
          </cell>
          <cell r="M1116" t="str">
            <v>F</v>
          </cell>
          <cell r="AC1116">
            <v>0.5</v>
          </cell>
        </row>
        <row r="1117">
          <cell r="A1117" t="str">
            <v>IS_alqt_plus</v>
          </cell>
          <cell r="K1117" t="str">
            <v>PCOQ</v>
          </cell>
          <cell r="M1117" t="str">
            <v>F</v>
          </cell>
          <cell r="AC1117">
            <v>1</v>
          </cell>
        </row>
        <row r="1118">
          <cell r="A1118" t="str">
            <v>IS_alqt_plus</v>
          </cell>
          <cell r="K1118" t="str">
            <v>PCOQ</v>
          </cell>
          <cell r="M1118" t="str">
            <v>F</v>
          </cell>
          <cell r="AC1118">
            <v>1</v>
          </cell>
        </row>
        <row r="1119">
          <cell r="A1119" t="str">
            <v>IS_alqt_minus</v>
          </cell>
          <cell r="K1119" t="str">
            <v>LCAT</v>
          </cell>
          <cell r="M1119" t="str">
            <v>F</v>
          </cell>
          <cell r="AC1119">
            <v>0.2</v>
          </cell>
        </row>
        <row r="1120">
          <cell r="A1120" t="str">
            <v>IS_alqt_plus</v>
          </cell>
          <cell r="K1120" t="str">
            <v>EFLA</v>
          </cell>
          <cell r="M1120" t="str">
            <v>M</v>
          </cell>
          <cell r="AC1120">
            <v>0.5</v>
          </cell>
        </row>
        <row r="1121">
          <cell r="A1121" t="str">
            <v>IS_alqt_plus</v>
          </cell>
          <cell r="K1121" t="str">
            <v>NPYG</v>
          </cell>
          <cell r="M1121" t="str">
            <v>F</v>
          </cell>
          <cell r="AC1121">
            <v>1</v>
          </cell>
        </row>
        <row r="1122">
          <cell r="A1122" t="str">
            <v>IS_alqt_plus</v>
          </cell>
          <cell r="K1122" t="str">
            <v>PCOQ</v>
          </cell>
          <cell r="M1122" t="str">
            <v>M</v>
          </cell>
          <cell r="AC1122">
            <v>1.5</v>
          </cell>
        </row>
        <row r="1123">
          <cell r="A1123" t="str">
            <v>IS_alqt_plus</v>
          </cell>
          <cell r="K1123" t="str">
            <v>PCOQ</v>
          </cell>
          <cell r="M1123" t="str">
            <v>M</v>
          </cell>
          <cell r="AC1123">
            <v>1.5</v>
          </cell>
        </row>
        <row r="1124">
          <cell r="A1124" t="str">
            <v>IS_alqt_plus</v>
          </cell>
          <cell r="K1124" t="str">
            <v>PCOQ</v>
          </cell>
          <cell r="M1124" t="str">
            <v>M</v>
          </cell>
          <cell r="AC1124">
            <v>1.5</v>
          </cell>
        </row>
        <row r="1125">
          <cell r="A1125" t="str">
            <v>IS_alqt_plus</v>
          </cell>
          <cell r="K1125" t="str">
            <v>PCOQ</v>
          </cell>
          <cell r="M1125" t="str">
            <v>M</v>
          </cell>
          <cell r="AC1125">
            <v>1.5</v>
          </cell>
        </row>
        <row r="1126">
          <cell r="A1126" t="str">
            <v>IS_alqt_plus</v>
          </cell>
          <cell r="K1126" t="str">
            <v>NPYG</v>
          </cell>
          <cell r="M1126" t="str">
            <v>M</v>
          </cell>
          <cell r="AC1126">
            <v>1.2</v>
          </cell>
        </row>
        <row r="1127">
          <cell r="A1127" t="str">
            <v>IS_alqt_plus</v>
          </cell>
          <cell r="K1127" t="str">
            <v>NPYG</v>
          </cell>
          <cell r="M1127" t="str">
            <v>M</v>
          </cell>
          <cell r="AC1127">
            <v>1</v>
          </cell>
        </row>
        <row r="1128">
          <cell r="A1128" t="str">
            <v>IS_alqt_plus</v>
          </cell>
          <cell r="K1128" t="str">
            <v>DMAD</v>
          </cell>
          <cell r="M1128" t="str">
            <v>F</v>
          </cell>
          <cell r="AC1128">
            <v>1.5</v>
          </cell>
        </row>
        <row r="1129">
          <cell r="A1129" t="str">
            <v>IS_alqt_plus</v>
          </cell>
          <cell r="K1129" t="str">
            <v>DMAD</v>
          </cell>
          <cell r="M1129" t="str">
            <v>F</v>
          </cell>
          <cell r="AC1129">
            <v>1.2</v>
          </cell>
        </row>
        <row r="1130">
          <cell r="A1130" t="str">
            <v>IS_alqt_plus</v>
          </cell>
          <cell r="K1130" t="str">
            <v>CMED</v>
          </cell>
          <cell r="M1130" t="str">
            <v>M</v>
          </cell>
          <cell r="AC1130">
            <v>0.9</v>
          </cell>
        </row>
        <row r="1131">
          <cell r="A1131" t="str">
            <v>IS_alqt_plus</v>
          </cell>
          <cell r="K1131" t="str">
            <v>DMAD</v>
          </cell>
          <cell r="M1131" t="str">
            <v>F</v>
          </cell>
          <cell r="AC1131">
            <v>1.2</v>
          </cell>
        </row>
        <row r="1132">
          <cell r="A1132" t="str">
            <v>IS_alqt_plus</v>
          </cell>
          <cell r="K1132" t="str">
            <v>DMAD</v>
          </cell>
          <cell r="M1132" t="str">
            <v>F</v>
          </cell>
          <cell r="AC1132">
            <v>1.5</v>
          </cell>
        </row>
        <row r="1133">
          <cell r="A1133" t="str">
            <v>IS_alqt_plus</v>
          </cell>
          <cell r="K1133" t="str">
            <v>DMAD</v>
          </cell>
          <cell r="M1133" t="str">
            <v>F</v>
          </cell>
          <cell r="AC1133">
            <v>1.1000000000000001</v>
          </cell>
        </row>
        <row r="1134">
          <cell r="A1134" t="str">
            <v>IS_alqt_plus</v>
          </cell>
          <cell r="K1134" t="str">
            <v>DMAD</v>
          </cell>
          <cell r="M1134" t="str">
            <v>F</v>
          </cell>
          <cell r="AC1134">
            <v>1.2</v>
          </cell>
        </row>
        <row r="1135">
          <cell r="A1135" t="str">
            <v>IS_alqt_minus</v>
          </cell>
          <cell r="K1135" t="str">
            <v>LCAT</v>
          </cell>
          <cell r="M1135" t="str">
            <v>F</v>
          </cell>
          <cell r="AC1135">
            <v>0.2</v>
          </cell>
        </row>
        <row r="1136">
          <cell r="A1136" t="str">
            <v>IS_alqt_minus</v>
          </cell>
          <cell r="K1136" t="str">
            <v>LCAT</v>
          </cell>
          <cell r="M1136" t="str">
            <v>F</v>
          </cell>
          <cell r="AC1136">
            <v>0.2</v>
          </cell>
        </row>
        <row r="1137">
          <cell r="A1137" t="str">
            <v>IS_alqt_minus</v>
          </cell>
          <cell r="K1137" t="str">
            <v>LCAT</v>
          </cell>
          <cell r="M1137" t="str">
            <v>F</v>
          </cell>
          <cell r="AC1137">
            <v>0.2</v>
          </cell>
        </row>
        <row r="1138">
          <cell r="A1138" t="str">
            <v>gone</v>
          </cell>
          <cell r="K1138" t="str">
            <v>PCOQ</v>
          </cell>
          <cell r="M1138" t="str">
            <v>M</v>
          </cell>
          <cell r="AC1138">
            <v>1.5</v>
          </cell>
        </row>
        <row r="1139">
          <cell r="A1139" t="str">
            <v>IS_alqt_plus</v>
          </cell>
          <cell r="K1139" t="str">
            <v>CMED</v>
          </cell>
          <cell r="M1139" t="str">
            <v>M</v>
          </cell>
          <cell r="AC1139">
            <v>0.6</v>
          </cell>
        </row>
        <row r="1140">
          <cell r="A1140" t="str">
            <v>IS_alqt_plus</v>
          </cell>
          <cell r="K1140" t="str">
            <v>CMED</v>
          </cell>
          <cell r="M1140" t="str">
            <v>M</v>
          </cell>
          <cell r="AC1140">
            <v>0.9</v>
          </cell>
        </row>
        <row r="1141">
          <cell r="A1141" t="str">
            <v>IS_alqt_plus</v>
          </cell>
          <cell r="K1141" t="str">
            <v>PCOQ</v>
          </cell>
          <cell r="M1141" t="str">
            <v>F</v>
          </cell>
          <cell r="AC1141">
            <v>1.5</v>
          </cell>
        </row>
        <row r="1142">
          <cell r="A1142" t="str">
            <v>IS_alqt_plus</v>
          </cell>
          <cell r="K1142" t="str">
            <v>PCOQ</v>
          </cell>
          <cell r="M1142" t="str">
            <v>F</v>
          </cell>
          <cell r="AC1142">
            <v>1.5</v>
          </cell>
        </row>
        <row r="1143">
          <cell r="A1143" t="str">
            <v>IS_alqt_plus</v>
          </cell>
          <cell r="K1143" t="str">
            <v>PCOQ</v>
          </cell>
          <cell r="M1143" t="str">
            <v>F</v>
          </cell>
          <cell r="AC1143">
            <v>1.5</v>
          </cell>
        </row>
        <row r="1144">
          <cell r="A1144" t="str">
            <v>IS_alqt_plus</v>
          </cell>
          <cell r="K1144" t="str">
            <v>DMAD</v>
          </cell>
          <cell r="M1144" t="str">
            <v>F</v>
          </cell>
          <cell r="AC1144">
            <v>1</v>
          </cell>
        </row>
        <row r="1145">
          <cell r="A1145" t="str">
            <v>IS_alqt_plus</v>
          </cell>
          <cell r="K1145" t="str">
            <v>DMAD</v>
          </cell>
          <cell r="M1145" t="str">
            <v>F</v>
          </cell>
          <cell r="AC1145">
            <v>1.1000000000000001</v>
          </cell>
        </row>
        <row r="1146">
          <cell r="A1146" t="str">
            <v>IS_alqt_plus</v>
          </cell>
          <cell r="K1146" t="str">
            <v>DMAD</v>
          </cell>
          <cell r="M1146" t="str">
            <v>F</v>
          </cell>
          <cell r="AC1146">
            <v>1.2</v>
          </cell>
        </row>
        <row r="1147">
          <cell r="A1147" t="str">
            <v>IS_alqt_plus</v>
          </cell>
          <cell r="K1147" t="str">
            <v>DMAD</v>
          </cell>
          <cell r="M1147" t="str">
            <v>F</v>
          </cell>
          <cell r="AC1147">
            <v>1</v>
          </cell>
        </row>
        <row r="1148">
          <cell r="A1148" t="str">
            <v>IS_alqt_plus</v>
          </cell>
          <cell r="K1148" t="str">
            <v>PCOQ</v>
          </cell>
          <cell r="M1148" t="str">
            <v>M</v>
          </cell>
          <cell r="AC1148">
            <v>1.5</v>
          </cell>
        </row>
        <row r="1149">
          <cell r="A1149" t="str">
            <v>IS_alqt_plus</v>
          </cell>
          <cell r="K1149" t="str">
            <v>PCOQ</v>
          </cell>
          <cell r="M1149" t="str">
            <v>M</v>
          </cell>
          <cell r="AC1149">
            <v>1</v>
          </cell>
        </row>
        <row r="1150">
          <cell r="A1150" t="str">
            <v>IS_alqt_plus</v>
          </cell>
          <cell r="K1150" t="str">
            <v>PCOQ</v>
          </cell>
          <cell r="M1150" t="str">
            <v>M</v>
          </cell>
          <cell r="AC1150">
            <v>1.5</v>
          </cell>
        </row>
        <row r="1151">
          <cell r="A1151" t="str">
            <v>IS_alqt_plus</v>
          </cell>
          <cell r="K1151" t="str">
            <v>PCOQ</v>
          </cell>
          <cell r="M1151" t="str">
            <v>F</v>
          </cell>
          <cell r="AC1151">
            <v>1.3</v>
          </cell>
        </row>
        <row r="1152">
          <cell r="A1152" t="str">
            <v>gone</v>
          </cell>
          <cell r="K1152" t="str">
            <v>PCOQ</v>
          </cell>
          <cell r="M1152" t="str">
            <v>F</v>
          </cell>
          <cell r="AC1152">
            <v>0</v>
          </cell>
        </row>
        <row r="1153">
          <cell r="A1153" t="str">
            <v>unk</v>
          </cell>
          <cell r="K1153" t="str">
            <v>ECOL</v>
          </cell>
          <cell r="M1153" t="str">
            <v>M</v>
          </cell>
          <cell r="AC1153">
            <v>1.5</v>
          </cell>
        </row>
        <row r="1154">
          <cell r="A1154" t="str">
            <v>IS_alqt_plus</v>
          </cell>
          <cell r="K1154" t="str">
            <v>PCOQ</v>
          </cell>
          <cell r="M1154" t="str">
            <v>M</v>
          </cell>
          <cell r="AC1154">
            <v>1.5</v>
          </cell>
        </row>
        <row r="1155">
          <cell r="A1155" t="str">
            <v>IS_alqt_plus</v>
          </cell>
          <cell r="K1155" t="str">
            <v>PCOQ</v>
          </cell>
          <cell r="M1155" t="str">
            <v>M</v>
          </cell>
          <cell r="AC1155">
            <v>1.5</v>
          </cell>
        </row>
        <row r="1156">
          <cell r="A1156" t="str">
            <v>IS_alqt_plus</v>
          </cell>
          <cell r="K1156" t="str">
            <v>PCOQ</v>
          </cell>
          <cell r="M1156" t="str">
            <v>M</v>
          </cell>
          <cell r="AC1156">
            <v>1.5</v>
          </cell>
        </row>
        <row r="1157">
          <cell r="A1157" t="str">
            <v>unk</v>
          </cell>
          <cell r="K1157" t="str">
            <v>DMAD</v>
          </cell>
          <cell r="M1157" t="str">
            <v>F</v>
          </cell>
          <cell r="AC1157">
            <v>1.5</v>
          </cell>
        </row>
        <row r="1158">
          <cell r="A1158" t="str">
            <v>unk</v>
          </cell>
          <cell r="K1158" t="str">
            <v>DMAD</v>
          </cell>
          <cell r="M1158" t="str">
            <v>F</v>
          </cell>
          <cell r="AC1158">
            <v>1.5</v>
          </cell>
        </row>
        <row r="1159">
          <cell r="A1159" t="str">
            <v>IS_alqt_minus</v>
          </cell>
          <cell r="K1159" t="str">
            <v>ECOL</v>
          </cell>
          <cell r="M1159" t="str">
            <v>F</v>
          </cell>
          <cell r="AC1159">
            <v>0.2</v>
          </cell>
        </row>
        <row r="1160">
          <cell r="A1160" t="str">
            <v>IS_alqt_minus</v>
          </cell>
          <cell r="K1160" t="str">
            <v>LCAT</v>
          </cell>
          <cell r="M1160" t="str">
            <v>F</v>
          </cell>
          <cell r="AC1160">
            <v>0.2</v>
          </cell>
        </row>
        <row r="1161">
          <cell r="A1161" t="str">
            <v>IS_alqt_plus</v>
          </cell>
          <cell r="K1161" t="str">
            <v>LCAT</v>
          </cell>
          <cell r="M1161" t="str">
            <v>F</v>
          </cell>
          <cell r="AC1161">
            <v>1</v>
          </cell>
        </row>
        <row r="1162">
          <cell r="A1162" t="str">
            <v>IS_alqt_minus</v>
          </cell>
          <cell r="K1162" t="str">
            <v>LCAT</v>
          </cell>
          <cell r="M1162" t="str">
            <v>F</v>
          </cell>
          <cell r="AC1162">
            <v>0.2</v>
          </cell>
        </row>
        <row r="1163">
          <cell r="A1163" t="str">
            <v>unk</v>
          </cell>
          <cell r="K1163" t="str">
            <v>ECOL</v>
          </cell>
          <cell r="M1163" t="str">
            <v>M</v>
          </cell>
          <cell r="AC1163">
            <v>2.5</v>
          </cell>
        </row>
        <row r="1164">
          <cell r="A1164" t="str">
            <v>gone</v>
          </cell>
          <cell r="K1164" t="str">
            <v>PCOQ</v>
          </cell>
          <cell r="M1164" t="str">
            <v>F</v>
          </cell>
          <cell r="AC1164">
            <v>0</v>
          </cell>
        </row>
        <row r="1165">
          <cell r="A1165" t="str">
            <v>IS_alqt_plus</v>
          </cell>
          <cell r="K1165" t="str">
            <v>NCOU</v>
          </cell>
          <cell r="M1165" t="str">
            <v>F</v>
          </cell>
          <cell r="AC1165">
            <v>1.5</v>
          </cell>
        </row>
        <row r="1166">
          <cell r="A1166" t="str">
            <v>IS_alqt_plus</v>
          </cell>
          <cell r="K1166" t="str">
            <v>NCOU</v>
          </cell>
          <cell r="M1166" t="str">
            <v>F</v>
          </cell>
          <cell r="AC1166">
            <v>1.5</v>
          </cell>
        </row>
        <row r="1167">
          <cell r="A1167" t="str">
            <v>IS_alqt_plus</v>
          </cell>
          <cell r="K1167" t="str">
            <v>NCOU</v>
          </cell>
          <cell r="M1167" t="str">
            <v>F</v>
          </cell>
          <cell r="AC1167">
            <v>1.5</v>
          </cell>
        </row>
        <row r="1168">
          <cell r="A1168" t="str">
            <v>IS_alqt_plus</v>
          </cell>
          <cell r="K1168" t="str">
            <v>NPYG</v>
          </cell>
          <cell r="M1168" t="str">
            <v>F</v>
          </cell>
          <cell r="AC1168">
            <v>1.5</v>
          </cell>
        </row>
        <row r="1169">
          <cell r="A1169" t="str">
            <v>IS_alqt_plus</v>
          </cell>
          <cell r="K1169" t="str">
            <v>NPYG</v>
          </cell>
          <cell r="M1169" t="str">
            <v>F</v>
          </cell>
          <cell r="AC1169">
            <v>1.5</v>
          </cell>
        </row>
        <row r="1170">
          <cell r="A1170" t="str">
            <v>IS_alqt_plus</v>
          </cell>
          <cell r="K1170" t="str">
            <v>NPYG</v>
          </cell>
          <cell r="M1170" t="str">
            <v>F</v>
          </cell>
          <cell r="AC1170">
            <v>1.5</v>
          </cell>
        </row>
        <row r="1171">
          <cell r="A1171" t="str">
            <v>IS_alqt_plus</v>
          </cell>
          <cell r="K1171" t="str">
            <v>NPYG</v>
          </cell>
          <cell r="M1171" t="str">
            <v>F</v>
          </cell>
          <cell r="AC1171">
            <v>1.5</v>
          </cell>
        </row>
        <row r="1172">
          <cell r="A1172" t="str">
            <v>IS_alqt_plus</v>
          </cell>
          <cell r="K1172" t="str">
            <v>NPYG</v>
          </cell>
          <cell r="M1172" t="str">
            <v>F</v>
          </cell>
          <cell r="AC1172">
            <v>1.5</v>
          </cell>
        </row>
        <row r="1173">
          <cell r="A1173" t="str">
            <v>IS_alqt_plus</v>
          </cell>
          <cell r="K1173" t="str">
            <v>NPYG</v>
          </cell>
          <cell r="M1173" t="str">
            <v>F</v>
          </cell>
          <cell r="AC1173">
            <v>1.5</v>
          </cell>
        </row>
        <row r="1174">
          <cell r="A1174" t="str">
            <v>IS_alqt_plus</v>
          </cell>
          <cell r="K1174" t="str">
            <v>NPYG</v>
          </cell>
          <cell r="M1174" t="str">
            <v>F</v>
          </cell>
          <cell r="AC1174">
            <v>1.5</v>
          </cell>
        </row>
        <row r="1175">
          <cell r="A1175" t="str">
            <v>IS_alqt_plus</v>
          </cell>
          <cell r="K1175" t="str">
            <v>NPYG</v>
          </cell>
          <cell r="M1175" t="str">
            <v>F</v>
          </cell>
          <cell r="AC1175">
            <v>1.5</v>
          </cell>
        </row>
        <row r="1176">
          <cell r="A1176" t="str">
            <v>IS_alqt_plus</v>
          </cell>
          <cell r="K1176" t="str">
            <v>PCOQ</v>
          </cell>
          <cell r="M1176" t="str">
            <v>F</v>
          </cell>
          <cell r="AC1176">
            <v>0.5</v>
          </cell>
        </row>
        <row r="1177">
          <cell r="A1177" t="str">
            <v>IS_alqt_plus</v>
          </cell>
          <cell r="K1177" t="str">
            <v>PCOQ</v>
          </cell>
          <cell r="M1177" t="str">
            <v>F</v>
          </cell>
          <cell r="AC1177">
            <v>0.75</v>
          </cell>
        </row>
        <row r="1178">
          <cell r="A1178" t="str">
            <v>IS_alqt_plus</v>
          </cell>
          <cell r="K1178" t="str">
            <v>ERUF</v>
          </cell>
          <cell r="M1178" t="str">
            <v>F</v>
          </cell>
          <cell r="AC1178">
            <v>1.5</v>
          </cell>
        </row>
        <row r="1179">
          <cell r="A1179" t="str">
            <v>IS_alqt_plus</v>
          </cell>
          <cell r="K1179" t="str">
            <v>ERUF</v>
          </cell>
          <cell r="M1179" t="str">
            <v>F</v>
          </cell>
          <cell r="AC1179">
            <v>1.5</v>
          </cell>
        </row>
        <row r="1180">
          <cell r="A1180" t="str">
            <v>IS_alqt_plus</v>
          </cell>
          <cell r="K1180" t="str">
            <v>ERUF</v>
          </cell>
          <cell r="M1180" t="str">
            <v>F</v>
          </cell>
          <cell r="AC1180">
            <v>1.5</v>
          </cell>
        </row>
        <row r="1181">
          <cell r="A1181" t="str">
            <v>IS_alqt_plus</v>
          </cell>
          <cell r="K1181" t="str">
            <v>ERUF</v>
          </cell>
          <cell r="M1181" t="str">
            <v>F</v>
          </cell>
          <cell r="AC1181">
            <v>1.5</v>
          </cell>
        </row>
        <row r="1182">
          <cell r="A1182" t="str">
            <v>IS_alqt_minus</v>
          </cell>
          <cell r="K1182" t="str">
            <v>LCAT</v>
          </cell>
          <cell r="M1182" t="str">
            <v>F</v>
          </cell>
          <cell r="AC1182">
            <v>0.2</v>
          </cell>
        </row>
        <row r="1183">
          <cell r="A1183" t="str">
            <v>IS_alqt_minus</v>
          </cell>
          <cell r="K1183" t="str">
            <v>LCAT</v>
          </cell>
          <cell r="M1183" t="str">
            <v>F</v>
          </cell>
          <cell r="AC1183">
            <v>0.2</v>
          </cell>
        </row>
        <row r="1184">
          <cell r="A1184" t="str">
            <v>IS_alqt_minus</v>
          </cell>
          <cell r="K1184" t="str">
            <v>LCAT</v>
          </cell>
          <cell r="M1184" t="str">
            <v>F</v>
          </cell>
          <cell r="AC1184">
            <v>0.2</v>
          </cell>
        </row>
        <row r="1185">
          <cell r="A1185" t="str">
            <v>IS_alqt_plus</v>
          </cell>
          <cell r="K1185" t="str">
            <v>LCAT</v>
          </cell>
          <cell r="M1185" t="str">
            <v>F</v>
          </cell>
          <cell r="AC1185">
            <v>0.5</v>
          </cell>
        </row>
        <row r="1186">
          <cell r="A1186" t="str">
            <v>IS_alqt_minus</v>
          </cell>
          <cell r="K1186" t="str">
            <v>LCAT</v>
          </cell>
          <cell r="M1186" t="str">
            <v>F</v>
          </cell>
          <cell r="AC1186">
            <v>0.2</v>
          </cell>
        </row>
        <row r="1187">
          <cell r="A1187" t="str">
            <v>IS_alqt_minus</v>
          </cell>
          <cell r="K1187" t="str">
            <v>LCAT</v>
          </cell>
          <cell r="M1187" t="str">
            <v>F</v>
          </cell>
          <cell r="AC1187">
            <v>0.2</v>
          </cell>
        </row>
        <row r="1188">
          <cell r="A1188" t="str">
            <v>IS_alqt_plus</v>
          </cell>
          <cell r="K1188" t="str">
            <v>LCAT</v>
          </cell>
          <cell r="M1188" t="str">
            <v>F</v>
          </cell>
          <cell r="AC1188">
            <v>0.5</v>
          </cell>
        </row>
        <row r="1189">
          <cell r="A1189" t="str">
            <v>IS_alqt_plus</v>
          </cell>
          <cell r="K1189" t="str">
            <v>PCOQ</v>
          </cell>
          <cell r="M1189" t="str">
            <v>M</v>
          </cell>
          <cell r="AC1189">
            <v>1.5</v>
          </cell>
        </row>
        <row r="1190">
          <cell r="A1190" t="str">
            <v>IS_alqt_plus</v>
          </cell>
          <cell r="K1190" t="str">
            <v>PCOQ</v>
          </cell>
          <cell r="M1190" t="str">
            <v>M</v>
          </cell>
          <cell r="AC1190">
            <v>1.5</v>
          </cell>
        </row>
        <row r="1191">
          <cell r="A1191" t="str">
            <v>IS_alqt_minus</v>
          </cell>
          <cell r="K1191" t="str">
            <v>CMED</v>
          </cell>
          <cell r="M1191" t="str">
            <v>M</v>
          </cell>
          <cell r="AC1191">
            <v>0.4</v>
          </cell>
        </row>
        <row r="1192">
          <cell r="A1192" t="str">
            <v>IS_alqt_plus</v>
          </cell>
          <cell r="K1192" t="str">
            <v>HGG</v>
          </cell>
          <cell r="M1192" t="str">
            <v>F</v>
          </cell>
          <cell r="AC1192">
            <v>0.5</v>
          </cell>
        </row>
        <row r="1193">
          <cell r="A1193" t="str">
            <v>IS_alqt_plus</v>
          </cell>
          <cell r="K1193" t="str">
            <v>CMED</v>
          </cell>
          <cell r="M1193" t="str">
            <v>M</v>
          </cell>
          <cell r="AC1193">
            <v>0.5</v>
          </cell>
        </row>
        <row r="1194">
          <cell r="A1194" t="str">
            <v>IS_alqt_plus</v>
          </cell>
          <cell r="K1194" t="str">
            <v>DMAD</v>
          </cell>
          <cell r="M1194" t="str">
            <v>M</v>
          </cell>
          <cell r="AC1194">
            <v>1.5</v>
          </cell>
        </row>
        <row r="1195">
          <cell r="A1195" t="str">
            <v>IS_alqt_plus</v>
          </cell>
          <cell r="K1195" t="str">
            <v>DMAD</v>
          </cell>
          <cell r="M1195" t="str">
            <v>M</v>
          </cell>
          <cell r="AC1195">
            <v>1.5</v>
          </cell>
        </row>
        <row r="1196">
          <cell r="A1196" t="str">
            <v>IS_alqt_plus</v>
          </cell>
          <cell r="K1196" t="str">
            <v>DMAD</v>
          </cell>
          <cell r="M1196" t="str">
            <v>M</v>
          </cell>
          <cell r="AC1196">
            <v>1.5</v>
          </cell>
        </row>
        <row r="1197">
          <cell r="A1197" t="str">
            <v>IS_alqt_plus</v>
          </cell>
          <cell r="K1197" t="str">
            <v>DMAD</v>
          </cell>
          <cell r="M1197" t="str">
            <v>M</v>
          </cell>
          <cell r="AC1197">
            <v>1.5</v>
          </cell>
        </row>
        <row r="1198">
          <cell r="A1198" t="str">
            <v>IS_alqt_plus</v>
          </cell>
          <cell r="K1198" t="str">
            <v>DMAD</v>
          </cell>
          <cell r="M1198" t="str">
            <v>M</v>
          </cell>
          <cell r="AC1198">
            <v>1</v>
          </cell>
        </row>
        <row r="1199">
          <cell r="A1199" t="str">
            <v>IS_alqt_plus</v>
          </cell>
          <cell r="K1199" t="str">
            <v>DMAD</v>
          </cell>
          <cell r="M1199" t="str">
            <v>M</v>
          </cell>
          <cell r="AC1199">
            <v>1.5</v>
          </cell>
        </row>
        <row r="1200">
          <cell r="A1200" t="str">
            <v>IS_alqt_plus</v>
          </cell>
          <cell r="K1200" t="str">
            <v>DMAD</v>
          </cell>
          <cell r="M1200" t="str">
            <v>M</v>
          </cell>
          <cell r="AC1200">
            <v>1.5</v>
          </cell>
        </row>
        <row r="1201">
          <cell r="A1201" t="str">
            <v>IS_alqt_plus</v>
          </cell>
          <cell r="K1201" t="str">
            <v>DMAD</v>
          </cell>
          <cell r="M1201" t="str">
            <v>M</v>
          </cell>
          <cell r="AC1201">
            <v>1.5</v>
          </cell>
        </row>
        <row r="1202">
          <cell r="A1202" t="str">
            <v>IS_alqt_plus</v>
          </cell>
          <cell r="K1202" t="str">
            <v>DMAD</v>
          </cell>
          <cell r="M1202" t="str">
            <v>M</v>
          </cell>
          <cell r="AC1202">
            <v>1.5</v>
          </cell>
        </row>
        <row r="1203">
          <cell r="A1203" t="str">
            <v>IS_alqt_plus</v>
          </cell>
          <cell r="K1203" t="str">
            <v>LCAT</v>
          </cell>
          <cell r="M1203" t="str">
            <v>F</v>
          </cell>
          <cell r="AC1203">
            <v>0.5</v>
          </cell>
        </row>
        <row r="1204">
          <cell r="A1204" t="str">
            <v>IS_alqt_plus</v>
          </cell>
          <cell r="K1204" t="str">
            <v>LCAT</v>
          </cell>
          <cell r="M1204" t="str">
            <v>F</v>
          </cell>
          <cell r="AC1204">
            <v>0.5</v>
          </cell>
        </row>
        <row r="1205">
          <cell r="A1205" t="str">
            <v>IS_alqt_plus</v>
          </cell>
          <cell r="K1205" t="str">
            <v>LCAT</v>
          </cell>
          <cell r="M1205" t="str">
            <v>F</v>
          </cell>
          <cell r="AC1205">
            <v>0.5</v>
          </cell>
        </row>
        <row r="1206">
          <cell r="A1206" t="str">
            <v>IS_alqt_plus</v>
          </cell>
          <cell r="K1206" t="str">
            <v>LCAT</v>
          </cell>
          <cell r="M1206" t="str">
            <v>F</v>
          </cell>
          <cell r="AC1206">
            <v>0.5</v>
          </cell>
        </row>
        <row r="1207">
          <cell r="A1207" t="str">
            <v>IS_alqt_plus</v>
          </cell>
          <cell r="K1207" t="str">
            <v>LCAT</v>
          </cell>
          <cell r="M1207" t="str">
            <v>F</v>
          </cell>
          <cell r="AC1207">
            <v>0.5</v>
          </cell>
        </row>
        <row r="1208">
          <cell r="A1208" t="str">
            <v>IS_alqt_plus</v>
          </cell>
          <cell r="K1208" t="str">
            <v>LCAT</v>
          </cell>
          <cell r="M1208" t="str">
            <v>F</v>
          </cell>
          <cell r="AC1208">
            <v>0.5</v>
          </cell>
        </row>
        <row r="1209">
          <cell r="A1209" t="str">
            <v>IS_alqt_plus</v>
          </cell>
          <cell r="K1209" t="str">
            <v>PCOQ</v>
          </cell>
          <cell r="M1209" t="str">
            <v>F</v>
          </cell>
          <cell r="AC1209">
            <v>1.5</v>
          </cell>
        </row>
        <row r="1210">
          <cell r="A1210" t="str">
            <v>IS_alqt_plus</v>
          </cell>
          <cell r="K1210" t="str">
            <v>PCOQ</v>
          </cell>
          <cell r="M1210" t="str">
            <v>F</v>
          </cell>
          <cell r="AC1210">
            <v>1.5</v>
          </cell>
        </row>
        <row r="1211">
          <cell r="A1211" t="str">
            <v>IS_alqt_plus</v>
          </cell>
          <cell r="K1211" t="str">
            <v>PCOQ</v>
          </cell>
          <cell r="M1211" t="str">
            <v>F</v>
          </cell>
          <cell r="AC1211">
            <v>1</v>
          </cell>
        </row>
        <row r="1212">
          <cell r="A1212" t="str">
            <v>IS_alqt_plus</v>
          </cell>
          <cell r="K1212" t="str">
            <v>PCOQ</v>
          </cell>
          <cell r="M1212" t="str">
            <v>F</v>
          </cell>
          <cell r="AC1212">
            <v>1.5</v>
          </cell>
        </row>
        <row r="1213">
          <cell r="A1213" t="str">
            <v>IS_alqt_plus</v>
          </cell>
          <cell r="K1213" t="str">
            <v>ECOR</v>
          </cell>
          <cell r="M1213" t="str">
            <v>M</v>
          </cell>
          <cell r="AC1213">
            <v>0.5</v>
          </cell>
        </row>
        <row r="1214">
          <cell r="A1214" t="str">
            <v>IS_alqt_plus</v>
          </cell>
          <cell r="K1214" t="str">
            <v>ECOR</v>
          </cell>
          <cell r="M1214" t="str">
            <v>M</v>
          </cell>
          <cell r="AC1214">
            <v>1.5</v>
          </cell>
        </row>
        <row r="1215">
          <cell r="A1215" t="str">
            <v>IS_alqt_plus</v>
          </cell>
          <cell r="K1215" t="str">
            <v>PCOQ</v>
          </cell>
          <cell r="M1215" t="str">
            <v>M</v>
          </cell>
          <cell r="AC1215">
            <v>1.5</v>
          </cell>
        </row>
        <row r="1216">
          <cell r="A1216" t="str">
            <v>IS_alqt_plus</v>
          </cell>
          <cell r="K1216" t="str">
            <v>PCOQ</v>
          </cell>
          <cell r="M1216" t="str">
            <v>M</v>
          </cell>
          <cell r="AC1216">
            <v>1.5</v>
          </cell>
        </row>
        <row r="1217">
          <cell r="A1217" t="str">
            <v>IS_alqt_plus</v>
          </cell>
          <cell r="K1217" t="str">
            <v>PCOQ</v>
          </cell>
          <cell r="M1217" t="str">
            <v>M</v>
          </cell>
          <cell r="AC1217">
            <v>1.5</v>
          </cell>
        </row>
        <row r="1218">
          <cell r="A1218" t="str">
            <v>IS_alqt_plus</v>
          </cell>
          <cell r="K1218" t="str">
            <v>DMAD</v>
          </cell>
          <cell r="M1218" t="str">
            <v>F</v>
          </cell>
          <cell r="AC1218">
            <v>1.5</v>
          </cell>
        </row>
        <row r="1219">
          <cell r="A1219" t="str">
            <v>IS_alqt_plus</v>
          </cell>
          <cell r="K1219" t="str">
            <v>DMAD</v>
          </cell>
          <cell r="M1219" t="str">
            <v>F</v>
          </cell>
          <cell r="AC1219">
            <v>1.5</v>
          </cell>
        </row>
        <row r="1220">
          <cell r="A1220" t="str">
            <v>IS_alqt_plus</v>
          </cell>
          <cell r="K1220" t="str">
            <v>DMAD</v>
          </cell>
          <cell r="M1220" t="str">
            <v>F</v>
          </cell>
          <cell r="AC1220">
            <v>1.5</v>
          </cell>
        </row>
        <row r="1221">
          <cell r="A1221" t="str">
            <v>IS_alqt_minus</v>
          </cell>
          <cell r="K1221" t="str">
            <v>PCOQ</v>
          </cell>
          <cell r="M1221" t="str">
            <v>M</v>
          </cell>
          <cell r="AC1221">
            <v>0.25</v>
          </cell>
        </row>
        <row r="1222">
          <cell r="A1222" t="str">
            <v>IS_alqt_plus</v>
          </cell>
          <cell r="K1222" t="str">
            <v>PCOQ</v>
          </cell>
          <cell r="M1222" t="str">
            <v>M</v>
          </cell>
          <cell r="AC1222">
            <v>1.5</v>
          </cell>
        </row>
        <row r="1223">
          <cell r="A1223" t="str">
            <v>IS_alqt_plus</v>
          </cell>
          <cell r="K1223" t="str">
            <v>PCOQ</v>
          </cell>
          <cell r="M1223" t="str">
            <v>M</v>
          </cell>
          <cell r="AC1223">
            <v>1.5</v>
          </cell>
        </row>
        <row r="1224">
          <cell r="A1224" t="str">
            <v>IS_alqt_plus</v>
          </cell>
          <cell r="K1224" t="str">
            <v>PCOQ</v>
          </cell>
          <cell r="M1224" t="str">
            <v>M</v>
          </cell>
          <cell r="AC1224">
            <v>1</v>
          </cell>
        </row>
        <row r="1225">
          <cell r="A1225" t="str">
            <v>IS_alqt_plus</v>
          </cell>
          <cell r="K1225" t="str">
            <v>PCOQ</v>
          </cell>
          <cell r="M1225" t="str">
            <v>F</v>
          </cell>
          <cell r="AC1225">
            <v>1</v>
          </cell>
        </row>
        <row r="1226">
          <cell r="A1226" t="str">
            <v>IS_alqt_plus</v>
          </cell>
          <cell r="K1226" t="str">
            <v>MMUR</v>
          </cell>
          <cell r="M1226" t="str">
            <v>F</v>
          </cell>
          <cell r="AC1226">
            <v>1</v>
          </cell>
        </row>
        <row r="1227">
          <cell r="A1227" t="str">
            <v>IS_alqt_plus</v>
          </cell>
          <cell r="K1227" t="str">
            <v>MMUR</v>
          </cell>
          <cell r="M1227" t="str">
            <v>F</v>
          </cell>
          <cell r="AC1227">
            <v>1</v>
          </cell>
        </row>
        <row r="1228">
          <cell r="A1228" t="str">
            <v>IS_alqt_plus</v>
          </cell>
          <cell r="K1228" t="str">
            <v>DMAD</v>
          </cell>
          <cell r="M1228" t="str">
            <v>F</v>
          </cell>
          <cell r="AC1228">
            <v>1.5</v>
          </cell>
        </row>
        <row r="1229">
          <cell r="A1229" t="str">
            <v>IS_alqt_plus</v>
          </cell>
          <cell r="K1229" t="str">
            <v>DMAD</v>
          </cell>
          <cell r="M1229" t="str">
            <v>F</v>
          </cell>
          <cell r="AC1229">
            <v>1.5</v>
          </cell>
        </row>
        <row r="1230">
          <cell r="A1230" t="str">
            <v>IS_alqt_plus</v>
          </cell>
          <cell r="K1230" t="str">
            <v>DMAD</v>
          </cell>
          <cell r="M1230" t="str">
            <v>F</v>
          </cell>
          <cell r="AC1230">
            <v>1.5</v>
          </cell>
        </row>
        <row r="1231">
          <cell r="A1231" t="str">
            <v>IS_alqt_plus</v>
          </cell>
          <cell r="K1231" t="str">
            <v>EMON</v>
          </cell>
          <cell r="M1231" t="str">
            <v>F</v>
          </cell>
          <cell r="AC1231">
            <v>1.5</v>
          </cell>
        </row>
        <row r="1232">
          <cell r="A1232" t="str">
            <v>IS_alqt_plus</v>
          </cell>
          <cell r="K1232" t="str">
            <v>EMON</v>
          </cell>
          <cell r="M1232" t="str">
            <v>F</v>
          </cell>
          <cell r="AC1232">
            <v>1.5</v>
          </cell>
        </row>
        <row r="1233">
          <cell r="A1233" t="str">
            <v>IS_alqt_plus</v>
          </cell>
          <cell r="K1233" t="str">
            <v>EMON</v>
          </cell>
          <cell r="M1233" t="str">
            <v>F</v>
          </cell>
          <cell r="AC1233">
            <v>1.5</v>
          </cell>
        </row>
        <row r="1234">
          <cell r="A1234" t="str">
            <v>IS_alqt_plus</v>
          </cell>
          <cell r="K1234" t="str">
            <v>PCOQ</v>
          </cell>
          <cell r="M1234" t="str">
            <v>F</v>
          </cell>
          <cell r="AC1234">
            <v>1.5</v>
          </cell>
        </row>
        <row r="1235">
          <cell r="A1235" t="str">
            <v>IS_alqt_plus</v>
          </cell>
          <cell r="K1235" t="str">
            <v>PCOQ</v>
          </cell>
          <cell r="M1235" t="str">
            <v>F</v>
          </cell>
          <cell r="AC1235">
            <v>1.5</v>
          </cell>
        </row>
        <row r="1236">
          <cell r="A1236" t="str">
            <v>IS_alqt_plus</v>
          </cell>
          <cell r="K1236" t="str">
            <v>PCOQ</v>
          </cell>
          <cell r="M1236" t="str">
            <v>F</v>
          </cell>
          <cell r="AC1236">
            <v>1</v>
          </cell>
        </row>
        <row r="1237">
          <cell r="A1237" t="str">
            <v>IS_alqt_plus</v>
          </cell>
          <cell r="K1237" t="str">
            <v>CMED</v>
          </cell>
          <cell r="M1237" t="str">
            <v>M</v>
          </cell>
          <cell r="AC1237">
            <v>1</v>
          </cell>
        </row>
        <row r="1238">
          <cell r="A1238" t="str">
            <v>IS_alqt_minus</v>
          </cell>
          <cell r="K1238" t="str">
            <v>CMED</v>
          </cell>
          <cell r="M1238" t="str">
            <v>M</v>
          </cell>
          <cell r="AC1238">
            <v>0.2</v>
          </cell>
        </row>
        <row r="1239">
          <cell r="A1239" t="str">
            <v>IS_alqt_plus</v>
          </cell>
          <cell r="K1239" t="str">
            <v>CMED</v>
          </cell>
          <cell r="M1239" t="str">
            <v>F</v>
          </cell>
          <cell r="AC1239">
            <v>0.5</v>
          </cell>
        </row>
        <row r="1240">
          <cell r="A1240" t="str">
            <v>IS_alqt_minus</v>
          </cell>
          <cell r="K1240" t="str">
            <v>CMED</v>
          </cell>
          <cell r="M1240" t="str">
            <v>F</v>
          </cell>
          <cell r="AC1240">
            <v>0.3</v>
          </cell>
        </row>
        <row r="1241">
          <cell r="A1241" t="str">
            <v>unk</v>
          </cell>
          <cell r="K1241" t="str">
            <v>EMON</v>
          </cell>
          <cell r="M1241" t="str">
            <v>F</v>
          </cell>
          <cell r="AC1241">
            <v>0.5</v>
          </cell>
        </row>
        <row r="1242">
          <cell r="A1242" t="str">
            <v>IS_alqt_plus</v>
          </cell>
          <cell r="K1242" t="str">
            <v>DMAD</v>
          </cell>
          <cell r="M1242" t="str">
            <v>M</v>
          </cell>
          <cell r="AC1242">
            <v>0.5</v>
          </cell>
        </row>
        <row r="1243">
          <cell r="A1243" t="str">
            <v>IS_alqt_plus</v>
          </cell>
          <cell r="K1243" t="str">
            <v>DMAD</v>
          </cell>
          <cell r="M1243" t="str">
            <v>M</v>
          </cell>
          <cell r="AC1243">
            <v>1</v>
          </cell>
        </row>
        <row r="1244">
          <cell r="A1244" t="str">
            <v>IS_alqt_plus</v>
          </cell>
          <cell r="K1244" t="str">
            <v>DMAD</v>
          </cell>
          <cell r="M1244" t="str">
            <v>M</v>
          </cell>
          <cell r="AC1244">
            <v>1.5</v>
          </cell>
        </row>
        <row r="1245">
          <cell r="A1245" t="str">
            <v>IS_alqt_plus</v>
          </cell>
          <cell r="K1245" t="str">
            <v>DMAD</v>
          </cell>
          <cell r="M1245" t="str">
            <v>M</v>
          </cell>
          <cell r="AC1245">
            <v>1.5</v>
          </cell>
        </row>
        <row r="1246">
          <cell r="A1246" t="str">
            <v>IS_alqt_plus</v>
          </cell>
          <cell r="K1246" t="str">
            <v>DMAD</v>
          </cell>
          <cell r="M1246" t="str">
            <v>M</v>
          </cell>
          <cell r="AC1246">
            <v>1.5</v>
          </cell>
        </row>
        <row r="1247">
          <cell r="A1247" t="str">
            <v>IS_alqt_minus</v>
          </cell>
          <cell r="K1247" t="str">
            <v>DMAD</v>
          </cell>
          <cell r="M1247" t="str">
            <v>M</v>
          </cell>
          <cell r="AC1247">
            <v>0.25</v>
          </cell>
        </row>
        <row r="1248">
          <cell r="A1248" t="str">
            <v>IS_alqt_minus</v>
          </cell>
          <cell r="K1248" t="str">
            <v>DMAD</v>
          </cell>
          <cell r="M1248" t="str">
            <v>M</v>
          </cell>
          <cell r="AC1248">
            <v>0.25</v>
          </cell>
        </row>
        <row r="1249">
          <cell r="A1249" t="str">
            <v>IS_alqt_minus</v>
          </cell>
          <cell r="K1249" t="str">
            <v>DMAD</v>
          </cell>
          <cell r="M1249" t="str">
            <v>M</v>
          </cell>
          <cell r="AC1249">
            <v>0.25</v>
          </cell>
        </row>
        <row r="1250">
          <cell r="A1250" t="str">
            <v>IS_alqt_plus</v>
          </cell>
          <cell r="K1250" t="str">
            <v>DMAD</v>
          </cell>
          <cell r="M1250" t="str">
            <v>M</v>
          </cell>
          <cell r="AC1250">
            <v>0.5</v>
          </cell>
        </row>
        <row r="1251">
          <cell r="A1251" t="str">
            <v>IS_alqt_plus</v>
          </cell>
          <cell r="K1251" t="str">
            <v>DMAD</v>
          </cell>
          <cell r="M1251" t="str">
            <v>M</v>
          </cell>
          <cell r="AC1251">
            <v>0.5</v>
          </cell>
        </row>
        <row r="1252">
          <cell r="A1252" t="str">
            <v>IS_alqt_plus</v>
          </cell>
          <cell r="K1252" t="str">
            <v>DMAD</v>
          </cell>
          <cell r="M1252" t="str">
            <v>M</v>
          </cell>
          <cell r="AC1252">
            <v>0.5</v>
          </cell>
        </row>
        <row r="1253">
          <cell r="A1253" t="str">
            <v>IS_alqt_minus</v>
          </cell>
          <cell r="K1253" t="str">
            <v>DMAD</v>
          </cell>
          <cell r="M1253" t="str">
            <v>M</v>
          </cell>
          <cell r="AC1253">
            <v>0.25</v>
          </cell>
        </row>
        <row r="1254">
          <cell r="A1254" t="str">
            <v>IS_alqt_minus</v>
          </cell>
          <cell r="K1254" t="str">
            <v>DMAD</v>
          </cell>
          <cell r="M1254" t="str">
            <v>M</v>
          </cell>
          <cell r="AC1254">
            <v>0.25</v>
          </cell>
        </row>
        <row r="1255">
          <cell r="A1255" t="str">
            <v>IS_alqt_plus</v>
          </cell>
          <cell r="K1255" t="str">
            <v>DMAD</v>
          </cell>
          <cell r="M1255" t="str">
            <v>M</v>
          </cell>
          <cell r="AC1255">
            <v>0.5</v>
          </cell>
        </row>
        <row r="1256">
          <cell r="A1256" t="str">
            <v>unk</v>
          </cell>
          <cell r="K1256" t="str">
            <v>DMAD</v>
          </cell>
          <cell r="M1256" t="str">
            <v>M</v>
          </cell>
          <cell r="AC1256">
            <v>6</v>
          </cell>
        </row>
        <row r="1257">
          <cell r="A1257" t="str">
            <v>unk</v>
          </cell>
          <cell r="K1257" t="str">
            <v>DMAD</v>
          </cell>
          <cell r="M1257" t="str">
            <v>M</v>
          </cell>
          <cell r="AC1257">
            <v>6</v>
          </cell>
        </row>
        <row r="1258">
          <cell r="A1258" t="str">
            <v>unk</v>
          </cell>
          <cell r="K1258" t="str">
            <v>DMAD</v>
          </cell>
          <cell r="M1258" t="str">
            <v>M</v>
          </cell>
          <cell r="AC1258">
            <v>6</v>
          </cell>
        </row>
        <row r="1259">
          <cell r="A1259" t="str">
            <v>unk</v>
          </cell>
          <cell r="K1259" t="str">
            <v>DMAD</v>
          </cell>
          <cell r="M1259" t="str">
            <v>M</v>
          </cell>
          <cell r="AC1259">
            <v>6</v>
          </cell>
        </row>
        <row r="1260">
          <cell r="A1260" t="str">
            <v>unk</v>
          </cell>
          <cell r="K1260" t="str">
            <v>DMAD</v>
          </cell>
          <cell r="M1260" t="str">
            <v>M</v>
          </cell>
          <cell r="AC1260">
            <v>6</v>
          </cell>
        </row>
        <row r="1261">
          <cell r="A1261" t="str">
            <v>IS_alqt_plus</v>
          </cell>
          <cell r="K1261" t="str">
            <v>ECOL</v>
          </cell>
          <cell r="M1261" t="str">
            <v>F</v>
          </cell>
          <cell r="AC1261">
            <v>0.7</v>
          </cell>
        </row>
        <row r="1262">
          <cell r="A1262" t="str">
            <v>unk</v>
          </cell>
          <cell r="K1262" t="str">
            <v>ECOL</v>
          </cell>
          <cell r="M1262" t="str">
            <v>F</v>
          </cell>
          <cell r="AC1262">
            <v>0.5</v>
          </cell>
        </row>
        <row r="1263">
          <cell r="A1263" t="str">
            <v>IS_alqt_plus</v>
          </cell>
          <cell r="K1263" t="str">
            <v>EFLA</v>
          </cell>
          <cell r="M1263" t="str">
            <v>M</v>
          </cell>
          <cell r="AC1263">
            <v>1.5</v>
          </cell>
        </row>
        <row r="1264">
          <cell r="A1264" t="str">
            <v>IS_alqt_plus</v>
          </cell>
          <cell r="K1264" t="str">
            <v>EFLA</v>
          </cell>
          <cell r="M1264" t="str">
            <v>M</v>
          </cell>
          <cell r="AC1264">
            <v>1.5</v>
          </cell>
        </row>
        <row r="1265">
          <cell r="A1265" t="str">
            <v>IS_alqt_plus</v>
          </cell>
          <cell r="K1265" t="str">
            <v>EFLA</v>
          </cell>
          <cell r="M1265" t="str">
            <v>M</v>
          </cell>
          <cell r="AC1265">
            <v>1.5</v>
          </cell>
        </row>
        <row r="1266">
          <cell r="A1266" t="str">
            <v>IS_alqt_plus</v>
          </cell>
          <cell r="K1266" t="str">
            <v>PCOQ</v>
          </cell>
          <cell r="M1266" t="str">
            <v>M</v>
          </cell>
          <cell r="AC1266">
            <v>1.5</v>
          </cell>
        </row>
        <row r="1267">
          <cell r="A1267" t="str">
            <v>IS_alqt_plus</v>
          </cell>
          <cell r="K1267" t="str">
            <v>PCOQ</v>
          </cell>
          <cell r="M1267" t="str">
            <v>M</v>
          </cell>
          <cell r="AC1267">
            <v>1.1000000000000001</v>
          </cell>
        </row>
        <row r="1268">
          <cell r="A1268" t="str">
            <v>IS_alqt_plus</v>
          </cell>
          <cell r="K1268" t="str">
            <v>PCOQ</v>
          </cell>
          <cell r="M1268" t="str">
            <v>M</v>
          </cell>
          <cell r="AC1268">
            <v>1.5</v>
          </cell>
        </row>
        <row r="1269">
          <cell r="A1269" t="str">
            <v>IS_alqt_plus</v>
          </cell>
          <cell r="K1269" t="str">
            <v>LCAT</v>
          </cell>
          <cell r="M1269" t="str">
            <v>F</v>
          </cell>
          <cell r="AC1269">
            <v>0.5</v>
          </cell>
        </row>
        <row r="1270">
          <cell r="A1270" t="str">
            <v>IS_alqt_plus</v>
          </cell>
          <cell r="K1270" t="str">
            <v>LCAT</v>
          </cell>
          <cell r="M1270" t="str">
            <v>F</v>
          </cell>
          <cell r="AC1270">
            <v>0.5</v>
          </cell>
        </row>
        <row r="1271">
          <cell r="A1271" t="str">
            <v>IS_alqt_plus</v>
          </cell>
          <cell r="K1271" t="str">
            <v>LCAT</v>
          </cell>
          <cell r="M1271" t="str">
            <v>F</v>
          </cell>
          <cell r="AC1271">
            <v>0.5</v>
          </cell>
        </row>
        <row r="1272">
          <cell r="A1272" t="str">
            <v>IS_alqt_plus</v>
          </cell>
          <cell r="K1272" t="str">
            <v>LCAT</v>
          </cell>
          <cell r="M1272" t="str">
            <v>F</v>
          </cell>
          <cell r="AC1272">
            <v>0.5</v>
          </cell>
        </row>
        <row r="1273">
          <cell r="A1273" t="str">
            <v>IS_alqt_plus</v>
          </cell>
          <cell r="K1273" t="str">
            <v>LCAT</v>
          </cell>
          <cell r="M1273" t="str">
            <v>F</v>
          </cell>
          <cell r="AC1273">
            <v>0.5</v>
          </cell>
        </row>
        <row r="1274">
          <cell r="A1274" t="str">
            <v>IS_alqt_plus</v>
          </cell>
          <cell r="K1274" t="str">
            <v>LCAT</v>
          </cell>
          <cell r="M1274" t="str">
            <v>F</v>
          </cell>
          <cell r="AC1274">
            <v>0.5</v>
          </cell>
        </row>
        <row r="1275">
          <cell r="A1275" t="str">
            <v>IS_alqt_plus</v>
          </cell>
          <cell r="K1275" t="str">
            <v>LCAT</v>
          </cell>
          <cell r="M1275" t="str">
            <v>F</v>
          </cell>
          <cell r="AC1275">
            <v>0.5</v>
          </cell>
        </row>
        <row r="1276">
          <cell r="A1276" t="str">
            <v>IS_alqt_plus</v>
          </cell>
          <cell r="K1276" t="str">
            <v>LCAT</v>
          </cell>
          <cell r="M1276" t="str">
            <v>F</v>
          </cell>
          <cell r="AC1276">
            <v>0.5</v>
          </cell>
        </row>
        <row r="1277">
          <cell r="A1277" t="str">
            <v>IS_alqt_plus</v>
          </cell>
          <cell r="K1277" t="str">
            <v>CMED</v>
          </cell>
          <cell r="M1277" t="str">
            <v>F</v>
          </cell>
          <cell r="AC1277">
            <v>0.75</v>
          </cell>
        </row>
        <row r="1278">
          <cell r="A1278" t="str">
            <v>IS_alqt_plus</v>
          </cell>
          <cell r="K1278" t="str">
            <v>DMAD</v>
          </cell>
          <cell r="M1278" t="str">
            <v>F</v>
          </cell>
          <cell r="AC1278">
            <v>1.5</v>
          </cell>
        </row>
        <row r="1279">
          <cell r="A1279" t="str">
            <v>IS_alqt_plus</v>
          </cell>
          <cell r="K1279" t="str">
            <v>DMAD</v>
          </cell>
          <cell r="M1279" t="str">
            <v>F</v>
          </cell>
          <cell r="AC1279">
            <v>1.5</v>
          </cell>
        </row>
        <row r="1280">
          <cell r="A1280" t="str">
            <v>IS_alqt_plus</v>
          </cell>
          <cell r="K1280" t="str">
            <v>DMAD</v>
          </cell>
          <cell r="M1280" t="str">
            <v>F</v>
          </cell>
          <cell r="AC1280">
            <v>1</v>
          </cell>
        </row>
        <row r="1281">
          <cell r="A1281" t="str">
            <v>IS_alqt_plus</v>
          </cell>
          <cell r="K1281" t="str">
            <v>DMAD</v>
          </cell>
          <cell r="M1281" t="str">
            <v>F</v>
          </cell>
          <cell r="AC1281">
            <v>1</v>
          </cell>
        </row>
        <row r="1282">
          <cell r="A1282" t="str">
            <v>unk</v>
          </cell>
          <cell r="K1282" t="str">
            <v>DMAD</v>
          </cell>
          <cell r="M1282" t="str">
            <v>F</v>
          </cell>
          <cell r="AC1282">
            <v>4.5</v>
          </cell>
        </row>
        <row r="1283">
          <cell r="A1283" t="str">
            <v>IS_alqt_plus</v>
          </cell>
          <cell r="K1283" t="str">
            <v>PCOQ</v>
          </cell>
          <cell r="M1283" t="str">
            <v>F</v>
          </cell>
          <cell r="AC1283">
            <v>1.5</v>
          </cell>
        </row>
        <row r="1284">
          <cell r="A1284" t="str">
            <v>IS_alqt_plus</v>
          </cell>
          <cell r="K1284" t="str">
            <v>DMAD</v>
          </cell>
          <cell r="M1284" t="str">
            <v>F</v>
          </cell>
          <cell r="AC1284">
            <v>0.8</v>
          </cell>
        </row>
        <row r="1285">
          <cell r="A1285" t="str">
            <v>IS_alqt_plus</v>
          </cell>
          <cell r="K1285" t="str">
            <v>CMED</v>
          </cell>
          <cell r="M1285" t="str">
            <v>F</v>
          </cell>
          <cell r="AC1285">
            <v>0.75</v>
          </cell>
        </row>
        <row r="1286">
          <cell r="A1286" t="str">
            <v>IS_alqt_plus</v>
          </cell>
          <cell r="K1286" t="str">
            <v>PCOQ</v>
          </cell>
          <cell r="M1286" t="str">
            <v>M</v>
          </cell>
          <cell r="AC1286">
            <v>1</v>
          </cell>
        </row>
        <row r="1287">
          <cell r="A1287" t="str">
            <v>IS_alqt_plus</v>
          </cell>
          <cell r="K1287" t="str">
            <v>CMED</v>
          </cell>
          <cell r="M1287" t="str">
            <v>F</v>
          </cell>
          <cell r="AC1287">
            <v>0.5</v>
          </cell>
        </row>
        <row r="1288">
          <cell r="A1288" t="str">
            <v>IS_alqt_plus</v>
          </cell>
          <cell r="K1288" t="str">
            <v>PCOQ</v>
          </cell>
          <cell r="M1288" t="str">
            <v>M</v>
          </cell>
          <cell r="AC1288">
            <v>1</v>
          </cell>
        </row>
        <row r="1289">
          <cell r="A1289" t="str">
            <v>IS_alqt_plus</v>
          </cell>
          <cell r="K1289" t="str">
            <v>PCOQ</v>
          </cell>
          <cell r="M1289" t="str">
            <v>M</v>
          </cell>
          <cell r="AC1289">
            <v>1.5</v>
          </cell>
        </row>
        <row r="1290">
          <cell r="A1290" t="str">
            <v>IS_alqt_plus</v>
          </cell>
          <cell r="K1290" t="str">
            <v>PCOQ</v>
          </cell>
          <cell r="M1290" t="str">
            <v>M</v>
          </cell>
          <cell r="AC1290">
            <v>1.5</v>
          </cell>
        </row>
        <row r="1291">
          <cell r="A1291" t="str">
            <v>IS_alqt_plus</v>
          </cell>
          <cell r="K1291" t="str">
            <v>PCOQ</v>
          </cell>
          <cell r="M1291" t="str">
            <v>M</v>
          </cell>
          <cell r="AC1291">
            <v>0.75</v>
          </cell>
        </row>
        <row r="1292">
          <cell r="A1292" t="str">
            <v>IS_alqt_plus</v>
          </cell>
          <cell r="K1292" t="str">
            <v>PCOQ</v>
          </cell>
          <cell r="M1292" t="str">
            <v>F</v>
          </cell>
          <cell r="AC1292">
            <v>0.5</v>
          </cell>
        </row>
        <row r="1293">
          <cell r="A1293" t="str">
            <v>IS_alqt_plus</v>
          </cell>
          <cell r="K1293" t="str">
            <v>EFLA</v>
          </cell>
          <cell r="M1293" t="str">
            <v>M</v>
          </cell>
          <cell r="AC1293">
            <v>1.5</v>
          </cell>
        </row>
        <row r="1294">
          <cell r="A1294" t="str">
            <v>IS_alqt_plus</v>
          </cell>
          <cell r="K1294" t="str">
            <v>EFLA</v>
          </cell>
          <cell r="M1294" t="str">
            <v>M</v>
          </cell>
          <cell r="AC1294">
            <v>1.5</v>
          </cell>
        </row>
        <row r="1295">
          <cell r="A1295" t="str">
            <v>IS_alqt_plus</v>
          </cell>
          <cell r="K1295" t="str">
            <v>EFLA</v>
          </cell>
          <cell r="M1295" t="str">
            <v>M</v>
          </cell>
          <cell r="AC1295">
            <v>1.5</v>
          </cell>
        </row>
        <row r="1296">
          <cell r="A1296" t="str">
            <v>IS_alqt_plus</v>
          </cell>
          <cell r="K1296" t="str">
            <v>EFLA</v>
          </cell>
          <cell r="M1296" t="str">
            <v>F</v>
          </cell>
          <cell r="AC1296">
            <v>0.75</v>
          </cell>
        </row>
        <row r="1297">
          <cell r="A1297" t="str">
            <v>IS_alqt_plus</v>
          </cell>
          <cell r="K1297" t="str">
            <v>DMAD</v>
          </cell>
          <cell r="M1297" t="str">
            <v>F</v>
          </cell>
          <cell r="AC1297">
            <v>1.5</v>
          </cell>
        </row>
        <row r="1298">
          <cell r="A1298" t="str">
            <v>IS_alqt_plus</v>
          </cell>
          <cell r="K1298" t="str">
            <v>DMAD</v>
          </cell>
          <cell r="M1298" t="str">
            <v>F</v>
          </cell>
          <cell r="AC1298">
            <v>1.5</v>
          </cell>
        </row>
        <row r="1299">
          <cell r="A1299" t="str">
            <v>IS_alqt_plus</v>
          </cell>
          <cell r="K1299" t="str">
            <v>DMAD</v>
          </cell>
          <cell r="M1299" t="str">
            <v>F</v>
          </cell>
          <cell r="AC1299">
            <v>1</v>
          </cell>
        </row>
        <row r="1300">
          <cell r="A1300" t="str">
            <v>IS_alqt_plus</v>
          </cell>
          <cell r="K1300" t="str">
            <v>DMAD</v>
          </cell>
          <cell r="M1300" t="str">
            <v>F</v>
          </cell>
          <cell r="AC1300">
            <v>1</v>
          </cell>
        </row>
        <row r="1301">
          <cell r="A1301" t="str">
            <v>IS_alqt_plus</v>
          </cell>
          <cell r="K1301" t="str">
            <v>PCOQ</v>
          </cell>
          <cell r="M1301" t="str">
            <v>M</v>
          </cell>
          <cell r="AC1301">
            <v>1.8</v>
          </cell>
        </row>
        <row r="1302">
          <cell r="A1302" t="str">
            <v>IS_alqt_plus</v>
          </cell>
          <cell r="K1302" t="str">
            <v>PCOQ</v>
          </cell>
          <cell r="M1302" t="str">
            <v>M</v>
          </cell>
          <cell r="AC1302">
            <v>1.5</v>
          </cell>
        </row>
        <row r="1303">
          <cell r="A1303" t="str">
            <v>IS_alqt_plus</v>
          </cell>
          <cell r="K1303" t="str">
            <v>PCOQ</v>
          </cell>
          <cell r="M1303" t="str">
            <v>M</v>
          </cell>
          <cell r="AC1303">
            <v>1.5</v>
          </cell>
        </row>
        <row r="1304">
          <cell r="A1304" t="str">
            <v>IS_alqt_plus</v>
          </cell>
          <cell r="K1304" t="str">
            <v>PCOQ</v>
          </cell>
          <cell r="M1304" t="str">
            <v>M</v>
          </cell>
          <cell r="AC1304">
            <v>1.5</v>
          </cell>
        </row>
        <row r="1305">
          <cell r="A1305" t="str">
            <v>IS_alqt_plus</v>
          </cell>
          <cell r="K1305" t="str">
            <v>PCOQ</v>
          </cell>
          <cell r="M1305" t="str">
            <v>M</v>
          </cell>
          <cell r="AC1305">
            <v>1.5</v>
          </cell>
        </row>
        <row r="1306">
          <cell r="A1306" t="str">
            <v>IS_alqt_plus</v>
          </cell>
          <cell r="K1306" t="str">
            <v>PCOQ</v>
          </cell>
          <cell r="M1306" t="str">
            <v>M</v>
          </cell>
          <cell r="AC1306">
            <v>1.5</v>
          </cell>
        </row>
        <row r="1307">
          <cell r="A1307" t="str">
            <v>IS_alqt_plus</v>
          </cell>
          <cell r="K1307" t="str">
            <v>PCOQ</v>
          </cell>
          <cell r="M1307" t="str">
            <v>M</v>
          </cell>
          <cell r="AC1307">
            <v>1.5</v>
          </cell>
        </row>
        <row r="1308">
          <cell r="A1308" t="str">
            <v>IS_alqt_plus</v>
          </cell>
          <cell r="K1308" t="str">
            <v>PCOQ</v>
          </cell>
          <cell r="M1308" t="str">
            <v>M</v>
          </cell>
          <cell r="AC1308">
            <v>1.5</v>
          </cell>
        </row>
        <row r="1309">
          <cell r="A1309" t="str">
            <v>IS_alqt_plus</v>
          </cell>
          <cell r="K1309" t="str">
            <v>PCOQ</v>
          </cell>
          <cell r="M1309" t="str">
            <v>M</v>
          </cell>
          <cell r="AC1309">
            <v>1.5</v>
          </cell>
        </row>
        <row r="1310">
          <cell r="A1310" t="str">
            <v>IS_alqt_plus</v>
          </cell>
          <cell r="K1310" t="str">
            <v>PCOQ</v>
          </cell>
          <cell r="M1310" t="str">
            <v>M</v>
          </cell>
          <cell r="AC1310">
            <v>1.5</v>
          </cell>
        </row>
        <row r="1311">
          <cell r="A1311" t="str">
            <v>IS_alqt_plus</v>
          </cell>
          <cell r="K1311" t="str">
            <v>PCOQ</v>
          </cell>
          <cell r="M1311" t="str">
            <v>M</v>
          </cell>
          <cell r="AC1311">
            <v>1.5</v>
          </cell>
        </row>
        <row r="1312">
          <cell r="A1312" t="str">
            <v>IS_alqt_plus</v>
          </cell>
          <cell r="K1312" t="str">
            <v>PCOQ</v>
          </cell>
          <cell r="M1312" t="str">
            <v>M</v>
          </cell>
          <cell r="AC1312">
            <v>1</v>
          </cell>
        </row>
        <row r="1313">
          <cell r="A1313" t="str">
            <v>IS_alqt_plus</v>
          </cell>
          <cell r="K1313" t="str">
            <v>PCOQ</v>
          </cell>
          <cell r="M1313" t="str">
            <v>M</v>
          </cell>
          <cell r="AC1313">
            <v>1.5</v>
          </cell>
        </row>
        <row r="1314">
          <cell r="A1314" t="str">
            <v>IS_alqt_plus</v>
          </cell>
          <cell r="K1314" t="str">
            <v>PCOQ</v>
          </cell>
          <cell r="M1314" t="str">
            <v>F</v>
          </cell>
          <cell r="AC1314">
            <v>1.5</v>
          </cell>
        </row>
        <row r="1315">
          <cell r="A1315" t="str">
            <v>IS_alqt_plus</v>
          </cell>
          <cell r="K1315" t="str">
            <v>PCOQ</v>
          </cell>
          <cell r="M1315" t="str">
            <v>F</v>
          </cell>
          <cell r="AC1315">
            <v>1.5</v>
          </cell>
        </row>
        <row r="1316">
          <cell r="A1316" t="str">
            <v>IS_alqt_plus</v>
          </cell>
          <cell r="K1316" t="str">
            <v>PCOQ</v>
          </cell>
          <cell r="M1316" t="str">
            <v>F</v>
          </cell>
          <cell r="AC1316">
            <v>1.5</v>
          </cell>
        </row>
        <row r="1317">
          <cell r="A1317" t="str">
            <v>IS_alqt_plus</v>
          </cell>
          <cell r="K1317" t="str">
            <v>PCOQ</v>
          </cell>
          <cell r="M1317" t="str">
            <v>F</v>
          </cell>
          <cell r="AC1317">
            <v>1.5</v>
          </cell>
        </row>
        <row r="1318">
          <cell r="A1318" t="str">
            <v>IS_alqt_plus</v>
          </cell>
          <cell r="K1318" t="str">
            <v>PCOQ</v>
          </cell>
          <cell r="M1318" t="str">
            <v>F</v>
          </cell>
          <cell r="AC1318">
            <v>1.5</v>
          </cell>
        </row>
        <row r="1319">
          <cell r="A1319" t="str">
            <v>IS_alqt_plus</v>
          </cell>
          <cell r="K1319" t="str">
            <v>PCOQ</v>
          </cell>
          <cell r="M1319" t="str">
            <v>F</v>
          </cell>
          <cell r="AC1319">
            <v>1.5</v>
          </cell>
        </row>
        <row r="1320">
          <cell r="A1320" t="str">
            <v>IS_alqt_plus</v>
          </cell>
          <cell r="K1320" t="str">
            <v>PCOQ</v>
          </cell>
          <cell r="M1320" t="str">
            <v>F</v>
          </cell>
          <cell r="AC1320">
            <v>1.5</v>
          </cell>
        </row>
        <row r="1321">
          <cell r="A1321" t="str">
            <v>IS_alqt_plus</v>
          </cell>
          <cell r="K1321" t="str">
            <v>PCOQ</v>
          </cell>
          <cell r="M1321" t="str">
            <v>F</v>
          </cell>
          <cell r="AC1321">
            <v>1.5</v>
          </cell>
        </row>
        <row r="1322">
          <cell r="A1322" t="str">
            <v>IS_alqt_plus</v>
          </cell>
          <cell r="K1322" t="str">
            <v>PCOQ</v>
          </cell>
          <cell r="M1322" t="str">
            <v>F</v>
          </cell>
          <cell r="AC1322">
            <v>1.5</v>
          </cell>
        </row>
        <row r="1323">
          <cell r="A1323" t="str">
            <v>IS_alqt_plus</v>
          </cell>
          <cell r="K1323" t="str">
            <v>PCOQ</v>
          </cell>
          <cell r="M1323" t="str">
            <v>F</v>
          </cell>
          <cell r="AC1323">
            <v>1.5</v>
          </cell>
        </row>
        <row r="1324">
          <cell r="A1324" t="str">
            <v>IS_alqt_plus</v>
          </cell>
          <cell r="K1324" t="str">
            <v>PCOQ</v>
          </cell>
          <cell r="M1324" t="str">
            <v>F</v>
          </cell>
          <cell r="AC1324">
            <v>1.5</v>
          </cell>
        </row>
        <row r="1325">
          <cell r="A1325" t="str">
            <v>IS_alqt_plus</v>
          </cell>
          <cell r="K1325" t="str">
            <v>PCOQ</v>
          </cell>
          <cell r="M1325" t="str">
            <v>F</v>
          </cell>
          <cell r="AC1325">
            <v>1.5</v>
          </cell>
        </row>
        <row r="1326">
          <cell r="A1326" t="str">
            <v>IS_alqt_plus</v>
          </cell>
          <cell r="K1326" t="str">
            <v>PCOQ</v>
          </cell>
          <cell r="M1326" t="str">
            <v>M</v>
          </cell>
          <cell r="AC1326">
            <v>1.5</v>
          </cell>
        </row>
        <row r="1327">
          <cell r="A1327" t="str">
            <v>IS_alqt_plus</v>
          </cell>
          <cell r="K1327" t="str">
            <v>PCOQ</v>
          </cell>
          <cell r="M1327" t="str">
            <v>M</v>
          </cell>
          <cell r="AC1327">
            <v>1.5</v>
          </cell>
        </row>
        <row r="1328">
          <cell r="A1328" t="str">
            <v>IS_alqt_plus</v>
          </cell>
          <cell r="K1328" t="str">
            <v>PCOQ</v>
          </cell>
          <cell r="M1328" t="str">
            <v>F</v>
          </cell>
          <cell r="AC1328">
            <v>1.5</v>
          </cell>
        </row>
        <row r="1329">
          <cell r="A1329" t="str">
            <v>IS_alqt_plus</v>
          </cell>
          <cell r="K1329" t="str">
            <v>PCOQ</v>
          </cell>
          <cell r="M1329" t="str">
            <v>F</v>
          </cell>
          <cell r="AC1329">
            <v>1.5</v>
          </cell>
        </row>
        <row r="1330">
          <cell r="A1330" t="str">
            <v>unk</v>
          </cell>
          <cell r="K1330" t="str">
            <v>PCOQ</v>
          </cell>
          <cell r="M1330" t="str">
            <v>F</v>
          </cell>
          <cell r="AC1330">
            <v>1.5</v>
          </cell>
        </row>
        <row r="1331">
          <cell r="A1331" t="str">
            <v>IS_alqt_plus</v>
          </cell>
          <cell r="K1331" t="str">
            <v>PCOQ</v>
          </cell>
          <cell r="M1331" t="str">
            <v>F</v>
          </cell>
          <cell r="AC1331">
            <v>1.5</v>
          </cell>
        </row>
        <row r="1332">
          <cell r="A1332" t="str">
            <v>IS_alqt_plus</v>
          </cell>
          <cell r="K1332" t="str">
            <v>LCAT</v>
          </cell>
          <cell r="M1332" t="str">
            <v>F</v>
          </cell>
          <cell r="AC1332">
            <v>0.5</v>
          </cell>
        </row>
        <row r="1333">
          <cell r="A1333" t="str">
            <v>IS_alqt_plus</v>
          </cell>
          <cell r="K1333" t="str">
            <v>LCAT</v>
          </cell>
          <cell r="M1333" t="str">
            <v>F</v>
          </cell>
          <cell r="AC1333">
            <v>0.5</v>
          </cell>
        </row>
        <row r="1334">
          <cell r="A1334" t="str">
            <v>IS_alqt_plus</v>
          </cell>
          <cell r="K1334" t="str">
            <v>CMED</v>
          </cell>
          <cell r="M1334" t="str">
            <v>F</v>
          </cell>
          <cell r="AC1334">
            <v>0.6</v>
          </cell>
        </row>
        <row r="1335">
          <cell r="A1335" t="str">
            <v>IS_alqt_plus</v>
          </cell>
          <cell r="K1335" t="str">
            <v>ECOR</v>
          </cell>
          <cell r="M1335" t="str">
            <v>M</v>
          </cell>
          <cell r="AC1335">
            <v>1.2</v>
          </cell>
        </row>
        <row r="1336">
          <cell r="A1336" t="str">
            <v>IS_alqt_plus</v>
          </cell>
          <cell r="K1336" t="str">
            <v>ECOR</v>
          </cell>
          <cell r="M1336" t="str">
            <v>M</v>
          </cell>
          <cell r="AC1336">
            <v>1</v>
          </cell>
        </row>
        <row r="1337">
          <cell r="A1337" t="str">
            <v>IS_alqt_plus</v>
          </cell>
          <cell r="K1337" t="str">
            <v>ECOR</v>
          </cell>
          <cell r="M1337" t="str">
            <v>M</v>
          </cell>
          <cell r="AC1337">
            <v>0.6</v>
          </cell>
        </row>
        <row r="1338">
          <cell r="A1338" t="str">
            <v>IS_alqt_plus</v>
          </cell>
          <cell r="K1338" t="str">
            <v>ECOR</v>
          </cell>
          <cell r="M1338" t="str">
            <v>M</v>
          </cell>
          <cell r="AC1338">
            <v>0.5</v>
          </cell>
        </row>
        <row r="1339">
          <cell r="A1339" t="str">
            <v>IS_alqt_minus</v>
          </cell>
          <cell r="K1339" t="str">
            <v>ECOR</v>
          </cell>
          <cell r="M1339" t="str">
            <v>M</v>
          </cell>
          <cell r="AC1339">
            <v>0.2</v>
          </cell>
        </row>
        <row r="1340">
          <cell r="A1340" t="str">
            <v>IS_alqt_plus</v>
          </cell>
          <cell r="K1340" t="str">
            <v>ECOR</v>
          </cell>
          <cell r="M1340" t="str">
            <v>M</v>
          </cell>
          <cell r="AC1340">
            <v>1</v>
          </cell>
        </row>
        <row r="1341">
          <cell r="A1341" t="str">
            <v>IS_alqt_minus</v>
          </cell>
          <cell r="K1341" t="str">
            <v>EFLA</v>
          </cell>
          <cell r="M1341" t="str">
            <v>F</v>
          </cell>
          <cell r="AC1341">
            <v>0.3</v>
          </cell>
        </row>
        <row r="1342">
          <cell r="A1342" t="str">
            <v>IS_alqt_plus</v>
          </cell>
          <cell r="K1342" t="str">
            <v>EFLA</v>
          </cell>
          <cell r="M1342" t="str">
            <v>F</v>
          </cell>
          <cell r="AC1342">
            <v>1.5</v>
          </cell>
        </row>
        <row r="1343">
          <cell r="A1343" t="str">
            <v>IS_alqt_plus</v>
          </cell>
          <cell r="K1343" t="str">
            <v>EFLA</v>
          </cell>
          <cell r="M1343" t="str">
            <v>F</v>
          </cell>
          <cell r="AC1343">
            <v>1.5</v>
          </cell>
        </row>
        <row r="1344">
          <cell r="A1344" t="str">
            <v>IS_alqt_plus</v>
          </cell>
          <cell r="K1344" t="str">
            <v>HGG</v>
          </cell>
          <cell r="M1344" t="str">
            <v>M</v>
          </cell>
          <cell r="AC1344">
            <v>0.7</v>
          </cell>
        </row>
        <row r="1345">
          <cell r="A1345" t="str">
            <v>IS_alqt_plus</v>
          </cell>
          <cell r="K1345" t="str">
            <v>HGG</v>
          </cell>
          <cell r="M1345" t="str">
            <v>M</v>
          </cell>
          <cell r="AC1345">
            <v>0.5</v>
          </cell>
        </row>
        <row r="1346">
          <cell r="A1346" t="str">
            <v>IS_alqt_plus</v>
          </cell>
          <cell r="K1346" t="str">
            <v>HGG</v>
          </cell>
          <cell r="M1346" t="str">
            <v>M</v>
          </cell>
          <cell r="AC1346">
            <v>0.7</v>
          </cell>
        </row>
        <row r="1347">
          <cell r="A1347" t="str">
            <v>IS_alqt_minus</v>
          </cell>
          <cell r="K1347" t="str">
            <v>HGG</v>
          </cell>
          <cell r="M1347" t="str">
            <v>M</v>
          </cell>
          <cell r="AC1347">
            <v>0.2</v>
          </cell>
        </row>
        <row r="1348">
          <cell r="A1348" t="str">
            <v>IS_alqt_plus</v>
          </cell>
          <cell r="K1348" t="str">
            <v>CMED</v>
          </cell>
          <cell r="M1348" t="str">
            <v>F</v>
          </cell>
          <cell r="AC1348">
            <v>1.2</v>
          </cell>
        </row>
        <row r="1349">
          <cell r="A1349" t="str">
            <v>unk</v>
          </cell>
          <cell r="K1349" t="str">
            <v>CMED</v>
          </cell>
          <cell r="M1349" t="str">
            <v>F</v>
          </cell>
          <cell r="AC1349">
            <v>1.5</v>
          </cell>
        </row>
        <row r="1350">
          <cell r="A1350" t="str">
            <v>IS_alqt_minus</v>
          </cell>
          <cell r="K1350" t="str">
            <v>CMED</v>
          </cell>
          <cell r="M1350" t="str">
            <v>F</v>
          </cell>
          <cell r="AC1350">
            <v>0.15</v>
          </cell>
        </row>
        <row r="1351">
          <cell r="A1351" t="str">
            <v>IS_alqt_minus</v>
          </cell>
          <cell r="K1351" t="str">
            <v>CMED</v>
          </cell>
          <cell r="M1351" t="str">
            <v>F</v>
          </cell>
          <cell r="AC1351">
            <v>0.1</v>
          </cell>
        </row>
        <row r="1352">
          <cell r="A1352" t="str">
            <v>IS_alqt_plus</v>
          </cell>
          <cell r="K1352" t="str">
            <v>PCOQ</v>
          </cell>
          <cell r="M1352" t="str">
            <v>F</v>
          </cell>
          <cell r="AC1352">
            <v>1.5</v>
          </cell>
        </row>
        <row r="1353">
          <cell r="A1353" t="str">
            <v>IS_alqt_plus</v>
          </cell>
          <cell r="K1353" t="str">
            <v>DMAD</v>
          </cell>
          <cell r="M1353" t="str">
            <v>M</v>
          </cell>
          <cell r="AC1353">
            <v>1.5</v>
          </cell>
        </row>
        <row r="1354">
          <cell r="A1354" t="str">
            <v>IS_alqt_plus</v>
          </cell>
          <cell r="K1354" t="str">
            <v>DMAD</v>
          </cell>
          <cell r="M1354" t="str">
            <v>M</v>
          </cell>
          <cell r="AC1354">
            <v>1.5</v>
          </cell>
        </row>
        <row r="1355">
          <cell r="A1355" t="str">
            <v>IS_alqt_plus</v>
          </cell>
          <cell r="K1355" t="str">
            <v>DMAD</v>
          </cell>
          <cell r="M1355" t="str">
            <v>M</v>
          </cell>
          <cell r="AC1355">
            <v>1.5</v>
          </cell>
        </row>
        <row r="1356">
          <cell r="A1356" t="str">
            <v>IS_alqt_plus</v>
          </cell>
          <cell r="K1356" t="str">
            <v>DMAD</v>
          </cell>
          <cell r="M1356" t="str">
            <v>M</v>
          </cell>
          <cell r="AC1356">
            <v>1</v>
          </cell>
        </row>
        <row r="1357">
          <cell r="A1357" t="str">
            <v>IS_alqt_plus</v>
          </cell>
          <cell r="K1357" t="str">
            <v>PCOQ</v>
          </cell>
          <cell r="M1357" t="str">
            <v>M</v>
          </cell>
          <cell r="AC1357">
            <v>1.5</v>
          </cell>
        </row>
        <row r="1358">
          <cell r="A1358" t="str">
            <v>IS_alqt_plus</v>
          </cell>
          <cell r="K1358" t="str">
            <v>PCOQ</v>
          </cell>
          <cell r="M1358" t="str">
            <v>F</v>
          </cell>
          <cell r="AC1358">
            <v>0.65</v>
          </cell>
        </row>
        <row r="1359">
          <cell r="A1359" t="str">
            <v>IS_alqt_plus</v>
          </cell>
          <cell r="K1359" t="str">
            <v>DMAD</v>
          </cell>
          <cell r="M1359" t="str">
            <v>F</v>
          </cell>
          <cell r="AC1359">
            <v>1.5</v>
          </cell>
        </row>
        <row r="1360">
          <cell r="A1360" t="str">
            <v>IS_alqt_plus</v>
          </cell>
          <cell r="K1360" t="str">
            <v>DMAD</v>
          </cell>
          <cell r="M1360" t="str">
            <v>F</v>
          </cell>
          <cell r="AC1360">
            <v>1.5</v>
          </cell>
        </row>
        <row r="1361">
          <cell r="A1361" t="str">
            <v>IS_alqt_plus</v>
          </cell>
          <cell r="K1361" t="str">
            <v>CMED</v>
          </cell>
          <cell r="M1361" t="str">
            <v>F</v>
          </cell>
          <cell r="AC1361">
            <v>1.1499999999999999</v>
          </cell>
        </row>
        <row r="1362">
          <cell r="A1362" t="str">
            <v>IS_alqt_minus</v>
          </cell>
          <cell r="K1362" t="str">
            <v>CMED</v>
          </cell>
          <cell r="M1362" t="str">
            <v>F</v>
          </cell>
          <cell r="AC1362">
            <v>0.15</v>
          </cell>
        </row>
        <row r="1363">
          <cell r="A1363" t="str">
            <v>IS_alqt_plus</v>
          </cell>
          <cell r="K1363" t="str">
            <v>CMED</v>
          </cell>
          <cell r="M1363" t="str">
            <v>F</v>
          </cell>
          <cell r="AC1363">
            <v>0.7</v>
          </cell>
        </row>
        <row r="1364">
          <cell r="A1364" t="str">
            <v>IS_alqt_plus</v>
          </cell>
          <cell r="K1364" t="str">
            <v>PCOQ</v>
          </cell>
          <cell r="M1364" t="str">
            <v>F</v>
          </cell>
          <cell r="AC1364">
            <v>1</v>
          </cell>
        </row>
        <row r="1365">
          <cell r="A1365" t="str">
            <v>IS_alqt_plus</v>
          </cell>
          <cell r="K1365" t="str">
            <v>CMED</v>
          </cell>
          <cell r="M1365" t="str">
            <v>F</v>
          </cell>
          <cell r="AC1365">
            <v>1</v>
          </cell>
        </row>
        <row r="1366">
          <cell r="A1366" t="str">
            <v>IS_alqt_minus</v>
          </cell>
          <cell r="K1366" t="str">
            <v>MMUR</v>
          </cell>
          <cell r="M1366" t="str">
            <v>F</v>
          </cell>
          <cell r="AC1366">
            <v>0.4</v>
          </cell>
        </row>
        <row r="1367">
          <cell r="A1367" t="str">
            <v>IS_alqt_plus</v>
          </cell>
          <cell r="K1367" t="str">
            <v>CMED</v>
          </cell>
          <cell r="M1367" t="str">
            <v>M</v>
          </cell>
          <cell r="AC1367">
            <v>0.6</v>
          </cell>
        </row>
        <row r="1368">
          <cell r="A1368" t="str">
            <v>IS_alqt_plus</v>
          </cell>
          <cell r="K1368" t="str">
            <v>CMED</v>
          </cell>
          <cell r="M1368" t="str">
            <v>M</v>
          </cell>
          <cell r="AC1368">
            <v>1.1000000000000001</v>
          </cell>
        </row>
        <row r="1369">
          <cell r="A1369" t="str">
            <v>IS_alqt_plus</v>
          </cell>
          <cell r="K1369" t="str">
            <v>LCAT</v>
          </cell>
          <cell r="M1369" t="str">
            <v>F</v>
          </cell>
          <cell r="AC1369">
            <v>0.5</v>
          </cell>
        </row>
        <row r="1370">
          <cell r="A1370" t="str">
            <v>IS_alqt_plus</v>
          </cell>
          <cell r="K1370" t="str">
            <v>LCAT</v>
          </cell>
          <cell r="M1370" t="str">
            <v>F</v>
          </cell>
          <cell r="AC1370">
            <v>0.5</v>
          </cell>
        </row>
        <row r="1371">
          <cell r="A1371" t="str">
            <v>IS_alqt_plus</v>
          </cell>
          <cell r="K1371" t="str">
            <v>LCAT</v>
          </cell>
          <cell r="M1371" t="str">
            <v>F</v>
          </cell>
          <cell r="AC1371">
            <v>0.5</v>
          </cell>
        </row>
        <row r="1372">
          <cell r="A1372" t="str">
            <v>IS_alqt_plus</v>
          </cell>
          <cell r="K1372" t="str">
            <v>LCAT</v>
          </cell>
          <cell r="M1372" t="str">
            <v>F</v>
          </cell>
          <cell r="AC1372">
            <v>0.5</v>
          </cell>
        </row>
        <row r="1373">
          <cell r="A1373" t="str">
            <v>IS_alqt_plus</v>
          </cell>
          <cell r="K1373" t="str">
            <v>LCAT</v>
          </cell>
          <cell r="M1373" t="str">
            <v>F</v>
          </cell>
          <cell r="AC1373">
            <v>0.5</v>
          </cell>
        </row>
        <row r="1374">
          <cell r="A1374" t="str">
            <v>IS_alqt_plus</v>
          </cell>
          <cell r="K1374" t="str">
            <v>LCAT</v>
          </cell>
          <cell r="M1374" t="str">
            <v>F</v>
          </cell>
          <cell r="AC1374">
            <v>0.5</v>
          </cell>
        </row>
        <row r="1375">
          <cell r="A1375" t="str">
            <v>IS_alqt_plus</v>
          </cell>
          <cell r="K1375" t="str">
            <v>LCAT</v>
          </cell>
          <cell r="M1375" t="str">
            <v>F</v>
          </cell>
          <cell r="AC1375">
            <v>0.5</v>
          </cell>
        </row>
        <row r="1376">
          <cell r="A1376" t="str">
            <v>IS_alqt_minus</v>
          </cell>
          <cell r="K1376" t="str">
            <v>CMED</v>
          </cell>
          <cell r="M1376" t="str">
            <v>M</v>
          </cell>
          <cell r="AC1376">
            <v>0.2</v>
          </cell>
        </row>
        <row r="1377">
          <cell r="A1377" t="str">
            <v>IS_alqt_plus</v>
          </cell>
          <cell r="K1377" t="str">
            <v>DMAD</v>
          </cell>
          <cell r="M1377" t="str">
            <v>F</v>
          </cell>
          <cell r="AC1377">
            <v>1</v>
          </cell>
        </row>
        <row r="1378">
          <cell r="A1378" t="str">
            <v>IS_alqt_plus</v>
          </cell>
          <cell r="K1378" t="str">
            <v>DMAD</v>
          </cell>
          <cell r="M1378" t="str">
            <v>F</v>
          </cell>
          <cell r="AC1378">
            <v>1</v>
          </cell>
        </row>
        <row r="1379">
          <cell r="A1379" t="str">
            <v>IS_alqt_plus</v>
          </cell>
          <cell r="K1379" t="str">
            <v>DMAD</v>
          </cell>
          <cell r="M1379" t="str">
            <v>F</v>
          </cell>
          <cell r="AC1379">
            <v>1</v>
          </cell>
        </row>
        <row r="1380">
          <cell r="A1380" t="str">
            <v>unk</v>
          </cell>
          <cell r="K1380" t="str">
            <v>CMED</v>
          </cell>
          <cell r="M1380" t="str">
            <v>M</v>
          </cell>
          <cell r="AC1380">
            <v>0.2</v>
          </cell>
        </row>
        <row r="1381">
          <cell r="A1381" t="str">
            <v>IS_alqt_plus</v>
          </cell>
          <cell r="K1381" t="str">
            <v>PCOQ</v>
          </cell>
          <cell r="M1381" t="str">
            <v>M</v>
          </cell>
          <cell r="AC1381">
            <v>1.5</v>
          </cell>
        </row>
        <row r="1382">
          <cell r="A1382" t="str">
            <v>IS_alqt_plus</v>
          </cell>
          <cell r="K1382" t="str">
            <v>PCOQ</v>
          </cell>
          <cell r="M1382" t="str">
            <v>M</v>
          </cell>
          <cell r="AC1382">
            <v>1.5</v>
          </cell>
        </row>
        <row r="1383">
          <cell r="A1383" t="str">
            <v>IS_alqt_plus</v>
          </cell>
          <cell r="K1383" t="str">
            <v>PCOQ</v>
          </cell>
          <cell r="M1383" t="str">
            <v>M</v>
          </cell>
          <cell r="AC1383">
            <v>1</v>
          </cell>
        </row>
        <row r="1384">
          <cell r="A1384" t="str">
            <v>IS_alqt_plus</v>
          </cell>
          <cell r="K1384" t="str">
            <v>PCOQ</v>
          </cell>
          <cell r="M1384" t="str">
            <v>M</v>
          </cell>
          <cell r="AC1384">
            <v>1.5</v>
          </cell>
        </row>
        <row r="1385">
          <cell r="A1385" t="str">
            <v>IS_alqt_plus</v>
          </cell>
          <cell r="K1385" t="str">
            <v>PCOQ</v>
          </cell>
          <cell r="M1385" t="str">
            <v>M</v>
          </cell>
          <cell r="AC1385">
            <v>1.5</v>
          </cell>
        </row>
        <row r="1386">
          <cell r="A1386" t="str">
            <v>IS_alqt_plus</v>
          </cell>
          <cell r="K1386" t="str">
            <v>PCOQ</v>
          </cell>
          <cell r="M1386" t="str">
            <v>M</v>
          </cell>
          <cell r="AC1386">
            <v>1</v>
          </cell>
        </row>
        <row r="1387">
          <cell r="A1387" t="str">
            <v>unk</v>
          </cell>
          <cell r="K1387" t="str">
            <v>CMED</v>
          </cell>
          <cell r="M1387" t="str">
            <v>M</v>
          </cell>
          <cell r="AC1387">
            <v>0.2</v>
          </cell>
        </row>
        <row r="1388">
          <cell r="A1388" t="str">
            <v>unk</v>
          </cell>
          <cell r="K1388" t="str">
            <v>CMED</v>
          </cell>
          <cell r="M1388" t="str">
            <v>M</v>
          </cell>
          <cell r="AC1388">
            <v>0.2</v>
          </cell>
        </row>
        <row r="1389">
          <cell r="A1389" t="str">
            <v>IS_alqt_plus</v>
          </cell>
          <cell r="K1389" t="str">
            <v>PCOQ</v>
          </cell>
          <cell r="M1389" t="str">
            <v>M</v>
          </cell>
          <cell r="AC1389">
            <v>1.5</v>
          </cell>
        </row>
        <row r="1390">
          <cell r="A1390" t="str">
            <v>IS_alqt_plus</v>
          </cell>
          <cell r="K1390" t="str">
            <v>PCOQ</v>
          </cell>
          <cell r="M1390" t="str">
            <v>M</v>
          </cell>
          <cell r="AC1390">
            <v>1.5</v>
          </cell>
        </row>
        <row r="1391">
          <cell r="A1391" t="str">
            <v>IS_alqt_plus</v>
          </cell>
          <cell r="K1391" t="str">
            <v>PCOQ</v>
          </cell>
          <cell r="M1391" t="str">
            <v>M</v>
          </cell>
          <cell r="AC1391">
            <v>1.5</v>
          </cell>
        </row>
        <row r="1392">
          <cell r="A1392" t="str">
            <v>IS_alqt_plus</v>
          </cell>
          <cell r="K1392" t="str">
            <v>PCOQ</v>
          </cell>
          <cell r="M1392" t="str">
            <v>M</v>
          </cell>
          <cell r="AC1392">
            <v>1.5</v>
          </cell>
        </row>
        <row r="1393">
          <cell r="A1393" t="str">
            <v>IS_alqt_plus</v>
          </cell>
          <cell r="K1393" t="str">
            <v>PCOQ</v>
          </cell>
          <cell r="M1393" t="str">
            <v>M</v>
          </cell>
          <cell r="AC1393">
            <v>1.5</v>
          </cell>
        </row>
        <row r="1394">
          <cell r="A1394" t="str">
            <v>IS_alqt_plus</v>
          </cell>
          <cell r="K1394" t="str">
            <v>PCOQ</v>
          </cell>
          <cell r="M1394" t="str">
            <v>M</v>
          </cell>
          <cell r="AC1394">
            <v>1.5</v>
          </cell>
        </row>
        <row r="1395">
          <cell r="A1395" t="str">
            <v>IS_alqt_plus</v>
          </cell>
          <cell r="K1395" t="str">
            <v>PCOQ</v>
          </cell>
          <cell r="M1395" t="str">
            <v>M</v>
          </cell>
          <cell r="AC1395">
            <v>1.5</v>
          </cell>
        </row>
        <row r="1396">
          <cell r="A1396" t="str">
            <v>IS_alqt_plus</v>
          </cell>
          <cell r="K1396" t="str">
            <v>PCOQ</v>
          </cell>
          <cell r="M1396" t="str">
            <v>M</v>
          </cell>
          <cell r="AC1396">
            <v>1.5</v>
          </cell>
        </row>
        <row r="1397">
          <cell r="A1397" t="str">
            <v>IS_alqt_plus</v>
          </cell>
          <cell r="K1397" t="str">
            <v>PCOQ</v>
          </cell>
          <cell r="M1397" t="str">
            <v>M</v>
          </cell>
          <cell r="AC1397">
            <v>1.5</v>
          </cell>
        </row>
        <row r="1398">
          <cell r="A1398" t="str">
            <v>IS_alqt_plus</v>
          </cell>
          <cell r="K1398" t="str">
            <v>PCOQ</v>
          </cell>
          <cell r="M1398" t="str">
            <v>M</v>
          </cell>
          <cell r="AC1398">
            <v>1.5</v>
          </cell>
        </row>
        <row r="1399">
          <cell r="A1399" t="str">
            <v>IS_alqt_plus</v>
          </cell>
          <cell r="K1399" t="str">
            <v>PCOQ</v>
          </cell>
          <cell r="M1399" t="str">
            <v>M</v>
          </cell>
          <cell r="AC1399">
            <v>1.5</v>
          </cell>
        </row>
        <row r="1400">
          <cell r="A1400" t="str">
            <v>IS_alqt_plus</v>
          </cell>
          <cell r="K1400" t="str">
            <v>PCOQ</v>
          </cell>
          <cell r="M1400" t="str">
            <v>M</v>
          </cell>
          <cell r="AC1400">
            <v>1.5</v>
          </cell>
        </row>
        <row r="1401">
          <cell r="A1401" t="str">
            <v>IS_alqt_plus</v>
          </cell>
          <cell r="K1401" t="str">
            <v>PCOQ</v>
          </cell>
          <cell r="M1401" t="str">
            <v>M</v>
          </cell>
          <cell r="AC1401">
            <v>1.5</v>
          </cell>
        </row>
        <row r="1402">
          <cell r="A1402" t="str">
            <v>IS_alqt_plus</v>
          </cell>
          <cell r="K1402" t="str">
            <v>PCOQ</v>
          </cell>
          <cell r="M1402" t="str">
            <v>M</v>
          </cell>
          <cell r="AC1402">
            <v>1.5</v>
          </cell>
        </row>
        <row r="1403">
          <cell r="A1403" t="str">
            <v>IS_alqt_plus</v>
          </cell>
          <cell r="K1403" t="str">
            <v>PCOQ</v>
          </cell>
          <cell r="M1403" t="str">
            <v>M</v>
          </cell>
          <cell r="AC1403">
            <v>1.5</v>
          </cell>
        </row>
        <row r="1404">
          <cell r="A1404" t="str">
            <v>IS_alqt_plus</v>
          </cell>
          <cell r="K1404" t="str">
            <v>PCOQ</v>
          </cell>
          <cell r="M1404" t="str">
            <v>M</v>
          </cell>
          <cell r="AC1404">
            <v>1.5</v>
          </cell>
        </row>
        <row r="1405">
          <cell r="A1405" t="str">
            <v>IS_alqt_plus</v>
          </cell>
          <cell r="K1405" t="str">
            <v>PCOQ</v>
          </cell>
          <cell r="M1405" t="str">
            <v>M</v>
          </cell>
          <cell r="AC1405">
            <v>1.5</v>
          </cell>
        </row>
        <row r="1406">
          <cell r="A1406" t="str">
            <v>IS_alqt_plus</v>
          </cell>
          <cell r="K1406" t="str">
            <v>EMON</v>
          </cell>
          <cell r="M1406" t="str">
            <v>F</v>
          </cell>
          <cell r="AC1406">
            <v>0.5</v>
          </cell>
        </row>
        <row r="1407">
          <cell r="A1407" t="str">
            <v>IS_alqt_plus</v>
          </cell>
          <cell r="K1407" t="str">
            <v>CMED</v>
          </cell>
          <cell r="M1407" t="str">
            <v>M</v>
          </cell>
          <cell r="AC1407">
            <v>0.5</v>
          </cell>
        </row>
        <row r="1408">
          <cell r="A1408" t="str">
            <v>IS_alqt_plus</v>
          </cell>
          <cell r="K1408" t="str">
            <v>DMAD</v>
          </cell>
          <cell r="M1408" t="str">
            <v>M</v>
          </cell>
          <cell r="AC1408">
            <v>1.5</v>
          </cell>
        </row>
        <row r="1409">
          <cell r="A1409" t="str">
            <v>IS_alqt_plus</v>
          </cell>
          <cell r="K1409" t="str">
            <v>DMAD</v>
          </cell>
          <cell r="M1409" t="str">
            <v>M</v>
          </cell>
          <cell r="AC1409">
            <v>1.5</v>
          </cell>
        </row>
        <row r="1410">
          <cell r="A1410" t="str">
            <v>IS_alqt_plus</v>
          </cell>
          <cell r="K1410" t="str">
            <v>DMAD</v>
          </cell>
          <cell r="M1410" t="str">
            <v>M</v>
          </cell>
          <cell r="AC1410">
            <v>1.5</v>
          </cell>
        </row>
        <row r="1411">
          <cell r="A1411" t="str">
            <v>IS_alqt_minus</v>
          </cell>
          <cell r="K1411" t="str">
            <v>CMED</v>
          </cell>
          <cell r="M1411" t="str">
            <v>M</v>
          </cell>
          <cell r="AC1411">
            <v>0.4</v>
          </cell>
        </row>
        <row r="1412">
          <cell r="A1412" t="str">
            <v>IS_alqt_minus</v>
          </cell>
          <cell r="K1412" t="str">
            <v>CMED</v>
          </cell>
          <cell r="M1412" t="str">
            <v>M</v>
          </cell>
          <cell r="AC1412">
            <v>0.25</v>
          </cell>
        </row>
        <row r="1413">
          <cell r="A1413" t="str">
            <v>IS_alqt_minus</v>
          </cell>
          <cell r="K1413" t="str">
            <v>CMED</v>
          </cell>
          <cell r="M1413" t="str">
            <v>M</v>
          </cell>
          <cell r="AC1413">
            <v>0.25</v>
          </cell>
        </row>
        <row r="1414">
          <cell r="A1414" t="str">
            <v>IS_alqt_plus</v>
          </cell>
          <cell r="K1414" t="str">
            <v>ECOL</v>
          </cell>
          <cell r="M1414" t="str">
            <v>M</v>
          </cell>
          <cell r="AC1414">
            <v>0.6</v>
          </cell>
        </row>
        <row r="1415">
          <cell r="A1415" t="str">
            <v>IS_alqt_plus</v>
          </cell>
          <cell r="K1415" t="str">
            <v>LCAT</v>
          </cell>
          <cell r="M1415" t="str">
            <v>F</v>
          </cell>
          <cell r="AC1415">
            <v>0.5</v>
          </cell>
        </row>
        <row r="1416">
          <cell r="A1416" t="str">
            <v>IS_alqt_plus</v>
          </cell>
          <cell r="K1416" t="str">
            <v>LCAT</v>
          </cell>
          <cell r="M1416" t="str">
            <v>F</v>
          </cell>
          <cell r="AC1416">
            <v>0.5</v>
          </cell>
        </row>
        <row r="1417">
          <cell r="A1417" t="str">
            <v>IS_alqt_minus</v>
          </cell>
          <cell r="K1417" t="str">
            <v>LCAT</v>
          </cell>
          <cell r="M1417" t="str">
            <v>M</v>
          </cell>
          <cell r="AC1417">
            <v>0.4</v>
          </cell>
        </row>
        <row r="1418">
          <cell r="A1418" t="str">
            <v>IS_alqt_plus</v>
          </cell>
          <cell r="K1418" t="str">
            <v>PCOQ</v>
          </cell>
          <cell r="M1418" t="str">
            <v>M</v>
          </cell>
          <cell r="AC1418">
            <v>1.5</v>
          </cell>
        </row>
        <row r="1419">
          <cell r="A1419" t="str">
            <v>IS_alqt_plus</v>
          </cell>
          <cell r="K1419" t="str">
            <v>PCOQ</v>
          </cell>
          <cell r="M1419" t="str">
            <v>M</v>
          </cell>
          <cell r="AC1419">
            <v>1.5</v>
          </cell>
        </row>
        <row r="1420">
          <cell r="A1420" t="str">
            <v>IS_alqt_plus</v>
          </cell>
          <cell r="K1420" t="str">
            <v>PCOQ</v>
          </cell>
          <cell r="M1420" t="str">
            <v>M</v>
          </cell>
          <cell r="AC1420">
            <v>1.5</v>
          </cell>
        </row>
        <row r="1421">
          <cell r="A1421" t="str">
            <v>IS_alqt_plus</v>
          </cell>
          <cell r="K1421" t="str">
            <v>PCOQ</v>
          </cell>
          <cell r="M1421" t="str">
            <v>M</v>
          </cell>
          <cell r="AC1421">
            <v>1.5</v>
          </cell>
        </row>
        <row r="1422">
          <cell r="A1422" t="str">
            <v>IS_alqt_plus</v>
          </cell>
          <cell r="K1422" t="str">
            <v>PCOQ</v>
          </cell>
          <cell r="M1422" t="str">
            <v>F</v>
          </cell>
          <cell r="AC1422">
            <v>1.5</v>
          </cell>
        </row>
        <row r="1423">
          <cell r="A1423" t="str">
            <v>IS_alqt_plus</v>
          </cell>
          <cell r="K1423" t="str">
            <v>PCOQ</v>
          </cell>
          <cell r="M1423" t="str">
            <v>F</v>
          </cell>
          <cell r="AC1423">
            <v>1.5</v>
          </cell>
        </row>
        <row r="1424">
          <cell r="A1424" t="str">
            <v>IS_alqt_plus</v>
          </cell>
          <cell r="K1424" t="str">
            <v>PCOQ</v>
          </cell>
          <cell r="M1424" t="str">
            <v>M</v>
          </cell>
          <cell r="AC1424">
            <v>1.5</v>
          </cell>
        </row>
        <row r="1425">
          <cell r="A1425" t="str">
            <v>IS_alqt_plus</v>
          </cell>
          <cell r="K1425" t="str">
            <v>PCOQ</v>
          </cell>
          <cell r="M1425" t="str">
            <v>M</v>
          </cell>
          <cell r="AC1425">
            <v>1.5</v>
          </cell>
        </row>
        <row r="1426">
          <cell r="A1426" t="str">
            <v>IS_alqt_plus</v>
          </cell>
          <cell r="K1426" t="str">
            <v>PCOQ</v>
          </cell>
          <cell r="M1426" t="str">
            <v>M</v>
          </cell>
          <cell r="AC1426">
            <v>0.5</v>
          </cell>
        </row>
        <row r="1427">
          <cell r="A1427" t="str">
            <v>IS_alqt_plus</v>
          </cell>
          <cell r="K1427" t="str">
            <v>PCOQ</v>
          </cell>
          <cell r="M1427" t="str">
            <v>M</v>
          </cell>
          <cell r="AC1427">
            <v>1.5</v>
          </cell>
        </row>
        <row r="1428">
          <cell r="A1428" t="str">
            <v>IS_alqt_plus</v>
          </cell>
          <cell r="K1428" t="str">
            <v>PCOQ</v>
          </cell>
          <cell r="M1428" t="str">
            <v>M</v>
          </cell>
          <cell r="AC1428">
            <v>1.5</v>
          </cell>
        </row>
        <row r="1429">
          <cell r="A1429" t="str">
            <v>IS_alqt_plus</v>
          </cell>
          <cell r="K1429" t="str">
            <v>PCOQ</v>
          </cell>
          <cell r="M1429" t="str">
            <v>M</v>
          </cell>
          <cell r="AC1429">
            <v>1.5</v>
          </cell>
        </row>
        <row r="1430">
          <cell r="A1430" t="str">
            <v>IS_alqt_plus</v>
          </cell>
          <cell r="K1430" t="str">
            <v>PCOQ</v>
          </cell>
          <cell r="M1430" t="str">
            <v>M</v>
          </cell>
          <cell r="AC1430">
            <v>1.5</v>
          </cell>
        </row>
        <row r="1431">
          <cell r="A1431" t="str">
            <v>IS_alqt_plus</v>
          </cell>
          <cell r="K1431" t="str">
            <v>PCOQ</v>
          </cell>
          <cell r="M1431" t="str">
            <v>M</v>
          </cell>
          <cell r="AC1431">
            <v>1.5</v>
          </cell>
        </row>
        <row r="1432">
          <cell r="A1432" t="str">
            <v>IS_alqt_plus</v>
          </cell>
          <cell r="K1432" t="str">
            <v>PCOQ</v>
          </cell>
          <cell r="M1432" t="str">
            <v>M</v>
          </cell>
          <cell r="AC1432">
            <v>1.5</v>
          </cell>
        </row>
        <row r="1433">
          <cell r="A1433" t="str">
            <v>IS_alqt_plus</v>
          </cell>
          <cell r="K1433" t="str">
            <v>PCOQ</v>
          </cell>
          <cell r="M1433" t="str">
            <v>M</v>
          </cell>
          <cell r="AC1433">
            <v>1.5</v>
          </cell>
        </row>
        <row r="1434">
          <cell r="A1434" t="str">
            <v>IS_alqt_plus</v>
          </cell>
          <cell r="K1434" t="str">
            <v>PCOQ</v>
          </cell>
          <cell r="M1434" t="str">
            <v>M</v>
          </cell>
          <cell r="AC1434">
            <v>1.5</v>
          </cell>
        </row>
        <row r="1435">
          <cell r="A1435" t="str">
            <v>IS_alqt_plus</v>
          </cell>
          <cell r="K1435" t="str">
            <v>PCOQ</v>
          </cell>
          <cell r="M1435" t="str">
            <v>M</v>
          </cell>
          <cell r="AC1435">
            <v>1.5</v>
          </cell>
        </row>
        <row r="1436">
          <cell r="A1436" t="str">
            <v>IS_alqt_plus</v>
          </cell>
          <cell r="K1436" t="str">
            <v>PCOQ</v>
          </cell>
          <cell r="M1436" t="str">
            <v>M</v>
          </cell>
          <cell r="AC1436">
            <v>1.5</v>
          </cell>
        </row>
        <row r="1437">
          <cell r="A1437" t="str">
            <v>IS_alqt_plus</v>
          </cell>
          <cell r="K1437" t="str">
            <v>PCOQ</v>
          </cell>
          <cell r="M1437" t="str">
            <v>M</v>
          </cell>
          <cell r="AC1437">
            <v>1</v>
          </cell>
        </row>
        <row r="1438">
          <cell r="A1438" t="str">
            <v>IS_alqt_plus</v>
          </cell>
          <cell r="K1438" t="str">
            <v>PCOQ</v>
          </cell>
          <cell r="M1438" t="str">
            <v>M</v>
          </cell>
          <cell r="AC1438">
            <v>1.5</v>
          </cell>
        </row>
        <row r="1439">
          <cell r="A1439" t="str">
            <v>IS_alqt_minus</v>
          </cell>
          <cell r="K1439" t="str">
            <v>PCOQ</v>
          </cell>
          <cell r="M1439" t="str">
            <v>F</v>
          </cell>
          <cell r="AC1439">
            <v>0.2</v>
          </cell>
        </row>
        <row r="1440">
          <cell r="A1440" t="str">
            <v>IS_alqt_plus</v>
          </cell>
          <cell r="K1440" t="str">
            <v>PCOQ</v>
          </cell>
          <cell r="M1440" t="str">
            <v>F</v>
          </cell>
          <cell r="AC1440">
            <v>1.5</v>
          </cell>
        </row>
        <row r="1441">
          <cell r="A1441" t="str">
            <v>IS_alqt_plus</v>
          </cell>
          <cell r="K1441" t="str">
            <v>PCOQ</v>
          </cell>
          <cell r="M1441" t="str">
            <v>F</v>
          </cell>
          <cell r="AC1441">
            <v>1.5</v>
          </cell>
        </row>
        <row r="1442">
          <cell r="A1442" t="str">
            <v>IS_alqt_plus</v>
          </cell>
          <cell r="K1442" t="str">
            <v>PCOQ</v>
          </cell>
          <cell r="M1442" t="str">
            <v>F</v>
          </cell>
          <cell r="AC1442">
            <v>1.5</v>
          </cell>
        </row>
        <row r="1443">
          <cell r="A1443" t="str">
            <v>IS_alqt_plus</v>
          </cell>
          <cell r="K1443" t="str">
            <v>PCOQ</v>
          </cell>
          <cell r="M1443" t="str">
            <v>F</v>
          </cell>
          <cell r="AC1443">
            <v>1.5</v>
          </cell>
        </row>
        <row r="1444">
          <cell r="A1444" t="str">
            <v>IS_alqt_plus</v>
          </cell>
          <cell r="K1444" t="str">
            <v>PCOQ</v>
          </cell>
          <cell r="M1444" t="str">
            <v>F</v>
          </cell>
          <cell r="AC1444">
            <v>1.5</v>
          </cell>
        </row>
        <row r="1445">
          <cell r="A1445" t="str">
            <v>IS_alqt_plus</v>
          </cell>
          <cell r="K1445" t="str">
            <v>PCOQ</v>
          </cell>
          <cell r="M1445" t="str">
            <v>F</v>
          </cell>
          <cell r="AC1445">
            <v>1.5</v>
          </cell>
        </row>
        <row r="1446">
          <cell r="A1446" t="str">
            <v>gone</v>
          </cell>
          <cell r="K1446" t="str">
            <v>PCOQ</v>
          </cell>
          <cell r="M1446" t="str">
            <v>F</v>
          </cell>
          <cell r="AC1446">
            <v>0</v>
          </cell>
        </row>
        <row r="1447">
          <cell r="A1447" t="str">
            <v>IS_alqt_plus</v>
          </cell>
          <cell r="K1447" t="str">
            <v>CMED</v>
          </cell>
          <cell r="M1447" t="str">
            <v>F</v>
          </cell>
          <cell r="AC1447">
            <v>1.3</v>
          </cell>
        </row>
        <row r="1448">
          <cell r="A1448" t="str">
            <v>IS_alqt_plus</v>
          </cell>
          <cell r="K1448" t="str">
            <v>CMED</v>
          </cell>
          <cell r="M1448" t="str">
            <v>F</v>
          </cell>
          <cell r="AC1448">
            <v>1</v>
          </cell>
        </row>
        <row r="1449">
          <cell r="A1449" t="str">
            <v>IS_alqt_minus</v>
          </cell>
          <cell r="K1449" t="str">
            <v>CMED</v>
          </cell>
          <cell r="M1449" t="str">
            <v>F</v>
          </cell>
          <cell r="AC1449">
            <v>0.4</v>
          </cell>
        </row>
        <row r="1450">
          <cell r="A1450" t="str">
            <v>IS_alqt_plus</v>
          </cell>
          <cell r="K1450" t="str">
            <v>CMED</v>
          </cell>
          <cell r="M1450" t="str">
            <v>F</v>
          </cell>
          <cell r="AC1450">
            <v>1</v>
          </cell>
        </row>
        <row r="1451">
          <cell r="A1451" t="str">
            <v>IS_alqt_plus</v>
          </cell>
          <cell r="K1451" t="str">
            <v>LCAT</v>
          </cell>
          <cell r="M1451" t="str">
            <v>F</v>
          </cell>
          <cell r="AC1451">
            <v>0.5</v>
          </cell>
        </row>
        <row r="1452">
          <cell r="A1452" t="str">
            <v>IS_alqt_plus</v>
          </cell>
          <cell r="K1452" t="str">
            <v>LCAT</v>
          </cell>
          <cell r="M1452" t="str">
            <v>F</v>
          </cell>
          <cell r="AC1452">
            <v>0.5</v>
          </cell>
        </row>
        <row r="1453">
          <cell r="A1453" t="str">
            <v>IS_alqt_plus</v>
          </cell>
          <cell r="K1453" t="str">
            <v>LCAT</v>
          </cell>
          <cell r="M1453" t="str">
            <v>F</v>
          </cell>
          <cell r="AC1453">
            <v>0.5</v>
          </cell>
        </row>
        <row r="1454">
          <cell r="A1454" t="str">
            <v>IS_alqt_plus</v>
          </cell>
          <cell r="K1454" t="str">
            <v>DMAD</v>
          </cell>
          <cell r="M1454" t="str">
            <v>F</v>
          </cell>
          <cell r="AC1454">
            <v>1.5</v>
          </cell>
        </row>
        <row r="1455">
          <cell r="A1455" t="str">
            <v>IS_alqt_plus</v>
          </cell>
          <cell r="K1455" t="str">
            <v>DMAD</v>
          </cell>
          <cell r="M1455" t="str">
            <v>F</v>
          </cell>
          <cell r="AC1455">
            <v>1.5</v>
          </cell>
        </row>
        <row r="1456">
          <cell r="A1456" t="str">
            <v>IS_alqt_plus</v>
          </cell>
          <cell r="K1456" t="str">
            <v>DMAD</v>
          </cell>
          <cell r="M1456" t="str">
            <v>F</v>
          </cell>
          <cell r="AC1456">
            <v>1.5</v>
          </cell>
        </row>
        <row r="1457">
          <cell r="A1457" t="str">
            <v>IS_alqt_plus</v>
          </cell>
          <cell r="K1457" t="str">
            <v>DMAD</v>
          </cell>
          <cell r="M1457" t="str">
            <v>F</v>
          </cell>
          <cell r="AC1457">
            <v>1.5</v>
          </cell>
        </row>
        <row r="1458">
          <cell r="A1458" t="str">
            <v>IS_alqt_plus</v>
          </cell>
          <cell r="K1458" t="str">
            <v>DMAD</v>
          </cell>
          <cell r="M1458" t="str">
            <v>F</v>
          </cell>
          <cell r="AC1458">
            <v>1.5</v>
          </cell>
        </row>
        <row r="1459">
          <cell r="A1459" t="str">
            <v>IS_alqt_plus</v>
          </cell>
          <cell r="K1459" t="str">
            <v>DMAD</v>
          </cell>
          <cell r="M1459" t="str">
            <v>F</v>
          </cell>
          <cell r="AC1459">
            <v>1.5</v>
          </cell>
        </row>
        <row r="1460">
          <cell r="A1460" t="str">
            <v>IS_alqt_minus</v>
          </cell>
          <cell r="K1460" t="str">
            <v>CMED</v>
          </cell>
          <cell r="M1460" t="str">
            <v>F</v>
          </cell>
          <cell r="AC1460">
            <v>0.3</v>
          </cell>
        </row>
        <row r="1461">
          <cell r="A1461" t="str">
            <v>IS_alqt_plus</v>
          </cell>
          <cell r="K1461" t="str">
            <v>PCOQ</v>
          </cell>
          <cell r="M1461" t="str">
            <v>M</v>
          </cell>
          <cell r="AC1461">
            <v>1</v>
          </cell>
        </row>
        <row r="1462">
          <cell r="A1462" t="str">
            <v>IS_alqt_plus</v>
          </cell>
          <cell r="K1462" t="str">
            <v>DMAD</v>
          </cell>
          <cell r="M1462" t="str">
            <v>M</v>
          </cell>
          <cell r="AC1462">
            <v>1.5</v>
          </cell>
        </row>
        <row r="1463">
          <cell r="A1463" t="str">
            <v>IS_alqt_plus</v>
          </cell>
          <cell r="K1463" t="str">
            <v>DMAD</v>
          </cell>
          <cell r="M1463" t="str">
            <v>M</v>
          </cell>
          <cell r="AC1463">
            <v>1.5</v>
          </cell>
        </row>
        <row r="1464">
          <cell r="A1464" t="str">
            <v>IS_alqt_plus</v>
          </cell>
          <cell r="K1464" t="str">
            <v>DMAD</v>
          </cell>
          <cell r="M1464" t="str">
            <v>M</v>
          </cell>
          <cell r="AC1464">
            <v>1.5</v>
          </cell>
        </row>
        <row r="1465">
          <cell r="A1465" t="str">
            <v>IS_alqt_plus</v>
          </cell>
          <cell r="K1465" t="str">
            <v>PCOQ</v>
          </cell>
          <cell r="M1465" t="str">
            <v>M</v>
          </cell>
          <cell r="AC1465">
            <v>1.5</v>
          </cell>
        </row>
        <row r="1466">
          <cell r="A1466" t="str">
            <v>IS_alqt_plus</v>
          </cell>
          <cell r="K1466" t="str">
            <v>PCOQ</v>
          </cell>
          <cell r="M1466" t="str">
            <v>M</v>
          </cell>
          <cell r="AC1466">
            <v>1.5</v>
          </cell>
        </row>
        <row r="1467">
          <cell r="A1467" t="str">
            <v>IS_alqt_plus</v>
          </cell>
          <cell r="K1467" t="str">
            <v>PCOQ</v>
          </cell>
          <cell r="M1467" t="str">
            <v>M</v>
          </cell>
          <cell r="AC1467">
            <v>1.5</v>
          </cell>
        </row>
        <row r="1468">
          <cell r="A1468" t="str">
            <v>IS_alqt_plus</v>
          </cell>
          <cell r="K1468" t="str">
            <v>PCOQ</v>
          </cell>
          <cell r="M1468" t="str">
            <v>M</v>
          </cell>
          <cell r="AC1468">
            <v>1.5</v>
          </cell>
        </row>
        <row r="1469">
          <cell r="A1469" t="str">
            <v>IS_alqt_plus</v>
          </cell>
          <cell r="K1469" t="str">
            <v>PCOQ</v>
          </cell>
          <cell r="M1469" t="str">
            <v>M</v>
          </cell>
          <cell r="AC1469">
            <v>1.5</v>
          </cell>
        </row>
        <row r="1470">
          <cell r="A1470" t="str">
            <v>IS_alqt_plus</v>
          </cell>
          <cell r="K1470" t="str">
            <v>PCOQ</v>
          </cell>
          <cell r="M1470" t="str">
            <v>M</v>
          </cell>
          <cell r="AC1470">
            <v>1.5</v>
          </cell>
        </row>
        <row r="1471">
          <cell r="A1471" t="str">
            <v>IS_alqt_plus</v>
          </cell>
          <cell r="K1471" t="str">
            <v>PCOQ</v>
          </cell>
          <cell r="M1471" t="str">
            <v>M</v>
          </cell>
          <cell r="AC1471">
            <v>1.5</v>
          </cell>
        </row>
        <row r="1472">
          <cell r="A1472" t="str">
            <v>IS_alqt_plus</v>
          </cell>
          <cell r="K1472" t="str">
            <v>CMED</v>
          </cell>
          <cell r="M1472" t="str">
            <v>F</v>
          </cell>
          <cell r="AC1472">
            <v>1.4</v>
          </cell>
        </row>
        <row r="1473">
          <cell r="A1473" t="str">
            <v>IS_alqt_plus</v>
          </cell>
          <cell r="K1473" t="str">
            <v>CMED</v>
          </cell>
          <cell r="M1473" t="str">
            <v>F</v>
          </cell>
          <cell r="AC1473">
            <v>0.75</v>
          </cell>
        </row>
        <row r="1474">
          <cell r="A1474" t="str">
            <v>IS_alqt_plus</v>
          </cell>
          <cell r="K1474" t="str">
            <v>CMED</v>
          </cell>
          <cell r="M1474" t="str">
            <v>F</v>
          </cell>
          <cell r="AC1474">
            <v>0.75</v>
          </cell>
        </row>
        <row r="1475">
          <cell r="A1475" t="str">
            <v>IS_alqt_plus</v>
          </cell>
          <cell r="K1475" t="str">
            <v>PCOQ</v>
          </cell>
          <cell r="M1475" t="str">
            <v>M</v>
          </cell>
          <cell r="AC1475">
            <v>1.5</v>
          </cell>
        </row>
        <row r="1476">
          <cell r="A1476" t="str">
            <v>IS_alqt_plus</v>
          </cell>
          <cell r="K1476" t="str">
            <v>PCOQ</v>
          </cell>
          <cell r="M1476" t="str">
            <v>M</v>
          </cell>
          <cell r="AC1476">
            <v>1.5</v>
          </cell>
        </row>
        <row r="1477">
          <cell r="A1477" t="str">
            <v>IS_alqt_plus</v>
          </cell>
          <cell r="K1477" t="str">
            <v>PCOQ</v>
          </cell>
          <cell r="M1477" t="str">
            <v>M</v>
          </cell>
          <cell r="AC1477">
            <v>1.5</v>
          </cell>
        </row>
        <row r="1478">
          <cell r="A1478" t="str">
            <v>IS_alqt_plus</v>
          </cell>
          <cell r="K1478" t="str">
            <v>PCOQ</v>
          </cell>
          <cell r="M1478" t="str">
            <v>M</v>
          </cell>
          <cell r="AC1478">
            <v>1</v>
          </cell>
        </row>
        <row r="1479">
          <cell r="A1479" t="str">
            <v>IS_alqt_plus</v>
          </cell>
          <cell r="K1479" t="str">
            <v>PCOQ</v>
          </cell>
          <cell r="M1479" t="str">
            <v>M</v>
          </cell>
          <cell r="AC1479">
            <v>1.5</v>
          </cell>
        </row>
        <row r="1480">
          <cell r="A1480" t="str">
            <v>IS_alqt_plus</v>
          </cell>
          <cell r="K1480" t="str">
            <v>PCOQ</v>
          </cell>
          <cell r="M1480" t="str">
            <v>M</v>
          </cell>
          <cell r="AC1480">
            <v>1.5</v>
          </cell>
        </row>
        <row r="1481">
          <cell r="A1481" t="str">
            <v>gone</v>
          </cell>
          <cell r="K1481" t="str">
            <v>PCOQ</v>
          </cell>
          <cell r="M1481" t="str">
            <v>M</v>
          </cell>
          <cell r="AC1481">
            <v>0</v>
          </cell>
        </row>
        <row r="1482">
          <cell r="A1482" t="str">
            <v>IS_alqt_plus</v>
          </cell>
          <cell r="K1482" t="str">
            <v>PCOQ</v>
          </cell>
          <cell r="M1482" t="str">
            <v>F</v>
          </cell>
          <cell r="AC1482">
            <v>1.5</v>
          </cell>
        </row>
        <row r="1483">
          <cell r="A1483" t="str">
            <v>IS_alqt_plus</v>
          </cell>
          <cell r="K1483" t="str">
            <v>PCOQ</v>
          </cell>
          <cell r="M1483" t="str">
            <v>F</v>
          </cell>
          <cell r="AC1483">
            <v>1.5</v>
          </cell>
        </row>
        <row r="1484">
          <cell r="A1484" t="str">
            <v>IS_alqt_plus</v>
          </cell>
          <cell r="K1484" t="str">
            <v>PCOQ</v>
          </cell>
          <cell r="M1484" t="str">
            <v>F</v>
          </cell>
          <cell r="AC1484">
            <v>1.5</v>
          </cell>
        </row>
        <row r="1485">
          <cell r="A1485" t="str">
            <v>IS_alqt_plus</v>
          </cell>
          <cell r="K1485" t="str">
            <v>PCOQ</v>
          </cell>
          <cell r="M1485" t="str">
            <v>F</v>
          </cell>
          <cell r="AC1485">
            <v>1.5</v>
          </cell>
        </row>
        <row r="1486">
          <cell r="A1486" t="str">
            <v>IS_alqt_plus</v>
          </cell>
          <cell r="K1486" t="str">
            <v>EFLA</v>
          </cell>
          <cell r="M1486" t="str">
            <v>M</v>
          </cell>
          <cell r="AC1486">
            <v>1.3</v>
          </cell>
        </row>
        <row r="1487">
          <cell r="A1487" t="str">
            <v>IS_alqt_plus</v>
          </cell>
          <cell r="K1487" t="str">
            <v>CMED</v>
          </cell>
          <cell r="M1487" t="str">
            <v>F</v>
          </cell>
          <cell r="AC1487">
            <v>1.25</v>
          </cell>
        </row>
        <row r="1488">
          <cell r="A1488" t="str">
            <v>IS_alqt_plus</v>
          </cell>
          <cell r="K1488" t="str">
            <v>CMED</v>
          </cell>
          <cell r="M1488" t="str">
            <v>F</v>
          </cell>
          <cell r="AC1488">
            <v>1.25</v>
          </cell>
        </row>
        <row r="1489">
          <cell r="A1489" t="str">
            <v>IS_alqt_minus</v>
          </cell>
          <cell r="K1489" t="str">
            <v>CMED</v>
          </cell>
          <cell r="M1489" t="str">
            <v>F</v>
          </cell>
          <cell r="AC1489">
            <v>0.3</v>
          </cell>
        </row>
        <row r="1490">
          <cell r="A1490" t="str">
            <v>IS_alqt_plus</v>
          </cell>
          <cell r="K1490" t="str">
            <v>EFLA</v>
          </cell>
          <cell r="M1490" t="str">
            <v>M</v>
          </cell>
          <cell r="AC1490">
            <v>0.5</v>
          </cell>
        </row>
        <row r="1491">
          <cell r="A1491" t="str">
            <v>IS_alqt_plus</v>
          </cell>
          <cell r="K1491" t="str">
            <v>DMAD</v>
          </cell>
          <cell r="M1491" t="str">
            <v>F</v>
          </cell>
          <cell r="AC1491">
            <v>1</v>
          </cell>
        </row>
        <row r="1492">
          <cell r="A1492" t="str">
            <v>IS_alqt_plus</v>
          </cell>
          <cell r="K1492" t="str">
            <v>DMAD</v>
          </cell>
          <cell r="M1492" t="str">
            <v>F</v>
          </cell>
          <cell r="AC1492">
            <v>1</v>
          </cell>
        </row>
        <row r="1493">
          <cell r="A1493" t="str">
            <v>IS_alqt_plus</v>
          </cell>
          <cell r="K1493" t="str">
            <v>DMAD</v>
          </cell>
          <cell r="M1493" t="str">
            <v>F</v>
          </cell>
          <cell r="AC1493">
            <v>1</v>
          </cell>
        </row>
        <row r="1494">
          <cell r="A1494" t="str">
            <v>IS_alqt_plus</v>
          </cell>
          <cell r="K1494" t="str">
            <v>DMAD</v>
          </cell>
          <cell r="M1494" t="str">
            <v>F</v>
          </cell>
          <cell r="AC1494">
            <v>1</v>
          </cell>
        </row>
        <row r="1495">
          <cell r="A1495" t="str">
            <v>IS_alqt_plus</v>
          </cell>
          <cell r="K1495" t="str">
            <v>DMAD</v>
          </cell>
          <cell r="M1495" t="str">
            <v>F</v>
          </cell>
          <cell r="AC1495">
            <v>1</v>
          </cell>
        </row>
        <row r="1496">
          <cell r="A1496" t="str">
            <v>IS_alqt_plus</v>
          </cell>
          <cell r="K1496" t="str">
            <v>DMAD</v>
          </cell>
          <cell r="M1496" t="str">
            <v>F</v>
          </cell>
          <cell r="AC1496">
            <v>1</v>
          </cell>
        </row>
        <row r="1497">
          <cell r="A1497" t="str">
            <v>IS_alqt_plus</v>
          </cell>
          <cell r="K1497" t="str">
            <v>DMAD</v>
          </cell>
          <cell r="M1497" t="str">
            <v>F</v>
          </cell>
          <cell r="AC1497">
            <v>1</v>
          </cell>
        </row>
        <row r="1498">
          <cell r="A1498" t="str">
            <v>IS_alqt_minus</v>
          </cell>
          <cell r="K1498" t="str">
            <v>CMED</v>
          </cell>
          <cell r="M1498" t="str">
            <v>M</v>
          </cell>
          <cell r="AC1498">
            <v>0.2</v>
          </cell>
        </row>
        <row r="1499">
          <cell r="A1499" t="str">
            <v>IS_alqt_minus</v>
          </cell>
          <cell r="K1499" t="str">
            <v>CMED</v>
          </cell>
          <cell r="M1499" t="str">
            <v>M</v>
          </cell>
          <cell r="AC1499">
            <v>0.2</v>
          </cell>
        </row>
        <row r="1500">
          <cell r="A1500" t="str">
            <v>IS_alqt_plus</v>
          </cell>
          <cell r="K1500" t="str">
            <v>LCAT</v>
          </cell>
          <cell r="M1500" t="str">
            <v>F</v>
          </cell>
          <cell r="AC1500">
            <v>0.5</v>
          </cell>
        </row>
        <row r="1501">
          <cell r="A1501" t="str">
            <v>IS_alqt_plus</v>
          </cell>
          <cell r="K1501" t="str">
            <v>MMUR</v>
          </cell>
          <cell r="M1501" t="str">
            <v>F</v>
          </cell>
          <cell r="AC1501">
            <v>0.5</v>
          </cell>
        </row>
        <row r="1502">
          <cell r="A1502" t="str">
            <v>IS_alqt_plus</v>
          </cell>
          <cell r="K1502" t="str">
            <v>MMUR</v>
          </cell>
          <cell r="M1502" t="str">
            <v>M</v>
          </cell>
          <cell r="AC1502">
            <v>0.6</v>
          </cell>
        </row>
        <row r="1503">
          <cell r="A1503" t="str">
            <v>IS_alqt_plus</v>
          </cell>
          <cell r="K1503" t="str">
            <v>PCOQ</v>
          </cell>
          <cell r="M1503" t="str">
            <v>F</v>
          </cell>
          <cell r="AC1503">
            <v>1</v>
          </cell>
        </row>
        <row r="1504">
          <cell r="A1504" t="str">
            <v>IS_alqt_plus</v>
          </cell>
          <cell r="K1504" t="str">
            <v>PCOQ</v>
          </cell>
          <cell r="M1504" t="str">
            <v>F</v>
          </cell>
          <cell r="AC1504">
            <v>1.5</v>
          </cell>
        </row>
        <row r="1505">
          <cell r="A1505" t="str">
            <v>IS_alqt_plus</v>
          </cell>
          <cell r="K1505" t="str">
            <v>PCOQ</v>
          </cell>
          <cell r="M1505" t="str">
            <v>F</v>
          </cell>
          <cell r="AC1505">
            <v>1.5</v>
          </cell>
        </row>
        <row r="1506">
          <cell r="A1506" t="str">
            <v>IS_alqt_plus</v>
          </cell>
          <cell r="K1506" t="str">
            <v>PCOQ</v>
          </cell>
          <cell r="M1506" t="str">
            <v>F</v>
          </cell>
          <cell r="AC1506">
            <v>1.5</v>
          </cell>
        </row>
        <row r="1507">
          <cell r="A1507" t="str">
            <v>IS_alqt_plus</v>
          </cell>
          <cell r="K1507" t="str">
            <v>PCOQ</v>
          </cell>
          <cell r="M1507" t="str">
            <v>F</v>
          </cell>
          <cell r="AC1507">
            <v>1.5</v>
          </cell>
        </row>
        <row r="1508">
          <cell r="A1508" t="str">
            <v>IS_alqt_plus</v>
          </cell>
          <cell r="K1508" t="str">
            <v>PCOQ</v>
          </cell>
          <cell r="M1508" t="str">
            <v>F</v>
          </cell>
          <cell r="AC1508">
            <v>1.5</v>
          </cell>
        </row>
        <row r="1509">
          <cell r="A1509" t="str">
            <v>IS_alqt_plus</v>
          </cell>
          <cell r="K1509" t="str">
            <v>PCOQ</v>
          </cell>
          <cell r="M1509" t="str">
            <v>F</v>
          </cell>
          <cell r="AC1509">
            <v>1</v>
          </cell>
        </row>
        <row r="1510">
          <cell r="A1510" t="str">
            <v>IS_alqt_plus</v>
          </cell>
          <cell r="K1510" t="str">
            <v>MMUR</v>
          </cell>
          <cell r="M1510" t="str">
            <v>M</v>
          </cell>
          <cell r="AC1510">
            <v>1</v>
          </cell>
        </row>
        <row r="1511">
          <cell r="A1511" t="str">
            <v>IS_alqt_plus</v>
          </cell>
          <cell r="K1511" t="str">
            <v>MMUR</v>
          </cell>
          <cell r="M1511" t="str">
            <v>F</v>
          </cell>
          <cell r="AC1511">
            <v>0.5</v>
          </cell>
        </row>
        <row r="1512">
          <cell r="A1512" t="str">
            <v>gone</v>
          </cell>
          <cell r="K1512" t="str">
            <v>MMUR</v>
          </cell>
          <cell r="M1512" t="str">
            <v>F</v>
          </cell>
          <cell r="AC1512">
            <v>0</v>
          </cell>
        </row>
        <row r="1513">
          <cell r="A1513" t="str">
            <v>IS_alqt_plus</v>
          </cell>
          <cell r="K1513" t="str">
            <v>PCOQ</v>
          </cell>
          <cell r="M1513" t="str">
            <v>M</v>
          </cell>
          <cell r="AC1513">
            <v>1.5</v>
          </cell>
        </row>
        <row r="1514">
          <cell r="A1514" t="str">
            <v>IS_alqt_plus</v>
          </cell>
          <cell r="K1514" t="str">
            <v>PCOQ</v>
          </cell>
          <cell r="M1514" t="str">
            <v>M</v>
          </cell>
          <cell r="AC1514">
            <v>1.5</v>
          </cell>
        </row>
        <row r="1515">
          <cell r="A1515" t="str">
            <v>IS_alqt_plus</v>
          </cell>
          <cell r="K1515" t="str">
            <v>PCOQ</v>
          </cell>
          <cell r="M1515" t="str">
            <v>M</v>
          </cell>
          <cell r="AC1515">
            <v>1.5</v>
          </cell>
        </row>
        <row r="1516">
          <cell r="A1516" t="str">
            <v>IS_alqt_plus</v>
          </cell>
          <cell r="K1516" t="str">
            <v>PCOQ</v>
          </cell>
          <cell r="M1516" t="str">
            <v>M</v>
          </cell>
          <cell r="AC1516">
            <v>1.5</v>
          </cell>
        </row>
        <row r="1517">
          <cell r="A1517" t="str">
            <v>gone</v>
          </cell>
          <cell r="K1517" t="str">
            <v>MMUR</v>
          </cell>
          <cell r="M1517" t="str">
            <v>F</v>
          </cell>
          <cell r="AC1517">
            <v>0</v>
          </cell>
        </row>
        <row r="1518">
          <cell r="A1518" t="str">
            <v>gone</v>
          </cell>
          <cell r="K1518" t="str">
            <v>MMUR</v>
          </cell>
          <cell r="M1518" t="str">
            <v>F</v>
          </cell>
          <cell r="AC1518">
            <v>0</v>
          </cell>
        </row>
        <row r="1519">
          <cell r="A1519" t="str">
            <v>IS_alqt_plus</v>
          </cell>
          <cell r="K1519" t="str">
            <v>MMUR</v>
          </cell>
          <cell r="M1519" t="str">
            <v>F</v>
          </cell>
          <cell r="AC1519">
            <v>0.6</v>
          </cell>
        </row>
        <row r="1520">
          <cell r="A1520" t="str">
            <v>IS_alqt_plus</v>
          </cell>
          <cell r="K1520" t="str">
            <v>PCOQ</v>
          </cell>
          <cell r="M1520" t="str">
            <v>F</v>
          </cell>
          <cell r="AC1520">
            <v>1.5</v>
          </cell>
        </row>
        <row r="1521">
          <cell r="A1521" t="str">
            <v>IS_alqt_plus</v>
          </cell>
          <cell r="K1521" t="str">
            <v>PCOQ</v>
          </cell>
          <cell r="M1521" t="str">
            <v>F</v>
          </cell>
          <cell r="AC1521">
            <v>1.25</v>
          </cell>
        </row>
        <row r="1522">
          <cell r="A1522" t="str">
            <v>IS_alqt_plus</v>
          </cell>
          <cell r="K1522" t="str">
            <v>PCOQ</v>
          </cell>
          <cell r="M1522" t="str">
            <v>F</v>
          </cell>
          <cell r="AC1522">
            <v>1.5</v>
          </cell>
        </row>
        <row r="1523">
          <cell r="A1523" t="str">
            <v>IS_alqt_minus</v>
          </cell>
          <cell r="K1523" t="str">
            <v>MMUR</v>
          </cell>
          <cell r="M1523" t="str">
            <v>F</v>
          </cell>
          <cell r="AC1523">
            <v>0.2</v>
          </cell>
        </row>
        <row r="1524">
          <cell r="A1524" t="str">
            <v>IS_alqt_plus</v>
          </cell>
          <cell r="K1524" t="str">
            <v>EFLA</v>
          </cell>
          <cell r="M1524" t="str">
            <v>F</v>
          </cell>
          <cell r="AC1524">
            <v>1.5</v>
          </cell>
        </row>
        <row r="1525">
          <cell r="A1525" t="str">
            <v>IS_alqt_plus</v>
          </cell>
          <cell r="K1525" t="str">
            <v>EFLA</v>
          </cell>
          <cell r="M1525" t="str">
            <v>M</v>
          </cell>
          <cell r="AC1525">
            <v>1.3</v>
          </cell>
        </row>
        <row r="1526">
          <cell r="A1526" t="str">
            <v>IS_alqt_plus</v>
          </cell>
          <cell r="K1526" t="str">
            <v>EFLA</v>
          </cell>
          <cell r="M1526" t="str">
            <v>M</v>
          </cell>
          <cell r="AC1526">
            <v>1.5</v>
          </cell>
        </row>
        <row r="1527">
          <cell r="A1527" t="str">
            <v>IS_alqt_plus</v>
          </cell>
          <cell r="K1527" t="str">
            <v>DMAD</v>
          </cell>
          <cell r="M1527" t="str">
            <v>F</v>
          </cell>
          <cell r="AC1527">
            <v>1</v>
          </cell>
        </row>
        <row r="1528">
          <cell r="A1528" t="str">
            <v>IS_alqt_plus</v>
          </cell>
          <cell r="K1528" t="str">
            <v>DMAD</v>
          </cell>
          <cell r="M1528" t="str">
            <v>F</v>
          </cell>
          <cell r="AC1528">
            <v>1.5</v>
          </cell>
        </row>
        <row r="1529">
          <cell r="A1529" t="str">
            <v>IS_alqt_plus</v>
          </cell>
          <cell r="K1529" t="str">
            <v>DMAD</v>
          </cell>
          <cell r="M1529" t="str">
            <v>F</v>
          </cell>
          <cell r="AC1529">
            <v>1.25</v>
          </cell>
        </row>
        <row r="1530">
          <cell r="A1530" t="str">
            <v>IS_alqt_plus</v>
          </cell>
          <cell r="K1530" t="str">
            <v>PCOQ</v>
          </cell>
          <cell r="M1530" t="str">
            <v>M</v>
          </cell>
          <cell r="AC1530">
            <v>1.5</v>
          </cell>
        </row>
        <row r="1531">
          <cell r="A1531" t="str">
            <v>IS_alqt_plus</v>
          </cell>
          <cell r="K1531" t="str">
            <v>PCOQ</v>
          </cell>
          <cell r="M1531" t="str">
            <v>M</v>
          </cell>
          <cell r="AC1531">
            <v>1.5</v>
          </cell>
        </row>
        <row r="1532">
          <cell r="A1532" t="str">
            <v>IS_alqt_plus</v>
          </cell>
          <cell r="K1532" t="str">
            <v>PCOQ</v>
          </cell>
          <cell r="M1532" t="str">
            <v>M</v>
          </cell>
          <cell r="AC1532">
            <v>1.5</v>
          </cell>
        </row>
        <row r="1533">
          <cell r="A1533" t="str">
            <v>IS_alqt_plus</v>
          </cell>
          <cell r="K1533" t="str">
            <v>PCOQ</v>
          </cell>
          <cell r="M1533" t="str">
            <v>M</v>
          </cell>
          <cell r="AC1533">
            <v>1.5</v>
          </cell>
        </row>
        <row r="1534">
          <cell r="A1534" t="str">
            <v>IS_alqt_plus</v>
          </cell>
          <cell r="K1534" t="str">
            <v>PCOQ</v>
          </cell>
          <cell r="M1534" t="str">
            <v>M</v>
          </cell>
          <cell r="AC1534">
            <v>1</v>
          </cell>
        </row>
        <row r="1535">
          <cell r="A1535" t="str">
            <v>IS_alqt_plus</v>
          </cell>
          <cell r="K1535" t="str">
            <v>PCOQ</v>
          </cell>
          <cell r="M1535" t="str">
            <v>M</v>
          </cell>
          <cell r="AC1535">
            <v>1.5</v>
          </cell>
        </row>
        <row r="1536">
          <cell r="A1536" t="str">
            <v>IS_alqt_plus</v>
          </cell>
          <cell r="K1536" t="str">
            <v>PCOQ</v>
          </cell>
          <cell r="M1536" t="str">
            <v>M</v>
          </cell>
          <cell r="AC1536">
            <v>1</v>
          </cell>
        </row>
        <row r="1537">
          <cell r="A1537" t="str">
            <v>IS_alqt_plus</v>
          </cell>
          <cell r="K1537" t="str">
            <v>PCOQ</v>
          </cell>
          <cell r="M1537" t="str">
            <v>M</v>
          </cell>
          <cell r="AC1537">
            <v>1.5</v>
          </cell>
        </row>
        <row r="1538">
          <cell r="A1538" t="str">
            <v>IS_alqt_plus</v>
          </cell>
          <cell r="K1538" t="str">
            <v>PCOQ</v>
          </cell>
          <cell r="M1538" t="str">
            <v>M</v>
          </cell>
          <cell r="AC1538">
            <v>1.5</v>
          </cell>
        </row>
        <row r="1539">
          <cell r="A1539" t="str">
            <v>IS_alqt_plus</v>
          </cell>
          <cell r="K1539" t="str">
            <v>PCOQ</v>
          </cell>
          <cell r="M1539" t="str">
            <v>M</v>
          </cell>
          <cell r="AC1539">
            <v>1.5</v>
          </cell>
        </row>
        <row r="1540">
          <cell r="A1540" t="str">
            <v>IS_alqt_plus</v>
          </cell>
          <cell r="K1540" t="str">
            <v>PCOQ</v>
          </cell>
          <cell r="M1540" t="str">
            <v>M</v>
          </cell>
          <cell r="AC1540">
            <v>1.5</v>
          </cell>
        </row>
        <row r="1541">
          <cell r="A1541" t="str">
            <v>IS_alqt_plus</v>
          </cell>
          <cell r="K1541" t="str">
            <v>PCOQ</v>
          </cell>
          <cell r="M1541" t="str">
            <v>M</v>
          </cell>
          <cell r="AC1541">
            <v>1.5</v>
          </cell>
        </row>
        <row r="1542">
          <cell r="A1542" t="str">
            <v>IS_alqt_plus</v>
          </cell>
          <cell r="K1542" t="str">
            <v>PCOQ</v>
          </cell>
          <cell r="M1542" t="str">
            <v>M</v>
          </cell>
          <cell r="AC1542">
            <v>1.5</v>
          </cell>
        </row>
        <row r="1543">
          <cell r="A1543" t="str">
            <v>IS_alqt_plus</v>
          </cell>
          <cell r="K1543" t="str">
            <v>PCOQ</v>
          </cell>
          <cell r="M1543" t="str">
            <v>F</v>
          </cell>
          <cell r="AC1543">
            <v>0.5</v>
          </cell>
        </row>
        <row r="1544">
          <cell r="A1544" t="str">
            <v>IS_alqt_minus</v>
          </cell>
          <cell r="K1544" t="str">
            <v>MMUR</v>
          </cell>
          <cell r="M1544" t="str">
            <v>F</v>
          </cell>
          <cell r="AC1544">
            <v>0.25</v>
          </cell>
        </row>
        <row r="1545">
          <cell r="A1545" t="str">
            <v>IS_alqt_minus</v>
          </cell>
          <cell r="K1545" t="str">
            <v>MMUR</v>
          </cell>
          <cell r="M1545" t="str">
            <v>F</v>
          </cell>
          <cell r="AC1545">
            <v>0.1</v>
          </cell>
        </row>
        <row r="1546">
          <cell r="A1546" t="str">
            <v>IS_alqt_minus</v>
          </cell>
          <cell r="K1546" t="str">
            <v>MMUR</v>
          </cell>
          <cell r="M1546" t="str">
            <v>F</v>
          </cell>
          <cell r="AC1546">
            <v>0.2</v>
          </cell>
        </row>
        <row r="1547">
          <cell r="A1547" t="str">
            <v>IS_alqt_minus</v>
          </cell>
          <cell r="K1547" t="str">
            <v>MMUR</v>
          </cell>
          <cell r="M1547" t="str">
            <v>F</v>
          </cell>
          <cell r="AC1547">
            <v>0.15</v>
          </cell>
        </row>
        <row r="1548">
          <cell r="A1548" t="str">
            <v>IS_alqt_plus</v>
          </cell>
          <cell r="K1548" t="str">
            <v>PCOQ</v>
          </cell>
          <cell r="M1548" t="str">
            <v>M</v>
          </cell>
          <cell r="AC1548">
            <v>1.5</v>
          </cell>
        </row>
        <row r="1549">
          <cell r="A1549" t="str">
            <v>IS_alqt_plus</v>
          </cell>
          <cell r="K1549" t="str">
            <v>PCOQ</v>
          </cell>
          <cell r="M1549" t="str">
            <v>M</v>
          </cell>
          <cell r="AC1549">
            <v>1.5</v>
          </cell>
        </row>
        <row r="1550">
          <cell r="A1550" t="str">
            <v>IS_alqt_plus</v>
          </cell>
          <cell r="K1550" t="str">
            <v>MMUR</v>
          </cell>
          <cell r="M1550" t="str">
            <v>F</v>
          </cell>
          <cell r="AC1550">
            <v>1</v>
          </cell>
        </row>
        <row r="1551">
          <cell r="A1551" t="str">
            <v>IS_alqt_plus</v>
          </cell>
          <cell r="K1551" t="str">
            <v>DMAD</v>
          </cell>
          <cell r="M1551" t="str">
            <v>F</v>
          </cell>
          <cell r="AC1551">
            <v>1.5</v>
          </cell>
        </row>
        <row r="1552">
          <cell r="A1552" t="str">
            <v>IS_alqt_plus</v>
          </cell>
          <cell r="K1552" t="str">
            <v>DMAD</v>
          </cell>
          <cell r="M1552" t="str">
            <v>F</v>
          </cell>
          <cell r="AC1552">
            <v>1</v>
          </cell>
        </row>
        <row r="1553">
          <cell r="A1553" t="str">
            <v>IS_alqt_plus</v>
          </cell>
          <cell r="K1553" t="str">
            <v>DMAD</v>
          </cell>
          <cell r="M1553" t="str">
            <v>F</v>
          </cell>
          <cell r="AC1553">
            <v>1</v>
          </cell>
        </row>
        <row r="1554">
          <cell r="A1554" t="str">
            <v>IS_alqt_plus</v>
          </cell>
          <cell r="K1554" t="str">
            <v>LCAT</v>
          </cell>
          <cell r="M1554" t="str">
            <v>F</v>
          </cell>
          <cell r="AC1554">
            <v>0.5</v>
          </cell>
        </row>
        <row r="1555">
          <cell r="A1555" t="str">
            <v>IS_alqt_plus</v>
          </cell>
          <cell r="K1555" t="str">
            <v>MMUR</v>
          </cell>
          <cell r="M1555" t="str">
            <v>F</v>
          </cell>
          <cell r="AC1555">
            <v>0.5</v>
          </cell>
        </row>
        <row r="1556">
          <cell r="A1556" t="str">
            <v>IS_alqt_minus</v>
          </cell>
          <cell r="K1556" t="str">
            <v>MMUR</v>
          </cell>
          <cell r="M1556" t="str">
            <v>F</v>
          </cell>
          <cell r="AC1556">
            <v>0.3</v>
          </cell>
        </row>
        <row r="1557">
          <cell r="A1557" t="str">
            <v>IS_alqt_plus</v>
          </cell>
          <cell r="K1557" t="str">
            <v>MMUR</v>
          </cell>
          <cell r="M1557" t="str">
            <v>F</v>
          </cell>
          <cell r="AC1557">
            <v>1</v>
          </cell>
        </row>
        <row r="1558">
          <cell r="A1558" t="str">
            <v>IS_alqt_minus</v>
          </cell>
          <cell r="K1558" t="str">
            <v>MMUR</v>
          </cell>
          <cell r="M1558" t="str">
            <v>M</v>
          </cell>
          <cell r="AC1558">
            <v>0.3</v>
          </cell>
        </row>
        <row r="1559">
          <cell r="A1559" t="str">
            <v>IS_alqt_plus</v>
          </cell>
          <cell r="K1559" t="str">
            <v>MMUR</v>
          </cell>
          <cell r="M1559" t="str">
            <v>M</v>
          </cell>
          <cell r="AC1559">
            <v>0.5</v>
          </cell>
        </row>
        <row r="1560">
          <cell r="A1560" t="str">
            <v>IS_alqt_plus</v>
          </cell>
          <cell r="K1560" t="str">
            <v>MMUR</v>
          </cell>
          <cell r="M1560" t="str">
            <v>M</v>
          </cell>
          <cell r="AC1560">
            <v>0.7</v>
          </cell>
        </row>
        <row r="1561">
          <cell r="A1561" t="str">
            <v>unk</v>
          </cell>
          <cell r="K1561" t="str">
            <v>MMUR</v>
          </cell>
          <cell r="M1561" t="str">
            <v>F</v>
          </cell>
          <cell r="AC1561">
            <v>0.53</v>
          </cell>
        </row>
        <row r="1562">
          <cell r="A1562" t="str">
            <v>IS_alqt_plus</v>
          </cell>
          <cell r="K1562" t="str">
            <v>NCOU</v>
          </cell>
          <cell r="M1562" t="str">
            <v>F</v>
          </cell>
          <cell r="AC1562">
            <v>1.5</v>
          </cell>
        </row>
        <row r="1563">
          <cell r="A1563" t="str">
            <v>IS_alqt_plus</v>
          </cell>
          <cell r="K1563" t="str">
            <v>NCOU</v>
          </cell>
          <cell r="M1563" t="str">
            <v>F</v>
          </cell>
          <cell r="AC1563">
            <v>1.5</v>
          </cell>
        </row>
        <row r="1564">
          <cell r="A1564" t="str">
            <v>IS_alqt_plus</v>
          </cell>
          <cell r="K1564" t="str">
            <v>NCOU</v>
          </cell>
          <cell r="M1564" t="str">
            <v>F</v>
          </cell>
          <cell r="AC1564">
            <v>1.5</v>
          </cell>
        </row>
        <row r="1565">
          <cell r="A1565" t="str">
            <v>IS_alqt_plus</v>
          </cell>
          <cell r="K1565" t="str">
            <v>NCOU</v>
          </cell>
          <cell r="M1565" t="str">
            <v>F</v>
          </cell>
          <cell r="AC1565">
            <v>1.5</v>
          </cell>
        </row>
        <row r="1566">
          <cell r="A1566" t="str">
            <v>IS_alqt_plus</v>
          </cell>
          <cell r="K1566" t="str">
            <v>NCOU</v>
          </cell>
          <cell r="M1566" t="str">
            <v>F</v>
          </cell>
          <cell r="AC1566">
            <v>1.5</v>
          </cell>
        </row>
        <row r="1567">
          <cell r="A1567" t="str">
            <v>IS_alqt_plus</v>
          </cell>
          <cell r="K1567" t="str">
            <v>NCOU</v>
          </cell>
          <cell r="M1567" t="str">
            <v>F</v>
          </cell>
          <cell r="AC1567">
            <v>1.5</v>
          </cell>
        </row>
        <row r="1568">
          <cell r="A1568" t="str">
            <v>IS_alqt_plus</v>
          </cell>
          <cell r="K1568" t="str">
            <v>NCOU</v>
          </cell>
          <cell r="M1568" t="str">
            <v>F</v>
          </cell>
          <cell r="AC1568">
            <v>1.5</v>
          </cell>
        </row>
        <row r="1569">
          <cell r="A1569" t="str">
            <v>IS_alqt_plus</v>
          </cell>
          <cell r="K1569" t="str">
            <v>NCOU</v>
          </cell>
          <cell r="M1569" t="str">
            <v>F</v>
          </cell>
          <cell r="AC1569">
            <v>1.5</v>
          </cell>
        </row>
        <row r="1570">
          <cell r="A1570" t="str">
            <v>IS_alqt_plus</v>
          </cell>
          <cell r="K1570" t="str">
            <v>NCOU</v>
          </cell>
          <cell r="M1570" t="str">
            <v>F</v>
          </cell>
          <cell r="AC1570">
            <v>1.5</v>
          </cell>
        </row>
        <row r="1571">
          <cell r="A1571" t="str">
            <v>IS_alqt_plus</v>
          </cell>
          <cell r="K1571" t="str">
            <v>NCOU</v>
          </cell>
          <cell r="M1571" t="str">
            <v>F</v>
          </cell>
          <cell r="AC1571">
            <v>1.5</v>
          </cell>
        </row>
        <row r="1572">
          <cell r="A1572" t="str">
            <v>IS_alqt_plus</v>
          </cell>
          <cell r="K1572" t="str">
            <v>MMUR</v>
          </cell>
          <cell r="M1572" t="str">
            <v>M</v>
          </cell>
          <cell r="AC1572">
            <v>0.9</v>
          </cell>
        </row>
        <row r="1573">
          <cell r="A1573" t="str">
            <v>unk</v>
          </cell>
          <cell r="K1573" t="str">
            <v>NCOU</v>
          </cell>
          <cell r="M1573" t="str">
            <v>F</v>
          </cell>
          <cell r="AC1573">
            <v>8</v>
          </cell>
        </row>
        <row r="1574">
          <cell r="A1574" t="str">
            <v>unk</v>
          </cell>
          <cell r="K1574" t="str">
            <v>NCOU</v>
          </cell>
          <cell r="M1574" t="str">
            <v>F</v>
          </cell>
          <cell r="AC1574">
            <v>4</v>
          </cell>
        </row>
        <row r="1575">
          <cell r="A1575" t="str">
            <v>unk</v>
          </cell>
          <cell r="K1575" t="str">
            <v>NCOU</v>
          </cell>
          <cell r="M1575" t="str">
            <v>F</v>
          </cell>
          <cell r="AC1575">
            <v>9</v>
          </cell>
        </row>
        <row r="1576">
          <cell r="A1576" t="str">
            <v>unk</v>
          </cell>
          <cell r="K1576" t="str">
            <v>NCOU</v>
          </cell>
          <cell r="M1576" t="str">
            <v>F</v>
          </cell>
          <cell r="AC1576">
            <v>8</v>
          </cell>
        </row>
        <row r="1577">
          <cell r="A1577" t="str">
            <v>IS_alqt_plus</v>
          </cell>
          <cell r="K1577" t="str">
            <v>LCAT</v>
          </cell>
          <cell r="M1577" t="str">
            <v>F</v>
          </cell>
          <cell r="AC1577">
            <v>0.5</v>
          </cell>
        </row>
        <row r="1578">
          <cell r="A1578" t="str">
            <v>IS_alqt_plus</v>
          </cell>
          <cell r="K1578" t="str">
            <v>LCAT</v>
          </cell>
          <cell r="M1578" t="str">
            <v>F</v>
          </cell>
          <cell r="AC1578">
            <v>0.5</v>
          </cell>
        </row>
        <row r="1579">
          <cell r="A1579" t="str">
            <v>IS_alqt_plus</v>
          </cell>
          <cell r="K1579" t="str">
            <v>LCAT</v>
          </cell>
          <cell r="M1579" t="str">
            <v>F</v>
          </cell>
          <cell r="AC1579">
            <v>0.5</v>
          </cell>
        </row>
        <row r="1580">
          <cell r="A1580" t="str">
            <v>IS_alqt_plus</v>
          </cell>
          <cell r="K1580" t="str">
            <v>MMUR</v>
          </cell>
          <cell r="M1580" t="str">
            <v>M</v>
          </cell>
          <cell r="AC1580">
            <v>0.5</v>
          </cell>
        </row>
        <row r="1581">
          <cell r="A1581" t="str">
            <v>IS_alqt_minus</v>
          </cell>
          <cell r="K1581" t="str">
            <v>MMUR</v>
          </cell>
          <cell r="M1581" t="str">
            <v>M</v>
          </cell>
          <cell r="AC1581">
            <v>0.3</v>
          </cell>
        </row>
        <row r="1582">
          <cell r="A1582" t="str">
            <v>IS_alqt_plus</v>
          </cell>
          <cell r="K1582" t="str">
            <v>MMUR</v>
          </cell>
          <cell r="M1582" t="str">
            <v>F</v>
          </cell>
          <cell r="AC1582">
            <v>0.75</v>
          </cell>
        </row>
        <row r="1583">
          <cell r="A1583" t="str">
            <v>IS_alqt_minus</v>
          </cell>
          <cell r="K1583" t="str">
            <v>MMUR</v>
          </cell>
          <cell r="M1583" t="str">
            <v>F</v>
          </cell>
          <cell r="AC1583">
            <v>0.25</v>
          </cell>
        </row>
        <row r="1584">
          <cell r="A1584" t="str">
            <v>IS_alqt_plus</v>
          </cell>
          <cell r="K1584" t="str">
            <v>LCAT</v>
          </cell>
          <cell r="M1584" t="str">
            <v>F</v>
          </cell>
          <cell r="AC1584">
            <v>0.5</v>
          </cell>
        </row>
        <row r="1585">
          <cell r="A1585" t="str">
            <v>IS_alqt_plus</v>
          </cell>
          <cell r="K1585" t="str">
            <v>LCAT</v>
          </cell>
          <cell r="M1585" t="str">
            <v>F</v>
          </cell>
          <cell r="AC1585">
            <v>0.5</v>
          </cell>
        </row>
        <row r="1586">
          <cell r="A1586" t="str">
            <v>IS_alqt_plus</v>
          </cell>
          <cell r="K1586" t="str">
            <v>EMON</v>
          </cell>
          <cell r="M1586" t="str">
            <v>M</v>
          </cell>
          <cell r="AC1586">
            <v>1.5</v>
          </cell>
        </row>
        <row r="1587">
          <cell r="A1587" t="str">
            <v>IS_alqt_plus</v>
          </cell>
          <cell r="K1587" t="str">
            <v>EMON</v>
          </cell>
          <cell r="M1587" t="str">
            <v>M</v>
          </cell>
          <cell r="AC1587">
            <v>1.5</v>
          </cell>
        </row>
        <row r="1588">
          <cell r="A1588" t="str">
            <v>IS_alqt_plus</v>
          </cell>
          <cell r="K1588" t="str">
            <v>LCAT</v>
          </cell>
          <cell r="M1588" t="str">
            <v>M</v>
          </cell>
          <cell r="AC1588">
            <v>1</v>
          </cell>
        </row>
        <row r="1589">
          <cell r="A1589" t="str">
            <v>IS_alqt_plus</v>
          </cell>
          <cell r="K1589" t="str">
            <v>MMUR</v>
          </cell>
          <cell r="M1589" t="str">
            <v>F</v>
          </cell>
          <cell r="AC1589">
            <v>0.5</v>
          </cell>
        </row>
        <row r="1590">
          <cell r="A1590" t="str">
            <v>IS_alqt_plus</v>
          </cell>
          <cell r="K1590" t="str">
            <v>MMUR</v>
          </cell>
          <cell r="M1590" t="str">
            <v>M</v>
          </cell>
          <cell r="AC1590">
            <v>0.5</v>
          </cell>
        </row>
        <row r="1591">
          <cell r="A1591" t="str">
            <v>IS_alqt_plus</v>
          </cell>
          <cell r="K1591" t="str">
            <v>MMUR</v>
          </cell>
          <cell r="M1591" t="str">
            <v>M</v>
          </cell>
          <cell r="AC1591">
            <v>0.75</v>
          </cell>
        </row>
        <row r="1592">
          <cell r="A1592" t="str">
            <v>IS_alqt_minus</v>
          </cell>
          <cell r="K1592" t="str">
            <v>EFLA</v>
          </cell>
          <cell r="M1592" t="str">
            <v>M</v>
          </cell>
          <cell r="AC1592">
            <v>0.25</v>
          </cell>
        </row>
        <row r="1593">
          <cell r="A1593" t="str">
            <v>IS_alqt_minus</v>
          </cell>
          <cell r="K1593" t="str">
            <v>MMUR</v>
          </cell>
          <cell r="M1593" t="str">
            <v>F</v>
          </cell>
          <cell r="AC1593">
            <v>0.1</v>
          </cell>
        </row>
        <row r="1594">
          <cell r="A1594" t="str">
            <v>IS_alqt_minus</v>
          </cell>
          <cell r="K1594" t="str">
            <v>MMUR</v>
          </cell>
          <cell r="M1594" t="str">
            <v>F</v>
          </cell>
          <cell r="AC1594">
            <v>0.4</v>
          </cell>
        </row>
        <row r="1595">
          <cell r="A1595" t="str">
            <v>IS_alqt_minus</v>
          </cell>
          <cell r="K1595" t="str">
            <v>MMUR</v>
          </cell>
          <cell r="M1595" t="str">
            <v>F</v>
          </cell>
          <cell r="AC1595">
            <v>0.1</v>
          </cell>
        </row>
        <row r="1596">
          <cell r="A1596" t="str">
            <v>IS_alqt_plus</v>
          </cell>
          <cell r="K1596" t="str">
            <v>MMUR</v>
          </cell>
          <cell r="M1596" t="str">
            <v>F</v>
          </cell>
          <cell r="AC1596">
            <v>0.5</v>
          </cell>
        </row>
        <row r="1597">
          <cell r="A1597" t="str">
            <v>IS_alqt_plus</v>
          </cell>
          <cell r="K1597" t="str">
            <v>PCOQ</v>
          </cell>
          <cell r="M1597" t="str">
            <v>F</v>
          </cell>
          <cell r="AC1597">
            <v>1.5</v>
          </cell>
        </row>
        <row r="1598">
          <cell r="A1598" t="str">
            <v>IS_alqt_plus</v>
          </cell>
          <cell r="K1598" t="str">
            <v>PCOQ</v>
          </cell>
          <cell r="M1598" t="str">
            <v>F</v>
          </cell>
          <cell r="AC1598">
            <v>1.5</v>
          </cell>
        </row>
        <row r="1599">
          <cell r="A1599" t="str">
            <v>IS_alqt_plus</v>
          </cell>
          <cell r="K1599" t="str">
            <v>EFLA</v>
          </cell>
          <cell r="M1599" t="str">
            <v>M</v>
          </cell>
          <cell r="AC1599">
            <v>0.55000000000000004</v>
          </cell>
        </row>
        <row r="1600">
          <cell r="A1600" t="str">
            <v>IS_alqt_plus</v>
          </cell>
          <cell r="K1600" t="str">
            <v>EFLA</v>
          </cell>
          <cell r="M1600" t="str">
            <v>M</v>
          </cell>
          <cell r="AC1600">
            <v>0.5</v>
          </cell>
        </row>
        <row r="1601">
          <cell r="A1601" t="str">
            <v>IS_alqt_minus</v>
          </cell>
          <cell r="K1601" t="str">
            <v>EFLA</v>
          </cell>
          <cell r="M1601" t="str">
            <v>M</v>
          </cell>
          <cell r="AC1601">
            <v>0.25</v>
          </cell>
        </row>
        <row r="1602">
          <cell r="A1602" t="str">
            <v>IS_alqt_plus</v>
          </cell>
          <cell r="K1602" t="str">
            <v>EFLA</v>
          </cell>
          <cell r="M1602" t="str">
            <v>M</v>
          </cell>
          <cell r="AC1602">
            <v>1.5</v>
          </cell>
        </row>
        <row r="1603">
          <cell r="A1603" t="str">
            <v>IS_alqt_plus</v>
          </cell>
          <cell r="K1603" t="str">
            <v>EFLA</v>
          </cell>
          <cell r="M1603" t="str">
            <v>M</v>
          </cell>
          <cell r="AC1603">
            <v>1</v>
          </cell>
        </row>
        <row r="1604">
          <cell r="A1604" t="str">
            <v>IS_alqt_minus</v>
          </cell>
          <cell r="K1604" t="str">
            <v>EFLA</v>
          </cell>
          <cell r="M1604" t="str">
            <v>M</v>
          </cell>
          <cell r="AC1604">
            <v>0.25</v>
          </cell>
        </row>
        <row r="1605">
          <cell r="A1605" t="str">
            <v>IS_alqt_plus</v>
          </cell>
          <cell r="K1605" t="str">
            <v>EFLA</v>
          </cell>
          <cell r="M1605" t="str">
            <v>M</v>
          </cell>
          <cell r="AC1605">
            <v>1.5</v>
          </cell>
        </row>
        <row r="1606">
          <cell r="A1606" t="str">
            <v>IS_alqt_minus</v>
          </cell>
          <cell r="K1606" t="str">
            <v>EFLA</v>
          </cell>
          <cell r="M1606" t="str">
            <v>M</v>
          </cell>
          <cell r="AC1606">
            <v>0.25</v>
          </cell>
        </row>
        <row r="1607">
          <cell r="A1607" t="str">
            <v>IS_alqt_plus</v>
          </cell>
          <cell r="K1607" t="str">
            <v>EFLA</v>
          </cell>
          <cell r="M1607" t="str">
            <v>M</v>
          </cell>
          <cell r="AC1607">
            <v>1.5</v>
          </cell>
        </row>
        <row r="1608">
          <cell r="A1608" t="str">
            <v>IS_alqt_minus</v>
          </cell>
          <cell r="K1608" t="str">
            <v>EFLA</v>
          </cell>
          <cell r="M1608" t="str">
            <v>M</v>
          </cell>
          <cell r="AC1608">
            <v>0.2</v>
          </cell>
        </row>
        <row r="1609">
          <cell r="A1609" t="str">
            <v>IS_alqt_minus</v>
          </cell>
          <cell r="K1609" t="str">
            <v>EFLA</v>
          </cell>
          <cell r="M1609" t="str">
            <v>M</v>
          </cell>
          <cell r="AC1609">
            <v>0.2</v>
          </cell>
        </row>
        <row r="1610">
          <cell r="A1610" t="str">
            <v>IS_alqt_minus</v>
          </cell>
          <cell r="K1610" t="str">
            <v>EFLA</v>
          </cell>
          <cell r="M1610" t="str">
            <v>M</v>
          </cell>
          <cell r="AC1610">
            <v>0.2</v>
          </cell>
        </row>
        <row r="1611">
          <cell r="A1611" t="str">
            <v>IS_alqt_minus</v>
          </cell>
          <cell r="K1611" t="str">
            <v>EFLA</v>
          </cell>
          <cell r="M1611" t="str">
            <v>M</v>
          </cell>
          <cell r="AC1611">
            <v>0.2</v>
          </cell>
        </row>
        <row r="1612">
          <cell r="A1612" t="str">
            <v>IS_alqt_minus</v>
          </cell>
          <cell r="K1612" t="str">
            <v>EFLA</v>
          </cell>
          <cell r="M1612" t="str">
            <v>M</v>
          </cell>
          <cell r="AC1612">
            <v>0.2</v>
          </cell>
        </row>
        <row r="1613">
          <cell r="A1613" t="str">
            <v>IS_alqt_minus</v>
          </cell>
          <cell r="K1613" t="str">
            <v>EFLA</v>
          </cell>
          <cell r="M1613" t="str">
            <v>M</v>
          </cell>
          <cell r="AC1613">
            <v>0.2</v>
          </cell>
        </row>
        <row r="1614">
          <cell r="A1614" t="str">
            <v>IS_alqt_minus</v>
          </cell>
          <cell r="K1614" t="str">
            <v>EFLA</v>
          </cell>
          <cell r="M1614" t="str">
            <v>M</v>
          </cell>
          <cell r="AC1614">
            <v>0.2</v>
          </cell>
        </row>
        <row r="1615">
          <cell r="A1615" t="str">
            <v>IS_alqt_plus</v>
          </cell>
          <cell r="K1615" t="str">
            <v>EFLA</v>
          </cell>
          <cell r="M1615" t="str">
            <v>M</v>
          </cell>
          <cell r="AC1615">
            <v>0.5</v>
          </cell>
        </row>
        <row r="1616">
          <cell r="A1616" t="str">
            <v>IS_alqt_minus</v>
          </cell>
          <cell r="K1616" t="str">
            <v>EFLA</v>
          </cell>
          <cell r="M1616" t="str">
            <v>M</v>
          </cell>
          <cell r="AC1616">
            <v>0.2</v>
          </cell>
        </row>
        <row r="1617">
          <cell r="A1617" t="str">
            <v>IS_alqt_plus</v>
          </cell>
          <cell r="K1617" t="str">
            <v>EFLA</v>
          </cell>
          <cell r="M1617" t="str">
            <v>M</v>
          </cell>
          <cell r="AC1617">
            <v>0.7</v>
          </cell>
        </row>
        <row r="1618">
          <cell r="A1618" t="str">
            <v>IS_alqt_plus</v>
          </cell>
          <cell r="K1618" t="str">
            <v>EFLA</v>
          </cell>
          <cell r="M1618" t="str">
            <v>M</v>
          </cell>
          <cell r="AC1618">
            <v>0.5</v>
          </cell>
        </row>
        <row r="1619">
          <cell r="A1619" t="str">
            <v>IS_alqt_plus</v>
          </cell>
          <cell r="K1619" t="str">
            <v>EFLA</v>
          </cell>
          <cell r="M1619" t="str">
            <v>M</v>
          </cell>
          <cell r="AC1619">
            <v>1</v>
          </cell>
        </row>
        <row r="1620">
          <cell r="A1620" t="str">
            <v>IS_alqt_minus</v>
          </cell>
          <cell r="K1620" t="str">
            <v>EFLA</v>
          </cell>
          <cell r="M1620" t="str">
            <v>M</v>
          </cell>
          <cell r="AC1620">
            <v>0.2</v>
          </cell>
        </row>
        <row r="1621">
          <cell r="A1621" t="str">
            <v>IS_alqt_minus</v>
          </cell>
          <cell r="K1621" t="str">
            <v>EFLA</v>
          </cell>
          <cell r="M1621" t="str">
            <v>M</v>
          </cell>
          <cell r="AC1621">
            <v>0.2</v>
          </cell>
        </row>
        <row r="1622">
          <cell r="A1622" t="str">
            <v>IS_alqt_minus</v>
          </cell>
          <cell r="K1622" t="str">
            <v>EFLA</v>
          </cell>
          <cell r="M1622" t="str">
            <v>M</v>
          </cell>
          <cell r="AC1622">
            <v>0.2</v>
          </cell>
        </row>
        <row r="1623">
          <cell r="A1623" t="str">
            <v>IS_alqt_plus</v>
          </cell>
          <cell r="K1623" t="str">
            <v>EFLA</v>
          </cell>
          <cell r="M1623" t="str">
            <v>M</v>
          </cell>
          <cell r="AC1623">
            <v>0.5</v>
          </cell>
        </row>
        <row r="1624">
          <cell r="A1624" t="str">
            <v>IS_alqt_minus</v>
          </cell>
          <cell r="K1624" t="str">
            <v>EFLA</v>
          </cell>
          <cell r="M1624" t="str">
            <v>M</v>
          </cell>
          <cell r="AC1624">
            <v>0.2</v>
          </cell>
        </row>
        <row r="1625">
          <cell r="A1625" t="str">
            <v>IS_alqt_plus</v>
          </cell>
          <cell r="K1625" t="str">
            <v>EFLA</v>
          </cell>
          <cell r="M1625" t="str">
            <v>M</v>
          </cell>
          <cell r="AC1625">
            <v>0.5</v>
          </cell>
        </row>
        <row r="1626">
          <cell r="A1626" t="str">
            <v>IS_alqt_plus</v>
          </cell>
          <cell r="K1626" t="str">
            <v>EFLA</v>
          </cell>
          <cell r="M1626" t="str">
            <v>M</v>
          </cell>
          <cell r="AC1626">
            <v>1</v>
          </cell>
        </row>
        <row r="1627">
          <cell r="A1627" t="str">
            <v>IS_alqt_plus</v>
          </cell>
          <cell r="K1627" t="str">
            <v>EFLA</v>
          </cell>
          <cell r="M1627" t="str">
            <v>M</v>
          </cell>
          <cell r="AC1627">
            <v>1</v>
          </cell>
        </row>
        <row r="1628">
          <cell r="A1628" t="str">
            <v>IS_alqt_plus</v>
          </cell>
          <cell r="K1628" t="str">
            <v>DMAD</v>
          </cell>
          <cell r="M1628" t="str">
            <v>F</v>
          </cell>
          <cell r="AC1628">
            <v>1.5</v>
          </cell>
        </row>
        <row r="1629">
          <cell r="A1629" t="str">
            <v>IS_alqt_plus</v>
          </cell>
          <cell r="K1629" t="str">
            <v>DMAD</v>
          </cell>
          <cell r="M1629" t="str">
            <v>F</v>
          </cell>
          <cell r="AC1629">
            <v>1</v>
          </cell>
        </row>
        <row r="1630">
          <cell r="A1630" t="str">
            <v>IS_alqt_minus</v>
          </cell>
          <cell r="K1630" t="str">
            <v>MMUR</v>
          </cell>
          <cell r="M1630" t="str">
            <v>F</v>
          </cell>
          <cell r="AC1630">
            <v>0.25</v>
          </cell>
        </row>
        <row r="1631">
          <cell r="A1631" t="str">
            <v>IS_alqt_plus</v>
          </cell>
          <cell r="K1631" t="str">
            <v>MMUR</v>
          </cell>
          <cell r="M1631" t="str">
            <v>F</v>
          </cell>
          <cell r="AC1631">
            <v>0.65</v>
          </cell>
        </row>
        <row r="1632">
          <cell r="A1632" t="str">
            <v>IS_alqt_plus</v>
          </cell>
          <cell r="K1632" t="str">
            <v>MMUR</v>
          </cell>
          <cell r="M1632" t="str">
            <v>F</v>
          </cell>
          <cell r="AC1632">
            <v>0.5</v>
          </cell>
        </row>
        <row r="1633">
          <cell r="A1633" t="str">
            <v>IS_alqt_plus</v>
          </cell>
          <cell r="K1633" t="str">
            <v>MMUR</v>
          </cell>
          <cell r="M1633" t="str">
            <v>F</v>
          </cell>
          <cell r="AC1633">
            <v>0.75</v>
          </cell>
        </row>
        <row r="1634">
          <cell r="A1634" t="str">
            <v>IS_alqt_plus</v>
          </cell>
          <cell r="K1634" t="str">
            <v>EFLA</v>
          </cell>
          <cell r="M1634" t="str">
            <v>F</v>
          </cell>
          <cell r="AC1634">
            <v>1.5</v>
          </cell>
        </row>
        <row r="1635">
          <cell r="A1635" t="str">
            <v>IS_alqt_plus</v>
          </cell>
          <cell r="K1635" t="str">
            <v>GMOH</v>
          </cell>
          <cell r="M1635" t="str">
            <v>F</v>
          </cell>
          <cell r="AC1635">
            <v>0.5</v>
          </cell>
        </row>
        <row r="1636">
          <cell r="A1636" t="str">
            <v>IS_alqt_plus</v>
          </cell>
          <cell r="K1636" t="str">
            <v>GMOH</v>
          </cell>
          <cell r="M1636" t="str">
            <v>F</v>
          </cell>
          <cell r="AC1636">
            <v>1</v>
          </cell>
        </row>
        <row r="1637">
          <cell r="A1637" t="str">
            <v>IS_alqt_plus</v>
          </cell>
          <cell r="K1637" t="str">
            <v>LCAT</v>
          </cell>
          <cell r="M1637" t="str">
            <v>F</v>
          </cell>
          <cell r="AC1637">
            <v>0.5</v>
          </cell>
        </row>
        <row r="1638">
          <cell r="A1638" t="str">
            <v>IS_alqt_plus</v>
          </cell>
          <cell r="K1638" t="str">
            <v>LCAT</v>
          </cell>
          <cell r="M1638" t="str">
            <v>F</v>
          </cell>
          <cell r="AC1638">
            <v>0.5</v>
          </cell>
        </row>
        <row r="1639">
          <cell r="A1639" t="str">
            <v>IS_alqt_minus</v>
          </cell>
          <cell r="K1639" t="str">
            <v>MMUR</v>
          </cell>
          <cell r="M1639" t="str">
            <v>M</v>
          </cell>
          <cell r="AC1639">
            <v>0.1</v>
          </cell>
        </row>
        <row r="1640">
          <cell r="A1640" t="str">
            <v>IS_alqt_plus</v>
          </cell>
          <cell r="K1640" t="str">
            <v>LCAT</v>
          </cell>
          <cell r="M1640" t="str">
            <v>F</v>
          </cell>
          <cell r="AC1640">
            <v>0.5</v>
          </cell>
        </row>
        <row r="1641">
          <cell r="A1641" t="str">
            <v>IS_alqt_plus</v>
          </cell>
          <cell r="K1641" t="str">
            <v>LCAT</v>
          </cell>
          <cell r="M1641" t="str">
            <v>F</v>
          </cell>
          <cell r="AC1641">
            <v>0.5</v>
          </cell>
        </row>
        <row r="1642">
          <cell r="A1642" t="str">
            <v>IS_alqt_plus</v>
          </cell>
          <cell r="K1642" t="str">
            <v>LCAT</v>
          </cell>
          <cell r="M1642" t="str">
            <v>F</v>
          </cell>
          <cell r="AC1642">
            <v>0.5</v>
          </cell>
        </row>
        <row r="1643">
          <cell r="A1643" t="str">
            <v>IS_alqt_plus</v>
          </cell>
          <cell r="K1643" t="str">
            <v>LCAT</v>
          </cell>
          <cell r="M1643" t="str">
            <v>F</v>
          </cell>
          <cell r="AC1643">
            <v>0.5</v>
          </cell>
        </row>
        <row r="1644">
          <cell r="A1644" t="str">
            <v>IS_alqt_plus</v>
          </cell>
          <cell r="K1644" t="str">
            <v>LCAT</v>
          </cell>
          <cell r="M1644" t="str">
            <v>F</v>
          </cell>
          <cell r="AC1644">
            <v>0.5</v>
          </cell>
        </row>
        <row r="1645">
          <cell r="A1645" t="str">
            <v>gone</v>
          </cell>
          <cell r="K1645" t="str">
            <v>LCAT</v>
          </cell>
          <cell r="M1645" t="str">
            <v>F</v>
          </cell>
          <cell r="AC1645">
            <v>0.5</v>
          </cell>
        </row>
        <row r="1646">
          <cell r="A1646" t="str">
            <v>gone</v>
          </cell>
          <cell r="K1646" t="str">
            <v>LCAT</v>
          </cell>
          <cell r="M1646" t="str">
            <v>F</v>
          </cell>
          <cell r="AC1646">
            <v>0.5</v>
          </cell>
        </row>
        <row r="1647">
          <cell r="A1647" t="str">
            <v>unk</v>
          </cell>
          <cell r="K1647" t="str">
            <v>LCAT</v>
          </cell>
          <cell r="M1647" t="str">
            <v>F</v>
          </cell>
          <cell r="AC1647">
            <v>0.5</v>
          </cell>
        </row>
        <row r="1648">
          <cell r="A1648" t="str">
            <v>IS_alqt_plus</v>
          </cell>
          <cell r="K1648" t="str">
            <v>LCAT</v>
          </cell>
          <cell r="M1648" t="str">
            <v>M</v>
          </cell>
          <cell r="AC1648">
            <v>1</v>
          </cell>
        </row>
        <row r="1649">
          <cell r="A1649" t="str">
            <v>gone</v>
          </cell>
          <cell r="K1649" t="str">
            <v>LCAT</v>
          </cell>
          <cell r="M1649" t="str">
            <v>M</v>
          </cell>
          <cell r="AC1649">
            <v>0</v>
          </cell>
        </row>
        <row r="1650">
          <cell r="A1650" t="str">
            <v>IS_alqt_plus</v>
          </cell>
          <cell r="K1650" t="str">
            <v>VRUB</v>
          </cell>
          <cell r="M1650" t="str">
            <v>F</v>
          </cell>
          <cell r="AC1650">
            <v>1</v>
          </cell>
        </row>
        <row r="1651">
          <cell r="A1651" t="str">
            <v>IS_alqt_plus</v>
          </cell>
          <cell r="K1651" t="str">
            <v>VRUB</v>
          </cell>
          <cell r="M1651" t="str">
            <v>F</v>
          </cell>
          <cell r="AC1651">
            <v>1</v>
          </cell>
        </row>
        <row r="1652">
          <cell r="A1652" t="str">
            <v>IS_alqt_plus</v>
          </cell>
          <cell r="K1652" t="str">
            <v>VRUB</v>
          </cell>
          <cell r="M1652" t="str">
            <v>F</v>
          </cell>
          <cell r="AC1652">
            <v>1.5</v>
          </cell>
        </row>
        <row r="1653">
          <cell r="A1653" t="str">
            <v>IS_alqt_plus</v>
          </cell>
          <cell r="K1653" t="str">
            <v>VRUB</v>
          </cell>
          <cell r="M1653" t="str">
            <v>F</v>
          </cell>
          <cell r="AC1653">
            <v>1.5</v>
          </cell>
        </row>
        <row r="1654">
          <cell r="A1654" t="str">
            <v>IS_alqt_plus</v>
          </cell>
          <cell r="K1654" t="str">
            <v>VRUB</v>
          </cell>
          <cell r="M1654" t="str">
            <v>F</v>
          </cell>
          <cell r="AC1654">
            <v>1.5</v>
          </cell>
        </row>
        <row r="1655">
          <cell r="A1655" t="str">
            <v>IS_alqt_plus</v>
          </cell>
          <cell r="K1655" t="str">
            <v>VRUB</v>
          </cell>
          <cell r="M1655" t="str">
            <v>F</v>
          </cell>
          <cell r="AC1655">
            <v>1.5</v>
          </cell>
        </row>
        <row r="1656">
          <cell r="A1656" t="str">
            <v>IS_alqt_plus</v>
          </cell>
          <cell r="K1656" t="str">
            <v>VRUB</v>
          </cell>
          <cell r="M1656" t="str">
            <v>F</v>
          </cell>
          <cell r="AC1656">
            <v>1.5</v>
          </cell>
        </row>
        <row r="1657">
          <cell r="A1657" t="str">
            <v>IS_alqt_plus</v>
          </cell>
          <cell r="K1657" t="str">
            <v>VRUB</v>
          </cell>
          <cell r="M1657" t="str">
            <v>F</v>
          </cell>
          <cell r="AC1657">
            <v>1.5</v>
          </cell>
        </row>
        <row r="1658">
          <cell r="A1658" t="str">
            <v>gone</v>
          </cell>
          <cell r="K1658" t="str">
            <v>LCAT</v>
          </cell>
          <cell r="M1658" t="str">
            <v>M</v>
          </cell>
          <cell r="AC1658">
            <v>0</v>
          </cell>
        </row>
        <row r="1659">
          <cell r="A1659" t="str">
            <v>IS_alqt_plus</v>
          </cell>
          <cell r="K1659" t="str">
            <v>LCAT</v>
          </cell>
          <cell r="M1659" t="str">
            <v>F</v>
          </cell>
          <cell r="AC1659">
            <v>1.5</v>
          </cell>
        </row>
        <row r="1660">
          <cell r="A1660" t="str">
            <v>IS_alqt_plus</v>
          </cell>
          <cell r="K1660" t="str">
            <v>LCAT</v>
          </cell>
          <cell r="M1660" t="str">
            <v>F</v>
          </cell>
          <cell r="AC1660">
            <v>1.5</v>
          </cell>
        </row>
        <row r="1661">
          <cell r="A1661" t="str">
            <v>IS_alqt_plus</v>
          </cell>
          <cell r="K1661" t="str">
            <v>LCAT</v>
          </cell>
          <cell r="M1661" t="str">
            <v>F</v>
          </cell>
          <cell r="AC1661">
            <v>1.2</v>
          </cell>
        </row>
        <row r="1662">
          <cell r="A1662" t="str">
            <v>unk</v>
          </cell>
          <cell r="K1662" t="str">
            <v>LCAT</v>
          </cell>
          <cell r="M1662" t="str">
            <v>F</v>
          </cell>
          <cell r="AC1662">
            <v>1.5</v>
          </cell>
        </row>
        <row r="1663">
          <cell r="A1663" t="str">
            <v>IS_alqt_plus</v>
          </cell>
          <cell r="K1663" t="str">
            <v>LCAT</v>
          </cell>
          <cell r="M1663" t="str">
            <v>F</v>
          </cell>
          <cell r="AC1663">
            <v>0.5</v>
          </cell>
        </row>
        <row r="1664">
          <cell r="A1664" t="str">
            <v>IS_alqt_plus</v>
          </cell>
          <cell r="K1664" t="str">
            <v>LCAT</v>
          </cell>
          <cell r="M1664" t="str">
            <v>F</v>
          </cell>
          <cell r="AC1664">
            <v>0.5</v>
          </cell>
        </row>
        <row r="1665">
          <cell r="A1665" t="str">
            <v>IS_alqt_plus</v>
          </cell>
          <cell r="K1665" t="str">
            <v>LCAT</v>
          </cell>
          <cell r="M1665" t="str">
            <v>F</v>
          </cell>
          <cell r="AC1665">
            <v>0.5</v>
          </cell>
        </row>
        <row r="1666">
          <cell r="A1666" t="str">
            <v>IS_alqt_plus</v>
          </cell>
          <cell r="K1666" t="str">
            <v>LCAT</v>
          </cell>
          <cell r="M1666" t="str">
            <v>F</v>
          </cell>
          <cell r="AC1666">
            <v>1</v>
          </cell>
        </row>
        <row r="1667">
          <cell r="A1667" t="str">
            <v>gone</v>
          </cell>
          <cell r="K1667" t="str">
            <v>LCAT</v>
          </cell>
          <cell r="M1667" t="str">
            <v>F</v>
          </cell>
          <cell r="AC1667">
            <v>0</v>
          </cell>
        </row>
        <row r="1668">
          <cell r="A1668" t="str">
            <v>IS_alqt_plus</v>
          </cell>
          <cell r="K1668" t="str">
            <v>VRUB</v>
          </cell>
          <cell r="M1668" t="str">
            <v>M</v>
          </cell>
          <cell r="AC1668">
            <v>1.5</v>
          </cell>
        </row>
        <row r="1669">
          <cell r="A1669" t="str">
            <v>IS_alqt_plus</v>
          </cell>
          <cell r="K1669" t="str">
            <v>VRUB</v>
          </cell>
          <cell r="M1669" t="str">
            <v>M</v>
          </cell>
          <cell r="AC1669">
            <v>1.5</v>
          </cell>
        </row>
        <row r="1670">
          <cell r="A1670" t="str">
            <v>IS_alqt_plus</v>
          </cell>
          <cell r="K1670" t="str">
            <v>VRUB</v>
          </cell>
          <cell r="M1670" t="str">
            <v>M</v>
          </cell>
          <cell r="AC1670">
            <v>1.5</v>
          </cell>
        </row>
        <row r="1671">
          <cell r="A1671" t="str">
            <v>IS_alqt_plus</v>
          </cell>
          <cell r="K1671" t="str">
            <v>VRUB</v>
          </cell>
          <cell r="M1671" t="str">
            <v>M</v>
          </cell>
          <cell r="AC1671">
            <v>1.5</v>
          </cell>
        </row>
        <row r="1672">
          <cell r="A1672" t="str">
            <v>IS_alqt_plus</v>
          </cell>
          <cell r="K1672" t="str">
            <v>VRUB</v>
          </cell>
          <cell r="M1672" t="str">
            <v>M</v>
          </cell>
          <cell r="AC1672">
            <v>0.5</v>
          </cell>
        </row>
        <row r="1673">
          <cell r="A1673" t="str">
            <v>IS_alqt_plus</v>
          </cell>
          <cell r="K1673" t="str">
            <v>VRUB</v>
          </cell>
          <cell r="M1673" t="str">
            <v>M</v>
          </cell>
          <cell r="AC1673">
            <v>1</v>
          </cell>
        </row>
        <row r="1674">
          <cell r="A1674" t="str">
            <v>IS_alqt_plus</v>
          </cell>
          <cell r="K1674" t="str">
            <v>VRUB</v>
          </cell>
          <cell r="M1674" t="str">
            <v>M</v>
          </cell>
          <cell r="AC1674">
            <v>1</v>
          </cell>
        </row>
        <row r="1675">
          <cell r="A1675" t="str">
            <v>IS_alqt_plus</v>
          </cell>
          <cell r="K1675" t="str">
            <v>VRUB</v>
          </cell>
          <cell r="M1675" t="str">
            <v>M</v>
          </cell>
          <cell r="AC1675">
            <v>1</v>
          </cell>
        </row>
        <row r="1676">
          <cell r="A1676" t="str">
            <v>IS_alqt_plus</v>
          </cell>
          <cell r="K1676" t="str">
            <v>VRUB</v>
          </cell>
          <cell r="M1676" t="str">
            <v>M</v>
          </cell>
          <cell r="AC1676">
            <v>1</v>
          </cell>
        </row>
        <row r="1677">
          <cell r="A1677" t="str">
            <v>IS_alqt_plus</v>
          </cell>
          <cell r="K1677" t="str">
            <v>VRUB</v>
          </cell>
          <cell r="M1677" t="str">
            <v>M</v>
          </cell>
          <cell r="AC1677">
            <v>1</v>
          </cell>
        </row>
        <row r="1678">
          <cell r="A1678" t="str">
            <v>IS_alqt_plus</v>
          </cell>
          <cell r="K1678" t="str">
            <v>ECOR</v>
          </cell>
          <cell r="M1678" t="str">
            <v>M</v>
          </cell>
          <cell r="AC1678">
            <v>1</v>
          </cell>
        </row>
        <row r="1679">
          <cell r="A1679" t="str">
            <v>IS_alqt_plus</v>
          </cell>
          <cell r="K1679" t="str">
            <v>ECOR</v>
          </cell>
          <cell r="M1679" t="str">
            <v>M</v>
          </cell>
          <cell r="AC1679">
            <v>0.8</v>
          </cell>
        </row>
        <row r="1680">
          <cell r="A1680" t="str">
            <v>IS_alqt_plus</v>
          </cell>
          <cell r="K1680" t="str">
            <v>ECOR</v>
          </cell>
          <cell r="M1680" t="str">
            <v>M</v>
          </cell>
          <cell r="AC1680">
            <v>1</v>
          </cell>
        </row>
        <row r="1681">
          <cell r="A1681" t="str">
            <v>unk</v>
          </cell>
          <cell r="K1681" t="str">
            <v>ECOR</v>
          </cell>
          <cell r="M1681" t="str">
            <v>M</v>
          </cell>
          <cell r="AC1681">
            <v>1</v>
          </cell>
        </row>
        <row r="1682">
          <cell r="A1682" t="str">
            <v>unk</v>
          </cell>
          <cell r="K1682" t="str">
            <v>ECOR</v>
          </cell>
          <cell r="M1682" t="str">
            <v>M</v>
          </cell>
          <cell r="AC1682">
            <v>1</v>
          </cell>
        </row>
        <row r="1683">
          <cell r="A1683" t="str">
            <v>unk</v>
          </cell>
          <cell r="K1683" t="str">
            <v>ECOR</v>
          </cell>
          <cell r="M1683" t="str">
            <v>M</v>
          </cell>
          <cell r="AC1683">
            <v>1</v>
          </cell>
        </row>
        <row r="1684">
          <cell r="A1684" t="str">
            <v>unk</v>
          </cell>
          <cell r="K1684" t="str">
            <v>ECOR</v>
          </cell>
          <cell r="M1684" t="str">
            <v>M</v>
          </cell>
          <cell r="AC1684">
            <v>1</v>
          </cell>
        </row>
        <row r="1685">
          <cell r="A1685" t="str">
            <v>unk</v>
          </cell>
          <cell r="K1685" t="str">
            <v>ECOR</v>
          </cell>
          <cell r="M1685" t="str">
            <v>M</v>
          </cell>
          <cell r="AC1685">
            <v>1</v>
          </cell>
        </row>
        <row r="1686">
          <cell r="A1686" t="str">
            <v>IS_alqt_plus</v>
          </cell>
          <cell r="K1686" t="str">
            <v>PCOQ</v>
          </cell>
          <cell r="M1686" t="str">
            <v>F</v>
          </cell>
          <cell r="AC1686">
            <v>0.5</v>
          </cell>
        </row>
        <row r="1687">
          <cell r="A1687" t="str">
            <v>IS_alqt_plus</v>
          </cell>
          <cell r="K1687" t="str">
            <v>PCOQ</v>
          </cell>
          <cell r="M1687" t="str">
            <v>F</v>
          </cell>
          <cell r="AC1687">
            <v>0.5</v>
          </cell>
        </row>
        <row r="1688">
          <cell r="A1688" t="str">
            <v>IS_alqt_plus</v>
          </cell>
          <cell r="K1688" t="str">
            <v>PCOQ</v>
          </cell>
          <cell r="M1688" t="str">
            <v>F</v>
          </cell>
          <cell r="AC1688">
            <v>0.5</v>
          </cell>
        </row>
        <row r="1689">
          <cell r="A1689" t="str">
            <v>IS_alqt_plus</v>
          </cell>
          <cell r="K1689" t="str">
            <v>PCOQ</v>
          </cell>
          <cell r="M1689" t="str">
            <v>F</v>
          </cell>
          <cell r="AC1689">
            <v>0.5</v>
          </cell>
        </row>
        <row r="1690">
          <cell r="A1690" t="str">
            <v>IS_alqt_plus</v>
          </cell>
          <cell r="K1690" t="str">
            <v>PCOQ</v>
          </cell>
          <cell r="M1690" t="str">
            <v>F</v>
          </cell>
          <cell r="AC1690">
            <v>0.5</v>
          </cell>
        </row>
        <row r="1691">
          <cell r="A1691" t="str">
            <v>IS_alqt_plus</v>
          </cell>
          <cell r="K1691" t="str">
            <v>PCOQ</v>
          </cell>
          <cell r="M1691" t="str">
            <v>F</v>
          </cell>
          <cell r="AC1691">
            <v>0.5</v>
          </cell>
        </row>
        <row r="1692">
          <cell r="A1692" t="str">
            <v>IS_alqt_plus</v>
          </cell>
          <cell r="K1692" t="str">
            <v>PCOQ</v>
          </cell>
          <cell r="M1692" t="str">
            <v>F</v>
          </cell>
          <cell r="AC1692">
            <v>0.5</v>
          </cell>
        </row>
        <row r="1693">
          <cell r="A1693" t="str">
            <v>IS_alqt_plus</v>
          </cell>
          <cell r="K1693" t="str">
            <v>PCOQ</v>
          </cell>
          <cell r="M1693" t="str">
            <v>F</v>
          </cell>
          <cell r="AC1693">
            <v>0.5</v>
          </cell>
        </row>
        <row r="1694">
          <cell r="A1694" t="str">
            <v>IS_alqt_plus</v>
          </cell>
          <cell r="K1694" t="str">
            <v>PCOQ</v>
          </cell>
          <cell r="M1694" t="str">
            <v>F</v>
          </cell>
          <cell r="AC1694">
            <v>0.5</v>
          </cell>
        </row>
        <row r="1695">
          <cell r="A1695" t="str">
            <v>IS_alqt_plus</v>
          </cell>
          <cell r="K1695" t="str">
            <v>LCAT</v>
          </cell>
          <cell r="M1695" t="str">
            <v>M</v>
          </cell>
          <cell r="AC1695">
            <v>1</v>
          </cell>
        </row>
        <row r="1696">
          <cell r="A1696" t="str">
            <v>unk</v>
          </cell>
          <cell r="K1696" t="str">
            <v>PCOQ</v>
          </cell>
          <cell r="M1696" t="str">
            <v>M</v>
          </cell>
          <cell r="AC1696">
            <v>1</v>
          </cell>
        </row>
        <row r="1697">
          <cell r="A1697" t="str">
            <v>unk</v>
          </cell>
          <cell r="K1697" t="str">
            <v>PCOQ</v>
          </cell>
          <cell r="M1697" t="str">
            <v>M</v>
          </cell>
          <cell r="AC1697">
            <v>1</v>
          </cell>
        </row>
        <row r="1698">
          <cell r="A1698" t="str">
            <v>unk</v>
          </cell>
          <cell r="K1698" t="str">
            <v>PCOQ</v>
          </cell>
          <cell r="M1698" t="str">
            <v>M</v>
          </cell>
          <cell r="AC1698">
            <v>1.5</v>
          </cell>
        </row>
        <row r="1699">
          <cell r="A1699" t="str">
            <v>IS_alqt_plus</v>
          </cell>
          <cell r="K1699" t="str">
            <v>MMUR</v>
          </cell>
          <cell r="M1699" t="str">
            <v>M</v>
          </cell>
          <cell r="AC1699">
            <v>0.5</v>
          </cell>
        </row>
        <row r="1700">
          <cell r="A1700" t="str">
            <v>IS_alqt_plus</v>
          </cell>
          <cell r="K1700" t="str">
            <v>MMUR</v>
          </cell>
          <cell r="M1700" t="str">
            <v>M</v>
          </cell>
          <cell r="AC1700">
            <v>0.75</v>
          </cell>
        </row>
        <row r="1701">
          <cell r="A1701" t="str">
            <v>unk</v>
          </cell>
          <cell r="K1701" t="str">
            <v>PCOQ</v>
          </cell>
          <cell r="M1701" t="str">
            <v>M</v>
          </cell>
          <cell r="AC1701">
            <v>1.5</v>
          </cell>
        </row>
        <row r="1702">
          <cell r="A1702" t="str">
            <v>unk</v>
          </cell>
          <cell r="K1702" t="str">
            <v>PCOQ</v>
          </cell>
          <cell r="M1702" t="str">
            <v>M</v>
          </cell>
          <cell r="AC1702">
            <v>1.5</v>
          </cell>
        </row>
        <row r="1703">
          <cell r="A1703" t="str">
            <v>unk</v>
          </cell>
          <cell r="K1703" t="str">
            <v>PCOQ</v>
          </cell>
          <cell r="M1703" t="str">
            <v>M</v>
          </cell>
          <cell r="AC1703">
            <v>1.5</v>
          </cell>
        </row>
        <row r="1704">
          <cell r="A1704" t="str">
            <v>unk</v>
          </cell>
          <cell r="K1704" t="str">
            <v>PCOQ</v>
          </cell>
          <cell r="M1704" t="str">
            <v>M</v>
          </cell>
          <cell r="AC1704">
            <v>1.5</v>
          </cell>
        </row>
        <row r="1705">
          <cell r="A1705" t="str">
            <v>unk</v>
          </cell>
          <cell r="K1705" t="str">
            <v>PCOQ</v>
          </cell>
          <cell r="M1705" t="str">
            <v>M</v>
          </cell>
          <cell r="AC1705">
            <v>1.5</v>
          </cell>
        </row>
        <row r="1706">
          <cell r="A1706" t="str">
            <v>unk</v>
          </cell>
          <cell r="K1706" t="str">
            <v>PCOQ</v>
          </cell>
          <cell r="M1706" t="str">
            <v>M</v>
          </cell>
          <cell r="AC1706">
            <v>1.5</v>
          </cell>
        </row>
        <row r="1707">
          <cell r="A1707" t="str">
            <v>unk</v>
          </cell>
          <cell r="K1707" t="str">
            <v>PCOQ</v>
          </cell>
          <cell r="M1707" t="str">
            <v>M</v>
          </cell>
          <cell r="AC1707">
            <v>1.5</v>
          </cell>
        </row>
        <row r="1708">
          <cell r="A1708" t="str">
            <v>unk</v>
          </cell>
          <cell r="K1708" t="str">
            <v>PCOQ</v>
          </cell>
          <cell r="M1708" t="str">
            <v>M</v>
          </cell>
          <cell r="AC1708">
            <v>1.5</v>
          </cell>
        </row>
        <row r="1709">
          <cell r="A1709" t="str">
            <v>unk</v>
          </cell>
          <cell r="K1709" t="str">
            <v>PCOQ</v>
          </cell>
          <cell r="M1709" t="str">
            <v>M</v>
          </cell>
          <cell r="AC1709">
            <v>1.5</v>
          </cell>
        </row>
        <row r="1710">
          <cell r="A1710" t="str">
            <v>unk</v>
          </cell>
          <cell r="K1710" t="str">
            <v>PCOQ</v>
          </cell>
          <cell r="M1710" t="str">
            <v>M</v>
          </cell>
          <cell r="AC1710">
            <v>1.5</v>
          </cell>
        </row>
        <row r="1711">
          <cell r="A1711" t="str">
            <v>unk</v>
          </cell>
          <cell r="K1711" t="str">
            <v>PCOQ</v>
          </cell>
          <cell r="M1711" t="str">
            <v>M</v>
          </cell>
          <cell r="AC1711">
            <v>1.5</v>
          </cell>
        </row>
        <row r="1712">
          <cell r="A1712" t="str">
            <v>unk</v>
          </cell>
          <cell r="K1712" t="str">
            <v>PCOQ</v>
          </cell>
          <cell r="M1712" t="str">
            <v>M</v>
          </cell>
          <cell r="AC1712">
            <v>1.5</v>
          </cell>
        </row>
        <row r="1713">
          <cell r="A1713" t="str">
            <v>unk</v>
          </cell>
          <cell r="K1713" t="str">
            <v>PCOQ</v>
          </cell>
          <cell r="M1713" t="str">
            <v>M</v>
          </cell>
          <cell r="AC1713">
            <v>1.5</v>
          </cell>
        </row>
        <row r="1714">
          <cell r="A1714" t="str">
            <v>IS_alqt_plus</v>
          </cell>
          <cell r="K1714" t="str">
            <v>VRUB</v>
          </cell>
          <cell r="M1714" t="str">
            <v>M</v>
          </cell>
          <cell r="AC1714">
            <v>1</v>
          </cell>
        </row>
        <row r="1715">
          <cell r="A1715" t="str">
            <v>unk</v>
          </cell>
          <cell r="K1715" t="str">
            <v>PCOQ</v>
          </cell>
          <cell r="M1715" t="str">
            <v>M</v>
          </cell>
          <cell r="AC1715">
            <v>1.5</v>
          </cell>
        </row>
        <row r="1716">
          <cell r="A1716" t="str">
            <v>unk</v>
          </cell>
          <cell r="K1716" t="str">
            <v>PCOQ</v>
          </cell>
          <cell r="M1716" t="str">
            <v>M</v>
          </cell>
          <cell r="AC1716">
            <v>0.75</v>
          </cell>
        </row>
        <row r="1717">
          <cell r="A1717" t="str">
            <v>unk</v>
          </cell>
          <cell r="K1717" t="str">
            <v>PCOQ</v>
          </cell>
          <cell r="M1717" t="str">
            <v>F</v>
          </cell>
          <cell r="AC1717">
            <v>1.5</v>
          </cell>
        </row>
        <row r="1718">
          <cell r="A1718" t="str">
            <v>unk</v>
          </cell>
          <cell r="K1718" t="str">
            <v>PCOQ</v>
          </cell>
          <cell r="M1718" t="str">
            <v>F</v>
          </cell>
          <cell r="AC1718">
            <v>1.5</v>
          </cell>
        </row>
        <row r="1719">
          <cell r="A1719" t="str">
            <v>unk</v>
          </cell>
          <cell r="K1719" t="str">
            <v>PCOQ</v>
          </cell>
          <cell r="M1719" t="str">
            <v>F</v>
          </cell>
          <cell r="AC1719">
            <v>1.5</v>
          </cell>
        </row>
        <row r="1720">
          <cell r="A1720" t="str">
            <v>unk</v>
          </cell>
          <cell r="K1720" t="str">
            <v>PCOQ</v>
          </cell>
          <cell r="M1720" t="str">
            <v>F</v>
          </cell>
          <cell r="AC1720">
            <v>1.25</v>
          </cell>
        </row>
        <row r="1721">
          <cell r="A1721" t="str">
            <v>IS_alqt_plus</v>
          </cell>
          <cell r="K1721" t="str">
            <v>VRUB</v>
          </cell>
          <cell r="M1721" t="str">
            <v>M</v>
          </cell>
          <cell r="AC1721">
            <v>0.75</v>
          </cell>
        </row>
        <row r="1722">
          <cell r="A1722" t="str">
            <v>IS_alqt_plus</v>
          </cell>
          <cell r="K1722" t="str">
            <v>VRUB</v>
          </cell>
          <cell r="M1722" t="str">
            <v>M</v>
          </cell>
          <cell r="AC1722">
            <v>1</v>
          </cell>
        </row>
        <row r="1723">
          <cell r="A1723" t="str">
            <v>IS_alqt_plus</v>
          </cell>
          <cell r="K1723" t="str">
            <v>VRUB</v>
          </cell>
          <cell r="M1723" t="str">
            <v>M</v>
          </cell>
          <cell r="AC1723">
            <v>1</v>
          </cell>
        </row>
        <row r="1724">
          <cell r="A1724" t="str">
            <v>IS_alqt_plus</v>
          </cell>
          <cell r="K1724" t="str">
            <v>PCOQ</v>
          </cell>
          <cell r="M1724" t="str">
            <v>M</v>
          </cell>
          <cell r="AC1724">
            <v>1.5</v>
          </cell>
        </row>
        <row r="1725">
          <cell r="A1725" t="str">
            <v>unk</v>
          </cell>
          <cell r="K1725" t="str">
            <v>PCOQ</v>
          </cell>
          <cell r="M1725" t="str">
            <v>M</v>
          </cell>
          <cell r="AC1725">
            <v>1.5</v>
          </cell>
        </row>
        <row r="1726">
          <cell r="A1726" t="str">
            <v>unk</v>
          </cell>
          <cell r="K1726" t="str">
            <v>DMAD</v>
          </cell>
          <cell r="M1726" t="str">
            <v>F</v>
          </cell>
          <cell r="AC1726">
            <v>1.5</v>
          </cell>
        </row>
        <row r="1727">
          <cell r="A1727" t="str">
            <v>unk</v>
          </cell>
          <cell r="K1727" t="str">
            <v>DMAD</v>
          </cell>
          <cell r="M1727" t="str">
            <v>F</v>
          </cell>
          <cell r="AC1727">
            <v>1.5</v>
          </cell>
        </row>
        <row r="1728">
          <cell r="A1728" t="str">
            <v>unk</v>
          </cell>
          <cell r="K1728" t="str">
            <v>GMOH</v>
          </cell>
          <cell r="M1728" t="str">
            <v>M</v>
          </cell>
          <cell r="AC1728">
            <v>0.5</v>
          </cell>
        </row>
        <row r="1729">
          <cell r="A1729" t="str">
            <v>IS_alqt_plus</v>
          </cell>
          <cell r="K1729" t="str">
            <v>VRUB</v>
          </cell>
          <cell r="M1729" t="str">
            <v>M</v>
          </cell>
          <cell r="AC1729">
            <v>1</v>
          </cell>
        </row>
        <row r="1730">
          <cell r="A1730" t="str">
            <v>IS_alqt_plus</v>
          </cell>
          <cell r="K1730" t="str">
            <v>VRUB</v>
          </cell>
          <cell r="M1730" t="str">
            <v>M</v>
          </cell>
          <cell r="AC1730">
            <v>1</v>
          </cell>
        </row>
        <row r="1731">
          <cell r="A1731" t="str">
            <v>IS_alqt_plus</v>
          </cell>
          <cell r="K1731" t="str">
            <v>VRUB</v>
          </cell>
          <cell r="M1731" t="str">
            <v>M</v>
          </cell>
          <cell r="AC1731">
            <v>1</v>
          </cell>
        </row>
        <row r="1732">
          <cell r="A1732" t="str">
            <v>IS_alqt_plus</v>
          </cell>
          <cell r="K1732" t="str">
            <v>VRUB</v>
          </cell>
          <cell r="M1732" t="str">
            <v>M</v>
          </cell>
          <cell r="AC1732">
            <v>1</v>
          </cell>
        </row>
        <row r="1733">
          <cell r="A1733" t="str">
            <v>IS_alqt_plus</v>
          </cell>
          <cell r="K1733" t="str">
            <v>VRUB</v>
          </cell>
          <cell r="M1733" t="str">
            <v>M</v>
          </cell>
          <cell r="AC1733">
            <v>1.5</v>
          </cell>
        </row>
        <row r="1734">
          <cell r="A1734" t="str">
            <v>IS_alqt_plus</v>
          </cell>
          <cell r="K1734" t="str">
            <v>VRUB</v>
          </cell>
          <cell r="M1734" t="str">
            <v>M</v>
          </cell>
          <cell r="AC1734">
            <v>1</v>
          </cell>
        </row>
        <row r="1735">
          <cell r="A1735" t="str">
            <v>IS_alqt_plus</v>
          </cell>
          <cell r="K1735" t="str">
            <v>VRUB</v>
          </cell>
          <cell r="M1735" t="str">
            <v>M</v>
          </cell>
          <cell r="AC1735">
            <v>1</v>
          </cell>
        </row>
        <row r="1736">
          <cell r="A1736" t="str">
            <v>IS_alqt_plus</v>
          </cell>
          <cell r="K1736" t="str">
            <v>VRUB</v>
          </cell>
          <cell r="M1736" t="str">
            <v>M</v>
          </cell>
          <cell r="AC1736">
            <v>1</v>
          </cell>
        </row>
        <row r="1737">
          <cell r="A1737" t="str">
            <v>IS_alqt_plus</v>
          </cell>
          <cell r="K1737" t="str">
            <v>VRUB</v>
          </cell>
          <cell r="M1737" t="str">
            <v>M</v>
          </cell>
          <cell r="AC1737">
            <v>1</v>
          </cell>
        </row>
        <row r="1738">
          <cell r="A1738" t="str">
            <v>IS_alqt_plus</v>
          </cell>
          <cell r="K1738" t="str">
            <v>VRUB</v>
          </cell>
          <cell r="M1738" t="str">
            <v>M</v>
          </cell>
          <cell r="AC1738">
            <v>1</v>
          </cell>
        </row>
        <row r="1739">
          <cell r="A1739" t="str">
            <v>IS_alqt_plus</v>
          </cell>
          <cell r="K1739" t="str">
            <v>VRUB</v>
          </cell>
          <cell r="M1739" t="str">
            <v>M</v>
          </cell>
          <cell r="AC1739">
            <v>1</v>
          </cell>
        </row>
        <row r="1740">
          <cell r="A1740" t="str">
            <v>IS_alqt_plus</v>
          </cell>
          <cell r="K1740" t="str">
            <v>VRUB</v>
          </cell>
          <cell r="M1740" t="str">
            <v>M</v>
          </cell>
          <cell r="AC1740">
            <v>1</v>
          </cell>
        </row>
        <row r="1741">
          <cell r="A1741" t="str">
            <v>IS_alqt_plus</v>
          </cell>
          <cell r="K1741" t="str">
            <v>VRUB</v>
          </cell>
          <cell r="M1741" t="str">
            <v>M</v>
          </cell>
          <cell r="AC1741">
            <v>1</v>
          </cell>
        </row>
        <row r="1742">
          <cell r="A1742" t="str">
            <v>IS_alqt_plus</v>
          </cell>
          <cell r="K1742" t="str">
            <v>VVV</v>
          </cell>
          <cell r="M1742" t="str">
            <v>M</v>
          </cell>
          <cell r="AC1742">
            <v>1.5</v>
          </cell>
        </row>
        <row r="1743">
          <cell r="A1743" t="str">
            <v>IS_alqt_plus</v>
          </cell>
          <cell r="K1743" t="str">
            <v>VVV</v>
          </cell>
          <cell r="M1743" t="str">
            <v>M</v>
          </cell>
          <cell r="AC1743">
            <v>1.5</v>
          </cell>
        </row>
        <row r="1744">
          <cell r="A1744" t="str">
            <v>IS_alqt_plus</v>
          </cell>
          <cell r="K1744" t="str">
            <v>VVV</v>
          </cell>
          <cell r="M1744" t="str">
            <v>M</v>
          </cell>
          <cell r="AC1744">
            <v>0.5</v>
          </cell>
        </row>
        <row r="1745">
          <cell r="A1745" t="str">
            <v>IS_alqt_plus</v>
          </cell>
          <cell r="K1745" t="str">
            <v>VVV</v>
          </cell>
          <cell r="M1745" t="str">
            <v>M</v>
          </cell>
          <cell r="AC1745">
            <v>1.5</v>
          </cell>
        </row>
        <row r="1746">
          <cell r="A1746" t="str">
            <v>gone</v>
          </cell>
          <cell r="K1746" t="str">
            <v>LCAT</v>
          </cell>
          <cell r="M1746" t="str">
            <v>F</v>
          </cell>
          <cell r="AC1746">
            <v>0</v>
          </cell>
        </row>
        <row r="1747">
          <cell r="A1747" t="str">
            <v>gone</v>
          </cell>
          <cell r="K1747" t="str">
            <v>LCAT</v>
          </cell>
          <cell r="M1747" t="str">
            <v>F</v>
          </cell>
          <cell r="AC1747">
            <v>0</v>
          </cell>
        </row>
        <row r="1748">
          <cell r="A1748" t="str">
            <v>IS_alqt_plus</v>
          </cell>
          <cell r="K1748" t="str">
            <v>VRUB</v>
          </cell>
          <cell r="M1748" t="str">
            <v>F</v>
          </cell>
          <cell r="AC1748">
            <v>1</v>
          </cell>
        </row>
        <row r="1749">
          <cell r="A1749" t="str">
            <v>IS_alqt_plus</v>
          </cell>
          <cell r="K1749" t="str">
            <v>VRUB</v>
          </cell>
          <cell r="M1749" t="str">
            <v>F</v>
          </cell>
          <cell r="AC1749">
            <v>1</v>
          </cell>
        </row>
        <row r="1750">
          <cell r="A1750" t="str">
            <v>IS_alqt_plus</v>
          </cell>
          <cell r="K1750" t="str">
            <v>LCAT</v>
          </cell>
          <cell r="M1750" t="str">
            <v>F</v>
          </cell>
          <cell r="AC1750">
            <v>1</v>
          </cell>
        </row>
        <row r="1751">
          <cell r="A1751" t="str">
            <v>gone</v>
          </cell>
          <cell r="K1751" t="str">
            <v>LCAT</v>
          </cell>
          <cell r="M1751" t="str">
            <v>F</v>
          </cell>
          <cell r="AC1751">
            <v>0</v>
          </cell>
        </row>
        <row r="1752">
          <cell r="A1752" t="str">
            <v>gone</v>
          </cell>
          <cell r="K1752" t="str">
            <v>LCAT</v>
          </cell>
          <cell r="M1752" t="str">
            <v>F</v>
          </cell>
          <cell r="AC1752">
            <v>0</v>
          </cell>
        </row>
        <row r="1753">
          <cell r="A1753" t="str">
            <v>IS_alqt_plus</v>
          </cell>
          <cell r="K1753" t="str">
            <v>LCAT</v>
          </cell>
          <cell r="M1753" t="str">
            <v>M</v>
          </cell>
          <cell r="AC1753">
            <v>0.5</v>
          </cell>
        </row>
        <row r="1754">
          <cell r="A1754" t="str">
            <v>IS_alqt_plus</v>
          </cell>
          <cell r="K1754" t="str">
            <v>LCAT</v>
          </cell>
          <cell r="M1754" t="str">
            <v>M</v>
          </cell>
          <cell r="AC1754">
            <v>0.5</v>
          </cell>
        </row>
        <row r="1755">
          <cell r="A1755" t="str">
            <v>gone</v>
          </cell>
          <cell r="K1755" t="str">
            <v>LCAT</v>
          </cell>
          <cell r="M1755" t="str">
            <v>M</v>
          </cell>
          <cell r="AC1755">
            <v>0</v>
          </cell>
        </row>
        <row r="1756">
          <cell r="A1756" t="str">
            <v>gone</v>
          </cell>
          <cell r="K1756" t="str">
            <v>LCAT</v>
          </cell>
          <cell r="M1756" t="str">
            <v>M</v>
          </cell>
          <cell r="AC1756">
            <v>0</v>
          </cell>
        </row>
        <row r="1757">
          <cell r="A1757" t="str">
            <v>IS_alqt_minus</v>
          </cell>
          <cell r="K1757" t="str">
            <v>VRUB</v>
          </cell>
          <cell r="M1757" t="str">
            <v>F</v>
          </cell>
          <cell r="AC1757">
            <v>0.2</v>
          </cell>
        </row>
        <row r="1758">
          <cell r="A1758" t="str">
            <v>IS_alqt_plus</v>
          </cell>
          <cell r="K1758" t="str">
            <v>VRUB</v>
          </cell>
          <cell r="M1758" t="str">
            <v>F</v>
          </cell>
          <cell r="AC1758">
            <v>1.5</v>
          </cell>
        </row>
        <row r="1759">
          <cell r="A1759" t="str">
            <v>IS_alqt_plus</v>
          </cell>
          <cell r="K1759" t="str">
            <v>VRUB</v>
          </cell>
          <cell r="M1759" t="str">
            <v>F</v>
          </cell>
          <cell r="AC1759">
            <v>1.5</v>
          </cell>
        </row>
        <row r="1760">
          <cell r="A1760" t="str">
            <v>IS_alqt_plus</v>
          </cell>
          <cell r="K1760" t="str">
            <v>VRUB</v>
          </cell>
          <cell r="M1760" t="str">
            <v>F</v>
          </cell>
          <cell r="AC1760">
            <v>1.5</v>
          </cell>
        </row>
        <row r="1761">
          <cell r="A1761" t="str">
            <v>IS_alqt_plus</v>
          </cell>
          <cell r="K1761" t="str">
            <v>VRUB</v>
          </cell>
          <cell r="M1761" t="str">
            <v>F</v>
          </cell>
          <cell r="AC1761">
            <v>1</v>
          </cell>
        </row>
        <row r="1762">
          <cell r="A1762" t="str">
            <v>IS_alqt_minus</v>
          </cell>
          <cell r="K1762" t="str">
            <v>VRUB</v>
          </cell>
          <cell r="M1762" t="str">
            <v>F</v>
          </cell>
          <cell r="AC1762">
            <v>0.4</v>
          </cell>
        </row>
        <row r="1763">
          <cell r="A1763" t="str">
            <v>IS_alqt_plus</v>
          </cell>
          <cell r="K1763" t="str">
            <v>VRUB</v>
          </cell>
          <cell r="M1763" t="str">
            <v>F</v>
          </cell>
          <cell r="AC1763">
            <v>1.5</v>
          </cell>
        </row>
        <row r="1764">
          <cell r="A1764" t="str">
            <v>IS_alqt_plus</v>
          </cell>
          <cell r="K1764" t="str">
            <v>VRUB</v>
          </cell>
          <cell r="M1764" t="str">
            <v>F</v>
          </cell>
          <cell r="AC1764">
            <v>0.9</v>
          </cell>
        </row>
        <row r="1765">
          <cell r="A1765" t="str">
            <v>IS_alqt_plus</v>
          </cell>
          <cell r="K1765" t="str">
            <v>VRUB</v>
          </cell>
          <cell r="M1765" t="str">
            <v>F</v>
          </cell>
          <cell r="AC1765">
            <v>1</v>
          </cell>
        </row>
        <row r="1766">
          <cell r="A1766" t="str">
            <v>IS_alqt_plus</v>
          </cell>
          <cell r="K1766" t="str">
            <v>VRUB</v>
          </cell>
          <cell r="M1766" t="str">
            <v>F</v>
          </cell>
          <cell r="AC1766">
            <v>1.5</v>
          </cell>
        </row>
        <row r="1767">
          <cell r="A1767" t="str">
            <v>IS_alqt_plus</v>
          </cell>
          <cell r="K1767" t="str">
            <v>VRUB</v>
          </cell>
          <cell r="M1767" t="str">
            <v>F</v>
          </cell>
          <cell r="AC1767">
            <v>1.5</v>
          </cell>
        </row>
        <row r="1768">
          <cell r="A1768" t="str">
            <v>IS_alqt_plus</v>
          </cell>
          <cell r="K1768" t="str">
            <v>VRUB</v>
          </cell>
          <cell r="M1768" t="str">
            <v>F</v>
          </cell>
          <cell r="AC1768">
            <v>1.5</v>
          </cell>
        </row>
        <row r="1769">
          <cell r="A1769" t="str">
            <v>IS_alqt_plus</v>
          </cell>
          <cell r="K1769" t="str">
            <v>VRUB</v>
          </cell>
          <cell r="M1769" t="str">
            <v>F</v>
          </cell>
          <cell r="AC1769">
            <v>1.5</v>
          </cell>
        </row>
        <row r="1770">
          <cell r="A1770" t="str">
            <v>IS_alqt_plus</v>
          </cell>
          <cell r="K1770" t="str">
            <v>VRUB</v>
          </cell>
          <cell r="M1770" t="str">
            <v>F</v>
          </cell>
          <cell r="AC1770">
            <v>0.5</v>
          </cell>
        </row>
        <row r="1771">
          <cell r="A1771" t="str">
            <v>IS_alqt_plus</v>
          </cell>
          <cell r="K1771" t="str">
            <v>VRUB</v>
          </cell>
          <cell r="M1771" t="str">
            <v>F</v>
          </cell>
          <cell r="AC1771">
            <v>1</v>
          </cell>
        </row>
        <row r="1772">
          <cell r="A1772" t="str">
            <v>IS_alqt_plus</v>
          </cell>
          <cell r="K1772" t="str">
            <v>VRUB</v>
          </cell>
          <cell r="M1772" t="str">
            <v>F</v>
          </cell>
          <cell r="AC1772">
            <v>1</v>
          </cell>
        </row>
        <row r="1773">
          <cell r="A1773" t="str">
            <v>IS_alqt_plus</v>
          </cell>
          <cell r="K1773" t="str">
            <v>LCAT</v>
          </cell>
          <cell r="M1773" t="str">
            <v>F</v>
          </cell>
          <cell r="AC1773">
            <v>0.5</v>
          </cell>
        </row>
        <row r="1774">
          <cell r="A1774" t="str">
            <v>IS_alqt_plus</v>
          </cell>
          <cell r="K1774" t="str">
            <v>LCAT</v>
          </cell>
          <cell r="M1774" t="str">
            <v>F</v>
          </cell>
          <cell r="AC1774">
            <v>1</v>
          </cell>
        </row>
        <row r="1775">
          <cell r="A1775" t="str">
            <v>IS_alqt_plus</v>
          </cell>
          <cell r="K1775" t="str">
            <v>LCAT</v>
          </cell>
          <cell r="M1775" t="str">
            <v>F</v>
          </cell>
          <cell r="AC1775">
            <v>0.5</v>
          </cell>
        </row>
        <row r="1776">
          <cell r="A1776" t="str">
            <v>IS_alqt_plus</v>
          </cell>
          <cell r="K1776" t="str">
            <v>LCAT</v>
          </cell>
          <cell r="M1776" t="str">
            <v>F</v>
          </cell>
          <cell r="AC1776">
            <v>0.5</v>
          </cell>
        </row>
        <row r="1777">
          <cell r="A1777" t="str">
            <v>IS_alqt_plus</v>
          </cell>
          <cell r="K1777" t="str">
            <v>LCAT</v>
          </cell>
          <cell r="M1777" t="str">
            <v>F</v>
          </cell>
          <cell r="AC1777">
            <v>0.5</v>
          </cell>
        </row>
        <row r="1778">
          <cell r="A1778" t="str">
            <v>IS_alqt_plus</v>
          </cell>
          <cell r="K1778" t="str">
            <v>LCAT</v>
          </cell>
          <cell r="M1778" t="str">
            <v>F</v>
          </cell>
          <cell r="AC1778">
            <v>0.5</v>
          </cell>
        </row>
        <row r="1779">
          <cell r="A1779" t="str">
            <v>gone</v>
          </cell>
          <cell r="K1779" t="str">
            <v>LCAT</v>
          </cell>
          <cell r="M1779" t="str">
            <v>F</v>
          </cell>
          <cell r="AC1779">
            <v>0</v>
          </cell>
        </row>
        <row r="1780">
          <cell r="A1780" t="str">
            <v>IS_alqt_plus</v>
          </cell>
          <cell r="K1780" t="str">
            <v>LCAT</v>
          </cell>
          <cell r="M1780" t="str">
            <v>F</v>
          </cell>
          <cell r="AC1780">
            <v>1</v>
          </cell>
        </row>
        <row r="1781">
          <cell r="A1781" t="str">
            <v>IS_alqt_plus</v>
          </cell>
          <cell r="K1781" t="str">
            <v>PCOQ</v>
          </cell>
          <cell r="M1781" t="str">
            <v>M</v>
          </cell>
          <cell r="AC1781">
            <v>1</v>
          </cell>
        </row>
        <row r="1782">
          <cell r="A1782" t="str">
            <v>IS_alqt_plus</v>
          </cell>
          <cell r="K1782" t="str">
            <v>PCOQ</v>
          </cell>
          <cell r="M1782" t="str">
            <v>M</v>
          </cell>
          <cell r="AC1782">
            <v>1</v>
          </cell>
        </row>
        <row r="1783">
          <cell r="A1783" t="str">
            <v>IS_alqt_plus</v>
          </cell>
          <cell r="K1783" t="str">
            <v>PCOQ</v>
          </cell>
          <cell r="M1783" t="str">
            <v>M</v>
          </cell>
          <cell r="AC1783">
            <v>1</v>
          </cell>
        </row>
        <row r="1784">
          <cell r="A1784" t="str">
            <v>IS_alqt_plus</v>
          </cell>
          <cell r="K1784" t="str">
            <v>PCOQ</v>
          </cell>
          <cell r="M1784" t="str">
            <v>M</v>
          </cell>
          <cell r="AC1784">
            <v>1</v>
          </cell>
        </row>
        <row r="1785">
          <cell r="A1785" t="str">
            <v>IS_alqt_plus</v>
          </cell>
          <cell r="K1785" t="str">
            <v>PCOQ</v>
          </cell>
          <cell r="M1785" t="str">
            <v>M</v>
          </cell>
          <cell r="AC1785">
            <v>1</v>
          </cell>
        </row>
        <row r="1786">
          <cell r="A1786" t="str">
            <v>unk</v>
          </cell>
          <cell r="K1786" t="str">
            <v>PCOQ</v>
          </cell>
          <cell r="M1786" t="str">
            <v>M</v>
          </cell>
          <cell r="AC1786">
            <v>1</v>
          </cell>
        </row>
        <row r="1787">
          <cell r="A1787" t="str">
            <v>IS_alqt_plus</v>
          </cell>
          <cell r="K1787" t="str">
            <v>PCOQ</v>
          </cell>
          <cell r="M1787" t="str">
            <v>F</v>
          </cell>
          <cell r="AC1787">
            <v>1</v>
          </cell>
        </row>
        <row r="1788">
          <cell r="A1788" t="str">
            <v>unk</v>
          </cell>
          <cell r="K1788" t="str">
            <v>PCOQ</v>
          </cell>
          <cell r="M1788" t="str">
            <v>F</v>
          </cell>
          <cell r="AC1788">
            <v>1</v>
          </cell>
        </row>
        <row r="1789">
          <cell r="A1789" t="str">
            <v>unk</v>
          </cell>
          <cell r="K1789" t="str">
            <v>PCOQ</v>
          </cell>
          <cell r="M1789" t="str">
            <v>F</v>
          </cell>
          <cell r="AC1789">
            <v>1</v>
          </cell>
        </row>
        <row r="1790">
          <cell r="A1790" t="str">
            <v>unk</v>
          </cell>
          <cell r="K1790" t="str">
            <v>PCOQ</v>
          </cell>
          <cell r="M1790" t="str">
            <v>F</v>
          </cell>
          <cell r="AC1790">
            <v>1</v>
          </cell>
        </row>
        <row r="1791">
          <cell r="A1791" t="str">
            <v>unk</v>
          </cell>
          <cell r="K1791" t="str">
            <v>PCOQ</v>
          </cell>
          <cell r="M1791" t="str">
            <v>F</v>
          </cell>
          <cell r="AC1791">
            <v>1</v>
          </cell>
        </row>
        <row r="1792">
          <cell r="A1792" t="str">
            <v>IS_alqt_plus</v>
          </cell>
          <cell r="K1792" t="str">
            <v>PCOQ</v>
          </cell>
          <cell r="M1792" t="str">
            <v>F</v>
          </cell>
          <cell r="AC1792">
            <v>1</v>
          </cell>
        </row>
        <row r="1793">
          <cell r="A1793" t="str">
            <v>IS_alqt_plus</v>
          </cell>
          <cell r="K1793" t="str">
            <v>PCOQ</v>
          </cell>
          <cell r="M1793" t="str">
            <v>F</v>
          </cell>
          <cell r="AC1793">
            <v>1</v>
          </cell>
        </row>
        <row r="1794">
          <cell r="A1794" t="str">
            <v>IS_alqt_plus</v>
          </cell>
          <cell r="K1794" t="str">
            <v>PCOQ</v>
          </cell>
          <cell r="M1794" t="str">
            <v>F</v>
          </cell>
          <cell r="AC1794">
            <v>1</v>
          </cell>
        </row>
        <row r="1795">
          <cell r="A1795" t="str">
            <v>IS_alqt_plus</v>
          </cell>
          <cell r="K1795" t="str">
            <v>PCOQ</v>
          </cell>
          <cell r="M1795" t="str">
            <v>F</v>
          </cell>
          <cell r="AC1795">
            <v>1</v>
          </cell>
        </row>
        <row r="1796">
          <cell r="A1796" t="str">
            <v>IS_alqt_plus</v>
          </cell>
          <cell r="K1796" t="str">
            <v>PCOQ</v>
          </cell>
          <cell r="M1796" t="str">
            <v>F</v>
          </cell>
          <cell r="AC1796">
            <v>1</v>
          </cell>
        </row>
        <row r="1797">
          <cell r="A1797" t="str">
            <v>IS_alqt_plus</v>
          </cell>
          <cell r="K1797" t="str">
            <v>PCOQ</v>
          </cell>
          <cell r="M1797" t="str">
            <v>F</v>
          </cell>
          <cell r="AC1797">
            <v>1</v>
          </cell>
        </row>
        <row r="1798">
          <cell r="A1798" t="str">
            <v>IS_alqt_plus</v>
          </cell>
          <cell r="K1798" t="str">
            <v>PCOQ</v>
          </cell>
          <cell r="M1798" t="str">
            <v>F</v>
          </cell>
          <cell r="AC1798">
            <v>1.5</v>
          </cell>
        </row>
        <row r="1799">
          <cell r="A1799" t="str">
            <v>IS_alqt_plus</v>
          </cell>
          <cell r="K1799" t="str">
            <v>PCOQ</v>
          </cell>
          <cell r="M1799" t="str">
            <v>F</v>
          </cell>
          <cell r="AC1799">
            <v>1.5</v>
          </cell>
        </row>
        <row r="1800">
          <cell r="A1800" t="str">
            <v>IS_alqt_plus</v>
          </cell>
          <cell r="K1800" t="str">
            <v>PCOQ</v>
          </cell>
          <cell r="M1800" t="str">
            <v>F</v>
          </cell>
          <cell r="AC1800">
            <v>1.5</v>
          </cell>
        </row>
        <row r="1801">
          <cell r="A1801" t="str">
            <v>IS_alqt_plus</v>
          </cell>
          <cell r="K1801" t="str">
            <v>PCOQ</v>
          </cell>
          <cell r="M1801" t="str">
            <v>F</v>
          </cell>
          <cell r="AC1801">
            <v>1.5</v>
          </cell>
        </row>
        <row r="1802">
          <cell r="A1802" t="str">
            <v>unk</v>
          </cell>
          <cell r="K1802" t="str">
            <v>PCOQ</v>
          </cell>
          <cell r="M1802" t="str">
            <v>F</v>
          </cell>
          <cell r="AC1802">
            <v>1.5</v>
          </cell>
        </row>
        <row r="1803">
          <cell r="A1803" t="str">
            <v>IS_alqt_plus</v>
          </cell>
          <cell r="K1803" t="str">
            <v>PCOQ</v>
          </cell>
          <cell r="M1803" t="str">
            <v>M</v>
          </cell>
          <cell r="AC1803">
            <v>1</v>
          </cell>
        </row>
        <row r="1804">
          <cell r="A1804" t="str">
            <v>IS_alqt_plus</v>
          </cell>
          <cell r="K1804" t="str">
            <v>PCOQ</v>
          </cell>
          <cell r="M1804" t="str">
            <v>M</v>
          </cell>
          <cell r="AC1804">
            <v>1</v>
          </cell>
        </row>
        <row r="1805">
          <cell r="A1805" t="str">
            <v>IS_alqt_plus</v>
          </cell>
          <cell r="K1805" t="str">
            <v>PCOQ</v>
          </cell>
          <cell r="M1805" t="str">
            <v>M</v>
          </cell>
          <cell r="AC1805">
            <v>1</v>
          </cell>
        </row>
        <row r="1806">
          <cell r="A1806" t="str">
            <v>IS_alqt_plus</v>
          </cell>
          <cell r="K1806" t="str">
            <v>PCOQ</v>
          </cell>
          <cell r="M1806" t="str">
            <v>M</v>
          </cell>
          <cell r="AC1806">
            <v>1</v>
          </cell>
        </row>
        <row r="1807">
          <cell r="A1807" t="str">
            <v>IS_alqt_plus</v>
          </cell>
          <cell r="K1807" t="str">
            <v>PCOQ</v>
          </cell>
          <cell r="M1807" t="str">
            <v>M</v>
          </cell>
          <cell r="AC1807">
            <v>1</v>
          </cell>
        </row>
        <row r="1808">
          <cell r="A1808" t="str">
            <v>IS_alqt_plus</v>
          </cell>
          <cell r="K1808" t="str">
            <v>PCOQ</v>
          </cell>
          <cell r="M1808" t="str">
            <v>F</v>
          </cell>
          <cell r="AC1808">
            <v>1</v>
          </cell>
        </row>
        <row r="1809">
          <cell r="A1809" t="str">
            <v>IS_alqt_plus</v>
          </cell>
          <cell r="K1809" t="str">
            <v>PCOQ</v>
          </cell>
          <cell r="M1809" t="str">
            <v>F</v>
          </cell>
          <cell r="AC1809">
            <v>1</v>
          </cell>
        </row>
        <row r="1810">
          <cell r="A1810" t="str">
            <v>IS_alqt_plus</v>
          </cell>
          <cell r="K1810" t="str">
            <v>PCOQ</v>
          </cell>
          <cell r="M1810" t="str">
            <v>F</v>
          </cell>
          <cell r="AC1810">
            <v>1</v>
          </cell>
        </row>
        <row r="1811">
          <cell r="A1811" t="str">
            <v>gone</v>
          </cell>
          <cell r="K1811" t="str">
            <v>PCOQ</v>
          </cell>
          <cell r="M1811" t="str">
            <v>F</v>
          </cell>
          <cell r="AC1811">
            <v>0</v>
          </cell>
        </row>
        <row r="1812">
          <cell r="A1812" t="str">
            <v>unk</v>
          </cell>
          <cell r="K1812" t="str">
            <v>PCOQ</v>
          </cell>
          <cell r="M1812" t="str">
            <v>F</v>
          </cell>
          <cell r="AC1812">
            <v>1</v>
          </cell>
        </row>
        <row r="1813">
          <cell r="A1813" t="str">
            <v>IS_alqt_plus</v>
          </cell>
          <cell r="K1813" t="str">
            <v>EFLA</v>
          </cell>
          <cell r="M1813" t="str">
            <v>F</v>
          </cell>
          <cell r="AC1813">
            <v>1</v>
          </cell>
        </row>
        <row r="1814">
          <cell r="A1814" t="str">
            <v>IS_alqt_plus</v>
          </cell>
          <cell r="K1814" t="str">
            <v>EFLA</v>
          </cell>
          <cell r="M1814" t="str">
            <v>F</v>
          </cell>
          <cell r="AC1814">
            <v>1</v>
          </cell>
        </row>
        <row r="1815">
          <cell r="A1815" t="str">
            <v>IS_alqt_plus</v>
          </cell>
          <cell r="K1815" t="str">
            <v>EFLA</v>
          </cell>
          <cell r="M1815" t="str">
            <v>F</v>
          </cell>
          <cell r="AC1815">
            <v>1</v>
          </cell>
        </row>
        <row r="1816">
          <cell r="A1816" t="str">
            <v>IS_alqt_plus</v>
          </cell>
          <cell r="K1816" t="str">
            <v>EFLA</v>
          </cell>
          <cell r="M1816" t="str">
            <v>F</v>
          </cell>
          <cell r="AC1816">
            <v>1</v>
          </cell>
        </row>
        <row r="1817">
          <cell r="A1817" t="str">
            <v>IS_alqt_plus</v>
          </cell>
          <cell r="K1817" t="str">
            <v>EFLA</v>
          </cell>
          <cell r="M1817" t="str">
            <v>F</v>
          </cell>
          <cell r="AC1817">
            <v>1</v>
          </cell>
        </row>
        <row r="1818">
          <cell r="A1818" t="str">
            <v>IS_alqt_plus</v>
          </cell>
          <cell r="K1818" t="str">
            <v>PCOQ</v>
          </cell>
          <cell r="M1818" t="str">
            <v>F</v>
          </cell>
          <cell r="AC1818">
            <v>1.4</v>
          </cell>
        </row>
        <row r="1819">
          <cell r="A1819" t="str">
            <v>IS_alqt_plus</v>
          </cell>
          <cell r="K1819" t="str">
            <v>PCOQ</v>
          </cell>
          <cell r="M1819" t="str">
            <v>F</v>
          </cell>
          <cell r="AC1819">
            <v>1.4</v>
          </cell>
        </row>
        <row r="1820">
          <cell r="A1820" t="str">
            <v>gone</v>
          </cell>
          <cell r="K1820" t="str">
            <v>PCOQ</v>
          </cell>
          <cell r="M1820" t="str">
            <v>F</v>
          </cell>
          <cell r="AC1820">
            <v>1.4</v>
          </cell>
        </row>
        <row r="1821">
          <cell r="A1821" t="str">
            <v>IS_alqt_plus</v>
          </cell>
          <cell r="K1821" t="str">
            <v>PCOQ</v>
          </cell>
          <cell r="M1821" t="str">
            <v>M</v>
          </cell>
          <cell r="AC1821">
            <v>1.2</v>
          </cell>
        </row>
        <row r="1822">
          <cell r="A1822" t="str">
            <v>IS_alqt_plus</v>
          </cell>
          <cell r="K1822" t="str">
            <v>PCOQ</v>
          </cell>
          <cell r="M1822" t="str">
            <v>M</v>
          </cell>
          <cell r="AC1822">
            <v>1.2</v>
          </cell>
        </row>
        <row r="1823">
          <cell r="A1823" t="str">
            <v>IS_alqt_plus</v>
          </cell>
          <cell r="K1823" t="str">
            <v>PCOQ</v>
          </cell>
          <cell r="M1823" t="str">
            <v>M</v>
          </cell>
          <cell r="AC1823">
            <v>1.2</v>
          </cell>
        </row>
        <row r="1824">
          <cell r="A1824" t="str">
            <v>gone</v>
          </cell>
          <cell r="K1824" t="str">
            <v>PCOQ</v>
          </cell>
          <cell r="M1824" t="str">
            <v>M</v>
          </cell>
          <cell r="AC1824">
            <v>1.2</v>
          </cell>
        </row>
        <row r="1825">
          <cell r="A1825" t="str">
            <v>IS_alqt_plus</v>
          </cell>
          <cell r="K1825" t="str">
            <v>EMON</v>
          </cell>
          <cell r="M1825" t="str">
            <v>F</v>
          </cell>
          <cell r="AC1825">
            <v>1.2</v>
          </cell>
        </row>
        <row r="1826">
          <cell r="A1826" t="str">
            <v>IS_alqt_plus</v>
          </cell>
          <cell r="K1826" t="str">
            <v>EMON</v>
          </cell>
          <cell r="M1826" t="str">
            <v>F</v>
          </cell>
          <cell r="AC1826">
            <v>1.2</v>
          </cell>
        </row>
        <row r="1827">
          <cell r="A1827" t="str">
            <v>IS_alqt_plus</v>
          </cell>
          <cell r="K1827" t="str">
            <v>EMON</v>
          </cell>
          <cell r="M1827" t="str">
            <v>F</v>
          </cell>
          <cell r="AC1827">
            <v>1.2</v>
          </cell>
        </row>
        <row r="1828">
          <cell r="A1828" t="str">
            <v>IS_alqt_plus</v>
          </cell>
          <cell r="K1828" t="str">
            <v>PCOQ</v>
          </cell>
          <cell r="M1828" t="str">
            <v>F</v>
          </cell>
          <cell r="AC1828">
            <v>1.2</v>
          </cell>
        </row>
        <row r="1829">
          <cell r="A1829" t="str">
            <v>IS_alqt_plus</v>
          </cell>
          <cell r="K1829" t="str">
            <v>PCOQ</v>
          </cell>
          <cell r="M1829" t="str">
            <v>F</v>
          </cell>
          <cell r="AC1829">
            <v>1.2</v>
          </cell>
        </row>
        <row r="1830">
          <cell r="A1830" t="str">
            <v>gone</v>
          </cell>
          <cell r="K1830" t="str">
            <v>PCOQ</v>
          </cell>
          <cell r="M1830" t="str">
            <v>F</v>
          </cell>
          <cell r="AC1830">
            <v>1.2</v>
          </cell>
        </row>
        <row r="1831">
          <cell r="A1831" t="str">
            <v>IS_alqt_plus</v>
          </cell>
          <cell r="K1831" t="str">
            <v>ECOL</v>
          </cell>
          <cell r="M1831" t="str">
            <v>M</v>
          </cell>
          <cell r="AC1831">
            <v>1.5</v>
          </cell>
        </row>
        <row r="1832">
          <cell r="A1832" t="str">
            <v>IS_alqt_plus</v>
          </cell>
          <cell r="K1832" t="str">
            <v>ECOL</v>
          </cell>
          <cell r="M1832" t="str">
            <v>M</v>
          </cell>
          <cell r="AC1832">
            <v>1.5</v>
          </cell>
        </row>
        <row r="1833">
          <cell r="A1833" t="str">
            <v>IS_alqt_plus</v>
          </cell>
          <cell r="K1833" t="str">
            <v>ECOL</v>
          </cell>
          <cell r="M1833" t="str">
            <v>M</v>
          </cell>
          <cell r="AC1833">
            <v>1</v>
          </cell>
        </row>
        <row r="1834">
          <cell r="A1834" t="str">
            <v>IS_alqt_plus</v>
          </cell>
          <cell r="K1834" t="str">
            <v>PCOQ</v>
          </cell>
          <cell r="M1834" t="str">
            <v>F</v>
          </cell>
          <cell r="AC1834">
            <v>1.5</v>
          </cell>
        </row>
        <row r="1835">
          <cell r="A1835" t="str">
            <v>IS_alqt_plus</v>
          </cell>
          <cell r="K1835" t="str">
            <v>LCAT</v>
          </cell>
          <cell r="M1835" t="str">
            <v>F</v>
          </cell>
          <cell r="AC1835">
            <v>1</v>
          </cell>
        </row>
        <row r="1836">
          <cell r="A1836" t="str">
            <v>IS_alqt_minus</v>
          </cell>
          <cell r="K1836" t="str">
            <v>PCOQ</v>
          </cell>
          <cell r="M1836" t="str">
            <v>F</v>
          </cell>
          <cell r="AC1836">
            <v>0.4</v>
          </cell>
        </row>
        <row r="1837">
          <cell r="A1837" t="str">
            <v>IS_alqt_plus</v>
          </cell>
          <cell r="K1837" t="str">
            <v>PCOQ</v>
          </cell>
          <cell r="M1837" t="str">
            <v>F</v>
          </cell>
          <cell r="AC1837">
            <v>1.4</v>
          </cell>
        </row>
        <row r="1838">
          <cell r="A1838" t="str">
            <v>gone</v>
          </cell>
          <cell r="K1838" t="str">
            <v>PCOQ</v>
          </cell>
          <cell r="M1838" t="str">
            <v>M</v>
          </cell>
          <cell r="AC1838">
            <v>1</v>
          </cell>
        </row>
        <row r="1839">
          <cell r="A1839" t="str">
            <v>unk</v>
          </cell>
          <cell r="K1839" t="str">
            <v>PCOQ</v>
          </cell>
          <cell r="M1839" t="str">
            <v>M</v>
          </cell>
          <cell r="AC1839">
            <v>1</v>
          </cell>
        </row>
        <row r="1840">
          <cell r="A1840" t="str">
            <v>unk</v>
          </cell>
          <cell r="K1840" t="str">
            <v>PCOQ</v>
          </cell>
          <cell r="M1840" t="str">
            <v>M</v>
          </cell>
          <cell r="AC1840">
            <v>1</v>
          </cell>
        </row>
        <row r="1841">
          <cell r="A1841" t="str">
            <v>unk</v>
          </cell>
          <cell r="K1841" t="str">
            <v>PCOQ</v>
          </cell>
          <cell r="M1841" t="str">
            <v>M</v>
          </cell>
          <cell r="AC1841">
            <v>1</v>
          </cell>
        </row>
        <row r="1842">
          <cell r="A1842" t="str">
            <v>unk</v>
          </cell>
          <cell r="K1842" t="str">
            <v>PCOQ</v>
          </cell>
          <cell r="M1842" t="str">
            <v>M</v>
          </cell>
          <cell r="AC1842">
            <v>1</v>
          </cell>
        </row>
        <row r="1843">
          <cell r="A1843" t="str">
            <v>unk</v>
          </cell>
          <cell r="K1843" t="str">
            <v>PCOQ</v>
          </cell>
          <cell r="M1843" t="str">
            <v>M</v>
          </cell>
          <cell r="AC1843">
            <v>1</v>
          </cell>
        </row>
        <row r="1844">
          <cell r="A1844" t="str">
            <v>unk</v>
          </cell>
          <cell r="K1844" t="str">
            <v>PCOQ</v>
          </cell>
          <cell r="M1844" t="str">
            <v>M</v>
          </cell>
          <cell r="AC1844">
            <v>1</v>
          </cell>
        </row>
        <row r="1845">
          <cell r="A1845" t="str">
            <v>unk</v>
          </cell>
          <cell r="K1845" t="str">
            <v>PCOQ</v>
          </cell>
          <cell r="M1845" t="str">
            <v>M</v>
          </cell>
          <cell r="AC1845">
            <v>0.2</v>
          </cell>
        </row>
        <row r="1846">
          <cell r="A1846" t="str">
            <v>unk</v>
          </cell>
          <cell r="K1846" t="str">
            <v>PCOQ</v>
          </cell>
          <cell r="M1846" t="str">
            <v>M</v>
          </cell>
          <cell r="AC1846">
            <v>0.2</v>
          </cell>
        </row>
        <row r="1847">
          <cell r="A1847" t="str">
            <v>unk</v>
          </cell>
          <cell r="K1847" t="str">
            <v>PCOQ</v>
          </cell>
          <cell r="M1847" t="str">
            <v>M</v>
          </cell>
          <cell r="AC1847">
            <v>0.2</v>
          </cell>
        </row>
        <row r="1848">
          <cell r="A1848" t="str">
            <v>unk</v>
          </cell>
          <cell r="K1848" t="str">
            <v>PCOQ</v>
          </cell>
          <cell r="M1848" t="str">
            <v>M</v>
          </cell>
          <cell r="AC1848">
            <v>0.2</v>
          </cell>
        </row>
        <row r="1849">
          <cell r="A1849" t="str">
            <v>unk</v>
          </cell>
          <cell r="K1849" t="str">
            <v>PCOQ</v>
          </cell>
          <cell r="M1849" t="str">
            <v>M</v>
          </cell>
          <cell r="AC1849">
            <v>0.2</v>
          </cell>
        </row>
        <row r="1850">
          <cell r="A1850" t="str">
            <v>unk</v>
          </cell>
          <cell r="K1850" t="str">
            <v>PCOQ</v>
          </cell>
          <cell r="M1850" t="str">
            <v>M</v>
          </cell>
          <cell r="AC1850">
            <v>0.2</v>
          </cell>
        </row>
        <row r="1851">
          <cell r="A1851" t="str">
            <v>unk</v>
          </cell>
          <cell r="K1851" t="str">
            <v>PCOQ</v>
          </cell>
          <cell r="M1851" t="str">
            <v>M</v>
          </cell>
          <cell r="AC1851">
            <v>0.2</v>
          </cell>
        </row>
        <row r="1852">
          <cell r="A1852" t="str">
            <v>unk</v>
          </cell>
          <cell r="K1852" t="str">
            <v>PCOQ</v>
          </cell>
          <cell r="M1852" t="str">
            <v>M</v>
          </cell>
          <cell r="AC1852">
            <v>0.2</v>
          </cell>
        </row>
        <row r="1853">
          <cell r="A1853" t="str">
            <v>unk</v>
          </cell>
          <cell r="K1853" t="str">
            <v>PCOQ</v>
          </cell>
          <cell r="M1853" t="str">
            <v>M</v>
          </cell>
          <cell r="AC1853">
            <v>0.2</v>
          </cell>
        </row>
        <row r="1854">
          <cell r="A1854" t="str">
            <v>unk</v>
          </cell>
          <cell r="K1854" t="str">
            <v>PCOQ</v>
          </cell>
          <cell r="M1854" t="str">
            <v>M</v>
          </cell>
          <cell r="AC1854">
            <v>0.2</v>
          </cell>
        </row>
        <row r="1855">
          <cell r="A1855" t="str">
            <v>IS_alqt_plus</v>
          </cell>
          <cell r="K1855" t="str">
            <v>DMAD</v>
          </cell>
          <cell r="M1855" t="str">
            <v>F</v>
          </cell>
          <cell r="AC1855">
            <v>1.5</v>
          </cell>
        </row>
        <row r="1856">
          <cell r="A1856" t="str">
            <v>IS_alqt_plus</v>
          </cell>
          <cell r="K1856" t="str">
            <v>DMAD</v>
          </cell>
          <cell r="M1856" t="str">
            <v>F</v>
          </cell>
          <cell r="AC1856">
            <v>1.5</v>
          </cell>
        </row>
        <row r="1857">
          <cell r="A1857" t="str">
            <v>IS_alqt_plus</v>
          </cell>
          <cell r="K1857" t="str">
            <v>EFLA</v>
          </cell>
          <cell r="M1857" t="str">
            <v>F</v>
          </cell>
          <cell r="AC1857">
            <v>1.5</v>
          </cell>
        </row>
        <row r="1858">
          <cell r="A1858" t="str">
            <v>IS_alqt_plus</v>
          </cell>
          <cell r="K1858" t="str">
            <v>EFLA</v>
          </cell>
          <cell r="M1858" t="str">
            <v>F</v>
          </cell>
          <cell r="AC1858">
            <v>1.5</v>
          </cell>
        </row>
        <row r="1859">
          <cell r="A1859" t="str">
            <v>IS_alqt_plus</v>
          </cell>
          <cell r="K1859" t="str">
            <v>LCAT</v>
          </cell>
          <cell r="M1859" t="str">
            <v>F</v>
          </cell>
          <cell r="AC1859">
            <v>0.5</v>
          </cell>
        </row>
        <row r="1860">
          <cell r="A1860" t="str">
            <v>IS_alqt_plus</v>
          </cell>
          <cell r="K1860" t="str">
            <v>LCAT</v>
          </cell>
          <cell r="M1860" t="str">
            <v>F</v>
          </cell>
          <cell r="AC1860">
            <v>0.5</v>
          </cell>
        </row>
        <row r="1861">
          <cell r="A1861" t="str">
            <v>IS_alqt_plus</v>
          </cell>
          <cell r="K1861" t="str">
            <v>LCAT</v>
          </cell>
          <cell r="M1861" t="str">
            <v>F</v>
          </cell>
          <cell r="AC1861">
            <v>1</v>
          </cell>
        </row>
        <row r="1862">
          <cell r="A1862" t="str">
            <v>IS_alqt_plus</v>
          </cell>
          <cell r="K1862" t="str">
            <v>LCAT</v>
          </cell>
          <cell r="M1862" t="str">
            <v>F</v>
          </cell>
          <cell r="AC1862">
            <v>0.5</v>
          </cell>
        </row>
        <row r="1863">
          <cell r="A1863" t="str">
            <v>IS_alqt_plus</v>
          </cell>
          <cell r="K1863" t="str">
            <v>LCAT</v>
          </cell>
          <cell r="M1863" t="str">
            <v>F</v>
          </cell>
          <cell r="AC1863">
            <v>1</v>
          </cell>
        </row>
        <row r="1864">
          <cell r="A1864" t="str">
            <v>IS_alqt_plus</v>
          </cell>
          <cell r="K1864" t="str">
            <v>LCAT</v>
          </cell>
          <cell r="M1864" t="str">
            <v>F</v>
          </cell>
          <cell r="AC1864">
            <v>0.7</v>
          </cell>
        </row>
        <row r="1865">
          <cell r="A1865" t="str">
            <v>IS_alqt_plus</v>
          </cell>
          <cell r="K1865" t="str">
            <v>LCAT</v>
          </cell>
          <cell r="M1865" t="str">
            <v>F</v>
          </cell>
          <cell r="AC1865">
            <v>0.5</v>
          </cell>
        </row>
        <row r="1866">
          <cell r="A1866" t="str">
            <v>IS_alqt_plus</v>
          </cell>
          <cell r="K1866" t="str">
            <v>LCAT</v>
          </cell>
          <cell r="M1866" t="str">
            <v>F</v>
          </cell>
          <cell r="AC1866">
            <v>1</v>
          </cell>
        </row>
        <row r="1867">
          <cell r="A1867" t="str">
            <v>IS_alqt_plus</v>
          </cell>
          <cell r="K1867" t="str">
            <v>LCAT</v>
          </cell>
          <cell r="M1867" t="str">
            <v>F</v>
          </cell>
          <cell r="AC1867">
            <v>0.75</v>
          </cell>
        </row>
        <row r="1868">
          <cell r="A1868" t="str">
            <v>IS_alqt_plus</v>
          </cell>
          <cell r="K1868" t="str">
            <v>LCAT</v>
          </cell>
          <cell r="M1868" t="str">
            <v>F</v>
          </cell>
          <cell r="AC1868">
            <v>0.5</v>
          </cell>
        </row>
        <row r="1869">
          <cell r="A1869" t="str">
            <v>IS_alqt_plus</v>
          </cell>
          <cell r="K1869" t="str">
            <v>LCAT</v>
          </cell>
          <cell r="M1869" t="str">
            <v>F</v>
          </cell>
          <cell r="AC1869">
            <v>0.5</v>
          </cell>
        </row>
        <row r="1870">
          <cell r="A1870" t="str">
            <v>IS_alqt_plus</v>
          </cell>
          <cell r="K1870" t="str">
            <v>LCAT</v>
          </cell>
          <cell r="M1870" t="str">
            <v>F</v>
          </cell>
          <cell r="AC1870">
            <v>0.5</v>
          </cell>
        </row>
        <row r="1871">
          <cell r="A1871" t="str">
            <v>IS_alqt_plus</v>
          </cell>
          <cell r="K1871" t="str">
            <v>LCAT</v>
          </cell>
          <cell r="M1871" t="str">
            <v>F</v>
          </cell>
          <cell r="AC1871">
            <v>0.5</v>
          </cell>
        </row>
        <row r="1872">
          <cell r="A1872" t="str">
            <v>gone</v>
          </cell>
          <cell r="K1872" t="str">
            <v>LCAT</v>
          </cell>
          <cell r="M1872" t="str">
            <v>F</v>
          </cell>
          <cell r="AC1872">
            <v>0</v>
          </cell>
        </row>
        <row r="1873">
          <cell r="A1873" t="str">
            <v>IS_alqt_plus</v>
          </cell>
          <cell r="K1873" t="str">
            <v>LCAT</v>
          </cell>
          <cell r="M1873" t="str">
            <v>F</v>
          </cell>
          <cell r="AC1873">
            <v>0.7</v>
          </cell>
        </row>
        <row r="1874">
          <cell r="A1874" t="str">
            <v>IS_alqt_plus</v>
          </cell>
          <cell r="K1874" t="str">
            <v>LCAT</v>
          </cell>
          <cell r="M1874" t="str">
            <v>F</v>
          </cell>
          <cell r="AC1874">
            <v>1</v>
          </cell>
        </row>
        <row r="1875">
          <cell r="A1875" t="str">
            <v>IS_alqt_plus</v>
          </cell>
          <cell r="K1875" t="str">
            <v>LCAT</v>
          </cell>
          <cell r="M1875" t="str">
            <v>F</v>
          </cell>
          <cell r="AC1875">
            <v>1</v>
          </cell>
        </row>
        <row r="1876">
          <cell r="A1876" t="str">
            <v>IS_alqt_plus</v>
          </cell>
          <cell r="K1876" t="str">
            <v>LCAT</v>
          </cell>
          <cell r="M1876" t="str">
            <v>F</v>
          </cell>
          <cell r="AC1876">
            <v>1.25</v>
          </cell>
        </row>
        <row r="1877">
          <cell r="A1877" t="str">
            <v>IS_alqt_plus</v>
          </cell>
          <cell r="K1877" t="str">
            <v>LCAT</v>
          </cell>
          <cell r="M1877" t="str">
            <v>F</v>
          </cell>
          <cell r="AC1877">
            <v>1.25</v>
          </cell>
        </row>
        <row r="1878">
          <cell r="A1878" t="str">
            <v>IS_alqt_plus</v>
          </cell>
          <cell r="K1878" t="str">
            <v>LCAT</v>
          </cell>
          <cell r="M1878" t="str">
            <v>F</v>
          </cell>
          <cell r="AC1878">
            <v>1.25</v>
          </cell>
        </row>
        <row r="1879">
          <cell r="A1879" t="str">
            <v>IS_alqt_plus</v>
          </cell>
          <cell r="K1879" t="str">
            <v>VVV</v>
          </cell>
          <cell r="M1879" t="str">
            <v>F</v>
          </cell>
          <cell r="AC1879">
            <v>1.2</v>
          </cell>
        </row>
        <row r="1880">
          <cell r="A1880" t="str">
            <v>IS_alqt_plus</v>
          </cell>
          <cell r="K1880" t="str">
            <v>VVV</v>
          </cell>
          <cell r="M1880" t="str">
            <v>F</v>
          </cell>
          <cell r="AC1880">
            <v>1</v>
          </cell>
        </row>
        <row r="1881">
          <cell r="A1881" t="str">
            <v>IS_alqt_plus</v>
          </cell>
          <cell r="K1881" t="str">
            <v>LCAT</v>
          </cell>
          <cell r="M1881" t="str">
            <v>F</v>
          </cell>
          <cell r="AC1881">
            <v>0.5</v>
          </cell>
        </row>
        <row r="1882">
          <cell r="A1882" t="str">
            <v>IS_alqt_plus</v>
          </cell>
          <cell r="K1882" t="str">
            <v>LCAT</v>
          </cell>
          <cell r="M1882" t="str">
            <v>F</v>
          </cell>
          <cell r="AC1882">
            <v>0.5</v>
          </cell>
        </row>
        <row r="1883">
          <cell r="A1883" t="str">
            <v>IS_alqt_plus</v>
          </cell>
          <cell r="K1883" t="str">
            <v>LCAT</v>
          </cell>
          <cell r="M1883" t="str">
            <v>F</v>
          </cell>
          <cell r="AC1883">
            <v>0.5</v>
          </cell>
        </row>
        <row r="1884">
          <cell r="A1884" t="str">
            <v>IS_alqt_plus</v>
          </cell>
          <cell r="K1884" t="str">
            <v>LCAT</v>
          </cell>
          <cell r="M1884" t="str">
            <v>F</v>
          </cell>
          <cell r="AC1884">
            <v>1</v>
          </cell>
        </row>
        <row r="1885">
          <cell r="A1885" t="str">
            <v>IS_alqt_plus</v>
          </cell>
          <cell r="K1885" t="str">
            <v>LCAT</v>
          </cell>
          <cell r="M1885" t="str">
            <v>F</v>
          </cell>
          <cell r="AC1885">
            <v>1</v>
          </cell>
        </row>
        <row r="1886">
          <cell r="A1886" t="str">
            <v>gone</v>
          </cell>
          <cell r="K1886" t="str">
            <v>LCAT</v>
          </cell>
          <cell r="M1886" t="str">
            <v>F</v>
          </cell>
          <cell r="AC1886">
            <v>0</v>
          </cell>
        </row>
        <row r="1887">
          <cell r="A1887" t="str">
            <v>gone</v>
          </cell>
          <cell r="K1887" t="str">
            <v>LCAT</v>
          </cell>
          <cell r="M1887" t="str">
            <v>F</v>
          </cell>
          <cell r="AC1887">
            <v>0</v>
          </cell>
        </row>
        <row r="1888">
          <cell r="A1888" t="str">
            <v>gone</v>
          </cell>
          <cell r="K1888" t="str">
            <v>LCAT</v>
          </cell>
          <cell r="M1888" t="str">
            <v>F</v>
          </cell>
          <cell r="AC1888">
            <v>0</v>
          </cell>
        </row>
        <row r="1889">
          <cell r="A1889" t="str">
            <v>gone</v>
          </cell>
          <cell r="K1889" t="str">
            <v>LCAT</v>
          </cell>
          <cell r="M1889" t="str">
            <v>F</v>
          </cell>
          <cell r="AC1889">
            <v>0</v>
          </cell>
        </row>
        <row r="1890">
          <cell r="A1890" t="str">
            <v>gone</v>
          </cell>
          <cell r="K1890" t="str">
            <v>LCAT</v>
          </cell>
          <cell r="M1890" t="str">
            <v>F</v>
          </cell>
          <cell r="AC1890">
            <v>0</v>
          </cell>
        </row>
        <row r="1891">
          <cell r="A1891" t="str">
            <v>gone</v>
          </cell>
          <cell r="K1891" t="str">
            <v>LCAT</v>
          </cell>
          <cell r="M1891" t="str">
            <v>F</v>
          </cell>
          <cell r="AC1891">
            <v>0</v>
          </cell>
        </row>
        <row r="1892">
          <cell r="A1892" t="str">
            <v>gone</v>
          </cell>
          <cell r="K1892" t="str">
            <v>LCAT</v>
          </cell>
          <cell r="M1892" t="str">
            <v>F</v>
          </cell>
          <cell r="AC1892">
            <v>0</v>
          </cell>
        </row>
        <row r="1893">
          <cell r="A1893" t="str">
            <v>IS_alqt_plus</v>
          </cell>
          <cell r="K1893" t="str">
            <v>VVV</v>
          </cell>
          <cell r="M1893" t="str">
            <v>F</v>
          </cell>
          <cell r="AC1893">
            <v>0.5</v>
          </cell>
        </row>
        <row r="1894">
          <cell r="A1894" t="str">
            <v>IS_alqt_plus</v>
          </cell>
          <cell r="K1894" t="str">
            <v>VVV</v>
          </cell>
          <cell r="M1894" t="str">
            <v>F</v>
          </cell>
          <cell r="AC1894">
            <v>0.5</v>
          </cell>
        </row>
        <row r="1895">
          <cell r="A1895" t="str">
            <v>IS_alqt_plus</v>
          </cell>
          <cell r="K1895" t="str">
            <v>VVV</v>
          </cell>
          <cell r="M1895" t="str">
            <v>F</v>
          </cell>
          <cell r="AC1895">
            <v>0.5</v>
          </cell>
        </row>
        <row r="1896">
          <cell r="A1896" t="str">
            <v>IS_alqt_plus</v>
          </cell>
          <cell r="K1896" t="str">
            <v>VVV</v>
          </cell>
          <cell r="M1896" t="str">
            <v>F</v>
          </cell>
          <cell r="AC1896">
            <v>0.5</v>
          </cell>
        </row>
        <row r="1897">
          <cell r="A1897" t="str">
            <v>IS_alqt_plus</v>
          </cell>
          <cell r="K1897" t="str">
            <v>VVV</v>
          </cell>
          <cell r="M1897" t="str">
            <v>F</v>
          </cell>
          <cell r="AC1897">
            <v>0.5</v>
          </cell>
        </row>
        <row r="1898">
          <cell r="A1898" t="str">
            <v>IS_alqt_plus</v>
          </cell>
          <cell r="K1898" t="str">
            <v>VVV</v>
          </cell>
          <cell r="M1898" t="str">
            <v>F</v>
          </cell>
          <cell r="AC1898">
            <v>0.5</v>
          </cell>
        </row>
        <row r="1899">
          <cell r="A1899" t="str">
            <v>IS_alqt_plus</v>
          </cell>
          <cell r="K1899" t="str">
            <v>VVV</v>
          </cell>
          <cell r="M1899" t="str">
            <v>F</v>
          </cell>
          <cell r="AC1899">
            <v>0.5</v>
          </cell>
        </row>
        <row r="1900">
          <cell r="A1900" t="str">
            <v>IS_alqt_plus</v>
          </cell>
          <cell r="K1900" t="str">
            <v>VVV</v>
          </cell>
          <cell r="M1900" t="str">
            <v>F</v>
          </cell>
          <cell r="AC1900">
            <v>0.5</v>
          </cell>
        </row>
        <row r="1901">
          <cell r="A1901" t="str">
            <v>IS_alqt_plus</v>
          </cell>
          <cell r="K1901" t="str">
            <v>VVV</v>
          </cell>
          <cell r="M1901" t="str">
            <v>F</v>
          </cell>
          <cell r="AC1901">
            <v>0.5</v>
          </cell>
        </row>
        <row r="1902">
          <cell r="A1902" t="str">
            <v>IS_alqt_plus</v>
          </cell>
          <cell r="K1902" t="str">
            <v>LCAT</v>
          </cell>
          <cell r="M1902" t="str">
            <v>M</v>
          </cell>
          <cell r="AC1902">
            <v>0.6</v>
          </cell>
        </row>
        <row r="1903">
          <cell r="A1903" t="str">
            <v>IS_alqt_plus</v>
          </cell>
          <cell r="K1903" t="str">
            <v>LCAT</v>
          </cell>
          <cell r="M1903" t="str">
            <v>M</v>
          </cell>
          <cell r="AC1903">
            <v>1.3</v>
          </cell>
        </row>
        <row r="1904">
          <cell r="A1904" t="str">
            <v>IS_alqt_plus</v>
          </cell>
          <cell r="K1904" t="str">
            <v>LCAT</v>
          </cell>
          <cell r="M1904" t="str">
            <v>M</v>
          </cell>
          <cell r="AC1904">
            <v>0.5</v>
          </cell>
        </row>
        <row r="1905">
          <cell r="A1905" t="str">
            <v>IS_alqt_plus</v>
          </cell>
          <cell r="K1905" t="str">
            <v>LCAT</v>
          </cell>
          <cell r="M1905" t="str">
            <v>M</v>
          </cell>
          <cell r="AC1905">
            <v>1.5</v>
          </cell>
        </row>
        <row r="1906">
          <cell r="A1906" t="str">
            <v>IS_alqt_plus</v>
          </cell>
          <cell r="K1906" t="str">
            <v>VVV</v>
          </cell>
          <cell r="M1906" t="str">
            <v>M</v>
          </cell>
          <cell r="AC1906">
            <v>2</v>
          </cell>
        </row>
        <row r="1907">
          <cell r="A1907" t="str">
            <v>IS_alqt_plus</v>
          </cell>
          <cell r="K1907" t="str">
            <v>VVV</v>
          </cell>
          <cell r="M1907" t="str">
            <v>M</v>
          </cell>
          <cell r="AC1907">
            <v>0.5</v>
          </cell>
        </row>
        <row r="1908">
          <cell r="A1908" t="str">
            <v>IS_alqt_plus</v>
          </cell>
          <cell r="K1908" t="str">
            <v>VVV</v>
          </cell>
          <cell r="M1908" t="str">
            <v>M</v>
          </cell>
          <cell r="AC1908">
            <v>0.5</v>
          </cell>
        </row>
        <row r="1909">
          <cell r="A1909" t="str">
            <v>IS_alqt_plus</v>
          </cell>
          <cell r="K1909" t="str">
            <v>VVV</v>
          </cell>
          <cell r="M1909" t="str">
            <v>M</v>
          </cell>
          <cell r="AC1909">
            <v>0.5</v>
          </cell>
        </row>
        <row r="1910">
          <cell r="A1910" t="str">
            <v>IS_alqt_plus</v>
          </cell>
          <cell r="K1910" t="str">
            <v>VVV</v>
          </cell>
          <cell r="M1910" t="str">
            <v>M</v>
          </cell>
          <cell r="AC1910">
            <v>0.5</v>
          </cell>
        </row>
        <row r="1911">
          <cell r="A1911" t="str">
            <v>IS_alqt_plus</v>
          </cell>
          <cell r="K1911" t="str">
            <v>VVV</v>
          </cell>
          <cell r="M1911" t="str">
            <v>M</v>
          </cell>
          <cell r="AC1911">
            <v>0.5</v>
          </cell>
        </row>
        <row r="1912">
          <cell r="A1912" t="str">
            <v>IS_alqt_plus</v>
          </cell>
          <cell r="K1912" t="str">
            <v>VVV</v>
          </cell>
          <cell r="M1912" t="str">
            <v>M</v>
          </cell>
          <cell r="AC1912">
            <v>0.5</v>
          </cell>
        </row>
        <row r="1913">
          <cell r="A1913" t="str">
            <v>IS_alqt_plus</v>
          </cell>
          <cell r="K1913" t="str">
            <v>VVV</v>
          </cell>
          <cell r="M1913" t="str">
            <v>M</v>
          </cell>
          <cell r="AC1913">
            <v>0.5</v>
          </cell>
        </row>
        <row r="1914">
          <cell r="A1914" t="str">
            <v>IS_alqt_plus</v>
          </cell>
          <cell r="K1914" t="str">
            <v>VVV</v>
          </cell>
          <cell r="M1914" t="str">
            <v>M</v>
          </cell>
          <cell r="AC1914">
            <v>0.5</v>
          </cell>
        </row>
        <row r="1915">
          <cell r="A1915" t="str">
            <v>IS_alqt_plus</v>
          </cell>
          <cell r="K1915" t="str">
            <v>VVV</v>
          </cell>
          <cell r="M1915" t="str">
            <v>M</v>
          </cell>
          <cell r="AC1915">
            <v>0.5</v>
          </cell>
        </row>
        <row r="1916">
          <cell r="A1916" t="str">
            <v>IS_alqt_plus</v>
          </cell>
          <cell r="K1916" t="str">
            <v>VVV</v>
          </cell>
          <cell r="M1916" t="str">
            <v>M</v>
          </cell>
          <cell r="AC1916">
            <v>0.5</v>
          </cell>
        </row>
        <row r="1917">
          <cell r="A1917" t="str">
            <v>IS_alqt_plus</v>
          </cell>
          <cell r="K1917" t="str">
            <v>VVV</v>
          </cell>
          <cell r="M1917" t="str">
            <v>M</v>
          </cell>
          <cell r="AC1917">
            <v>0.5</v>
          </cell>
        </row>
        <row r="1918">
          <cell r="A1918" t="str">
            <v>IS_alqt_plus</v>
          </cell>
          <cell r="K1918" t="str">
            <v>VVV</v>
          </cell>
          <cell r="M1918" t="str">
            <v>M</v>
          </cell>
          <cell r="AC1918">
            <v>0.5</v>
          </cell>
        </row>
        <row r="1919">
          <cell r="A1919" t="str">
            <v>IS_alqt_plus</v>
          </cell>
          <cell r="K1919" t="str">
            <v>VVV</v>
          </cell>
          <cell r="M1919" t="str">
            <v>M</v>
          </cell>
          <cell r="AC1919">
            <v>0.5</v>
          </cell>
        </row>
        <row r="1920">
          <cell r="A1920" t="str">
            <v>IS_alqt_plus</v>
          </cell>
          <cell r="K1920" t="str">
            <v>VVV</v>
          </cell>
          <cell r="M1920" t="str">
            <v>M</v>
          </cell>
          <cell r="AC1920">
            <v>0.5</v>
          </cell>
        </row>
        <row r="1921">
          <cell r="A1921" t="str">
            <v>IS_alqt_plus</v>
          </cell>
          <cell r="K1921" t="str">
            <v>VVV</v>
          </cell>
          <cell r="M1921" t="str">
            <v>M</v>
          </cell>
          <cell r="AC1921">
            <v>0.5</v>
          </cell>
        </row>
        <row r="1922">
          <cell r="A1922" t="str">
            <v>unk</v>
          </cell>
          <cell r="K1922" t="str">
            <v>VVV</v>
          </cell>
          <cell r="M1922" t="str">
            <v>M</v>
          </cell>
          <cell r="AC1922">
            <v>4</v>
          </cell>
        </row>
        <row r="1923">
          <cell r="A1923" t="str">
            <v>IS_alqt_plus</v>
          </cell>
          <cell r="K1923" t="str">
            <v>LCAT</v>
          </cell>
          <cell r="M1923" t="str">
            <v>F</v>
          </cell>
          <cell r="AC1923">
            <v>1.5</v>
          </cell>
        </row>
        <row r="1924">
          <cell r="A1924" t="str">
            <v>IS_alqt_minus</v>
          </cell>
          <cell r="K1924" t="str">
            <v>LCAT</v>
          </cell>
          <cell r="M1924" t="str">
            <v>F</v>
          </cell>
          <cell r="AC1924">
            <v>0.2</v>
          </cell>
        </row>
        <row r="1925">
          <cell r="A1925" t="str">
            <v>IS_alqt_plus</v>
          </cell>
          <cell r="K1925" t="str">
            <v>LCAT</v>
          </cell>
          <cell r="M1925" t="str">
            <v>F</v>
          </cell>
          <cell r="AC1925">
            <v>0.5</v>
          </cell>
        </row>
        <row r="1926">
          <cell r="A1926" t="str">
            <v>IS_alqt_minus</v>
          </cell>
          <cell r="K1926" t="str">
            <v>LCAT</v>
          </cell>
          <cell r="M1926" t="str">
            <v>F</v>
          </cell>
          <cell r="AC1926">
            <v>0.2</v>
          </cell>
        </row>
        <row r="1927">
          <cell r="A1927" t="str">
            <v>IS_alqt_minus</v>
          </cell>
          <cell r="K1927" t="str">
            <v>LCAT</v>
          </cell>
          <cell r="M1927" t="str">
            <v>F</v>
          </cell>
          <cell r="AC1927">
            <v>0.2</v>
          </cell>
        </row>
        <row r="1928">
          <cell r="A1928" t="str">
            <v>IS_alqt_plus</v>
          </cell>
          <cell r="K1928" t="str">
            <v>LCAT</v>
          </cell>
          <cell r="M1928" t="str">
            <v>F</v>
          </cell>
          <cell r="AC1928">
            <v>0.5</v>
          </cell>
        </row>
        <row r="1929">
          <cell r="A1929" t="str">
            <v>IS_alqt_plus</v>
          </cell>
          <cell r="K1929" t="str">
            <v>LCAT</v>
          </cell>
          <cell r="M1929" t="str">
            <v>F</v>
          </cell>
          <cell r="AC1929">
            <v>0.5</v>
          </cell>
        </row>
        <row r="1930">
          <cell r="A1930" t="str">
            <v>IS_alqt_minus</v>
          </cell>
          <cell r="K1930" t="str">
            <v>LCAT</v>
          </cell>
          <cell r="M1930" t="str">
            <v>F</v>
          </cell>
          <cell r="AC1930">
            <v>0.2</v>
          </cell>
        </row>
        <row r="1931">
          <cell r="A1931" t="str">
            <v>IS_alqt_minus</v>
          </cell>
          <cell r="K1931" t="str">
            <v>LCAT</v>
          </cell>
          <cell r="M1931" t="str">
            <v>F</v>
          </cell>
          <cell r="AC1931">
            <v>0.2</v>
          </cell>
        </row>
        <row r="1932">
          <cell r="A1932" t="str">
            <v>IS_alqt_minus</v>
          </cell>
          <cell r="K1932" t="str">
            <v>LCAT</v>
          </cell>
          <cell r="M1932" t="str">
            <v>F</v>
          </cell>
          <cell r="AC1932">
            <v>0.2</v>
          </cell>
        </row>
        <row r="1933">
          <cell r="A1933" t="str">
            <v>IS_alqt_minus</v>
          </cell>
          <cell r="K1933" t="str">
            <v>LCAT</v>
          </cell>
          <cell r="M1933" t="str">
            <v>F</v>
          </cell>
          <cell r="AC1933">
            <v>0.2</v>
          </cell>
        </row>
        <row r="1934">
          <cell r="A1934" t="str">
            <v>IS_alqt_minus</v>
          </cell>
          <cell r="K1934" t="str">
            <v>LCAT</v>
          </cell>
          <cell r="M1934" t="str">
            <v>F</v>
          </cell>
          <cell r="AC1934">
            <v>0.2</v>
          </cell>
        </row>
        <row r="1935">
          <cell r="A1935" t="str">
            <v>IS_alqt_plus</v>
          </cell>
          <cell r="K1935" t="str">
            <v>LCAT</v>
          </cell>
          <cell r="M1935" t="str">
            <v>F</v>
          </cell>
          <cell r="AC1935">
            <v>1</v>
          </cell>
        </row>
        <row r="1936">
          <cell r="A1936" t="str">
            <v>IS_alqt_plus</v>
          </cell>
          <cell r="K1936" t="str">
            <v>LCAT</v>
          </cell>
          <cell r="M1936" t="str">
            <v>F</v>
          </cell>
          <cell r="AC1936">
            <v>1</v>
          </cell>
        </row>
        <row r="1937">
          <cell r="A1937" t="str">
            <v>IS_alqt_plus</v>
          </cell>
          <cell r="K1937" t="str">
            <v>LCAT</v>
          </cell>
          <cell r="M1937" t="str">
            <v>F</v>
          </cell>
          <cell r="AC1937">
            <v>1</v>
          </cell>
        </row>
        <row r="1938">
          <cell r="A1938" t="str">
            <v>IS_alqt_plus</v>
          </cell>
          <cell r="K1938" t="str">
            <v>LCAT</v>
          </cell>
          <cell r="M1938" t="str">
            <v>F</v>
          </cell>
          <cell r="AC1938">
            <v>1</v>
          </cell>
        </row>
        <row r="1939">
          <cell r="A1939" t="str">
            <v>IS_alqt_plus</v>
          </cell>
          <cell r="K1939" t="str">
            <v>LCAT</v>
          </cell>
          <cell r="M1939" t="str">
            <v>F</v>
          </cell>
          <cell r="AC1939">
            <v>1</v>
          </cell>
        </row>
        <row r="1940">
          <cell r="A1940" t="str">
            <v>gone</v>
          </cell>
          <cell r="K1940" t="str">
            <v>LCAT</v>
          </cell>
          <cell r="M1940" t="str">
            <v>F</v>
          </cell>
          <cell r="AC1940">
            <v>0</v>
          </cell>
        </row>
        <row r="1941">
          <cell r="A1941" t="str">
            <v>IS_alqt_plus</v>
          </cell>
          <cell r="K1941" t="str">
            <v>LCAT</v>
          </cell>
          <cell r="M1941" t="str">
            <v>F</v>
          </cell>
          <cell r="AC1941">
            <v>1.2</v>
          </cell>
        </row>
        <row r="1942">
          <cell r="A1942" t="str">
            <v>IS_alqt_plus</v>
          </cell>
          <cell r="K1942" t="str">
            <v>LCAT</v>
          </cell>
          <cell r="M1942" t="str">
            <v>F</v>
          </cell>
          <cell r="AC1942">
            <v>0.5</v>
          </cell>
        </row>
        <row r="1943">
          <cell r="A1943" t="str">
            <v>IS_alqt_plus</v>
          </cell>
          <cell r="K1943" t="str">
            <v>LCAT</v>
          </cell>
          <cell r="M1943" t="str">
            <v>F</v>
          </cell>
          <cell r="AC1943">
            <v>0.5</v>
          </cell>
        </row>
        <row r="1944">
          <cell r="A1944" t="str">
            <v>IS_alqt_minus</v>
          </cell>
          <cell r="K1944" t="str">
            <v>VRUB</v>
          </cell>
          <cell r="M1944" t="str">
            <v>M</v>
          </cell>
          <cell r="AC1944">
            <v>0.25</v>
          </cell>
        </row>
        <row r="1945">
          <cell r="A1945" t="str">
            <v>IS_alqt_plus</v>
          </cell>
          <cell r="K1945" t="str">
            <v>VRUB</v>
          </cell>
          <cell r="M1945" t="str">
            <v>M</v>
          </cell>
          <cell r="AC1945">
            <v>1.5</v>
          </cell>
        </row>
        <row r="1946">
          <cell r="A1946" t="str">
            <v>IS_alqt_plus</v>
          </cell>
          <cell r="K1946" t="str">
            <v>VRUB</v>
          </cell>
          <cell r="M1946" t="str">
            <v>M</v>
          </cell>
          <cell r="AC1946">
            <v>1.5</v>
          </cell>
        </row>
        <row r="1947">
          <cell r="A1947" t="str">
            <v>IS_alqt_plus</v>
          </cell>
          <cell r="K1947" t="str">
            <v>VRUB</v>
          </cell>
          <cell r="M1947" t="str">
            <v>M</v>
          </cell>
          <cell r="AC1947">
            <v>1.5</v>
          </cell>
        </row>
        <row r="1948">
          <cell r="A1948" t="str">
            <v>IS_alqt_plus</v>
          </cell>
          <cell r="K1948" t="str">
            <v>VRUB</v>
          </cell>
          <cell r="M1948" t="str">
            <v>M</v>
          </cell>
          <cell r="AC1948">
            <v>1.5</v>
          </cell>
        </row>
        <row r="1949">
          <cell r="A1949" t="str">
            <v>IS_alqt_plus</v>
          </cell>
          <cell r="K1949" t="str">
            <v>VRUB</v>
          </cell>
          <cell r="M1949" t="str">
            <v>M</v>
          </cell>
          <cell r="AC1949">
            <v>1.5</v>
          </cell>
        </row>
        <row r="1950">
          <cell r="A1950" t="str">
            <v>IS_alqt_plus</v>
          </cell>
          <cell r="K1950" t="str">
            <v>VRUB</v>
          </cell>
          <cell r="M1950" t="str">
            <v>M</v>
          </cell>
          <cell r="AC1950">
            <v>1.5</v>
          </cell>
        </row>
        <row r="1951">
          <cell r="A1951" t="str">
            <v>IS_alqt_plus</v>
          </cell>
          <cell r="K1951" t="str">
            <v>VRUB</v>
          </cell>
          <cell r="M1951" t="str">
            <v>M</v>
          </cell>
          <cell r="AC1951">
            <v>0.5</v>
          </cell>
        </row>
        <row r="1952">
          <cell r="A1952" t="str">
            <v>IS_alqt_plus</v>
          </cell>
          <cell r="K1952" t="str">
            <v>VRUB</v>
          </cell>
          <cell r="M1952" t="str">
            <v>M</v>
          </cell>
          <cell r="AC1952">
            <v>1.5</v>
          </cell>
        </row>
        <row r="1953">
          <cell r="A1953" t="str">
            <v>IS_alqt_minus</v>
          </cell>
          <cell r="K1953" t="str">
            <v>VRUB</v>
          </cell>
          <cell r="M1953" t="str">
            <v>M</v>
          </cell>
          <cell r="AC1953">
            <v>0.4</v>
          </cell>
        </row>
        <row r="1954">
          <cell r="A1954" t="str">
            <v>IS_alqt_plus</v>
          </cell>
          <cell r="K1954" t="str">
            <v>VRUB</v>
          </cell>
          <cell r="M1954" t="str">
            <v>M</v>
          </cell>
          <cell r="AC1954">
            <v>1.5</v>
          </cell>
        </row>
        <row r="1955">
          <cell r="A1955" t="str">
            <v>IS_alqt_plus</v>
          </cell>
          <cell r="K1955" t="str">
            <v>VRUB</v>
          </cell>
          <cell r="M1955" t="str">
            <v>M</v>
          </cell>
          <cell r="AC1955">
            <v>1.5</v>
          </cell>
        </row>
        <row r="1956">
          <cell r="A1956" t="str">
            <v>IS_alqt_plus</v>
          </cell>
          <cell r="K1956" t="str">
            <v>VRUB</v>
          </cell>
          <cell r="M1956" t="str">
            <v>F</v>
          </cell>
          <cell r="AC1956">
            <v>0.5</v>
          </cell>
        </row>
        <row r="1957">
          <cell r="A1957" t="str">
            <v>IS_alqt_plus</v>
          </cell>
          <cell r="K1957" t="str">
            <v>LCAT</v>
          </cell>
          <cell r="M1957" t="str">
            <v>M</v>
          </cell>
          <cell r="AC1957">
            <v>0.5</v>
          </cell>
        </row>
        <row r="1958">
          <cell r="A1958" t="str">
            <v>IS_alqt_plus</v>
          </cell>
          <cell r="K1958" t="str">
            <v>LCAT</v>
          </cell>
          <cell r="M1958" t="str">
            <v>M</v>
          </cell>
          <cell r="AC1958">
            <v>0.5</v>
          </cell>
        </row>
        <row r="1959">
          <cell r="A1959" t="str">
            <v>IS_alqt_plus</v>
          </cell>
          <cell r="K1959" t="str">
            <v>LCAT</v>
          </cell>
          <cell r="M1959" t="str">
            <v>M</v>
          </cell>
          <cell r="AC1959">
            <v>0.5</v>
          </cell>
        </row>
        <row r="1960">
          <cell r="A1960" t="str">
            <v>IS_alqt_plus</v>
          </cell>
          <cell r="K1960" t="str">
            <v>LCAT</v>
          </cell>
          <cell r="M1960" t="str">
            <v>M</v>
          </cell>
          <cell r="AC1960">
            <v>1</v>
          </cell>
        </row>
        <row r="1961">
          <cell r="A1961" t="str">
            <v>unk</v>
          </cell>
          <cell r="K1961" t="str">
            <v>LCAT</v>
          </cell>
          <cell r="M1961" t="str">
            <v>M</v>
          </cell>
          <cell r="AC1961">
            <v>0.5</v>
          </cell>
        </row>
        <row r="1962">
          <cell r="A1962" t="str">
            <v>IS_alqt_plus</v>
          </cell>
          <cell r="K1962" t="str">
            <v>LCAT</v>
          </cell>
          <cell r="M1962" t="str">
            <v>M</v>
          </cell>
          <cell r="AC1962">
            <v>0.5</v>
          </cell>
        </row>
        <row r="1963">
          <cell r="A1963" t="str">
            <v>IS_alqt_plus</v>
          </cell>
          <cell r="K1963" t="str">
            <v>LCAT</v>
          </cell>
          <cell r="M1963" t="str">
            <v>M</v>
          </cell>
          <cell r="AC1963">
            <v>0.5</v>
          </cell>
        </row>
        <row r="1964">
          <cell r="A1964" t="str">
            <v>IS_alqt_plus</v>
          </cell>
          <cell r="K1964" t="str">
            <v>LCAT</v>
          </cell>
          <cell r="M1964" t="str">
            <v>M</v>
          </cell>
          <cell r="AC1964">
            <v>0.5</v>
          </cell>
        </row>
        <row r="1965">
          <cell r="A1965" t="str">
            <v>IS_alqt_plus</v>
          </cell>
          <cell r="K1965" t="str">
            <v>LCAT</v>
          </cell>
          <cell r="M1965" t="str">
            <v>M</v>
          </cell>
          <cell r="AC1965">
            <v>0.5</v>
          </cell>
        </row>
        <row r="1966">
          <cell r="A1966" t="str">
            <v>gone</v>
          </cell>
          <cell r="K1966" t="str">
            <v>LCAT</v>
          </cell>
          <cell r="M1966" t="str">
            <v>M</v>
          </cell>
          <cell r="AC1966">
            <v>1</v>
          </cell>
        </row>
        <row r="1967">
          <cell r="A1967" t="str">
            <v>IS_alqt_plus</v>
          </cell>
          <cell r="K1967" t="str">
            <v>VRUB</v>
          </cell>
          <cell r="M1967" t="str">
            <v>F</v>
          </cell>
          <cell r="AC1967">
            <v>1.5</v>
          </cell>
        </row>
        <row r="1968">
          <cell r="A1968" t="str">
            <v>IS_alqt_plus</v>
          </cell>
          <cell r="K1968" t="str">
            <v>VRUB</v>
          </cell>
          <cell r="M1968" t="str">
            <v>F</v>
          </cell>
          <cell r="AC1968">
            <v>1.5</v>
          </cell>
        </row>
        <row r="1969">
          <cell r="A1969" t="str">
            <v>IS_alqt_plus</v>
          </cell>
          <cell r="K1969" t="str">
            <v>VRUB</v>
          </cell>
          <cell r="M1969" t="str">
            <v>F</v>
          </cell>
          <cell r="AC1969">
            <v>1.5</v>
          </cell>
        </row>
        <row r="1970">
          <cell r="A1970" t="str">
            <v>IS_alqt_plus</v>
          </cell>
          <cell r="K1970" t="str">
            <v>VVV</v>
          </cell>
          <cell r="M1970" t="str">
            <v>M</v>
          </cell>
          <cell r="AC1970">
            <v>1.2</v>
          </cell>
        </row>
        <row r="1971">
          <cell r="A1971" t="str">
            <v>IS_alqt_plus</v>
          </cell>
          <cell r="K1971" t="str">
            <v>VVV</v>
          </cell>
          <cell r="M1971" t="str">
            <v>M</v>
          </cell>
          <cell r="AC1971">
            <v>1</v>
          </cell>
        </row>
        <row r="1972">
          <cell r="A1972" t="str">
            <v>IS_alqt_plus</v>
          </cell>
          <cell r="K1972" t="str">
            <v>VVV</v>
          </cell>
          <cell r="M1972" t="str">
            <v>M</v>
          </cell>
          <cell r="AC1972">
            <v>1.2</v>
          </cell>
        </row>
        <row r="1973">
          <cell r="A1973" t="str">
            <v>IS_alqt_plus</v>
          </cell>
          <cell r="K1973" t="str">
            <v>LCAT</v>
          </cell>
          <cell r="M1973" t="str">
            <v>F</v>
          </cell>
          <cell r="AC1973">
            <v>1.1000000000000001</v>
          </cell>
        </row>
        <row r="1974">
          <cell r="A1974" t="str">
            <v>IS_alqt_plus</v>
          </cell>
          <cell r="K1974" t="str">
            <v>LCAT</v>
          </cell>
          <cell r="M1974" t="str">
            <v>F</v>
          </cell>
          <cell r="AC1974">
            <v>1</v>
          </cell>
        </row>
        <row r="1975">
          <cell r="A1975" t="str">
            <v>IS_alqt_plus</v>
          </cell>
          <cell r="K1975" t="str">
            <v>VRUB</v>
          </cell>
          <cell r="M1975" t="str">
            <v>M</v>
          </cell>
          <cell r="AC1975">
            <v>0.5</v>
          </cell>
        </row>
        <row r="1976">
          <cell r="A1976" t="str">
            <v>IS_alqt_plus</v>
          </cell>
          <cell r="K1976" t="str">
            <v>VRUB</v>
          </cell>
          <cell r="M1976" t="str">
            <v>M</v>
          </cell>
          <cell r="AC1976">
            <v>0.5</v>
          </cell>
        </row>
        <row r="1977">
          <cell r="A1977" t="str">
            <v>IS_alqt_plus</v>
          </cell>
          <cell r="K1977" t="str">
            <v>VRUB</v>
          </cell>
          <cell r="M1977" t="str">
            <v>M</v>
          </cell>
          <cell r="AC1977">
            <v>0.5</v>
          </cell>
        </row>
        <row r="1978">
          <cell r="A1978" t="str">
            <v>IS_alqt_plus</v>
          </cell>
          <cell r="K1978" t="str">
            <v>VRUB</v>
          </cell>
          <cell r="M1978" t="str">
            <v>M</v>
          </cell>
          <cell r="AC1978">
            <v>0.5</v>
          </cell>
        </row>
        <row r="1979">
          <cell r="A1979" t="str">
            <v>IS_alqt_plus</v>
          </cell>
          <cell r="K1979" t="str">
            <v>VRUB</v>
          </cell>
          <cell r="M1979" t="str">
            <v>M</v>
          </cell>
          <cell r="AC1979">
            <v>0.5</v>
          </cell>
        </row>
        <row r="1980">
          <cell r="A1980" t="str">
            <v>IS_alqt_plus</v>
          </cell>
          <cell r="K1980" t="str">
            <v>VRUB</v>
          </cell>
          <cell r="M1980" t="str">
            <v>M</v>
          </cell>
          <cell r="AC1980">
            <v>0.5</v>
          </cell>
        </row>
        <row r="1981">
          <cell r="A1981" t="str">
            <v>IS_alqt_plus</v>
          </cell>
          <cell r="K1981" t="str">
            <v>VRUB</v>
          </cell>
          <cell r="M1981" t="str">
            <v>M</v>
          </cell>
          <cell r="AC1981">
            <v>0.5</v>
          </cell>
        </row>
        <row r="1982">
          <cell r="A1982" t="str">
            <v>IS_alqt_plus</v>
          </cell>
          <cell r="K1982" t="str">
            <v>VRUB</v>
          </cell>
          <cell r="M1982" t="str">
            <v>M</v>
          </cell>
          <cell r="AC1982">
            <v>0.5</v>
          </cell>
        </row>
        <row r="1983">
          <cell r="A1983" t="str">
            <v>IS_alqt_plus</v>
          </cell>
          <cell r="K1983" t="str">
            <v>VRUB</v>
          </cell>
          <cell r="M1983" t="str">
            <v>M</v>
          </cell>
          <cell r="AC1983">
            <v>0.5</v>
          </cell>
        </row>
        <row r="1984">
          <cell r="A1984" t="str">
            <v>IS_alqt_plus</v>
          </cell>
          <cell r="K1984" t="str">
            <v>VRUB</v>
          </cell>
          <cell r="M1984" t="str">
            <v>M</v>
          </cell>
          <cell r="AC1984">
            <v>0.5</v>
          </cell>
        </row>
        <row r="1985">
          <cell r="A1985" t="str">
            <v>IS_alqt_plus</v>
          </cell>
          <cell r="K1985" t="str">
            <v>VRUB</v>
          </cell>
          <cell r="M1985" t="str">
            <v>M</v>
          </cell>
          <cell r="AC1985">
            <v>0.5</v>
          </cell>
        </row>
        <row r="1986">
          <cell r="A1986" t="str">
            <v>IS_alqt_plus</v>
          </cell>
          <cell r="K1986" t="str">
            <v>VRUB</v>
          </cell>
          <cell r="M1986" t="str">
            <v>M</v>
          </cell>
          <cell r="AC1986">
            <v>0.5</v>
          </cell>
        </row>
        <row r="1987">
          <cell r="A1987" t="str">
            <v>IS_alqt_plus</v>
          </cell>
          <cell r="K1987" t="str">
            <v>VRUB</v>
          </cell>
          <cell r="M1987" t="str">
            <v>M</v>
          </cell>
          <cell r="AC1987">
            <v>0.5</v>
          </cell>
        </row>
        <row r="1988">
          <cell r="A1988" t="str">
            <v>IS_alqt_plus</v>
          </cell>
          <cell r="K1988" t="str">
            <v>VRUB</v>
          </cell>
          <cell r="M1988" t="str">
            <v>M</v>
          </cell>
          <cell r="AC1988">
            <v>0.5</v>
          </cell>
        </row>
        <row r="1989">
          <cell r="A1989" t="str">
            <v>IS_alqt_plus</v>
          </cell>
          <cell r="K1989" t="str">
            <v>VRUB</v>
          </cell>
          <cell r="M1989" t="str">
            <v>M</v>
          </cell>
          <cell r="AC1989">
            <v>0.5</v>
          </cell>
        </row>
        <row r="1990">
          <cell r="A1990" t="str">
            <v>IS_alqt_plus</v>
          </cell>
          <cell r="K1990" t="str">
            <v>VRUB</v>
          </cell>
          <cell r="M1990" t="str">
            <v>M</v>
          </cell>
          <cell r="AC1990">
            <v>0.5</v>
          </cell>
        </row>
        <row r="1991">
          <cell r="A1991" t="str">
            <v>IS_alqt_plus</v>
          </cell>
          <cell r="K1991" t="str">
            <v>VRUB</v>
          </cell>
          <cell r="M1991" t="str">
            <v>M</v>
          </cell>
          <cell r="AC1991">
            <v>0.5</v>
          </cell>
        </row>
        <row r="1992">
          <cell r="A1992" t="str">
            <v>IS_alqt_plus</v>
          </cell>
          <cell r="K1992" t="str">
            <v>VRUB</v>
          </cell>
          <cell r="M1992" t="str">
            <v>M</v>
          </cell>
          <cell r="AC1992">
            <v>0.5</v>
          </cell>
        </row>
        <row r="1993">
          <cell r="A1993" t="str">
            <v>IS_alqt_plus</v>
          </cell>
          <cell r="K1993" t="str">
            <v>VRUB</v>
          </cell>
          <cell r="M1993" t="str">
            <v>M</v>
          </cell>
          <cell r="AC1993">
            <v>0.5</v>
          </cell>
        </row>
        <row r="1994">
          <cell r="A1994" t="str">
            <v>IS_alqt_plus</v>
          </cell>
          <cell r="K1994" t="str">
            <v>VRUB</v>
          </cell>
          <cell r="M1994" t="str">
            <v>M</v>
          </cell>
          <cell r="AC1994">
            <v>0.5</v>
          </cell>
        </row>
        <row r="1995">
          <cell r="A1995" t="str">
            <v>IS_alqt_plus</v>
          </cell>
          <cell r="K1995" t="str">
            <v>VRUB</v>
          </cell>
          <cell r="M1995" t="str">
            <v>M</v>
          </cell>
          <cell r="AC1995">
            <v>0.5</v>
          </cell>
        </row>
        <row r="1996">
          <cell r="A1996" t="str">
            <v>IS_alqt_plus</v>
          </cell>
          <cell r="K1996" t="str">
            <v>VRUB</v>
          </cell>
          <cell r="M1996" t="str">
            <v>M</v>
          </cell>
          <cell r="AC1996">
            <v>0.5</v>
          </cell>
        </row>
        <row r="1997">
          <cell r="A1997" t="str">
            <v>IS_alqt_plus</v>
          </cell>
          <cell r="K1997" t="str">
            <v>VRUB</v>
          </cell>
          <cell r="M1997" t="str">
            <v>M</v>
          </cell>
          <cell r="AC1997">
            <v>0.5</v>
          </cell>
        </row>
        <row r="1998">
          <cell r="A1998" t="str">
            <v>IS_alqt_plus</v>
          </cell>
          <cell r="K1998" t="str">
            <v>VRUB</v>
          </cell>
          <cell r="M1998" t="str">
            <v>M</v>
          </cell>
          <cell r="AC1998">
            <v>0.5</v>
          </cell>
        </row>
        <row r="1999">
          <cell r="A1999" t="str">
            <v>IS_alqt_plus</v>
          </cell>
          <cell r="K1999" t="str">
            <v>VRUB</v>
          </cell>
          <cell r="M1999" t="str">
            <v>M</v>
          </cell>
          <cell r="AC1999">
            <v>0.5</v>
          </cell>
        </row>
        <row r="2000">
          <cell r="A2000" t="str">
            <v>IS_alqt_plus</v>
          </cell>
          <cell r="K2000" t="str">
            <v>VRUB</v>
          </cell>
          <cell r="M2000" t="str">
            <v>M</v>
          </cell>
          <cell r="AC2000">
            <v>0.5</v>
          </cell>
        </row>
        <row r="2001">
          <cell r="A2001" t="str">
            <v>IS_alqt_plus</v>
          </cell>
          <cell r="K2001" t="str">
            <v>VRUB</v>
          </cell>
          <cell r="M2001" t="str">
            <v>M</v>
          </cell>
          <cell r="AC2001">
            <v>0.5</v>
          </cell>
        </row>
        <row r="2002">
          <cell r="A2002" t="str">
            <v>IS_alqt_plus</v>
          </cell>
          <cell r="K2002" t="str">
            <v>VRUB</v>
          </cell>
          <cell r="M2002" t="str">
            <v>M</v>
          </cell>
          <cell r="AC2002">
            <v>0.5</v>
          </cell>
        </row>
        <row r="2003">
          <cell r="A2003" t="str">
            <v>IS_alqt_plus</v>
          </cell>
          <cell r="K2003" t="str">
            <v>VRUB</v>
          </cell>
          <cell r="M2003" t="str">
            <v>M</v>
          </cell>
          <cell r="AC2003">
            <v>0.5</v>
          </cell>
        </row>
        <row r="2004">
          <cell r="A2004" t="str">
            <v>IS_alqt_plus</v>
          </cell>
          <cell r="K2004" t="str">
            <v>VRUB</v>
          </cell>
          <cell r="M2004" t="str">
            <v>M</v>
          </cell>
          <cell r="AC2004">
            <v>0.5</v>
          </cell>
        </row>
        <row r="2005">
          <cell r="A2005" t="str">
            <v>IS_alqt_plus</v>
          </cell>
          <cell r="K2005" t="str">
            <v>VRUB</v>
          </cell>
          <cell r="M2005" t="str">
            <v>M</v>
          </cell>
          <cell r="AC2005">
            <v>0.5</v>
          </cell>
        </row>
        <row r="2006">
          <cell r="A2006" t="str">
            <v>IS_alqt_plus</v>
          </cell>
          <cell r="K2006" t="str">
            <v>VRUB</v>
          </cell>
          <cell r="M2006" t="str">
            <v>M</v>
          </cell>
          <cell r="AC2006">
            <v>0.5</v>
          </cell>
        </row>
        <row r="2007">
          <cell r="A2007" t="str">
            <v>IS_alqt_plus</v>
          </cell>
          <cell r="K2007" t="str">
            <v>VRUB</v>
          </cell>
          <cell r="M2007" t="str">
            <v>M</v>
          </cell>
          <cell r="AC2007">
            <v>0.5</v>
          </cell>
        </row>
        <row r="2008">
          <cell r="A2008" t="str">
            <v>IS_alqt_plus</v>
          </cell>
          <cell r="K2008" t="str">
            <v>VRUB</v>
          </cell>
          <cell r="M2008" t="str">
            <v>M</v>
          </cell>
          <cell r="AC2008">
            <v>0.5</v>
          </cell>
        </row>
        <row r="2009">
          <cell r="A2009" t="str">
            <v>IS_alqt_plus</v>
          </cell>
          <cell r="K2009" t="str">
            <v>VRUB</v>
          </cell>
          <cell r="M2009" t="str">
            <v>M</v>
          </cell>
          <cell r="AC2009">
            <v>0.5</v>
          </cell>
        </row>
        <row r="2010">
          <cell r="A2010" t="str">
            <v>IS_alqt_plus</v>
          </cell>
          <cell r="K2010" t="str">
            <v>LCAT</v>
          </cell>
          <cell r="M2010" t="str">
            <v>F</v>
          </cell>
        </row>
        <row r="2011">
          <cell r="A2011" t="str">
            <v>IS_alqt_plus</v>
          </cell>
          <cell r="K2011" t="str">
            <v>LCAT</v>
          </cell>
          <cell r="M2011" t="str">
            <v>F</v>
          </cell>
          <cell r="AC2011">
            <v>1</v>
          </cell>
        </row>
        <row r="2012">
          <cell r="A2012" t="str">
            <v>IS_alqt_minus</v>
          </cell>
          <cell r="K2012" t="str">
            <v>VVV</v>
          </cell>
          <cell r="M2012" t="str">
            <v>F</v>
          </cell>
          <cell r="AC2012">
            <v>0.3</v>
          </cell>
        </row>
        <row r="2013">
          <cell r="A2013" t="str">
            <v>IS_alqt_plus</v>
          </cell>
          <cell r="K2013" t="str">
            <v>VVV</v>
          </cell>
          <cell r="M2013" t="str">
            <v>F</v>
          </cell>
          <cell r="AC2013">
            <v>1.4</v>
          </cell>
        </row>
        <row r="2014">
          <cell r="A2014" t="str">
            <v>IS_alqt_minus</v>
          </cell>
          <cell r="K2014" t="str">
            <v>VVV</v>
          </cell>
          <cell r="M2014" t="str">
            <v>F</v>
          </cell>
          <cell r="AC2014">
            <v>0.4</v>
          </cell>
        </row>
        <row r="2015">
          <cell r="A2015" t="str">
            <v>gone</v>
          </cell>
          <cell r="K2015" t="str">
            <v>VVV</v>
          </cell>
          <cell r="M2015" t="str">
            <v>F</v>
          </cell>
          <cell r="AC2015">
            <v>1</v>
          </cell>
        </row>
        <row r="2016">
          <cell r="A2016" t="str">
            <v>gone</v>
          </cell>
          <cell r="K2016" t="str">
            <v>VVV</v>
          </cell>
          <cell r="M2016" t="str">
            <v>F</v>
          </cell>
          <cell r="AC2016">
            <v>0</v>
          </cell>
        </row>
        <row r="2017">
          <cell r="A2017" t="str">
            <v>IS_alqt_plus</v>
          </cell>
          <cell r="K2017" t="str">
            <v>VVV</v>
          </cell>
          <cell r="M2017" t="str">
            <v>F</v>
          </cell>
          <cell r="AC2017">
            <v>1.5</v>
          </cell>
        </row>
        <row r="2018">
          <cell r="A2018" t="str">
            <v>IS_alqt_plus</v>
          </cell>
          <cell r="K2018" t="str">
            <v>VVV</v>
          </cell>
          <cell r="M2018" t="str">
            <v>F</v>
          </cell>
          <cell r="AC2018">
            <v>1.5</v>
          </cell>
        </row>
        <row r="2019">
          <cell r="A2019" t="str">
            <v>IS_alqt_plus</v>
          </cell>
          <cell r="K2019" t="str">
            <v>VVV</v>
          </cell>
          <cell r="M2019" t="str">
            <v>F</v>
          </cell>
          <cell r="AC2019">
            <v>1.5</v>
          </cell>
        </row>
        <row r="2020">
          <cell r="A2020" t="str">
            <v>IS_alqt_plus</v>
          </cell>
          <cell r="K2020" t="str">
            <v>VVV</v>
          </cell>
          <cell r="M2020" t="str">
            <v>F</v>
          </cell>
          <cell r="AC2020">
            <v>1.5</v>
          </cell>
        </row>
        <row r="2021">
          <cell r="A2021" t="str">
            <v>IS_alqt_plus</v>
          </cell>
          <cell r="K2021" t="str">
            <v>VVV</v>
          </cell>
          <cell r="M2021" t="str">
            <v>F</v>
          </cell>
          <cell r="AC2021">
            <v>1.5</v>
          </cell>
        </row>
        <row r="2022">
          <cell r="A2022" t="str">
            <v>IS_alqt_plus</v>
          </cell>
          <cell r="K2022" t="str">
            <v>VVV</v>
          </cell>
          <cell r="M2022" t="str">
            <v>F</v>
          </cell>
          <cell r="AC2022">
            <v>1.5</v>
          </cell>
        </row>
        <row r="2023">
          <cell r="A2023" t="str">
            <v>IS_alqt_plus</v>
          </cell>
          <cell r="K2023" t="str">
            <v>VVV</v>
          </cell>
          <cell r="M2023" t="str">
            <v>F</v>
          </cell>
          <cell r="AC2023">
            <v>1.5</v>
          </cell>
        </row>
        <row r="2024">
          <cell r="A2024" t="str">
            <v>IS_alqt_plus</v>
          </cell>
          <cell r="K2024" t="str">
            <v>VVV</v>
          </cell>
          <cell r="M2024" t="str">
            <v>F</v>
          </cell>
          <cell r="AC2024">
            <v>0.7</v>
          </cell>
        </row>
        <row r="2025">
          <cell r="A2025" t="str">
            <v>unk</v>
          </cell>
          <cell r="K2025" t="str">
            <v>VVV</v>
          </cell>
          <cell r="M2025" t="str">
            <v>F</v>
          </cell>
          <cell r="AC2025">
            <v>1.5</v>
          </cell>
        </row>
        <row r="2026">
          <cell r="A2026" t="str">
            <v>unk</v>
          </cell>
          <cell r="K2026" t="str">
            <v>VVV</v>
          </cell>
          <cell r="M2026" t="str">
            <v>F</v>
          </cell>
          <cell r="AC2026">
            <v>1.5</v>
          </cell>
        </row>
        <row r="2027">
          <cell r="A2027" t="str">
            <v>IS_alqt_plus</v>
          </cell>
          <cell r="K2027" t="str">
            <v>EFLA</v>
          </cell>
          <cell r="M2027" t="str">
            <v>F</v>
          </cell>
          <cell r="AC2027">
            <v>1</v>
          </cell>
        </row>
        <row r="2028">
          <cell r="A2028" t="str">
            <v>IS_alqt_plus</v>
          </cell>
          <cell r="K2028" t="str">
            <v>EFLA</v>
          </cell>
          <cell r="M2028" t="str">
            <v>F</v>
          </cell>
          <cell r="AC2028">
            <v>1</v>
          </cell>
        </row>
        <row r="2029">
          <cell r="A2029" t="str">
            <v>IS_alqt_plus</v>
          </cell>
          <cell r="K2029" t="str">
            <v>EFLA</v>
          </cell>
          <cell r="M2029" t="str">
            <v>F</v>
          </cell>
          <cell r="AC2029">
            <v>1</v>
          </cell>
        </row>
        <row r="2030">
          <cell r="A2030" t="str">
            <v>IS_alqt_plus</v>
          </cell>
          <cell r="K2030" t="str">
            <v>EFLA</v>
          </cell>
          <cell r="M2030" t="str">
            <v>F</v>
          </cell>
          <cell r="AC2030">
            <v>1</v>
          </cell>
        </row>
        <row r="2031">
          <cell r="A2031" t="str">
            <v>IS_alqt_plus</v>
          </cell>
          <cell r="K2031" t="str">
            <v>EFLA</v>
          </cell>
          <cell r="M2031" t="str">
            <v>F</v>
          </cell>
          <cell r="AC2031">
            <v>0.5</v>
          </cell>
        </row>
        <row r="2032">
          <cell r="A2032" t="str">
            <v>unk</v>
          </cell>
          <cell r="K2032" t="str">
            <v>VVV</v>
          </cell>
          <cell r="M2032" t="str">
            <v>F</v>
          </cell>
          <cell r="AC2032">
            <v>0.8</v>
          </cell>
        </row>
        <row r="2033">
          <cell r="A2033" t="str">
            <v>IS_alqt_plus</v>
          </cell>
          <cell r="K2033" t="str">
            <v>VVV</v>
          </cell>
          <cell r="M2033" t="str">
            <v>F</v>
          </cell>
          <cell r="AC2033">
            <v>1.25</v>
          </cell>
        </row>
        <row r="2034">
          <cell r="A2034" t="str">
            <v>IS_alqt_plus</v>
          </cell>
          <cell r="K2034" t="str">
            <v>VVV</v>
          </cell>
          <cell r="M2034" t="str">
            <v>F</v>
          </cell>
          <cell r="AC2034">
            <v>0.75</v>
          </cell>
        </row>
        <row r="2035">
          <cell r="A2035" t="str">
            <v>IS_alqt_plus</v>
          </cell>
          <cell r="K2035" t="str">
            <v>VVV</v>
          </cell>
          <cell r="M2035" t="str">
            <v>F</v>
          </cell>
          <cell r="AC2035">
            <v>1</v>
          </cell>
        </row>
        <row r="2036">
          <cell r="A2036" t="str">
            <v>IS_alqt_plus</v>
          </cell>
          <cell r="K2036" t="str">
            <v>VVV</v>
          </cell>
          <cell r="M2036" t="str">
            <v>F</v>
          </cell>
          <cell r="AC2036">
            <v>1</v>
          </cell>
        </row>
        <row r="2037">
          <cell r="A2037" t="str">
            <v>IS_alqt_plus</v>
          </cell>
          <cell r="K2037" t="str">
            <v>MMUR</v>
          </cell>
          <cell r="M2037" t="str">
            <v>F</v>
          </cell>
          <cell r="AC2037">
            <v>1.25</v>
          </cell>
        </row>
        <row r="2038">
          <cell r="A2038" t="str">
            <v>IS_alqt_plus</v>
          </cell>
          <cell r="K2038" t="str">
            <v>CMED</v>
          </cell>
          <cell r="M2038" t="str">
            <v>M</v>
          </cell>
          <cell r="AC2038">
            <v>1</v>
          </cell>
        </row>
        <row r="2039">
          <cell r="A2039" t="str">
            <v>IS_alqt_plus</v>
          </cell>
          <cell r="K2039" t="str">
            <v>PCOQ</v>
          </cell>
          <cell r="M2039" t="str">
            <v>M</v>
          </cell>
          <cell r="AC2039">
            <v>1</v>
          </cell>
        </row>
        <row r="2040">
          <cell r="A2040" t="str">
            <v>IS_alqt_plus</v>
          </cell>
          <cell r="K2040" t="str">
            <v>PCOQ</v>
          </cell>
          <cell r="M2040" t="str">
            <v>M</v>
          </cell>
          <cell r="AC2040">
            <v>1</v>
          </cell>
        </row>
        <row r="2041">
          <cell r="A2041" t="str">
            <v>IS_alqt_plus</v>
          </cell>
          <cell r="K2041" t="str">
            <v>VVV</v>
          </cell>
          <cell r="M2041" t="str">
            <v>M</v>
          </cell>
          <cell r="AC2041">
            <v>0.5</v>
          </cell>
        </row>
        <row r="2042">
          <cell r="A2042" t="str">
            <v>IS_alqt_plus</v>
          </cell>
          <cell r="K2042" t="str">
            <v>VVV</v>
          </cell>
          <cell r="M2042" t="str">
            <v>M</v>
          </cell>
          <cell r="AC2042">
            <v>0.5</v>
          </cell>
        </row>
        <row r="2043">
          <cell r="A2043" t="str">
            <v>IS_alqt_plus</v>
          </cell>
          <cell r="K2043" t="str">
            <v>VVV</v>
          </cell>
          <cell r="M2043" t="str">
            <v>M</v>
          </cell>
          <cell r="AC2043">
            <v>1</v>
          </cell>
        </row>
        <row r="2044">
          <cell r="A2044" t="str">
            <v>IS_alqt_plus</v>
          </cell>
          <cell r="K2044" t="str">
            <v>VVV</v>
          </cell>
          <cell r="M2044" t="str">
            <v>M</v>
          </cell>
          <cell r="AC2044">
            <v>1.5</v>
          </cell>
        </row>
        <row r="2045">
          <cell r="A2045" t="str">
            <v>IS_alqt_plus</v>
          </cell>
          <cell r="K2045" t="str">
            <v>VVV</v>
          </cell>
          <cell r="M2045" t="str">
            <v>M</v>
          </cell>
          <cell r="AC2045">
            <v>1.5</v>
          </cell>
        </row>
        <row r="2046">
          <cell r="A2046" t="str">
            <v>IS_alqt_plus</v>
          </cell>
          <cell r="K2046" t="str">
            <v>LCAT</v>
          </cell>
          <cell r="M2046" t="str">
            <v>M</v>
          </cell>
          <cell r="AC2046">
            <v>1.1000000000000001</v>
          </cell>
        </row>
        <row r="2047">
          <cell r="A2047" t="str">
            <v>gone</v>
          </cell>
          <cell r="K2047" t="str">
            <v>LCAT</v>
          </cell>
          <cell r="M2047" t="str">
            <v>M</v>
          </cell>
          <cell r="AC2047">
            <v>0</v>
          </cell>
        </row>
        <row r="2048">
          <cell r="A2048" t="str">
            <v>gone</v>
          </cell>
          <cell r="K2048" t="str">
            <v>LCAT</v>
          </cell>
          <cell r="M2048" t="str">
            <v>M</v>
          </cell>
          <cell r="AC2048">
            <v>0</v>
          </cell>
        </row>
        <row r="2049">
          <cell r="A2049" t="str">
            <v>IS_alqt_plus</v>
          </cell>
          <cell r="K2049" t="str">
            <v>LCAT</v>
          </cell>
          <cell r="M2049" t="str">
            <v>M</v>
          </cell>
          <cell r="AC2049">
            <v>0.5</v>
          </cell>
        </row>
        <row r="2050">
          <cell r="A2050" t="str">
            <v>IS_alqt_plus</v>
          </cell>
          <cell r="K2050" t="str">
            <v>LCAT</v>
          </cell>
          <cell r="M2050" t="str">
            <v>M</v>
          </cell>
          <cell r="AC2050">
            <v>1</v>
          </cell>
        </row>
        <row r="2051">
          <cell r="A2051" t="str">
            <v>IS_alqt_plus</v>
          </cell>
          <cell r="K2051" t="str">
            <v>LCAT</v>
          </cell>
          <cell r="M2051" t="str">
            <v>M</v>
          </cell>
          <cell r="AC2051">
            <v>1.8</v>
          </cell>
        </row>
        <row r="2052">
          <cell r="A2052" t="str">
            <v>IS_alqt_plus</v>
          </cell>
          <cell r="K2052" t="str">
            <v>LCAT</v>
          </cell>
          <cell r="M2052" t="str">
            <v>M</v>
          </cell>
          <cell r="AC2052">
            <v>1</v>
          </cell>
        </row>
        <row r="2053">
          <cell r="A2053" t="str">
            <v>IS_alqt_minus</v>
          </cell>
          <cell r="K2053" t="str">
            <v>LCAT</v>
          </cell>
          <cell r="M2053" t="str">
            <v>M</v>
          </cell>
          <cell r="AC2053">
            <v>0.2</v>
          </cell>
        </row>
        <row r="2054">
          <cell r="A2054" t="str">
            <v>gone</v>
          </cell>
          <cell r="K2054" t="str">
            <v>LCAT</v>
          </cell>
          <cell r="M2054" t="str">
            <v>M</v>
          </cell>
          <cell r="AC2054">
            <v>0</v>
          </cell>
        </row>
        <row r="2055">
          <cell r="A2055" t="str">
            <v>IS_alqt_minus</v>
          </cell>
          <cell r="K2055" t="str">
            <v>LCAT</v>
          </cell>
          <cell r="M2055" t="str">
            <v>M</v>
          </cell>
          <cell r="AC2055">
            <v>0.2</v>
          </cell>
        </row>
        <row r="2056">
          <cell r="A2056" t="str">
            <v>IS_alqt_plus</v>
          </cell>
          <cell r="K2056" t="str">
            <v>LCAT</v>
          </cell>
          <cell r="M2056" t="str">
            <v>M</v>
          </cell>
          <cell r="AC2056">
            <v>0.5</v>
          </cell>
        </row>
        <row r="2057">
          <cell r="A2057" t="str">
            <v>IS_alqt_minus</v>
          </cell>
          <cell r="K2057" t="str">
            <v>LCAT</v>
          </cell>
          <cell r="M2057" t="str">
            <v>M</v>
          </cell>
          <cell r="AC2057">
            <v>0.2</v>
          </cell>
        </row>
        <row r="2058">
          <cell r="A2058" t="str">
            <v>IS_alqt_minus</v>
          </cell>
          <cell r="K2058" t="str">
            <v>LCAT</v>
          </cell>
          <cell r="M2058" t="str">
            <v>M</v>
          </cell>
          <cell r="AC2058">
            <v>0.2</v>
          </cell>
        </row>
        <row r="2059">
          <cell r="A2059" t="str">
            <v>IS_alqt_minus</v>
          </cell>
          <cell r="K2059" t="str">
            <v>LCAT</v>
          </cell>
          <cell r="M2059" t="str">
            <v>M</v>
          </cell>
          <cell r="AC2059">
            <v>0.2</v>
          </cell>
        </row>
        <row r="2060">
          <cell r="A2060" t="str">
            <v>IS_alqt_minus</v>
          </cell>
          <cell r="K2060" t="str">
            <v>LCAT</v>
          </cell>
          <cell r="M2060" t="str">
            <v>M</v>
          </cell>
          <cell r="AC2060">
            <v>0.2</v>
          </cell>
        </row>
        <row r="2061">
          <cell r="A2061" t="str">
            <v>IS_alqt_minus</v>
          </cell>
          <cell r="K2061" t="str">
            <v>LCAT</v>
          </cell>
          <cell r="M2061" t="str">
            <v>M</v>
          </cell>
          <cell r="AC2061">
            <v>0.2</v>
          </cell>
        </row>
        <row r="2062">
          <cell r="A2062" t="str">
            <v>IS_alqt_minus</v>
          </cell>
          <cell r="K2062" t="str">
            <v>LCAT</v>
          </cell>
          <cell r="M2062" t="str">
            <v>M</v>
          </cell>
          <cell r="AC2062">
            <v>0.2</v>
          </cell>
        </row>
        <row r="2063">
          <cell r="A2063" t="str">
            <v>IS_alqt_minus</v>
          </cell>
          <cell r="K2063" t="str">
            <v>LCAT</v>
          </cell>
          <cell r="M2063" t="str">
            <v>M</v>
          </cell>
          <cell r="AC2063">
            <v>0.2</v>
          </cell>
        </row>
        <row r="2064">
          <cell r="A2064" t="str">
            <v>IS_alqt_minus</v>
          </cell>
          <cell r="K2064" t="str">
            <v>LCAT</v>
          </cell>
          <cell r="M2064" t="str">
            <v>M</v>
          </cell>
          <cell r="AC2064">
            <v>0.2</v>
          </cell>
        </row>
        <row r="2065">
          <cell r="A2065" t="str">
            <v>IS_alqt_minus</v>
          </cell>
          <cell r="K2065" t="str">
            <v>LCAT</v>
          </cell>
          <cell r="M2065" t="str">
            <v>M</v>
          </cell>
          <cell r="AC2065">
            <v>0.2</v>
          </cell>
        </row>
        <row r="2066">
          <cell r="A2066" t="str">
            <v>IS_alqt_plus</v>
          </cell>
          <cell r="K2066" t="str">
            <v>LCAT</v>
          </cell>
          <cell r="M2066" t="str">
            <v>M</v>
          </cell>
          <cell r="AC2066">
            <v>0.5</v>
          </cell>
        </row>
        <row r="2067">
          <cell r="A2067" t="str">
            <v>IS_alqt_plus</v>
          </cell>
          <cell r="K2067" t="str">
            <v>LCAT</v>
          </cell>
          <cell r="M2067" t="str">
            <v>F</v>
          </cell>
          <cell r="AC2067">
            <v>0.5</v>
          </cell>
        </row>
        <row r="2068">
          <cell r="A2068" t="str">
            <v>IS_alqt_plus</v>
          </cell>
          <cell r="K2068" t="str">
            <v>LCAT</v>
          </cell>
          <cell r="M2068" t="str">
            <v>F</v>
          </cell>
          <cell r="AC2068">
            <v>0.5</v>
          </cell>
        </row>
        <row r="2069">
          <cell r="A2069" t="str">
            <v>IS_alqt_plus</v>
          </cell>
          <cell r="K2069" t="str">
            <v>LCAT</v>
          </cell>
          <cell r="M2069" t="str">
            <v>F</v>
          </cell>
          <cell r="AC2069">
            <v>0.5</v>
          </cell>
        </row>
        <row r="2070">
          <cell r="A2070" t="str">
            <v>IS_alqt_plus</v>
          </cell>
          <cell r="K2070" t="str">
            <v>LCAT</v>
          </cell>
          <cell r="M2070" t="str">
            <v>F</v>
          </cell>
          <cell r="AC2070">
            <v>0.5</v>
          </cell>
        </row>
        <row r="2071">
          <cell r="A2071" t="str">
            <v>IS_alqt_plus</v>
          </cell>
          <cell r="K2071" t="str">
            <v>LCAT</v>
          </cell>
          <cell r="M2071" t="str">
            <v>F</v>
          </cell>
          <cell r="AC2071">
            <v>0.5</v>
          </cell>
        </row>
        <row r="2072">
          <cell r="A2072" t="str">
            <v>IS_alqt_plus</v>
          </cell>
          <cell r="K2072" t="str">
            <v>LCAT</v>
          </cell>
          <cell r="M2072" t="str">
            <v>F</v>
          </cell>
          <cell r="AC2072">
            <v>0.5</v>
          </cell>
        </row>
        <row r="2073">
          <cell r="A2073" t="str">
            <v>IS_alqt_plus</v>
          </cell>
          <cell r="K2073" t="str">
            <v>LCAT</v>
          </cell>
          <cell r="M2073" t="str">
            <v>F</v>
          </cell>
          <cell r="AC2073">
            <v>0.5</v>
          </cell>
        </row>
        <row r="2074">
          <cell r="A2074" t="str">
            <v>IS_alqt_plus</v>
          </cell>
          <cell r="K2074" t="str">
            <v>LCAT</v>
          </cell>
          <cell r="M2074" t="str">
            <v>F</v>
          </cell>
          <cell r="AC2074">
            <v>0.5</v>
          </cell>
        </row>
        <row r="2075">
          <cell r="A2075" t="str">
            <v>IS_alqt_plus</v>
          </cell>
          <cell r="K2075" t="str">
            <v>LCAT</v>
          </cell>
          <cell r="M2075" t="str">
            <v>F</v>
          </cell>
          <cell r="AC2075">
            <v>0.5</v>
          </cell>
        </row>
        <row r="2076">
          <cell r="A2076" t="str">
            <v>IS_alqt_plus</v>
          </cell>
          <cell r="K2076" t="str">
            <v>LCAT</v>
          </cell>
          <cell r="M2076" t="str">
            <v>F</v>
          </cell>
          <cell r="AC2076">
            <v>1</v>
          </cell>
        </row>
        <row r="2077">
          <cell r="A2077" t="str">
            <v>IS_alqt_plus</v>
          </cell>
          <cell r="K2077" t="str">
            <v>LCAT</v>
          </cell>
          <cell r="M2077" t="str">
            <v>F</v>
          </cell>
          <cell r="AC2077">
            <v>1</v>
          </cell>
        </row>
        <row r="2078">
          <cell r="A2078" t="str">
            <v>IS_alqt_plus</v>
          </cell>
          <cell r="K2078" t="str">
            <v>LCAT</v>
          </cell>
          <cell r="M2078" t="str">
            <v>F</v>
          </cell>
          <cell r="AC2078">
            <v>1</v>
          </cell>
        </row>
        <row r="2079">
          <cell r="A2079" t="str">
            <v>IS_alqt_plus</v>
          </cell>
          <cell r="K2079" t="str">
            <v>LCAT</v>
          </cell>
          <cell r="M2079" t="str">
            <v>F</v>
          </cell>
          <cell r="AC2079">
            <v>1</v>
          </cell>
        </row>
        <row r="2080">
          <cell r="A2080" t="str">
            <v>IS_alqt_plus</v>
          </cell>
          <cell r="K2080" t="str">
            <v>LCAT</v>
          </cell>
          <cell r="M2080" t="str">
            <v>F</v>
          </cell>
          <cell r="AC2080">
            <v>1</v>
          </cell>
        </row>
        <row r="2081">
          <cell r="A2081" t="str">
            <v>IS_alqt_plus</v>
          </cell>
          <cell r="K2081" t="str">
            <v>LCAT</v>
          </cell>
          <cell r="M2081" t="str">
            <v>F</v>
          </cell>
          <cell r="AC2081">
            <v>1</v>
          </cell>
        </row>
        <row r="2082">
          <cell r="A2082" t="str">
            <v>IS_alqt_plus</v>
          </cell>
          <cell r="K2082" t="str">
            <v>LCAT</v>
          </cell>
          <cell r="M2082" t="str">
            <v>F</v>
          </cell>
          <cell r="AC2082">
            <v>1</v>
          </cell>
        </row>
        <row r="2083">
          <cell r="A2083" t="str">
            <v>gone</v>
          </cell>
          <cell r="K2083" t="str">
            <v>LCAT</v>
          </cell>
          <cell r="M2083" t="str">
            <v>F</v>
          </cell>
          <cell r="AC2083">
            <v>0</v>
          </cell>
        </row>
        <row r="2084">
          <cell r="A2084" t="str">
            <v>IS_alqt_plus</v>
          </cell>
          <cell r="K2084" t="str">
            <v>VRUB</v>
          </cell>
          <cell r="M2084" t="str">
            <v>F</v>
          </cell>
          <cell r="AC2084">
            <v>1</v>
          </cell>
        </row>
        <row r="2085">
          <cell r="A2085" t="str">
            <v>IS_alqt_plus</v>
          </cell>
          <cell r="K2085" t="str">
            <v>VRUB</v>
          </cell>
          <cell r="M2085" t="str">
            <v>F</v>
          </cell>
          <cell r="AC2085">
            <v>1.1000000000000001</v>
          </cell>
        </row>
        <row r="2086">
          <cell r="A2086" t="str">
            <v>gone</v>
          </cell>
          <cell r="K2086" t="str">
            <v>LCAT</v>
          </cell>
          <cell r="M2086" t="str">
            <v>F</v>
          </cell>
          <cell r="AC2086">
            <v>0</v>
          </cell>
        </row>
        <row r="2087">
          <cell r="A2087" t="str">
            <v>gone</v>
          </cell>
          <cell r="K2087" t="str">
            <v>LCAT</v>
          </cell>
          <cell r="M2087" t="str">
            <v>F</v>
          </cell>
          <cell r="AC2087">
            <v>0</v>
          </cell>
        </row>
        <row r="2088">
          <cell r="A2088" t="str">
            <v>gone</v>
          </cell>
          <cell r="K2088" t="str">
            <v>LCAT</v>
          </cell>
          <cell r="M2088" t="str">
            <v>F</v>
          </cell>
          <cell r="AC2088">
            <v>0</v>
          </cell>
        </row>
        <row r="2089">
          <cell r="A2089" t="str">
            <v>IS_alqt_plus</v>
          </cell>
          <cell r="K2089" t="str">
            <v>VRUB</v>
          </cell>
          <cell r="M2089" t="str">
            <v>F</v>
          </cell>
          <cell r="AC2089">
            <v>1.5</v>
          </cell>
        </row>
        <row r="2090">
          <cell r="A2090" t="str">
            <v>IS_alqt_plus</v>
          </cell>
          <cell r="K2090" t="str">
            <v>PCOQ</v>
          </cell>
          <cell r="M2090" t="str">
            <v>F</v>
          </cell>
          <cell r="AC2090">
            <v>1</v>
          </cell>
        </row>
        <row r="2091">
          <cell r="A2091" t="str">
            <v>IS_alqt_plus</v>
          </cell>
          <cell r="K2091" t="str">
            <v>PCOQ</v>
          </cell>
          <cell r="M2091" t="str">
            <v>F</v>
          </cell>
          <cell r="AC2091">
            <v>1</v>
          </cell>
        </row>
        <row r="2092">
          <cell r="A2092" t="str">
            <v>IS_alqt_plus</v>
          </cell>
          <cell r="K2092" t="str">
            <v>PCOQ</v>
          </cell>
          <cell r="M2092" t="str">
            <v>F</v>
          </cell>
          <cell r="AC2092">
            <v>1</v>
          </cell>
        </row>
        <row r="2093">
          <cell r="A2093" t="str">
            <v>IS_alqt_plus</v>
          </cell>
          <cell r="K2093" t="str">
            <v>PCOQ</v>
          </cell>
          <cell r="M2093" t="str">
            <v>F</v>
          </cell>
          <cell r="AC2093">
            <v>1</v>
          </cell>
        </row>
        <row r="2094">
          <cell r="A2094" t="str">
            <v>IS_alqt_plus</v>
          </cell>
          <cell r="K2094" t="str">
            <v>PCOQ</v>
          </cell>
          <cell r="M2094" t="str">
            <v>M</v>
          </cell>
          <cell r="AC2094">
            <v>1</v>
          </cell>
        </row>
        <row r="2095">
          <cell r="A2095" t="str">
            <v>IS_alqt_plus</v>
          </cell>
          <cell r="K2095" t="str">
            <v>PCOQ</v>
          </cell>
          <cell r="M2095" t="str">
            <v>M</v>
          </cell>
          <cell r="AC2095">
            <v>0.5</v>
          </cell>
        </row>
        <row r="2096">
          <cell r="A2096" t="str">
            <v>IS_alqt_plus</v>
          </cell>
          <cell r="K2096" t="str">
            <v>PCOQ</v>
          </cell>
          <cell r="M2096" t="str">
            <v>M</v>
          </cell>
          <cell r="AC2096">
            <v>1</v>
          </cell>
        </row>
        <row r="2097">
          <cell r="A2097" t="str">
            <v>IS_alqt_plus</v>
          </cell>
          <cell r="K2097" t="str">
            <v>PCOQ</v>
          </cell>
          <cell r="M2097" t="str">
            <v>M</v>
          </cell>
          <cell r="AC2097">
            <v>1</v>
          </cell>
        </row>
        <row r="2098">
          <cell r="A2098" t="str">
            <v>IS_alqt_plus</v>
          </cell>
          <cell r="K2098" t="str">
            <v>PCOQ</v>
          </cell>
          <cell r="M2098" t="str">
            <v>M</v>
          </cell>
          <cell r="AC2098">
            <v>1</v>
          </cell>
        </row>
        <row r="2099">
          <cell r="A2099" t="str">
            <v>IS_alqt_plus</v>
          </cell>
          <cell r="K2099" t="str">
            <v>PCOQ</v>
          </cell>
          <cell r="M2099" t="str">
            <v>M</v>
          </cell>
          <cell r="AC2099">
            <v>1</v>
          </cell>
        </row>
        <row r="2100">
          <cell r="A2100" t="str">
            <v>IS_alqt_plus</v>
          </cell>
          <cell r="K2100" t="str">
            <v>PCOQ</v>
          </cell>
          <cell r="M2100" t="str">
            <v>M</v>
          </cell>
          <cell r="AC2100">
            <v>0.75</v>
          </cell>
        </row>
        <row r="2101">
          <cell r="A2101" t="str">
            <v>IS_alqt_minus</v>
          </cell>
          <cell r="K2101" t="str">
            <v>PCOQ</v>
          </cell>
          <cell r="M2101" t="str">
            <v>M</v>
          </cell>
          <cell r="AC2101">
            <v>0.25</v>
          </cell>
        </row>
        <row r="2102">
          <cell r="A2102" t="str">
            <v>IS_alqt_plus</v>
          </cell>
          <cell r="K2102" t="str">
            <v>PCOQ</v>
          </cell>
          <cell r="M2102" t="str">
            <v>M</v>
          </cell>
          <cell r="AC2102">
            <v>0.75</v>
          </cell>
        </row>
        <row r="2103">
          <cell r="A2103" t="str">
            <v>IS_alqt_plus</v>
          </cell>
          <cell r="K2103" t="str">
            <v>PCOQ</v>
          </cell>
          <cell r="M2103" t="str">
            <v>M</v>
          </cell>
          <cell r="AC2103">
            <v>1</v>
          </cell>
        </row>
        <row r="2104">
          <cell r="A2104" t="str">
            <v>IS_alqt_plus</v>
          </cell>
          <cell r="K2104" t="str">
            <v>PCOQ</v>
          </cell>
          <cell r="M2104" t="str">
            <v>M</v>
          </cell>
          <cell r="AC2104">
            <v>1</v>
          </cell>
        </row>
        <row r="2105">
          <cell r="A2105" t="str">
            <v>IS_alqt_minus</v>
          </cell>
          <cell r="K2105" t="str">
            <v>VVV</v>
          </cell>
          <cell r="M2105" t="str">
            <v>M</v>
          </cell>
          <cell r="AC2105">
            <v>0.25</v>
          </cell>
        </row>
        <row r="2106">
          <cell r="A2106" t="str">
            <v>IS_alqt_plus</v>
          </cell>
          <cell r="K2106" t="str">
            <v>VRUB</v>
          </cell>
          <cell r="M2106" t="str">
            <v>M</v>
          </cell>
          <cell r="AC2106">
            <v>1.5</v>
          </cell>
        </row>
        <row r="2107">
          <cell r="A2107" t="str">
            <v>IS_alqt_plus</v>
          </cell>
          <cell r="K2107" t="str">
            <v>VRUB</v>
          </cell>
          <cell r="M2107" t="str">
            <v>M</v>
          </cell>
          <cell r="AC2107">
            <v>1.5</v>
          </cell>
        </row>
        <row r="2108">
          <cell r="A2108" t="str">
            <v>IS_alqt_plus</v>
          </cell>
          <cell r="K2108" t="str">
            <v>VRUB</v>
          </cell>
          <cell r="M2108" t="str">
            <v>M</v>
          </cell>
          <cell r="AC2108">
            <v>1</v>
          </cell>
        </row>
        <row r="2109">
          <cell r="A2109" t="str">
            <v>IS_alqt_plus</v>
          </cell>
          <cell r="K2109" t="str">
            <v>VRUB</v>
          </cell>
          <cell r="M2109" t="str">
            <v>M</v>
          </cell>
          <cell r="AC2109">
            <v>1.4</v>
          </cell>
        </row>
        <row r="2110">
          <cell r="A2110" t="str">
            <v>IS_alqt_plus</v>
          </cell>
          <cell r="K2110" t="str">
            <v>VRUB</v>
          </cell>
          <cell r="M2110" t="str">
            <v>M</v>
          </cell>
          <cell r="AC2110">
            <v>1.5</v>
          </cell>
        </row>
        <row r="2111">
          <cell r="A2111" t="str">
            <v>IS_alqt_plus</v>
          </cell>
          <cell r="K2111" t="str">
            <v>VRUB</v>
          </cell>
          <cell r="M2111" t="str">
            <v>M</v>
          </cell>
          <cell r="AC2111">
            <v>1.5</v>
          </cell>
        </row>
        <row r="2112">
          <cell r="A2112" t="str">
            <v>IS_alqt_plus</v>
          </cell>
          <cell r="K2112" t="str">
            <v>PCOQ</v>
          </cell>
          <cell r="M2112" t="str">
            <v>M</v>
          </cell>
          <cell r="AC2112">
            <v>1</v>
          </cell>
        </row>
        <row r="2113">
          <cell r="A2113" t="str">
            <v>IS_alqt_plus</v>
          </cell>
          <cell r="K2113" t="str">
            <v>PCOQ</v>
          </cell>
          <cell r="M2113" t="str">
            <v>M</v>
          </cell>
          <cell r="AC2113">
            <v>1</v>
          </cell>
        </row>
        <row r="2114">
          <cell r="A2114" t="str">
            <v>IS_alqt_plus</v>
          </cell>
          <cell r="K2114" t="str">
            <v>PCOQ</v>
          </cell>
          <cell r="M2114" t="str">
            <v>M</v>
          </cell>
          <cell r="AC2114">
            <v>1</v>
          </cell>
        </row>
        <row r="2115">
          <cell r="A2115" t="str">
            <v>IS_alqt_plus</v>
          </cell>
          <cell r="K2115" t="str">
            <v>PCOQ</v>
          </cell>
          <cell r="M2115" t="str">
            <v>F</v>
          </cell>
          <cell r="AC2115">
            <v>1</v>
          </cell>
        </row>
        <row r="2116">
          <cell r="A2116" t="str">
            <v>IS_alqt_plus</v>
          </cell>
          <cell r="K2116" t="str">
            <v>EFLA</v>
          </cell>
          <cell r="M2116" t="str">
            <v>F</v>
          </cell>
          <cell r="AC2116">
            <v>1</v>
          </cell>
        </row>
        <row r="2117">
          <cell r="A2117" t="str">
            <v>IS_alqt_plus</v>
          </cell>
          <cell r="K2117" t="str">
            <v>VVV</v>
          </cell>
          <cell r="M2117" t="str">
            <v>F</v>
          </cell>
          <cell r="AC2117">
            <v>0.5</v>
          </cell>
        </row>
        <row r="2118">
          <cell r="A2118" t="str">
            <v>IS_alqt_minus</v>
          </cell>
          <cell r="K2118" t="str">
            <v>MMUR</v>
          </cell>
          <cell r="M2118" t="str">
            <v>F</v>
          </cell>
          <cell r="AC2118">
            <v>0.2</v>
          </cell>
        </row>
        <row r="2119">
          <cell r="A2119" t="str">
            <v>IS_alqt_plus</v>
          </cell>
          <cell r="K2119" t="str">
            <v>DMAD</v>
          </cell>
          <cell r="M2119" t="str">
            <v>M</v>
          </cell>
          <cell r="AC2119">
            <v>1</v>
          </cell>
        </row>
        <row r="2120">
          <cell r="A2120" t="str">
            <v>IS_alqt_plus</v>
          </cell>
          <cell r="K2120" t="str">
            <v>PCOQ</v>
          </cell>
          <cell r="M2120" t="str">
            <v>F</v>
          </cell>
          <cell r="AC2120">
            <v>1.8</v>
          </cell>
        </row>
        <row r="2121">
          <cell r="A2121" t="str">
            <v>IS_alqt_plus</v>
          </cell>
          <cell r="K2121" t="str">
            <v>EMON</v>
          </cell>
          <cell r="M2121" t="str">
            <v>F</v>
          </cell>
          <cell r="AC2121">
            <v>1</v>
          </cell>
        </row>
        <row r="2122">
          <cell r="A2122" t="str">
            <v>IS_alqt_plus</v>
          </cell>
          <cell r="K2122" t="str">
            <v>EMON</v>
          </cell>
          <cell r="M2122" t="str">
            <v>F</v>
          </cell>
          <cell r="AC2122">
            <v>1</v>
          </cell>
        </row>
        <row r="2123">
          <cell r="A2123" t="str">
            <v>IS_alqt_plus</v>
          </cell>
          <cell r="K2123" t="str">
            <v>PCOQ</v>
          </cell>
          <cell r="M2123" t="str">
            <v>F</v>
          </cell>
          <cell r="AC2123">
            <v>1.8</v>
          </cell>
        </row>
        <row r="2124">
          <cell r="A2124" t="str">
            <v>IS_alqt_plus</v>
          </cell>
          <cell r="K2124" t="str">
            <v>VVV</v>
          </cell>
          <cell r="M2124" t="str">
            <v>F</v>
          </cell>
          <cell r="AC2124">
            <v>1.5</v>
          </cell>
        </row>
        <row r="2125">
          <cell r="A2125" t="str">
            <v>IS_alqt_plus</v>
          </cell>
          <cell r="K2125" t="str">
            <v>VVV</v>
          </cell>
          <cell r="M2125" t="str">
            <v>F</v>
          </cell>
          <cell r="AC2125">
            <v>1.5</v>
          </cell>
        </row>
        <row r="2126">
          <cell r="A2126" t="str">
            <v>IS_alqt_plus</v>
          </cell>
          <cell r="K2126" t="str">
            <v>DMAD</v>
          </cell>
          <cell r="M2126" t="str">
            <v>F</v>
          </cell>
          <cell r="AC2126">
            <v>0.5</v>
          </cell>
        </row>
        <row r="2127">
          <cell r="A2127" t="str">
            <v>IS_alqt_plus</v>
          </cell>
          <cell r="K2127" t="str">
            <v>DMAD</v>
          </cell>
          <cell r="M2127" t="str">
            <v>F</v>
          </cell>
          <cell r="AC2127">
            <v>0.5</v>
          </cell>
        </row>
        <row r="2128">
          <cell r="A2128" t="str">
            <v>IS_alqt_plus</v>
          </cell>
          <cell r="K2128" t="str">
            <v>DMAD</v>
          </cell>
          <cell r="M2128" t="str">
            <v>F</v>
          </cell>
          <cell r="AC2128">
            <v>1</v>
          </cell>
        </row>
        <row r="2129">
          <cell r="A2129" t="str">
            <v>IS_alqt_plus</v>
          </cell>
          <cell r="K2129" t="str">
            <v>DMAD</v>
          </cell>
          <cell r="M2129" t="str">
            <v>F</v>
          </cell>
          <cell r="AC2129">
            <v>1</v>
          </cell>
        </row>
        <row r="2130">
          <cell r="A2130" t="str">
            <v>IS_alqt_plus</v>
          </cell>
          <cell r="K2130" t="str">
            <v>DMAD</v>
          </cell>
          <cell r="M2130" t="str">
            <v>F</v>
          </cell>
          <cell r="AC2130">
            <v>1</v>
          </cell>
        </row>
        <row r="2131">
          <cell r="A2131" t="str">
            <v>IS_alqt_plus</v>
          </cell>
          <cell r="K2131" t="str">
            <v>VVV</v>
          </cell>
          <cell r="M2131" t="str">
            <v>F</v>
          </cell>
          <cell r="AC2131">
            <v>1</v>
          </cell>
        </row>
        <row r="2132">
          <cell r="A2132" t="str">
            <v>IS_alqt_plus</v>
          </cell>
          <cell r="K2132" t="str">
            <v>LCAT</v>
          </cell>
          <cell r="M2132" t="str">
            <v>F</v>
          </cell>
          <cell r="AC2132">
            <v>0.5</v>
          </cell>
        </row>
        <row r="2133">
          <cell r="A2133" t="str">
            <v>IS_alqt_plus</v>
          </cell>
          <cell r="K2133" t="str">
            <v>LCAT</v>
          </cell>
          <cell r="M2133" t="str">
            <v>F</v>
          </cell>
          <cell r="AC2133">
            <v>1</v>
          </cell>
        </row>
        <row r="2134">
          <cell r="A2134" t="str">
            <v>IS_alqt_plus</v>
          </cell>
          <cell r="K2134" t="str">
            <v>LCAT</v>
          </cell>
          <cell r="M2134" t="str">
            <v>F</v>
          </cell>
          <cell r="AC2134">
            <v>0.5</v>
          </cell>
        </row>
        <row r="2135">
          <cell r="A2135" t="str">
            <v>IS_alqt_plus</v>
          </cell>
          <cell r="K2135" t="str">
            <v>LCAT</v>
          </cell>
          <cell r="M2135" t="str">
            <v>F</v>
          </cell>
          <cell r="AC2135">
            <v>1</v>
          </cell>
        </row>
        <row r="2136">
          <cell r="A2136" t="str">
            <v>IS_alqt_plus</v>
          </cell>
          <cell r="K2136" t="str">
            <v>LCAT</v>
          </cell>
          <cell r="M2136" t="str">
            <v>F</v>
          </cell>
          <cell r="AC2136">
            <v>0.5</v>
          </cell>
        </row>
        <row r="2137">
          <cell r="A2137" t="str">
            <v>IS_alqt_plus</v>
          </cell>
          <cell r="K2137" t="str">
            <v>LCAT</v>
          </cell>
          <cell r="M2137" t="str">
            <v>F</v>
          </cell>
          <cell r="AC2137">
            <v>1</v>
          </cell>
        </row>
        <row r="2138">
          <cell r="A2138" t="str">
            <v>gone</v>
          </cell>
          <cell r="K2138" t="str">
            <v>LCAT</v>
          </cell>
          <cell r="M2138" t="str">
            <v>F</v>
          </cell>
          <cell r="AC2138">
            <v>0</v>
          </cell>
        </row>
        <row r="2139">
          <cell r="A2139" t="str">
            <v>gone</v>
          </cell>
          <cell r="K2139" t="str">
            <v>LCAT</v>
          </cell>
          <cell r="M2139" t="str">
            <v>F</v>
          </cell>
          <cell r="AC2139">
            <v>0</v>
          </cell>
        </row>
        <row r="2140">
          <cell r="A2140" t="str">
            <v>IS_alqt_plus</v>
          </cell>
          <cell r="K2140" t="str">
            <v>LCAT</v>
          </cell>
          <cell r="M2140" t="str">
            <v>F</v>
          </cell>
          <cell r="AC2140">
            <v>1.35</v>
          </cell>
        </row>
        <row r="2141">
          <cell r="A2141" t="str">
            <v>gone</v>
          </cell>
          <cell r="K2141" t="str">
            <v>LCAT</v>
          </cell>
          <cell r="M2141" t="str">
            <v>F</v>
          </cell>
          <cell r="AC2141">
            <v>0</v>
          </cell>
        </row>
        <row r="2142">
          <cell r="A2142" t="str">
            <v>gone</v>
          </cell>
          <cell r="K2142" t="str">
            <v>LCAT</v>
          </cell>
          <cell r="M2142" t="str">
            <v>F</v>
          </cell>
          <cell r="AC2142">
            <v>0</v>
          </cell>
        </row>
        <row r="2143">
          <cell r="A2143" t="str">
            <v>gone</v>
          </cell>
          <cell r="K2143" t="str">
            <v>LCAT</v>
          </cell>
          <cell r="M2143" t="str">
            <v>M</v>
          </cell>
          <cell r="AC2143">
            <v>0</v>
          </cell>
        </row>
        <row r="2144">
          <cell r="A2144" t="str">
            <v>IS_alqt_plus</v>
          </cell>
          <cell r="K2144" t="str">
            <v>LCAT</v>
          </cell>
          <cell r="M2144" t="str">
            <v>M</v>
          </cell>
          <cell r="AC2144">
            <v>0.5</v>
          </cell>
        </row>
        <row r="2145">
          <cell r="A2145" t="str">
            <v>IS_alqt_plus</v>
          </cell>
          <cell r="K2145" t="str">
            <v>LCAT</v>
          </cell>
          <cell r="M2145" t="str">
            <v>M</v>
          </cell>
          <cell r="AC2145">
            <v>0.5</v>
          </cell>
        </row>
        <row r="2146">
          <cell r="A2146" t="str">
            <v>IS_alqt_plus</v>
          </cell>
          <cell r="K2146" t="str">
            <v>VRUB</v>
          </cell>
          <cell r="M2146" t="str">
            <v>F</v>
          </cell>
          <cell r="AC2146">
            <v>1.2</v>
          </cell>
        </row>
        <row r="2147">
          <cell r="A2147" t="str">
            <v>IS_alqt_minus</v>
          </cell>
          <cell r="K2147" t="str">
            <v>LCAT</v>
          </cell>
          <cell r="M2147" t="str">
            <v>M</v>
          </cell>
          <cell r="AC2147">
            <v>0.2</v>
          </cell>
        </row>
        <row r="2148">
          <cell r="A2148" t="str">
            <v>IS_alqt_minus</v>
          </cell>
          <cell r="K2148" t="str">
            <v>LCAT</v>
          </cell>
          <cell r="M2148" t="str">
            <v>M</v>
          </cell>
          <cell r="AC2148">
            <v>0.2</v>
          </cell>
        </row>
        <row r="2149">
          <cell r="A2149" t="str">
            <v>IS_alqt_minus</v>
          </cell>
          <cell r="K2149" t="str">
            <v>LCAT</v>
          </cell>
          <cell r="M2149" t="str">
            <v>M</v>
          </cell>
          <cell r="AC2149">
            <v>0.2</v>
          </cell>
        </row>
        <row r="2150">
          <cell r="A2150" t="str">
            <v>IS_alqt_minus</v>
          </cell>
          <cell r="K2150" t="str">
            <v>LCAT</v>
          </cell>
          <cell r="M2150" t="str">
            <v>M</v>
          </cell>
          <cell r="AC2150">
            <v>0.2</v>
          </cell>
        </row>
        <row r="2151">
          <cell r="A2151" t="str">
            <v>IS_alqt_minus</v>
          </cell>
          <cell r="K2151" t="str">
            <v>LCAT</v>
          </cell>
          <cell r="M2151" t="str">
            <v>M</v>
          </cell>
          <cell r="AC2151">
            <v>0.2</v>
          </cell>
        </row>
        <row r="2152">
          <cell r="A2152" t="str">
            <v>IS_alqt_plus</v>
          </cell>
          <cell r="K2152" t="str">
            <v>LCAT</v>
          </cell>
          <cell r="M2152" t="str">
            <v>M</v>
          </cell>
          <cell r="AC2152">
            <v>0.5</v>
          </cell>
        </row>
        <row r="2153">
          <cell r="A2153" t="str">
            <v>gone</v>
          </cell>
          <cell r="K2153" t="str">
            <v>LCAT</v>
          </cell>
          <cell r="M2153" t="str">
            <v>M</v>
          </cell>
          <cell r="AC2153">
            <v>0</v>
          </cell>
        </row>
        <row r="2154">
          <cell r="A2154" t="str">
            <v>gone</v>
          </cell>
          <cell r="K2154" t="str">
            <v>LCAT</v>
          </cell>
          <cell r="M2154" t="str">
            <v>M</v>
          </cell>
          <cell r="AC2154">
            <v>0</v>
          </cell>
        </row>
        <row r="2155">
          <cell r="A2155" t="str">
            <v>gone</v>
          </cell>
          <cell r="K2155" t="str">
            <v>LCAT</v>
          </cell>
          <cell r="M2155" t="str">
            <v>M</v>
          </cell>
          <cell r="AC2155">
            <v>0</v>
          </cell>
        </row>
        <row r="2156">
          <cell r="A2156" t="str">
            <v>gone</v>
          </cell>
          <cell r="K2156" t="str">
            <v>LCAT</v>
          </cell>
          <cell r="M2156" t="str">
            <v>M</v>
          </cell>
          <cell r="AC2156">
            <v>0</v>
          </cell>
        </row>
        <row r="2157">
          <cell r="A2157" t="str">
            <v>gone</v>
          </cell>
          <cell r="K2157" t="str">
            <v>LCAT</v>
          </cell>
          <cell r="M2157" t="str">
            <v>M</v>
          </cell>
          <cell r="AC2157">
            <v>0</v>
          </cell>
        </row>
        <row r="2158">
          <cell r="A2158" t="str">
            <v>IS_alqt_plus</v>
          </cell>
          <cell r="K2158" t="str">
            <v>VRUB</v>
          </cell>
          <cell r="M2158" t="str">
            <v>M</v>
          </cell>
          <cell r="AC2158">
            <v>0.5</v>
          </cell>
        </row>
        <row r="2159">
          <cell r="A2159" t="str">
            <v>IS_alqt_plus</v>
          </cell>
          <cell r="K2159" t="str">
            <v>VRUB</v>
          </cell>
          <cell r="M2159" t="str">
            <v>M</v>
          </cell>
          <cell r="AC2159">
            <v>1</v>
          </cell>
        </row>
        <row r="2160">
          <cell r="A2160" t="str">
            <v>IS_alqt_plus</v>
          </cell>
          <cell r="K2160" t="str">
            <v>VRUB</v>
          </cell>
          <cell r="M2160" t="str">
            <v>F</v>
          </cell>
          <cell r="AC2160">
            <v>1.5</v>
          </cell>
        </row>
        <row r="2161">
          <cell r="A2161" t="str">
            <v>IS_alqt_plus</v>
          </cell>
          <cell r="K2161" t="str">
            <v>VRUB</v>
          </cell>
          <cell r="M2161" t="str">
            <v>F</v>
          </cell>
          <cell r="AC2161">
            <v>1.5</v>
          </cell>
        </row>
        <row r="2162">
          <cell r="A2162" t="str">
            <v>IS_alqt_plus</v>
          </cell>
          <cell r="K2162" t="str">
            <v>VRUB</v>
          </cell>
          <cell r="M2162" t="str">
            <v>F</v>
          </cell>
          <cell r="AC2162">
            <v>1.5</v>
          </cell>
        </row>
        <row r="2163">
          <cell r="A2163" t="str">
            <v>IS_alqt_plus</v>
          </cell>
          <cell r="K2163" t="str">
            <v>VRUB</v>
          </cell>
          <cell r="M2163" t="str">
            <v>F</v>
          </cell>
          <cell r="AC2163">
            <v>1.5</v>
          </cell>
        </row>
        <row r="2164">
          <cell r="A2164" t="str">
            <v>IS_alqt_plus</v>
          </cell>
          <cell r="K2164" t="str">
            <v>VRUB</v>
          </cell>
          <cell r="M2164" t="str">
            <v>F</v>
          </cell>
          <cell r="AC2164">
            <v>1.5</v>
          </cell>
        </row>
        <row r="2165">
          <cell r="A2165" t="str">
            <v>IS_alqt_plus</v>
          </cell>
          <cell r="K2165" t="str">
            <v>VRUB</v>
          </cell>
          <cell r="M2165" t="str">
            <v>F</v>
          </cell>
          <cell r="AC2165">
            <v>1.5</v>
          </cell>
        </row>
        <row r="2166">
          <cell r="A2166" t="str">
            <v>IS_alqt_plus</v>
          </cell>
          <cell r="K2166" t="str">
            <v>VRUB</v>
          </cell>
          <cell r="M2166" t="str">
            <v>F</v>
          </cell>
          <cell r="AC2166">
            <v>1.5</v>
          </cell>
        </row>
        <row r="2167">
          <cell r="A2167" t="str">
            <v>IS_alqt_plus</v>
          </cell>
          <cell r="K2167" t="str">
            <v>VRUB</v>
          </cell>
          <cell r="M2167" t="str">
            <v>F</v>
          </cell>
          <cell r="AC2167">
            <v>1.5</v>
          </cell>
        </row>
        <row r="2168">
          <cell r="A2168" t="str">
            <v>IS_alqt_plus</v>
          </cell>
          <cell r="K2168" t="str">
            <v>LCAT</v>
          </cell>
          <cell r="M2168" t="str">
            <v>F</v>
          </cell>
          <cell r="AC2168">
            <v>1.25</v>
          </cell>
        </row>
        <row r="2169">
          <cell r="A2169" t="str">
            <v>IS_alqt_minus</v>
          </cell>
          <cell r="K2169" t="str">
            <v>LCAT</v>
          </cell>
          <cell r="M2169" t="str">
            <v>F</v>
          </cell>
          <cell r="AC2169">
            <v>0.2</v>
          </cell>
        </row>
        <row r="2170">
          <cell r="A2170" t="str">
            <v>IS_alqt_minus</v>
          </cell>
          <cell r="K2170" t="str">
            <v>LCAT</v>
          </cell>
          <cell r="M2170" t="str">
            <v>F</v>
          </cell>
          <cell r="AC2170">
            <v>0.2</v>
          </cell>
        </row>
        <row r="2171">
          <cell r="A2171" t="str">
            <v>IS_alqt_minus</v>
          </cell>
          <cell r="K2171" t="str">
            <v>LCAT</v>
          </cell>
          <cell r="M2171" t="str">
            <v>F</v>
          </cell>
          <cell r="AC2171">
            <v>0.2</v>
          </cell>
        </row>
        <row r="2172">
          <cell r="A2172" t="str">
            <v>IS_alqt_minus</v>
          </cell>
          <cell r="K2172" t="str">
            <v>LCAT</v>
          </cell>
          <cell r="M2172" t="str">
            <v>F</v>
          </cell>
          <cell r="AC2172">
            <v>0.2</v>
          </cell>
        </row>
        <row r="2173">
          <cell r="A2173" t="str">
            <v>IS_alqt_minus</v>
          </cell>
          <cell r="K2173" t="str">
            <v>LCAT</v>
          </cell>
          <cell r="M2173" t="str">
            <v>F</v>
          </cell>
          <cell r="AC2173">
            <v>0.2</v>
          </cell>
        </row>
        <row r="2174">
          <cell r="A2174" t="str">
            <v>IS_alqt_minus</v>
          </cell>
          <cell r="K2174" t="str">
            <v>LCAT</v>
          </cell>
          <cell r="M2174" t="str">
            <v>F</v>
          </cell>
          <cell r="AC2174">
            <v>0.2</v>
          </cell>
        </row>
        <row r="2175">
          <cell r="A2175" t="str">
            <v>IS_alqt_minus</v>
          </cell>
          <cell r="K2175" t="str">
            <v>LCAT</v>
          </cell>
          <cell r="M2175" t="str">
            <v>F</v>
          </cell>
          <cell r="AC2175">
            <v>0.2</v>
          </cell>
        </row>
        <row r="2176">
          <cell r="A2176" t="str">
            <v>gone</v>
          </cell>
          <cell r="K2176" t="str">
            <v>LCAT</v>
          </cell>
          <cell r="M2176" t="str">
            <v>F</v>
          </cell>
          <cell r="AC2176">
            <v>0</v>
          </cell>
        </row>
        <row r="2177">
          <cell r="A2177" t="str">
            <v>gone</v>
          </cell>
          <cell r="K2177" t="str">
            <v>LCAT</v>
          </cell>
          <cell r="M2177" t="str">
            <v>F</v>
          </cell>
          <cell r="AC2177">
            <v>0</v>
          </cell>
        </row>
        <row r="2178">
          <cell r="A2178" t="str">
            <v>IS_alqt_plus</v>
          </cell>
          <cell r="K2178" t="str">
            <v>VRUB</v>
          </cell>
          <cell r="M2178" t="str">
            <v>F</v>
          </cell>
          <cell r="AC2178">
            <v>1</v>
          </cell>
        </row>
        <row r="2179">
          <cell r="A2179" t="str">
            <v>IS_alqt_plus</v>
          </cell>
          <cell r="K2179" t="str">
            <v>VRUB</v>
          </cell>
          <cell r="M2179" t="str">
            <v>F</v>
          </cell>
          <cell r="AC2179">
            <v>1.1000000000000001</v>
          </cell>
        </row>
        <row r="2180">
          <cell r="A2180" t="str">
            <v>IS_alqt_plus</v>
          </cell>
          <cell r="K2180" t="str">
            <v>VRUB</v>
          </cell>
          <cell r="M2180" t="str">
            <v>F</v>
          </cell>
          <cell r="AC2180">
            <v>1.5</v>
          </cell>
        </row>
        <row r="2181">
          <cell r="A2181" t="str">
            <v>IS_alqt_plus</v>
          </cell>
          <cell r="K2181" t="str">
            <v>VRUB</v>
          </cell>
          <cell r="M2181" t="str">
            <v>F</v>
          </cell>
          <cell r="AC2181">
            <v>1.25</v>
          </cell>
        </row>
        <row r="2182">
          <cell r="A2182" t="str">
            <v>IS_alqt_plus</v>
          </cell>
          <cell r="K2182" t="str">
            <v>LCAT</v>
          </cell>
          <cell r="M2182" t="str">
            <v>F</v>
          </cell>
          <cell r="AC2182">
            <v>0.5</v>
          </cell>
        </row>
        <row r="2183">
          <cell r="A2183" t="str">
            <v>IS_alqt_plus</v>
          </cell>
          <cell r="K2183" t="str">
            <v>LCAT</v>
          </cell>
          <cell r="M2183" t="str">
            <v>F</v>
          </cell>
          <cell r="AC2183">
            <v>0.5</v>
          </cell>
        </row>
        <row r="2184">
          <cell r="A2184" t="str">
            <v>IS_alqt_plus</v>
          </cell>
          <cell r="K2184" t="str">
            <v>LCAT</v>
          </cell>
          <cell r="M2184" t="str">
            <v>F</v>
          </cell>
          <cell r="AC2184">
            <v>0.5</v>
          </cell>
        </row>
        <row r="2185">
          <cell r="A2185" t="str">
            <v>IS_alqt_plus</v>
          </cell>
          <cell r="K2185" t="str">
            <v>LCAT</v>
          </cell>
          <cell r="M2185" t="str">
            <v>F</v>
          </cell>
          <cell r="AC2185">
            <v>0.5</v>
          </cell>
        </row>
        <row r="2186">
          <cell r="A2186" t="str">
            <v>IS_alqt_plus</v>
          </cell>
          <cell r="K2186" t="str">
            <v>LCAT</v>
          </cell>
          <cell r="M2186" t="str">
            <v>F</v>
          </cell>
          <cell r="AC2186">
            <v>0.5</v>
          </cell>
        </row>
        <row r="2187">
          <cell r="A2187" t="str">
            <v>IS_alqt_plus</v>
          </cell>
          <cell r="K2187" t="str">
            <v>LCAT</v>
          </cell>
          <cell r="M2187" t="str">
            <v>F</v>
          </cell>
          <cell r="AC2187">
            <v>0.5</v>
          </cell>
        </row>
        <row r="2188">
          <cell r="A2188" t="str">
            <v>IS_alqt_plus</v>
          </cell>
          <cell r="K2188" t="str">
            <v>LCAT</v>
          </cell>
          <cell r="M2188" t="str">
            <v>F</v>
          </cell>
          <cell r="AC2188">
            <v>0.5</v>
          </cell>
        </row>
        <row r="2189">
          <cell r="A2189" t="str">
            <v>IS_alqt_plus</v>
          </cell>
          <cell r="K2189" t="str">
            <v>LCAT</v>
          </cell>
          <cell r="M2189" t="str">
            <v>F</v>
          </cell>
          <cell r="AC2189">
            <v>0.5</v>
          </cell>
        </row>
        <row r="2190">
          <cell r="A2190" t="str">
            <v>IS_alqt_plus</v>
          </cell>
          <cell r="K2190" t="str">
            <v>LCAT</v>
          </cell>
          <cell r="M2190" t="str">
            <v>F</v>
          </cell>
          <cell r="AC2190">
            <v>0.5</v>
          </cell>
        </row>
        <row r="2191">
          <cell r="A2191" t="str">
            <v>IS_alqt_plus</v>
          </cell>
          <cell r="K2191" t="str">
            <v>LCAT</v>
          </cell>
          <cell r="M2191" t="str">
            <v>F</v>
          </cell>
          <cell r="AC2191">
            <v>0.5</v>
          </cell>
        </row>
        <row r="2192">
          <cell r="A2192" t="str">
            <v>IS_alqt_plus</v>
          </cell>
          <cell r="K2192" t="str">
            <v>LCAT</v>
          </cell>
          <cell r="M2192" t="str">
            <v>F</v>
          </cell>
          <cell r="AC2192">
            <v>0.5</v>
          </cell>
        </row>
        <row r="2193">
          <cell r="A2193" t="str">
            <v>IS_alqt_plus</v>
          </cell>
          <cell r="K2193" t="str">
            <v>LCAT</v>
          </cell>
          <cell r="M2193" t="str">
            <v>F</v>
          </cell>
          <cell r="AC2193">
            <v>0.5</v>
          </cell>
        </row>
        <row r="2194">
          <cell r="A2194" t="str">
            <v>IS_alqt_plus</v>
          </cell>
          <cell r="K2194" t="str">
            <v>LCAT</v>
          </cell>
          <cell r="M2194" t="str">
            <v>F</v>
          </cell>
          <cell r="AC2194">
            <v>0.5</v>
          </cell>
        </row>
        <row r="2195">
          <cell r="A2195" t="str">
            <v>IS_alqt_plus</v>
          </cell>
          <cell r="K2195" t="str">
            <v>MMUR</v>
          </cell>
          <cell r="M2195" t="str">
            <v>M</v>
          </cell>
          <cell r="AC2195">
            <v>0.6</v>
          </cell>
        </row>
        <row r="2196">
          <cell r="A2196" t="str">
            <v>IS_alqt_plus</v>
          </cell>
          <cell r="K2196" t="str">
            <v>LCAT</v>
          </cell>
          <cell r="M2196" t="str">
            <v>F</v>
          </cell>
          <cell r="AC2196">
            <v>0.5</v>
          </cell>
        </row>
        <row r="2197">
          <cell r="A2197" t="str">
            <v>IS_alqt_plus</v>
          </cell>
          <cell r="K2197" t="str">
            <v>ECOL</v>
          </cell>
          <cell r="M2197" t="str">
            <v>M</v>
          </cell>
          <cell r="AC2197">
            <v>0.5</v>
          </cell>
        </row>
        <row r="2198">
          <cell r="A2198" t="str">
            <v>IS_alqt_minus</v>
          </cell>
          <cell r="K2198" t="str">
            <v>ECOL</v>
          </cell>
          <cell r="M2198" t="str">
            <v>M</v>
          </cell>
          <cell r="AC2198">
            <v>0.2</v>
          </cell>
        </row>
        <row r="2199">
          <cell r="A2199" t="str">
            <v>IS_alqt_minus</v>
          </cell>
          <cell r="K2199" t="str">
            <v>LCAT</v>
          </cell>
          <cell r="M2199" t="str">
            <v>F</v>
          </cell>
          <cell r="AC2199">
            <v>0.4</v>
          </cell>
        </row>
        <row r="2200">
          <cell r="A2200" t="str">
            <v>IS_alqt_plus</v>
          </cell>
          <cell r="K2200" t="str">
            <v>LCAT</v>
          </cell>
          <cell r="M2200" t="str">
            <v>F</v>
          </cell>
          <cell r="AC2200">
            <v>0.5</v>
          </cell>
        </row>
        <row r="2201">
          <cell r="A2201" t="str">
            <v>IS_alqt_plus</v>
          </cell>
          <cell r="K2201" t="str">
            <v>LCAT</v>
          </cell>
          <cell r="M2201" t="str">
            <v>F</v>
          </cell>
          <cell r="AC2201">
            <v>0.5</v>
          </cell>
        </row>
        <row r="2202">
          <cell r="A2202" t="str">
            <v>IS_alqt_plus</v>
          </cell>
          <cell r="K2202" t="str">
            <v>LCAT</v>
          </cell>
          <cell r="M2202" t="str">
            <v>F</v>
          </cell>
          <cell r="AC2202">
            <v>0.5</v>
          </cell>
        </row>
        <row r="2203">
          <cell r="A2203" t="str">
            <v>IS_alqt_plus</v>
          </cell>
          <cell r="K2203" t="str">
            <v>LCAT</v>
          </cell>
          <cell r="M2203" t="str">
            <v>F</v>
          </cell>
          <cell r="AC2203">
            <v>0.5</v>
          </cell>
        </row>
        <row r="2204">
          <cell r="A2204" t="str">
            <v>IS_alqt_plus</v>
          </cell>
          <cell r="K2204" t="str">
            <v>LCAT</v>
          </cell>
          <cell r="M2204" t="str">
            <v>F</v>
          </cell>
          <cell r="AC2204">
            <v>0.5</v>
          </cell>
        </row>
        <row r="2205">
          <cell r="A2205" t="str">
            <v>IS_alqt_plus</v>
          </cell>
          <cell r="K2205" t="str">
            <v>LCAT</v>
          </cell>
          <cell r="M2205" t="str">
            <v>F</v>
          </cell>
          <cell r="AC2205">
            <v>0.5</v>
          </cell>
        </row>
        <row r="2206">
          <cell r="A2206" t="str">
            <v>IS_alqt_plus</v>
          </cell>
          <cell r="K2206" t="str">
            <v>LCAT</v>
          </cell>
          <cell r="M2206" t="str">
            <v>F</v>
          </cell>
          <cell r="AC2206">
            <v>0.5</v>
          </cell>
        </row>
        <row r="2207">
          <cell r="A2207" t="str">
            <v>IS_alqt_plus</v>
          </cell>
          <cell r="K2207" t="str">
            <v>LCAT</v>
          </cell>
          <cell r="M2207" t="str">
            <v>F</v>
          </cell>
          <cell r="AC2207">
            <v>0.7</v>
          </cell>
        </row>
        <row r="2208">
          <cell r="A2208" t="str">
            <v>IS_alqt_plus</v>
          </cell>
          <cell r="K2208" t="str">
            <v>LCAT</v>
          </cell>
          <cell r="M2208" t="str">
            <v>F</v>
          </cell>
          <cell r="AC2208">
            <v>0.5</v>
          </cell>
        </row>
        <row r="2209">
          <cell r="A2209" t="str">
            <v>IS_alqt_plus</v>
          </cell>
          <cell r="K2209" t="str">
            <v>LCAT</v>
          </cell>
          <cell r="M2209" t="str">
            <v>F</v>
          </cell>
          <cell r="AC2209">
            <v>0.5</v>
          </cell>
        </row>
        <row r="2210">
          <cell r="A2210" t="str">
            <v>gone</v>
          </cell>
          <cell r="K2210" t="str">
            <v>LCAT</v>
          </cell>
          <cell r="M2210" t="str">
            <v>F</v>
          </cell>
          <cell r="AC2210">
            <v>0</v>
          </cell>
        </row>
        <row r="2211">
          <cell r="A2211" t="str">
            <v>gone</v>
          </cell>
          <cell r="K2211" t="str">
            <v>LCAT</v>
          </cell>
          <cell r="M2211" t="str">
            <v>F</v>
          </cell>
          <cell r="AC2211">
            <v>0</v>
          </cell>
        </row>
        <row r="2212">
          <cell r="A2212" t="str">
            <v>IS_alqt_plus</v>
          </cell>
          <cell r="K2212" t="str">
            <v>VRUB</v>
          </cell>
          <cell r="M2212" t="str">
            <v>M</v>
          </cell>
          <cell r="AC2212">
            <v>1.4</v>
          </cell>
        </row>
        <row r="2213">
          <cell r="A2213" t="str">
            <v>IS_alqt_plus</v>
          </cell>
          <cell r="K2213" t="str">
            <v>VRUB</v>
          </cell>
          <cell r="M2213" t="str">
            <v>F</v>
          </cell>
          <cell r="AC2213">
            <v>1.4</v>
          </cell>
        </row>
        <row r="2214">
          <cell r="A2214" t="str">
            <v>IS_alqt_plus</v>
          </cell>
          <cell r="K2214" t="str">
            <v>VRUB</v>
          </cell>
          <cell r="M2214" t="str">
            <v>F</v>
          </cell>
          <cell r="AC2214">
            <v>1.2</v>
          </cell>
        </row>
        <row r="2215">
          <cell r="A2215" t="str">
            <v>IS_alqt_plus</v>
          </cell>
          <cell r="K2215" t="str">
            <v>VRUB</v>
          </cell>
          <cell r="M2215" t="str">
            <v>F</v>
          </cell>
          <cell r="AC2215">
            <v>1.2</v>
          </cell>
        </row>
        <row r="2216">
          <cell r="A2216" t="str">
            <v>IS_alqt_plus</v>
          </cell>
          <cell r="K2216" t="str">
            <v>VRUB</v>
          </cell>
          <cell r="M2216" t="str">
            <v>F</v>
          </cell>
          <cell r="AC2216">
            <v>1.2</v>
          </cell>
        </row>
        <row r="2217">
          <cell r="A2217" t="str">
            <v>unk</v>
          </cell>
          <cell r="K2217" t="str">
            <v>VRUB</v>
          </cell>
          <cell r="M2217" t="str">
            <v>F</v>
          </cell>
          <cell r="AC2217">
            <v>1.5</v>
          </cell>
        </row>
        <row r="2218">
          <cell r="A2218" t="str">
            <v>IS_alqt_plus</v>
          </cell>
          <cell r="K2218" t="str">
            <v>LCAT</v>
          </cell>
          <cell r="M2218" t="str">
            <v>M</v>
          </cell>
          <cell r="AC2218">
            <v>0.5</v>
          </cell>
        </row>
        <row r="2219">
          <cell r="A2219" t="str">
            <v>IS_alqt_plus</v>
          </cell>
          <cell r="K2219" t="str">
            <v>LCAT</v>
          </cell>
          <cell r="M2219" t="str">
            <v>M</v>
          </cell>
          <cell r="AC2219">
            <v>0.5</v>
          </cell>
        </row>
        <row r="2220">
          <cell r="A2220" t="str">
            <v>IS_alqt_plus</v>
          </cell>
          <cell r="K2220" t="str">
            <v>LCAT</v>
          </cell>
          <cell r="M2220" t="str">
            <v>M</v>
          </cell>
          <cell r="AC2220">
            <v>0.5</v>
          </cell>
        </row>
        <row r="2221">
          <cell r="A2221" t="str">
            <v>IS_alqt_plus</v>
          </cell>
          <cell r="K2221" t="str">
            <v>MMUR</v>
          </cell>
          <cell r="M2221" t="str">
            <v>M</v>
          </cell>
          <cell r="AC2221">
            <v>0.9</v>
          </cell>
        </row>
        <row r="2222">
          <cell r="A2222" t="str">
            <v>IS_alqt_minus</v>
          </cell>
          <cell r="K2222" t="str">
            <v>MMUR</v>
          </cell>
          <cell r="M2222" t="str">
            <v>M</v>
          </cell>
          <cell r="AC2222">
            <v>0.25</v>
          </cell>
        </row>
        <row r="2223">
          <cell r="A2223" t="str">
            <v>IS_alqt_plus</v>
          </cell>
          <cell r="K2223" t="str">
            <v>LCAT</v>
          </cell>
          <cell r="M2223" t="str">
            <v>M</v>
          </cell>
          <cell r="AC2223">
            <v>0.5</v>
          </cell>
        </row>
        <row r="2224">
          <cell r="A2224" t="str">
            <v>IS_alqt_plus</v>
          </cell>
          <cell r="K2224" t="str">
            <v>LCAT</v>
          </cell>
          <cell r="M2224" t="str">
            <v>M</v>
          </cell>
          <cell r="AC2224">
            <v>0.5</v>
          </cell>
        </row>
        <row r="2225">
          <cell r="A2225" t="str">
            <v>IS_alqt_minus</v>
          </cell>
          <cell r="K2225" t="str">
            <v>LCAT</v>
          </cell>
          <cell r="M2225" t="str">
            <v>M</v>
          </cell>
          <cell r="AC2225">
            <v>0.2</v>
          </cell>
        </row>
        <row r="2226">
          <cell r="A2226" t="str">
            <v>IS_alqt_plus</v>
          </cell>
          <cell r="K2226" t="str">
            <v>LCAT</v>
          </cell>
          <cell r="M2226" t="str">
            <v>M</v>
          </cell>
          <cell r="AC2226">
            <v>0.5</v>
          </cell>
        </row>
        <row r="2227">
          <cell r="A2227" t="str">
            <v>IS_alqt_plus</v>
          </cell>
          <cell r="K2227" t="str">
            <v>LCAT</v>
          </cell>
          <cell r="M2227" t="str">
            <v>M</v>
          </cell>
          <cell r="AC2227">
            <v>0.5</v>
          </cell>
        </row>
        <row r="2228">
          <cell r="A2228" t="str">
            <v>gone</v>
          </cell>
          <cell r="K2228" t="str">
            <v>LCAT</v>
          </cell>
          <cell r="M2228" t="str">
            <v>M</v>
          </cell>
          <cell r="AC2228">
            <v>0</v>
          </cell>
        </row>
        <row r="2229">
          <cell r="A2229" t="str">
            <v>gone</v>
          </cell>
          <cell r="K2229" t="str">
            <v>LCAT</v>
          </cell>
          <cell r="M2229" t="str">
            <v>M</v>
          </cell>
          <cell r="AC2229">
            <v>0</v>
          </cell>
        </row>
        <row r="2230">
          <cell r="A2230" t="str">
            <v>unk</v>
          </cell>
          <cell r="K2230" t="str">
            <v>VVV</v>
          </cell>
          <cell r="M2230" t="str">
            <v>M</v>
          </cell>
          <cell r="AC2230">
            <v>1.5</v>
          </cell>
        </row>
        <row r="2231">
          <cell r="A2231" t="str">
            <v>IS_alqt_plus</v>
          </cell>
          <cell r="K2231" t="str">
            <v>VVV</v>
          </cell>
          <cell r="M2231" t="str">
            <v>M</v>
          </cell>
          <cell r="AC2231">
            <v>1</v>
          </cell>
        </row>
        <row r="2232">
          <cell r="A2232" t="str">
            <v>IS_alqt_plus</v>
          </cell>
          <cell r="K2232" t="str">
            <v>VVV</v>
          </cell>
          <cell r="M2232" t="str">
            <v>M</v>
          </cell>
          <cell r="AC2232">
            <v>1</v>
          </cell>
        </row>
        <row r="2233">
          <cell r="A2233" t="str">
            <v>IS_alqt_plus</v>
          </cell>
          <cell r="K2233" t="str">
            <v>VVV</v>
          </cell>
          <cell r="M2233" t="str">
            <v>M</v>
          </cell>
          <cell r="AC2233">
            <v>1</v>
          </cell>
        </row>
        <row r="2234">
          <cell r="A2234" t="str">
            <v>IS_alqt_plus</v>
          </cell>
          <cell r="K2234" t="str">
            <v>VVV</v>
          </cell>
          <cell r="M2234" t="str">
            <v>M</v>
          </cell>
          <cell r="AC2234">
            <v>1</v>
          </cell>
        </row>
        <row r="2235">
          <cell r="A2235" t="str">
            <v>IS_alqt_plus</v>
          </cell>
          <cell r="K2235" t="str">
            <v>PCOQ</v>
          </cell>
          <cell r="M2235" t="str">
            <v>F</v>
          </cell>
          <cell r="AC2235">
            <v>0.5</v>
          </cell>
        </row>
        <row r="2236">
          <cell r="A2236" t="str">
            <v>IS_alqt_plus</v>
          </cell>
          <cell r="K2236" t="str">
            <v>PCOQ</v>
          </cell>
          <cell r="M2236" t="str">
            <v>F</v>
          </cell>
          <cell r="AC2236">
            <v>1</v>
          </cell>
        </row>
        <row r="2237">
          <cell r="A2237" t="str">
            <v>IS_alqt_plus</v>
          </cell>
          <cell r="K2237" t="str">
            <v>PCOQ</v>
          </cell>
          <cell r="M2237" t="str">
            <v>F</v>
          </cell>
          <cell r="AC2237">
            <v>1</v>
          </cell>
        </row>
        <row r="2238">
          <cell r="A2238" t="str">
            <v>IS_alqt_plus</v>
          </cell>
          <cell r="K2238" t="str">
            <v>PCOQ</v>
          </cell>
          <cell r="M2238" t="str">
            <v>F</v>
          </cell>
          <cell r="AC2238">
            <v>0.5</v>
          </cell>
        </row>
        <row r="2239">
          <cell r="A2239" t="str">
            <v>IS_alqt_plus</v>
          </cell>
          <cell r="K2239" t="str">
            <v>PCOQ</v>
          </cell>
          <cell r="M2239" t="str">
            <v>F</v>
          </cell>
          <cell r="AC2239">
            <v>1</v>
          </cell>
        </row>
        <row r="2240">
          <cell r="A2240" t="str">
            <v>gone</v>
          </cell>
          <cell r="K2240" t="str">
            <v>PCOQ</v>
          </cell>
          <cell r="M2240" t="str">
            <v>F</v>
          </cell>
          <cell r="AC2240">
            <v>0</v>
          </cell>
        </row>
        <row r="2241">
          <cell r="A2241" t="str">
            <v>IS_alqt_minus</v>
          </cell>
          <cell r="K2241" t="str">
            <v>PCOQ</v>
          </cell>
          <cell r="M2241" t="str">
            <v>M</v>
          </cell>
          <cell r="AC2241">
            <v>0.1</v>
          </cell>
        </row>
        <row r="2242">
          <cell r="A2242" t="str">
            <v>IS_alqt_plus</v>
          </cell>
          <cell r="K2242" t="str">
            <v>PCOQ</v>
          </cell>
          <cell r="M2242" t="str">
            <v>M</v>
          </cell>
          <cell r="AC2242">
            <v>1.5</v>
          </cell>
        </row>
        <row r="2243">
          <cell r="A2243" t="str">
            <v>IS_alqt_plus</v>
          </cell>
          <cell r="K2243" t="str">
            <v>PCOQ</v>
          </cell>
          <cell r="M2243" t="str">
            <v>M</v>
          </cell>
          <cell r="AC2243">
            <v>1</v>
          </cell>
        </row>
        <row r="2244">
          <cell r="A2244" t="str">
            <v>IS_alqt_plus</v>
          </cell>
          <cell r="K2244" t="str">
            <v>PCOQ</v>
          </cell>
          <cell r="M2244" t="str">
            <v>M</v>
          </cell>
          <cell r="AC2244">
            <v>1.5</v>
          </cell>
        </row>
        <row r="2245">
          <cell r="A2245" t="str">
            <v>IS_alqt_plus</v>
          </cell>
          <cell r="K2245" t="str">
            <v>PCOQ</v>
          </cell>
          <cell r="M2245" t="str">
            <v>M</v>
          </cell>
          <cell r="AC2245">
            <v>1</v>
          </cell>
        </row>
        <row r="2246">
          <cell r="A2246" t="str">
            <v>IS_alqt_plus</v>
          </cell>
          <cell r="K2246" t="str">
            <v>PCOQ</v>
          </cell>
          <cell r="M2246" t="str">
            <v>M</v>
          </cell>
          <cell r="AC2246">
            <v>0.5</v>
          </cell>
        </row>
        <row r="2247">
          <cell r="A2247" t="str">
            <v>IS_alqt_plus</v>
          </cell>
          <cell r="K2247" t="str">
            <v>PCOQ</v>
          </cell>
          <cell r="M2247" t="str">
            <v>M</v>
          </cell>
          <cell r="AC2247">
            <v>0.5</v>
          </cell>
        </row>
        <row r="2248">
          <cell r="A2248" t="str">
            <v>IS_alqt_plus</v>
          </cell>
          <cell r="K2248" t="str">
            <v>PCOQ</v>
          </cell>
          <cell r="M2248" t="str">
            <v>M</v>
          </cell>
          <cell r="AC2248">
            <v>0.5</v>
          </cell>
        </row>
        <row r="2249">
          <cell r="A2249" t="str">
            <v>IS_alqt_plus</v>
          </cell>
          <cell r="K2249" t="str">
            <v>PCOQ</v>
          </cell>
          <cell r="M2249" t="str">
            <v>M</v>
          </cell>
          <cell r="AC2249">
            <v>0.5</v>
          </cell>
        </row>
        <row r="2250">
          <cell r="A2250" t="str">
            <v>gone</v>
          </cell>
          <cell r="K2250" t="str">
            <v>PCOQ</v>
          </cell>
          <cell r="M2250" t="str">
            <v>M</v>
          </cell>
          <cell r="AC2250">
            <v>0</v>
          </cell>
        </row>
        <row r="2251">
          <cell r="A2251" t="str">
            <v>IS_alqt_plus</v>
          </cell>
          <cell r="K2251" t="str">
            <v>VVV</v>
          </cell>
          <cell r="M2251" t="str">
            <v>M</v>
          </cell>
          <cell r="AC2251">
            <v>1</v>
          </cell>
        </row>
        <row r="2252">
          <cell r="A2252" t="str">
            <v>IS_alqt_plus</v>
          </cell>
          <cell r="K2252" t="str">
            <v>VVV</v>
          </cell>
          <cell r="M2252" t="str">
            <v>M</v>
          </cell>
          <cell r="AC2252">
            <v>1</v>
          </cell>
        </row>
        <row r="2253">
          <cell r="A2253" t="str">
            <v>IS_alqt_minus</v>
          </cell>
          <cell r="K2253" t="str">
            <v>MMUR</v>
          </cell>
          <cell r="M2253" t="str">
            <v>M</v>
          </cell>
          <cell r="AC2253">
            <v>0.4</v>
          </cell>
        </row>
        <row r="2254">
          <cell r="A2254" t="str">
            <v>IS_alqt_plus</v>
          </cell>
          <cell r="K2254" t="str">
            <v>PCOQ</v>
          </cell>
          <cell r="M2254" t="str">
            <v>F</v>
          </cell>
          <cell r="AC2254">
            <v>1</v>
          </cell>
        </row>
        <row r="2255">
          <cell r="A2255" t="str">
            <v>IS_alqt_plus</v>
          </cell>
          <cell r="K2255" t="str">
            <v>PCOQ</v>
          </cell>
          <cell r="M2255" t="str">
            <v>F</v>
          </cell>
          <cell r="AC2255">
            <v>1</v>
          </cell>
        </row>
        <row r="2256">
          <cell r="A2256" t="str">
            <v>IS_alqt_plus</v>
          </cell>
          <cell r="K2256" t="str">
            <v>PCOQ</v>
          </cell>
          <cell r="M2256" t="str">
            <v>F</v>
          </cell>
          <cell r="AC2256">
            <v>1</v>
          </cell>
        </row>
        <row r="2257">
          <cell r="A2257" t="str">
            <v>IS_alqt_plus</v>
          </cell>
          <cell r="K2257" t="str">
            <v>PCOQ</v>
          </cell>
          <cell r="M2257" t="str">
            <v>F</v>
          </cell>
          <cell r="AC2257">
            <v>1</v>
          </cell>
        </row>
        <row r="2258">
          <cell r="A2258" t="str">
            <v>IS_alqt_plus</v>
          </cell>
          <cell r="K2258" t="str">
            <v>PCOQ</v>
          </cell>
          <cell r="M2258" t="str">
            <v>F</v>
          </cell>
          <cell r="AC2258">
            <v>1.2</v>
          </cell>
        </row>
        <row r="2259">
          <cell r="A2259" t="str">
            <v>IS_alqt_plus</v>
          </cell>
          <cell r="K2259" t="str">
            <v>PCOQ</v>
          </cell>
          <cell r="M2259" t="str">
            <v>F</v>
          </cell>
          <cell r="AC2259">
            <v>1</v>
          </cell>
        </row>
        <row r="2260">
          <cell r="A2260" t="str">
            <v>IS_alqt_plus</v>
          </cell>
          <cell r="K2260" t="str">
            <v>PCOQ</v>
          </cell>
          <cell r="M2260" t="str">
            <v>F</v>
          </cell>
          <cell r="AC2260">
            <v>1.2</v>
          </cell>
        </row>
        <row r="2261">
          <cell r="A2261" t="str">
            <v>IS_alqt_plus</v>
          </cell>
          <cell r="K2261" t="str">
            <v>HGG</v>
          </cell>
          <cell r="M2261" t="str">
            <v>M</v>
          </cell>
          <cell r="AC2261">
            <v>0.75</v>
          </cell>
        </row>
        <row r="2262">
          <cell r="A2262" t="str">
            <v>IS_alqt_plus</v>
          </cell>
          <cell r="K2262" t="str">
            <v>HGG</v>
          </cell>
          <cell r="M2262" t="str">
            <v>M</v>
          </cell>
          <cell r="AC2262">
            <v>0.5</v>
          </cell>
        </row>
        <row r="2263">
          <cell r="A2263" t="str">
            <v>IS_alqt_plus</v>
          </cell>
          <cell r="K2263" t="str">
            <v>HGG</v>
          </cell>
          <cell r="M2263" t="str">
            <v>M</v>
          </cell>
          <cell r="AC2263">
            <v>0.5</v>
          </cell>
        </row>
        <row r="2264">
          <cell r="A2264" t="str">
            <v>IS_alqt_plus</v>
          </cell>
          <cell r="K2264" t="str">
            <v>HGG</v>
          </cell>
          <cell r="M2264" t="str">
            <v>M</v>
          </cell>
          <cell r="AC2264">
            <v>0.5</v>
          </cell>
        </row>
        <row r="2265">
          <cell r="A2265" t="str">
            <v>IS_alqt_plus</v>
          </cell>
          <cell r="K2265" t="str">
            <v>HGG</v>
          </cell>
          <cell r="M2265" t="str">
            <v>M</v>
          </cell>
          <cell r="AC2265">
            <v>0.5</v>
          </cell>
        </row>
        <row r="2266">
          <cell r="A2266" t="str">
            <v>IS_alqt_minus</v>
          </cell>
          <cell r="K2266" t="str">
            <v>HGG</v>
          </cell>
          <cell r="M2266" t="str">
            <v>F</v>
          </cell>
          <cell r="AC2266">
            <v>0.4</v>
          </cell>
        </row>
        <row r="2267">
          <cell r="A2267" t="str">
            <v>IS_alqt_plus</v>
          </cell>
          <cell r="K2267" t="str">
            <v>PCOQ</v>
          </cell>
          <cell r="M2267" t="str">
            <v>F</v>
          </cell>
          <cell r="AC2267">
            <v>1.5</v>
          </cell>
        </row>
        <row r="2268">
          <cell r="A2268" t="str">
            <v>IS_alqt_plus</v>
          </cell>
          <cell r="K2268" t="str">
            <v>PCOQ</v>
          </cell>
          <cell r="M2268" t="str">
            <v>F</v>
          </cell>
          <cell r="AC2268">
            <v>1.5</v>
          </cell>
        </row>
        <row r="2269">
          <cell r="A2269" t="str">
            <v>IS_alqt_plus</v>
          </cell>
          <cell r="K2269" t="str">
            <v>PCOQ</v>
          </cell>
          <cell r="M2269" t="str">
            <v>F</v>
          </cell>
          <cell r="AC2269">
            <v>1.25</v>
          </cell>
        </row>
        <row r="2270">
          <cell r="A2270" t="str">
            <v>IS_alqt_plus</v>
          </cell>
          <cell r="K2270" t="str">
            <v>PCOQ</v>
          </cell>
          <cell r="M2270" t="str">
            <v>F</v>
          </cell>
          <cell r="AC2270">
            <v>1.5</v>
          </cell>
        </row>
        <row r="2271">
          <cell r="A2271" t="str">
            <v>gone</v>
          </cell>
          <cell r="K2271" t="str">
            <v>PCOQ</v>
          </cell>
          <cell r="M2271" t="str">
            <v>F</v>
          </cell>
          <cell r="AC2271">
            <v>1.25</v>
          </cell>
        </row>
        <row r="2272">
          <cell r="A2272" t="str">
            <v>IS_alqt_plus</v>
          </cell>
          <cell r="K2272" t="str">
            <v>PCOQ</v>
          </cell>
          <cell r="M2272" t="str">
            <v>F</v>
          </cell>
          <cell r="AC2272">
            <v>0.75</v>
          </cell>
        </row>
        <row r="2273">
          <cell r="A2273" t="str">
            <v>IS_alqt_plus</v>
          </cell>
          <cell r="K2273" t="str">
            <v>PCOQ</v>
          </cell>
          <cell r="M2273" t="str">
            <v>F</v>
          </cell>
          <cell r="AC2273">
            <v>1.2</v>
          </cell>
        </row>
        <row r="2274">
          <cell r="A2274" t="str">
            <v>IS_alqt_plus</v>
          </cell>
          <cell r="K2274" t="str">
            <v>PCOQ</v>
          </cell>
          <cell r="M2274" t="str">
            <v>F</v>
          </cell>
          <cell r="AC2274">
            <v>1</v>
          </cell>
        </row>
        <row r="2275">
          <cell r="A2275" t="str">
            <v>IS_alqt_plus</v>
          </cell>
          <cell r="K2275" t="str">
            <v>PCOQ</v>
          </cell>
          <cell r="M2275" t="str">
            <v>F</v>
          </cell>
          <cell r="AC2275">
            <v>1</v>
          </cell>
        </row>
        <row r="2276">
          <cell r="A2276" t="str">
            <v>IS_alqt_plus</v>
          </cell>
          <cell r="K2276" t="str">
            <v>PCOQ</v>
          </cell>
          <cell r="M2276" t="str">
            <v>F</v>
          </cell>
          <cell r="AC2276">
            <v>1</v>
          </cell>
        </row>
        <row r="2277">
          <cell r="A2277" t="str">
            <v>IS_alqt_plus</v>
          </cell>
          <cell r="K2277" t="str">
            <v>PCOQ</v>
          </cell>
          <cell r="M2277" t="str">
            <v>F</v>
          </cell>
          <cell r="AC2277">
            <v>1</v>
          </cell>
        </row>
        <row r="2278">
          <cell r="A2278" t="str">
            <v>IS_alqt_plus</v>
          </cell>
          <cell r="K2278" t="str">
            <v>PCOQ</v>
          </cell>
          <cell r="M2278" t="str">
            <v>F</v>
          </cell>
          <cell r="AC2278">
            <v>1</v>
          </cell>
        </row>
        <row r="2279">
          <cell r="A2279" t="str">
            <v>IS_alqt_plus</v>
          </cell>
          <cell r="K2279" t="str">
            <v>PCOQ</v>
          </cell>
          <cell r="M2279" t="str">
            <v>F</v>
          </cell>
          <cell r="AC2279">
            <v>0.6</v>
          </cell>
        </row>
        <row r="2280">
          <cell r="A2280" t="str">
            <v>IS_alqt_plus</v>
          </cell>
          <cell r="K2280" t="str">
            <v>PCOQ</v>
          </cell>
          <cell r="M2280" t="str">
            <v>F</v>
          </cell>
          <cell r="AC2280">
            <v>0.5</v>
          </cell>
        </row>
        <row r="2281">
          <cell r="A2281" t="str">
            <v>IS_alqt_plus</v>
          </cell>
          <cell r="K2281" t="str">
            <v>PCOQ</v>
          </cell>
          <cell r="M2281" t="str">
            <v>F</v>
          </cell>
          <cell r="AC2281">
            <v>0.75</v>
          </cell>
        </row>
        <row r="2282">
          <cell r="A2282" t="str">
            <v>IS_alqt_plus</v>
          </cell>
          <cell r="K2282" t="str">
            <v>VVV</v>
          </cell>
          <cell r="M2282" t="str">
            <v>F</v>
          </cell>
          <cell r="AC2282">
            <v>1</v>
          </cell>
        </row>
        <row r="2283">
          <cell r="A2283" t="str">
            <v>IS_alqt_plus</v>
          </cell>
          <cell r="K2283" t="str">
            <v>VVV</v>
          </cell>
          <cell r="M2283" t="str">
            <v>F</v>
          </cell>
          <cell r="AC2283">
            <v>0.5</v>
          </cell>
        </row>
        <row r="2284">
          <cell r="A2284" t="str">
            <v>IS_alqt_plus</v>
          </cell>
          <cell r="K2284" t="str">
            <v>VVV</v>
          </cell>
          <cell r="M2284" t="str">
            <v>F</v>
          </cell>
          <cell r="AC2284">
            <v>0.5</v>
          </cell>
        </row>
        <row r="2285">
          <cell r="A2285" t="str">
            <v>IS_alqt_plus</v>
          </cell>
          <cell r="K2285" t="str">
            <v>VVV</v>
          </cell>
          <cell r="M2285" t="str">
            <v>F</v>
          </cell>
          <cell r="AC2285">
            <v>0.5</v>
          </cell>
        </row>
        <row r="2286">
          <cell r="A2286" t="str">
            <v>IS_alqt_plus</v>
          </cell>
          <cell r="K2286" t="str">
            <v>VVV</v>
          </cell>
          <cell r="M2286" t="str">
            <v>F</v>
          </cell>
          <cell r="AC2286">
            <v>0.5</v>
          </cell>
        </row>
        <row r="2287">
          <cell r="A2287" t="str">
            <v>IS_alqt_plus</v>
          </cell>
          <cell r="K2287" t="str">
            <v>VVV</v>
          </cell>
          <cell r="M2287" t="str">
            <v>F</v>
          </cell>
          <cell r="AC2287">
            <v>0.5</v>
          </cell>
        </row>
        <row r="2288">
          <cell r="A2288" t="str">
            <v>IS_alqt_plus</v>
          </cell>
          <cell r="K2288" t="str">
            <v>VVV</v>
          </cell>
          <cell r="M2288" t="str">
            <v>F</v>
          </cell>
          <cell r="AC2288">
            <v>0.5</v>
          </cell>
        </row>
        <row r="2289">
          <cell r="A2289" t="str">
            <v>IS_alqt_plus</v>
          </cell>
          <cell r="K2289" t="str">
            <v>VVV</v>
          </cell>
          <cell r="M2289" t="str">
            <v>F</v>
          </cell>
          <cell r="AC2289">
            <v>0.5</v>
          </cell>
        </row>
        <row r="2290">
          <cell r="A2290" t="str">
            <v>IS_alqt_plus</v>
          </cell>
          <cell r="K2290" t="str">
            <v>VVV</v>
          </cell>
          <cell r="M2290" t="str">
            <v>F</v>
          </cell>
          <cell r="AC2290">
            <v>0.5</v>
          </cell>
        </row>
        <row r="2291">
          <cell r="A2291" t="str">
            <v>IS_alqt_plus</v>
          </cell>
          <cell r="K2291" t="str">
            <v>VVV</v>
          </cell>
          <cell r="M2291" t="str">
            <v>F</v>
          </cell>
          <cell r="AC2291">
            <v>0.5</v>
          </cell>
        </row>
        <row r="2292">
          <cell r="A2292" t="str">
            <v>IS_alqt_plus</v>
          </cell>
          <cell r="K2292" t="str">
            <v>VVV</v>
          </cell>
          <cell r="M2292" t="str">
            <v>F</v>
          </cell>
          <cell r="AC2292">
            <v>0.5</v>
          </cell>
        </row>
        <row r="2293">
          <cell r="A2293" t="str">
            <v>IS_alqt_plus</v>
          </cell>
          <cell r="K2293" t="str">
            <v>VVV</v>
          </cell>
          <cell r="M2293" t="str">
            <v>F</v>
          </cell>
          <cell r="AC2293">
            <v>0.5</v>
          </cell>
        </row>
        <row r="2294">
          <cell r="A2294" t="str">
            <v>IS_alqt_plus</v>
          </cell>
          <cell r="K2294" t="str">
            <v>VVV</v>
          </cell>
          <cell r="M2294" t="str">
            <v>F</v>
          </cell>
          <cell r="AC2294">
            <v>0.5</v>
          </cell>
        </row>
        <row r="2295">
          <cell r="A2295" t="str">
            <v>IS_alqt_plus</v>
          </cell>
          <cell r="K2295" t="str">
            <v>VVV</v>
          </cell>
          <cell r="M2295" t="str">
            <v>F</v>
          </cell>
          <cell r="AC2295">
            <v>0.5</v>
          </cell>
        </row>
        <row r="2296">
          <cell r="A2296" t="str">
            <v>IS_alqt_plus</v>
          </cell>
          <cell r="K2296" t="str">
            <v>VVV</v>
          </cell>
          <cell r="M2296" t="str">
            <v>F</v>
          </cell>
          <cell r="AC2296">
            <v>0.5</v>
          </cell>
        </row>
        <row r="2297">
          <cell r="A2297" t="str">
            <v>IS_alqt_plus</v>
          </cell>
          <cell r="K2297" t="str">
            <v>PCOQ</v>
          </cell>
          <cell r="M2297" t="str">
            <v>M</v>
          </cell>
          <cell r="AC2297">
            <v>0.5</v>
          </cell>
        </row>
        <row r="2298">
          <cell r="A2298" t="str">
            <v>IS_alqt_plus</v>
          </cell>
          <cell r="K2298" t="str">
            <v>PCOQ</v>
          </cell>
          <cell r="M2298" t="str">
            <v>M</v>
          </cell>
          <cell r="AC2298">
            <v>0.6</v>
          </cell>
        </row>
        <row r="2299">
          <cell r="A2299" t="str">
            <v>IS_alqt_plus</v>
          </cell>
          <cell r="K2299" t="str">
            <v>PCOQ</v>
          </cell>
          <cell r="M2299" t="str">
            <v>M</v>
          </cell>
          <cell r="AC2299">
            <v>0.5</v>
          </cell>
        </row>
        <row r="2300">
          <cell r="A2300" t="str">
            <v>IS_alqt_plus</v>
          </cell>
          <cell r="K2300" t="str">
            <v>PCOQ</v>
          </cell>
          <cell r="M2300" t="str">
            <v>M</v>
          </cell>
          <cell r="AC2300">
            <v>0.5</v>
          </cell>
        </row>
        <row r="2301">
          <cell r="A2301" t="str">
            <v>IS_alqt_plus</v>
          </cell>
          <cell r="K2301" t="str">
            <v>PCOQ</v>
          </cell>
          <cell r="M2301" t="str">
            <v>M</v>
          </cell>
          <cell r="AC2301">
            <v>0.5</v>
          </cell>
        </row>
        <row r="2302">
          <cell r="A2302" t="str">
            <v>unk</v>
          </cell>
          <cell r="K2302" t="str">
            <v>PCOQ</v>
          </cell>
          <cell r="M2302" t="str">
            <v>M</v>
          </cell>
          <cell r="AC2302">
            <v>0.5</v>
          </cell>
        </row>
        <row r="2303">
          <cell r="A2303" t="str">
            <v>unk</v>
          </cell>
          <cell r="K2303" t="str">
            <v>PCOQ</v>
          </cell>
          <cell r="M2303" t="str">
            <v>M</v>
          </cell>
          <cell r="AC2303">
            <v>0.5</v>
          </cell>
        </row>
        <row r="2304">
          <cell r="A2304" t="str">
            <v>IS_alqt_plus</v>
          </cell>
          <cell r="K2304" t="str">
            <v>PCOQ</v>
          </cell>
          <cell r="M2304" t="str">
            <v>F</v>
          </cell>
          <cell r="AC2304">
            <v>0.9</v>
          </cell>
        </row>
        <row r="2305">
          <cell r="A2305" t="str">
            <v>IS_alqt_plus</v>
          </cell>
          <cell r="K2305" t="str">
            <v>PCOQ</v>
          </cell>
          <cell r="M2305" t="str">
            <v>F</v>
          </cell>
          <cell r="AC2305">
            <v>1.1000000000000001</v>
          </cell>
        </row>
        <row r="2306">
          <cell r="A2306" t="str">
            <v>IS_alqt_plus</v>
          </cell>
          <cell r="K2306" t="str">
            <v>PCOQ</v>
          </cell>
          <cell r="M2306" t="str">
            <v>M</v>
          </cell>
          <cell r="AC2306">
            <v>1</v>
          </cell>
        </row>
        <row r="2307">
          <cell r="A2307" t="str">
            <v>IS_alqt_plus</v>
          </cell>
          <cell r="K2307" t="str">
            <v>PCOQ</v>
          </cell>
          <cell r="M2307" t="str">
            <v>M</v>
          </cell>
          <cell r="AC2307">
            <v>1</v>
          </cell>
        </row>
        <row r="2308">
          <cell r="A2308" t="str">
            <v>IS_alqt_plus</v>
          </cell>
          <cell r="K2308" t="str">
            <v>PCOQ</v>
          </cell>
          <cell r="M2308" t="str">
            <v>M</v>
          </cell>
          <cell r="AC2308">
            <v>0.5</v>
          </cell>
        </row>
        <row r="2309">
          <cell r="A2309" t="str">
            <v>IS_alqt_plus</v>
          </cell>
          <cell r="K2309" t="str">
            <v>PCOQ</v>
          </cell>
          <cell r="M2309" t="str">
            <v>M</v>
          </cell>
          <cell r="AC2309">
            <v>0.5</v>
          </cell>
        </row>
        <row r="2310">
          <cell r="A2310" t="str">
            <v>IS_alqt_plus</v>
          </cell>
          <cell r="K2310" t="str">
            <v>PCOQ</v>
          </cell>
          <cell r="M2310" t="str">
            <v>M</v>
          </cell>
          <cell r="AC2310">
            <v>0.5</v>
          </cell>
        </row>
        <row r="2311">
          <cell r="A2311" t="str">
            <v>IS_alqt_plus</v>
          </cell>
          <cell r="K2311" t="str">
            <v>PCOQ</v>
          </cell>
          <cell r="M2311" t="str">
            <v>M</v>
          </cell>
          <cell r="AC2311">
            <v>0.5</v>
          </cell>
        </row>
        <row r="2312">
          <cell r="A2312" t="str">
            <v>IS_alqt_plus</v>
          </cell>
          <cell r="K2312" t="str">
            <v>PCOQ</v>
          </cell>
          <cell r="M2312" t="str">
            <v>M</v>
          </cell>
          <cell r="AC2312">
            <v>0.5</v>
          </cell>
        </row>
        <row r="2313">
          <cell r="A2313" t="str">
            <v>IS_alqt_plus</v>
          </cell>
          <cell r="K2313" t="str">
            <v>PCOQ</v>
          </cell>
          <cell r="M2313" t="str">
            <v>M</v>
          </cell>
          <cell r="AC2313">
            <v>0.5</v>
          </cell>
        </row>
        <row r="2314">
          <cell r="A2314" t="str">
            <v>IS_alqt_plus</v>
          </cell>
          <cell r="K2314" t="str">
            <v>PCOQ</v>
          </cell>
          <cell r="M2314" t="str">
            <v>M</v>
          </cell>
          <cell r="AC2314">
            <v>0.5</v>
          </cell>
        </row>
        <row r="2315">
          <cell r="A2315" t="str">
            <v>IS_alqt_plus</v>
          </cell>
          <cell r="K2315" t="str">
            <v>PCOQ</v>
          </cell>
          <cell r="M2315" t="str">
            <v>M</v>
          </cell>
          <cell r="AC2315">
            <v>0.5</v>
          </cell>
        </row>
        <row r="2316">
          <cell r="A2316" t="str">
            <v>IS_alqt_plus</v>
          </cell>
          <cell r="K2316" t="str">
            <v>VVV</v>
          </cell>
          <cell r="M2316" t="str">
            <v>F</v>
          </cell>
          <cell r="AC2316">
            <v>0.5</v>
          </cell>
        </row>
        <row r="2317">
          <cell r="A2317" t="str">
            <v>IS_alqt_plus</v>
          </cell>
          <cell r="K2317" t="str">
            <v>VVV</v>
          </cell>
          <cell r="M2317" t="str">
            <v>F</v>
          </cell>
          <cell r="AC2317">
            <v>0.5</v>
          </cell>
        </row>
        <row r="2318">
          <cell r="A2318" t="str">
            <v>IS_alqt_plus</v>
          </cell>
          <cell r="K2318" t="str">
            <v>VVV</v>
          </cell>
          <cell r="M2318" t="str">
            <v>F</v>
          </cell>
          <cell r="AC2318">
            <v>0.5</v>
          </cell>
        </row>
        <row r="2319">
          <cell r="A2319" t="str">
            <v>IS_alqt_plus</v>
          </cell>
          <cell r="K2319" t="str">
            <v>VVV</v>
          </cell>
          <cell r="M2319" t="str">
            <v>F</v>
          </cell>
          <cell r="AC2319">
            <v>0.5</v>
          </cell>
        </row>
        <row r="2320">
          <cell r="A2320" t="str">
            <v>IS_alqt_plus</v>
          </cell>
          <cell r="K2320" t="str">
            <v>VVV</v>
          </cell>
          <cell r="M2320" t="str">
            <v>F</v>
          </cell>
          <cell r="AC2320">
            <v>0.5</v>
          </cell>
        </row>
        <row r="2321">
          <cell r="A2321" t="str">
            <v>IS_alqt_plus</v>
          </cell>
          <cell r="K2321" t="str">
            <v>VVV</v>
          </cell>
          <cell r="M2321" t="str">
            <v>F</v>
          </cell>
          <cell r="AC2321">
            <v>0.5</v>
          </cell>
        </row>
        <row r="2322">
          <cell r="A2322" t="str">
            <v>IS_alqt_plus</v>
          </cell>
          <cell r="K2322" t="str">
            <v>VVV</v>
          </cell>
          <cell r="M2322" t="str">
            <v>F</v>
          </cell>
          <cell r="AC2322">
            <v>0.5</v>
          </cell>
        </row>
        <row r="2323">
          <cell r="A2323" t="str">
            <v>IS_alqt_plus</v>
          </cell>
          <cell r="K2323" t="str">
            <v>VVV</v>
          </cell>
          <cell r="M2323" t="str">
            <v>F</v>
          </cell>
          <cell r="AC2323">
            <v>0.5</v>
          </cell>
        </row>
        <row r="2324">
          <cell r="A2324" t="str">
            <v>IS_alqt_plus</v>
          </cell>
          <cell r="K2324" t="str">
            <v>VVV</v>
          </cell>
          <cell r="M2324" t="str">
            <v>F</v>
          </cell>
          <cell r="AC2324">
            <v>0.5</v>
          </cell>
        </row>
        <row r="2325">
          <cell r="A2325" t="str">
            <v>IS_alqt_plus</v>
          </cell>
          <cell r="K2325" t="str">
            <v>VVV</v>
          </cell>
          <cell r="M2325" t="str">
            <v>F</v>
          </cell>
          <cell r="AC2325">
            <v>0.5</v>
          </cell>
        </row>
        <row r="2326">
          <cell r="A2326" t="str">
            <v>unk</v>
          </cell>
          <cell r="K2326" t="str">
            <v>PCOQ</v>
          </cell>
          <cell r="M2326" t="str">
            <v>F</v>
          </cell>
          <cell r="AC2326">
            <v>0.3</v>
          </cell>
        </row>
        <row r="2327">
          <cell r="A2327" t="str">
            <v>IS_alqt_plus</v>
          </cell>
          <cell r="K2327" t="str">
            <v>PCOQ</v>
          </cell>
          <cell r="M2327" t="str">
            <v>M</v>
          </cell>
          <cell r="AC2327">
            <v>1</v>
          </cell>
        </row>
        <row r="2328">
          <cell r="A2328" t="str">
            <v>IS_alqt_plus</v>
          </cell>
          <cell r="K2328" t="str">
            <v>PCOQ</v>
          </cell>
          <cell r="M2328" t="str">
            <v>M</v>
          </cell>
          <cell r="AC2328">
            <v>1</v>
          </cell>
        </row>
        <row r="2329">
          <cell r="A2329" t="str">
            <v>IS_alqt_plus</v>
          </cell>
          <cell r="K2329" t="str">
            <v>PCOQ</v>
          </cell>
          <cell r="M2329" t="str">
            <v>M</v>
          </cell>
          <cell r="AC2329">
            <v>1</v>
          </cell>
        </row>
        <row r="2330">
          <cell r="A2330" t="str">
            <v>IS_alqt_plus</v>
          </cell>
          <cell r="K2330" t="str">
            <v>PCOQ</v>
          </cell>
          <cell r="M2330" t="str">
            <v>M</v>
          </cell>
          <cell r="AC2330">
            <v>1</v>
          </cell>
        </row>
        <row r="2331">
          <cell r="A2331" t="str">
            <v>IS_alqt_plus</v>
          </cell>
          <cell r="K2331" t="str">
            <v>PCOQ</v>
          </cell>
          <cell r="M2331" t="str">
            <v>M</v>
          </cell>
          <cell r="AC2331">
            <v>1</v>
          </cell>
        </row>
        <row r="2332">
          <cell r="A2332" t="str">
            <v>IS_alqt_plus</v>
          </cell>
          <cell r="K2332" t="str">
            <v>PCOQ</v>
          </cell>
          <cell r="M2332" t="str">
            <v>M</v>
          </cell>
          <cell r="AC2332">
            <v>1</v>
          </cell>
        </row>
        <row r="2333">
          <cell r="A2333" t="str">
            <v>IS_alqt_plus</v>
          </cell>
          <cell r="K2333" t="str">
            <v>PCOQ</v>
          </cell>
          <cell r="M2333" t="str">
            <v>M</v>
          </cell>
          <cell r="AC2333">
            <v>1</v>
          </cell>
        </row>
        <row r="2334">
          <cell r="A2334" t="str">
            <v>IS_alqt_plus</v>
          </cell>
          <cell r="K2334" t="str">
            <v>PCOQ</v>
          </cell>
          <cell r="M2334" t="str">
            <v>M</v>
          </cell>
          <cell r="AC2334">
            <v>0.5</v>
          </cell>
        </row>
        <row r="2335">
          <cell r="A2335" t="str">
            <v>IS_alqt_plus</v>
          </cell>
          <cell r="K2335" t="str">
            <v>PCOQ</v>
          </cell>
          <cell r="M2335" t="str">
            <v>M</v>
          </cell>
          <cell r="AC2335">
            <v>0.5</v>
          </cell>
        </row>
        <row r="2336">
          <cell r="A2336" t="str">
            <v>IS_alqt_plus</v>
          </cell>
          <cell r="K2336" t="str">
            <v>PCOQ</v>
          </cell>
          <cell r="M2336" t="str">
            <v>M</v>
          </cell>
          <cell r="AC2336">
            <v>0.5</v>
          </cell>
        </row>
        <row r="2337">
          <cell r="A2337" t="str">
            <v>IS_alqt_plus</v>
          </cell>
          <cell r="K2337" t="str">
            <v>PCOQ</v>
          </cell>
          <cell r="M2337" t="str">
            <v>M</v>
          </cell>
          <cell r="AC2337">
            <v>0.5</v>
          </cell>
        </row>
        <row r="2338">
          <cell r="A2338" t="str">
            <v>IS_alqt_plus</v>
          </cell>
          <cell r="K2338" t="str">
            <v>PCOQ</v>
          </cell>
          <cell r="M2338" t="str">
            <v>M</v>
          </cell>
          <cell r="AC2338">
            <v>0.5</v>
          </cell>
        </row>
        <row r="2339">
          <cell r="A2339" t="str">
            <v>IS_alqt_plus</v>
          </cell>
          <cell r="K2339" t="str">
            <v>PCOQ</v>
          </cell>
          <cell r="M2339" t="str">
            <v>M</v>
          </cell>
          <cell r="AC2339">
            <v>0.5</v>
          </cell>
        </row>
        <row r="2340">
          <cell r="A2340" t="str">
            <v>IS_alqt_plus</v>
          </cell>
          <cell r="K2340" t="str">
            <v>PCOQ</v>
          </cell>
          <cell r="M2340" t="str">
            <v>M</v>
          </cell>
          <cell r="AC2340">
            <v>0.5</v>
          </cell>
        </row>
        <row r="2341">
          <cell r="A2341" t="str">
            <v>IS_alqt_plus</v>
          </cell>
          <cell r="K2341" t="str">
            <v>PCOQ</v>
          </cell>
          <cell r="M2341" t="str">
            <v>M</v>
          </cell>
          <cell r="AC2341">
            <v>0.5</v>
          </cell>
        </row>
        <row r="2342">
          <cell r="A2342" t="str">
            <v>IS_alqt_minus</v>
          </cell>
          <cell r="K2342" t="str">
            <v>PCOQ</v>
          </cell>
          <cell r="M2342" t="str">
            <v>M</v>
          </cell>
          <cell r="AC2342">
            <v>0.4</v>
          </cell>
        </row>
        <row r="2343">
          <cell r="A2343" t="str">
            <v>IS_alqt_plus</v>
          </cell>
          <cell r="K2343" t="str">
            <v>PCOQ</v>
          </cell>
          <cell r="M2343" t="str">
            <v>F</v>
          </cell>
          <cell r="AC2343">
            <v>1</v>
          </cell>
        </row>
        <row r="2344">
          <cell r="A2344" t="str">
            <v>IS_alqt_plus</v>
          </cell>
          <cell r="K2344" t="str">
            <v>PCOQ</v>
          </cell>
          <cell r="M2344" t="str">
            <v>F</v>
          </cell>
          <cell r="AC2344">
            <v>0.5</v>
          </cell>
        </row>
        <row r="2345">
          <cell r="A2345" t="str">
            <v>IS_alqt_plus</v>
          </cell>
          <cell r="K2345" t="str">
            <v>PCOQ</v>
          </cell>
          <cell r="M2345" t="str">
            <v>F</v>
          </cell>
          <cell r="AC2345">
            <v>0.5</v>
          </cell>
        </row>
        <row r="2346">
          <cell r="A2346" t="str">
            <v>IS_alqt_plus</v>
          </cell>
          <cell r="K2346" t="str">
            <v>PCOQ</v>
          </cell>
          <cell r="M2346" t="str">
            <v>F</v>
          </cell>
          <cell r="AC2346">
            <v>0.5</v>
          </cell>
        </row>
        <row r="2347">
          <cell r="A2347" t="str">
            <v>IS_alqt_plus</v>
          </cell>
          <cell r="K2347" t="str">
            <v>PCOQ</v>
          </cell>
          <cell r="M2347" t="str">
            <v>F</v>
          </cell>
          <cell r="AC2347">
            <v>0.5</v>
          </cell>
        </row>
        <row r="2348">
          <cell r="A2348" t="str">
            <v>IS_alqt_minus</v>
          </cell>
          <cell r="K2348" t="str">
            <v>PCOQ</v>
          </cell>
          <cell r="M2348" t="str">
            <v>M</v>
          </cell>
          <cell r="AC2348">
            <v>0.4</v>
          </cell>
        </row>
        <row r="2349">
          <cell r="A2349" t="str">
            <v>IS_alqt_plus</v>
          </cell>
          <cell r="K2349" t="str">
            <v>PCOQ</v>
          </cell>
          <cell r="M2349" t="str">
            <v>M</v>
          </cell>
          <cell r="AC2349">
            <v>0.5</v>
          </cell>
        </row>
        <row r="2350">
          <cell r="A2350" t="str">
            <v>IS_alqt_plus</v>
          </cell>
          <cell r="K2350" t="str">
            <v>VVV</v>
          </cell>
          <cell r="M2350" t="str">
            <v>F</v>
          </cell>
          <cell r="AC2350">
            <v>0.5</v>
          </cell>
        </row>
        <row r="2351">
          <cell r="A2351" t="str">
            <v>IS_alqt_plus</v>
          </cell>
          <cell r="K2351" t="str">
            <v>VVV</v>
          </cell>
          <cell r="M2351" t="str">
            <v>F</v>
          </cell>
          <cell r="AC2351">
            <v>0.5</v>
          </cell>
        </row>
        <row r="2352">
          <cell r="A2352" t="str">
            <v>IS_alqt_plus</v>
          </cell>
          <cell r="K2352" t="str">
            <v>VVV</v>
          </cell>
          <cell r="M2352" t="str">
            <v>F</v>
          </cell>
          <cell r="AC2352">
            <v>0.5</v>
          </cell>
        </row>
        <row r="2353">
          <cell r="A2353" t="str">
            <v>IS_alqt_plus</v>
          </cell>
          <cell r="K2353" t="str">
            <v>VVV</v>
          </cell>
          <cell r="M2353" t="str">
            <v>F</v>
          </cell>
          <cell r="AC2353">
            <v>0.5</v>
          </cell>
        </row>
        <row r="2354">
          <cell r="A2354" t="str">
            <v>IS_alqt_plus</v>
          </cell>
          <cell r="K2354" t="str">
            <v>VVV</v>
          </cell>
          <cell r="M2354" t="str">
            <v>F</v>
          </cell>
          <cell r="AC2354">
            <v>0.5</v>
          </cell>
        </row>
        <row r="2355">
          <cell r="A2355" t="str">
            <v>IS_alqt_plus</v>
          </cell>
          <cell r="K2355" t="str">
            <v>VVV</v>
          </cell>
          <cell r="M2355" t="str">
            <v>F</v>
          </cell>
          <cell r="AC2355">
            <v>0.5</v>
          </cell>
        </row>
        <row r="2356">
          <cell r="A2356" t="str">
            <v>IS_alqt_plus</v>
          </cell>
          <cell r="K2356" t="str">
            <v>LCAT</v>
          </cell>
          <cell r="M2356" t="str">
            <v>M</v>
          </cell>
          <cell r="AC2356">
            <v>1.5</v>
          </cell>
        </row>
        <row r="2357">
          <cell r="A2357" t="str">
            <v>IS_alqt_plus</v>
          </cell>
          <cell r="K2357" t="str">
            <v>LCAT</v>
          </cell>
          <cell r="M2357" t="str">
            <v>M</v>
          </cell>
          <cell r="AC2357">
            <v>0.5</v>
          </cell>
        </row>
        <row r="2358">
          <cell r="A2358" t="str">
            <v>IS_alqt_plus</v>
          </cell>
          <cell r="K2358" t="str">
            <v>LCAT</v>
          </cell>
          <cell r="M2358" t="str">
            <v>M</v>
          </cell>
          <cell r="AC2358">
            <v>0.7</v>
          </cell>
        </row>
        <row r="2359">
          <cell r="A2359" t="str">
            <v>unk</v>
          </cell>
          <cell r="K2359" t="str">
            <v>LCAT</v>
          </cell>
          <cell r="M2359" t="str">
            <v>M</v>
          </cell>
          <cell r="AC2359">
            <v>1.5</v>
          </cell>
        </row>
        <row r="2360">
          <cell r="A2360" t="str">
            <v>IS_alqt_plus</v>
          </cell>
          <cell r="K2360" t="str">
            <v>PCOQ</v>
          </cell>
          <cell r="M2360" t="str">
            <v>F</v>
          </cell>
          <cell r="AC2360">
            <v>0.6</v>
          </cell>
        </row>
        <row r="2361">
          <cell r="A2361" t="str">
            <v>IS_alqt_minus</v>
          </cell>
          <cell r="K2361" t="str">
            <v>PCOQ</v>
          </cell>
          <cell r="M2361" t="str">
            <v>F</v>
          </cell>
          <cell r="AC2361">
            <v>0.1</v>
          </cell>
        </row>
        <row r="2362">
          <cell r="A2362" t="str">
            <v>unk</v>
          </cell>
          <cell r="K2362" t="str">
            <v>PCOQ</v>
          </cell>
          <cell r="M2362" t="str">
            <v>M</v>
          </cell>
          <cell r="AC2362">
            <v>1.75</v>
          </cell>
        </row>
        <row r="2363">
          <cell r="A2363" t="str">
            <v>IS_alqt_plus</v>
          </cell>
          <cell r="K2363" t="str">
            <v>HGG</v>
          </cell>
          <cell r="M2363" t="str">
            <v>M</v>
          </cell>
          <cell r="AC2363">
            <v>0.5</v>
          </cell>
        </row>
        <row r="2364">
          <cell r="A2364" t="str">
            <v>IS_alqt_plus</v>
          </cell>
          <cell r="K2364" t="str">
            <v>HGG</v>
          </cell>
          <cell r="M2364" t="str">
            <v>M</v>
          </cell>
          <cell r="AC2364">
            <v>0.5</v>
          </cell>
        </row>
        <row r="2365">
          <cell r="A2365" t="str">
            <v>IS_alqt_plus</v>
          </cell>
          <cell r="K2365" t="str">
            <v>PCOQ</v>
          </cell>
          <cell r="M2365" t="str">
            <v>M</v>
          </cell>
          <cell r="AC2365">
            <v>0.5</v>
          </cell>
        </row>
        <row r="2366">
          <cell r="A2366" t="str">
            <v>IS_alqt_minus</v>
          </cell>
          <cell r="K2366" t="str">
            <v>PCOQ</v>
          </cell>
          <cell r="M2366" t="str">
            <v>F</v>
          </cell>
          <cell r="AC2366">
            <v>0.2</v>
          </cell>
        </row>
        <row r="2367">
          <cell r="A2367" t="str">
            <v>IS_alqt_plus</v>
          </cell>
          <cell r="K2367" t="str">
            <v>HGG</v>
          </cell>
          <cell r="M2367" t="str">
            <v>M</v>
          </cell>
          <cell r="AC2367">
            <v>0.9</v>
          </cell>
        </row>
        <row r="2368">
          <cell r="A2368" t="str">
            <v>IS_alqt_plus</v>
          </cell>
          <cell r="K2368" t="str">
            <v>HGG</v>
          </cell>
          <cell r="M2368" t="str">
            <v>M</v>
          </cell>
          <cell r="AC2368">
            <v>0.8</v>
          </cell>
        </row>
        <row r="2369">
          <cell r="A2369" t="str">
            <v>IS_alqt_minus</v>
          </cell>
          <cell r="K2369" t="str">
            <v>PCOQ</v>
          </cell>
          <cell r="M2369" t="str">
            <v>F</v>
          </cell>
          <cell r="AC2369">
            <v>0.2</v>
          </cell>
        </row>
        <row r="2370">
          <cell r="A2370" t="str">
            <v>IS_alqt_plus</v>
          </cell>
          <cell r="K2370" t="str">
            <v>PCOQ</v>
          </cell>
          <cell r="M2370" t="str">
            <v>F</v>
          </cell>
          <cell r="AC2370">
            <v>1</v>
          </cell>
        </row>
        <row r="2371">
          <cell r="A2371" t="str">
            <v>unk</v>
          </cell>
          <cell r="K2371" t="str">
            <v>PCOQ</v>
          </cell>
          <cell r="M2371" t="str">
            <v>M</v>
          </cell>
          <cell r="AC2371">
            <v>1</v>
          </cell>
        </row>
        <row r="2372">
          <cell r="A2372" t="str">
            <v>IS_alqt_plus</v>
          </cell>
          <cell r="K2372" t="str">
            <v>HGG</v>
          </cell>
          <cell r="M2372" t="str">
            <v>M</v>
          </cell>
          <cell r="AC2372">
            <v>0.5</v>
          </cell>
        </row>
        <row r="2373">
          <cell r="A2373" t="str">
            <v>IS_alqt_plus</v>
          </cell>
          <cell r="K2373" t="str">
            <v>HGG</v>
          </cell>
          <cell r="M2373" t="str">
            <v>M</v>
          </cell>
          <cell r="AC2373">
            <v>0.7</v>
          </cell>
        </row>
        <row r="2374">
          <cell r="A2374" t="str">
            <v>IS_alqt_plus</v>
          </cell>
          <cell r="K2374" t="str">
            <v>HGG</v>
          </cell>
          <cell r="M2374" t="str">
            <v>M</v>
          </cell>
          <cell r="AC2374">
            <v>0.5</v>
          </cell>
        </row>
        <row r="2375">
          <cell r="A2375" t="str">
            <v>IS_alqt_plus</v>
          </cell>
          <cell r="K2375" t="str">
            <v>HGG</v>
          </cell>
          <cell r="M2375" t="str">
            <v>M</v>
          </cell>
          <cell r="AC2375">
            <v>0.5</v>
          </cell>
        </row>
        <row r="2376">
          <cell r="A2376" t="str">
            <v>IS_alqt_plus</v>
          </cell>
          <cell r="K2376" t="str">
            <v>HGG</v>
          </cell>
          <cell r="M2376" t="str">
            <v>M</v>
          </cell>
          <cell r="AC2376">
            <v>0.5</v>
          </cell>
        </row>
        <row r="2377">
          <cell r="A2377" t="str">
            <v>IS_alqt_plus</v>
          </cell>
          <cell r="K2377" t="str">
            <v>HGG</v>
          </cell>
          <cell r="M2377" t="str">
            <v>M</v>
          </cell>
          <cell r="AC2377">
            <v>0.5</v>
          </cell>
        </row>
        <row r="2378">
          <cell r="A2378" t="str">
            <v>IS_alqt_plus</v>
          </cell>
          <cell r="K2378" t="str">
            <v>PCOQ</v>
          </cell>
          <cell r="M2378" t="str">
            <v>M</v>
          </cell>
          <cell r="AC2378">
            <v>0.5</v>
          </cell>
        </row>
        <row r="2379">
          <cell r="A2379" t="str">
            <v>IS_alqt_plus</v>
          </cell>
          <cell r="K2379" t="str">
            <v>PCOQ</v>
          </cell>
          <cell r="M2379" t="str">
            <v>M</v>
          </cell>
          <cell r="AC2379">
            <v>0.5</v>
          </cell>
        </row>
        <row r="2380">
          <cell r="A2380" t="str">
            <v>IS_alqt_plus</v>
          </cell>
          <cell r="K2380" t="str">
            <v>PCOQ</v>
          </cell>
          <cell r="M2380" t="str">
            <v>M</v>
          </cell>
          <cell r="AC2380">
            <v>0.5</v>
          </cell>
        </row>
        <row r="2381">
          <cell r="A2381" t="str">
            <v>IS_alqt_plus</v>
          </cell>
          <cell r="K2381" t="str">
            <v>PCOQ</v>
          </cell>
          <cell r="M2381" t="str">
            <v>M</v>
          </cell>
          <cell r="AC2381">
            <v>0.5</v>
          </cell>
        </row>
        <row r="2382">
          <cell r="A2382" t="str">
            <v>IS_alqt_plus</v>
          </cell>
          <cell r="K2382" t="str">
            <v>PCOQ</v>
          </cell>
          <cell r="M2382" t="str">
            <v>F</v>
          </cell>
          <cell r="AC2382">
            <v>0.5</v>
          </cell>
        </row>
        <row r="2383">
          <cell r="A2383" t="str">
            <v>IS_alqt_plus</v>
          </cell>
          <cell r="K2383" t="str">
            <v>PCOQ</v>
          </cell>
          <cell r="M2383" t="str">
            <v>F</v>
          </cell>
          <cell r="AC2383">
            <v>1</v>
          </cell>
        </row>
        <row r="2384">
          <cell r="A2384" t="str">
            <v>IS_alqt_plus</v>
          </cell>
          <cell r="K2384" t="str">
            <v>PCOQ</v>
          </cell>
          <cell r="M2384" t="str">
            <v>F</v>
          </cell>
          <cell r="AC2384">
            <v>0.5</v>
          </cell>
        </row>
        <row r="2385">
          <cell r="A2385" t="str">
            <v>IS_alqt_plus</v>
          </cell>
          <cell r="K2385" t="str">
            <v>PCOQ</v>
          </cell>
          <cell r="M2385" t="str">
            <v>F</v>
          </cell>
          <cell r="AC2385">
            <v>1</v>
          </cell>
        </row>
        <row r="2386">
          <cell r="A2386" t="str">
            <v>IS_alqt_plus</v>
          </cell>
          <cell r="K2386" t="str">
            <v>PCOQ</v>
          </cell>
          <cell r="M2386" t="str">
            <v>F</v>
          </cell>
          <cell r="AC2386">
            <v>1</v>
          </cell>
        </row>
        <row r="2387">
          <cell r="A2387" t="str">
            <v>IS_alqt_plus</v>
          </cell>
          <cell r="K2387" t="str">
            <v>PCOQ</v>
          </cell>
          <cell r="M2387" t="str">
            <v>F</v>
          </cell>
          <cell r="AC2387">
            <v>0.5</v>
          </cell>
        </row>
        <row r="2388">
          <cell r="A2388" t="str">
            <v>IS_alqt_plus</v>
          </cell>
          <cell r="K2388" t="str">
            <v>PCOQ</v>
          </cell>
          <cell r="M2388" t="str">
            <v>F</v>
          </cell>
          <cell r="AC2388">
            <v>0.5</v>
          </cell>
        </row>
        <row r="2389">
          <cell r="A2389" t="str">
            <v>IS_alqt_plus</v>
          </cell>
          <cell r="K2389" t="str">
            <v>PCOQ</v>
          </cell>
          <cell r="M2389" t="str">
            <v>F</v>
          </cell>
          <cell r="AC2389">
            <v>0.75</v>
          </cell>
        </row>
        <row r="2390">
          <cell r="A2390" t="str">
            <v>IS_alqt_plus</v>
          </cell>
          <cell r="K2390" t="str">
            <v>PCOQ</v>
          </cell>
          <cell r="M2390" t="str">
            <v>F</v>
          </cell>
          <cell r="AC2390">
            <v>0.6</v>
          </cell>
        </row>
        <row r="2391">
          <cell r="A2391" t="str">
            <v>IS_alqt_plus</v>
          </cell>
          <cell r="K2391" t="str">
            <v>PCOQ</v>
          </cell>
          <cell r="M2391" t="str">
            <v>F</v>
          </cell>
          <cell r="AC2391">
            <v>0.5</v>
          </cell>
        </row>
        <row r="2392">
          <cell r="A2392" t="str">
            <v>IS_alqt_plus</v>
          </cell>
          <cell r="K2392" t="str">
            <v>PCOQ</v>
          </cell>
          <cell r="M2392" t="str">
            <v>F</v>
          </cell>
          <cell r="AC2392">
            <v>0.5</v>
          </cell>
        </row>
        <row r="2393">
          <cell r="A2393" t="str">
            <v>IS_alqt_plus</v>
          </cell>
          <cell r="K2393" t="str">
            <v>PCOQ</v>
          </cell>
          <cell r="M2393" t="str">
            <v>F</v>
          </cell>
          <cell r="AC2393">
            <v>1</v>
          </cell>
        </row>
        <row r="2394">
          <cell r="A2394" t="str">
            <v>IS_alqt_plus</v>
          </cell>
          <cell r="K2394" t="str">
            <v>PCOQ</v>
          </cell>
          <cell r="M2394" t="str">
            <v>F</v>
          </cell>
          <cell r="AC2394">
            <v>0.5</v>
          </cell>
        </row>
        <row r="2395">
          <cell r="A2395" t="str">
            <v>IS_alqt_plus</v>
          </cell>
          <cell r="K2395" t="str">
            <v>PCOQ</v>
          </cell>
          <cell r="M2395" t="str">
            <v>F</v>
          </cell>
          <cell r="AC2395">
            <v>0.5</v>
          </cell>
        </row>
        <row r="2396">
          <cell r="A2396" t="str">
            <v>IS_alqt_minus</v>
          </cell>
          <cell r="K2396" t="str">
            <v>PCOQ</v>
          </cell>
          <cell r="M2396" t="str">
            <v>M</v>
          </cell>
          <cell r="AC2396">
            <v>0.2</v>
          </cell>
        </row>
        <row r="2397">
          <cell r="A2397" t="str">
            <v>IS_alqt_plus</v>
          </cell>
          <cell r="K2397" t="str">
            <v>HGG</v>
          </cell>
          <cell r="M2397" t="str">
            <v>M</v>
          </cell>
          <cell r="AC2397">
            <v>0.6</v>
          </cell>
        </row>
        <row r="2398">
          <cell r="A2398" t="str">
            <v>IS_alqt_plus</v>
          </cell>
          <cell r="K2398" t="str">
            <v>HGG</v>
          </cell>
          <cell r="M2398" t="str">
            <v>M</v>
          </cell>
          <cell r="AC2398">
            <v>0.5</v>
          </cell>
        </row>
        <row r="2399">
          <cell r="A2399" t="str">
            <v>IS_alqt_plus</v>
          </cell>
          <cell r="K2399" t="str">
            <v>PCOQ</v>
          </cell>
          <cell r="M2399" t="str">
            <v>M</v>
          </cell>
          <cell r="AC2399">
            <v>1</v>
          </cell>
        </row>
        <row r="2400">
          <cell r="A2400" t="str">
            <v>IS_alqt_plus</v>
          </cell>
          <cell r="K2400" t="str">
            <v>PCOQ</v>
          </cell>
          <cell r="M2400" t="str">
            <v>M</v>
          </cell>
          <cell r="AC2400">
            <v>1</v>
          </cell>
        </row>
        <row r="2401">
          <cell r="A2401" t="str">
            <v>IS_alqt_plus</v>
          </cell>
          <cell r="K2401" t="str">
            <v>PCOQ</v>
          </cell>
          <cell r="M2401" t="str">
            <v>M</v>
          </cell>
          <cell r="AC2401">
            <v>1</v>
          </cell>
        </row>
        <row r="2402">
          <cell r="A2402" t="str">
            <v>IS_alqt_plus</v>
          </cell>
          <cell r="K2402" t="str">
            <v>PCOQ</v>
          </cell>
          <cell r="M2402" t="str">
            <v>M</v>
          </cell>
          <cell r="AC2402">
            <v>0.75</v>
          </cell>
        </row>
        <row r="2403">
          <cell r="A2403" t="str">
            <v>IS_alqt_plus</v>
          </cell>
          <cell r="K2403" t="str">
            <v>PCOQ</v>
          </cell>
          <cell r="M2403" t="str">
            <v>M</v>
          </cell>
          <cell r="AC2403">
            <v>1</v>
          </cell>
        </row>
        <row r="2404">
          <cell r="A2404" t="str">
            <v>gone</v>
          </cell>
          <cell r="K2404" t="str">
            <v>PCOQ</v>
          </cell>
          <cell r="M2404" t="str">
            <v>M</v>
          </cell>
          <cell r="AC2404">
            <v>0</v>
          </cell>
        </row>
        <row r="2405">
          <cell r="A2405" t="str">
            <v>IS_alqt_minus</v>
          </cell>
          <cell r="K2405" t="str">
            <v>HGG</v>
          </cell>
          <cell r="M2405" t="str">
            <v>F</v>
          </cell>
          <cell r="AC2405">
            <v>0.4</v>
          </cell>
        </row>
        <row r="2406">
          <cell r="A2406" t="str">
            <v>IS_alqt_minus</v>
          </cell>
          <cell r="K2406" t="str">
            <v>MMUR</v>
          </cell>
          <cell r="M2406" t="str">
            <v>M</v>
          </cell>
          <cell r="AC2406">
            <v>0.2</v>
          </cell>
        </row>
        <row r="2407">
          <cell r="A2407" t="str">
            <v>IS_alqt_minus</v>
          </cell>
          <cell r="K2407" t="str">
            <v>MMUR</v>
          </cell>
          <cell r="M2407" t="str">
            <v>M</v>
          </cell>
          <cell r="AC2407">
            <v>0.05</v>
          </cell>
        </row>
        <row r="2408">
          <cell r="A2408" t="str">
            <v>IS_alqt_plus</v>
          </cell>
          <cell r="K2408" t="str">
            <v>DMAD</v>
          </cell>
          <cell r="M2408" t="str">
            <v>F</v>
          </cell>
          <cell r="AC2408">
            <v>1</v>
          </cell>
        </row>
        <row r="2409">
          <cell r="A2409" t="str">
            <v>IS_alqt_plus</v>
          </cell>
          <cell r="K2409" t="str">
            <v>DMAD</v>
          </cell>
          <cell r="M2409" t="str">
            <v>F</v>
          </cell>
          <cell r="AC2409">
            <v>1</v>
          </cell>
        </row>
        <row r="2410">
          <cell r="A2410" t="str">
            <v>IS_alqt_plus</v>
          </cell>
          <cell r="K2410" t="str">
            <v>DMAD</v>
          </cell>
          <cell r="M2410" t="str">
            <v>F</v>
          </cell>
          <cell r="AC2410">
            <v>0.5</v>
          </cell>
        </row>
        <row r="2411">
          <cell r="A2411" t="str">
            <v>IS_alqt_plus</v>
          </cell>
          <cell r="K2411" t="str">
            <v>DMAD</v>
          </cell>
          <cell r="M2411" t="str">
            <v>M</v>
          </cell>
          <cell r="AC2411">
            <v>1.5</v>
          </cell>
        </row>
        <row r="2412">
          <cell r="A2412" t="str">
            <v>IS_alqt_plus</v>
          </cell>
          <cell r="K2412" t="str">
            <v>DMAD</v>
          </cell>
          <cell r="M2412" t="str">
            <v>M</v>
          </cell>
          <cell r="AC2412">
            <v>1.5</v>
          </cell>
        </row>
        <row r="2413">
          <cell r="A2413" t="str">
            <v>IS_alqt_plus</v>
          </cell>
          <cell r="K2413" t="str">
            <v>PCOQ</v>
          </cell>
          <cell r="M2413" t="str">
            <v>F</v>
          </cell>
          <cell r="AC2413">
            <v>1.25</v>
          </cell>
        </row>
        <row r="2414">
          <cell r="A2414" t="str">
            <v>IS_alqt_plus</v>
          </cell>
          <cell r="K2414" t="str">
            <v>PCOQ</v>
          </cell>
          <cell r="M2414" t="str">
            <v>F</v>
          </cell>
          <cell r="AC2414">
            <v>1.25</v>
          </cell>
        </row>
        <row r="2415">
          <cell r="A2415" t="str">
            <v>IS_alqt_plus</v>
          </cell>
          <cell r="K2415" t="str">
            <v>PCOQ</v>
          </cell>
          <cell r="M2415" t="str">
            <v>F</v>
          </cell>
          <cell r="AC2415">
            <v>1.25</v>
          </cell>
        </row>
        <row r="2416">
          <cell r="A2416" t="str">
            <v>IS_alqt_plus</v>
          </cell>
          <cell r="K2416" t="str">
            <v>PCOQ</v>
          </cell>
          <cell r="M2416" t="str">
            <v>F</v>
          </cell>
          <cell r="AC2416">
            <v>1.25</v>
          </cell>
        </row>
        <row r="2417">
          <cell r="A2417" t="str">
            <v>IS_alqt_plus</v>
          </cell>
          <cell r="K2417" t="str">
            <v>PCOQ</v>
          </cell>
          <cell r="M2417" t="str">
            <v>F</v>
          </cell>
          <cell r="AC2417">
            <v>1.25</v>
          </cell>
        </row>
        <row r="2418">
          <cell r="A2418" t="str">
            <v>IS_alqt_plus</v>
          </cell>
          <cell r="K2418" t="str">
            <v>VRUB</v>
          </cell>
          <cell r="M2418" t="str">
            <v>F</v>
          </cell>
          <cell r="AC2418">
            <v>1</v>
          </cell>
        </row>
        <row r="2419">
          <cell r="A2419" t="str">
            <v>IS_alqt_plus</v>
          </cell>
          <cell r="K2419" t="str">
            <v>VRUB</v>
          </cell>
          <cell r="M2419" t="str">
            <v>F</v>
          </cell>
          <cell r="AC2419">
            <v>0.5</v>
          </cell>
        </row>
        <row r="2420">
          <cell r="A2420" t="str">
            <v>IS_alqt_plus</v>
          </cell>
          <cell r="K2420" t="str">
            <v>PCOQ</v>
          </cell>
          <cell r="M2420" t="str">
            <v>F</v>
          </cell>
          <cell r="AC2420">
            <v>1.8</v>
          </cell>
        </row>
        <row r="2421">
          <cell r="A2421" t="str">
            <v>IS_alqt_plus</v>
          </cell>
          <cell r="K2421" t="str">
            <v>PCOQ</v>
          </cell>
          <cell r="M2421" t="str">
            <v>F</v>
          </cell>
          <cell r="AC2421">
            <v>1.8</v>
          </cell>
        </row>
        <row r="2422">
          <cell r="A2422" t="str">
            <v>IS_alqt_plus</v>
          </cell>
          <cell r="K2422" t="str">
            <v>CMED</v>
          </cell>
          <cell r="M2422" t="str">
            <v>M</v>
          </cell>
          <cell r="AC2422">
            <v>1.8</v>
          </cell>
        </row>
        <row r="2423">
          <cell r="A2423" t="str">
            <v>IS_alqt_plus</v>
          </cell>
          <cell r="K2423" t="str">
            <v>CMED</v>
          </cell>
          <cell r="M2423" t="str">
            <v>M</v>
          </cell>
          <cell r="AC2423">
            <v>1.8</v>
          </cell>
        </row>
        <row r="2424">
          <cell r="A2424" t="str">
            <v>IS_alqt_plus</v>
          </cell>
          <cell r="K2424" t="str">
            <v>VRUB</v>
          </cell>
          <cell r="M2424" t="str">
            <v>M</v>
          </cell>
          <cell r="AC2424">
            <v>0.5</v>
          </cell>
        </row>
        <row r="2425">
          <cell r="A2425" t="str">
            <v>IS_alqt_plus</v>
          </cell>
          <cell r="K2425" t="str">
            <v>VRUB</v>
          </cell>
          <cell r="M2425" t="str">
            <v>M</v>
          </cell>
          <cell r="AC2425">
            <v>1</v>
          </cell>
        </row>
        <row r="2426">
          <cell r="A2426" t="str">
            <v>IS_alqt_plus</v>
          </cell>
          <cell r="K2426" t="str">
            <v>EMON</v>
          </cell>
          <cell r="M2426" t="str">
            <v>F</v>
          </cell>
          <cell r="AC2426">
            <v>1</v>
          </cell>
        </row>
        <row r="2427">
          <cell r="A2427" t="str">
            <v>IS_alqt_plus</v>
          </cell>
          <cell r="K2427" t="str">
            <v>PCOQ</v>
          </cell>
          <cell r="M2427" t="str">
            <v>M</v>
          </cell>
          <cell r="AC2427">
            <v>1</v>
          </cell>
        </row>
        <row r="2428">
          <cell r="A2428" t="str">
            <v>IS_alqt_plus</v>
          </cell>
          <cell r="K2428" t="str">
            <v>PCOQ</v>
          </cell>
          <cell r="M2428" t="str">
            <v>M</v>
          </cell>
          <cell r="AC2428">
            <v>1.25</v>
          </cell>
        </row>
        <row r="2429">
          <cell r="A2429" t="str">
            <v>IS_alqt_plus</v>
          </cell>
          <cell r="K2429" t="str">
            <v>PCOQ</v>
          </cell>
          <cell r="M2429" t="str">
            <v>M</v>
          </cell>
          <cell r="AC2429">
            <v>1.25</v>
          </cell>
        </row>
        <row r="2430">
          <cell r="A2430" t="str">
            <v>IS_alqt_plus</v>
          </cell>
          <cell r="K2430" t="str">
            <v>PCOQ</v>
          </cell>
          <cell r="M2430" t="str">
            <v>M</v>
          </cell>
          <cell r="AC2430">
            <v>1.25</v>
          </cell>
        </row>
        <row r="2431">
          <cell r="A2431" t="str">
            <v>IS_alqt_minus</v>
          </cell>
          <cell r="K2431" t="str">
            <v>PCOQ</v>
          </cell>
          <cell r="M2431" t="str">
            <v>M</v>
          </cell>
          <cell r="AC2431">
            <v>0.4</v>
          </cell>
        </row>
        <row r="2432">
          <cell r="A2432" t="str">
            <v>IS_alqt_plus</v>
          </cell>
          <cell r="K2432" t="str">
            <v>PCOQ</v>
          </cell>
          <cell r="M2432" t="str">
            <v>F</v>
          </cell>
          <cell r="AC2432">
            <v>1</v>
          </cell>
        </row>
        <row r="2433">
          <cell r="A2433" t="str">
            <v>IS_alqt_plus</v>
          </cell>
          <cell r="K2433" t="str">
            <v>PCOQ</v>
          </cell>
          <cell r="M2433" t="str">
            <v>F</v>
          </cell>
          <cell r="AC2433">
            <v>1.25</v>
          </cell>
        </row>
        <row r="2434">
          <cell r="A2434" t="str">
            <v>IS_alqt_plus</v>
          </cell>
          <cell r="K2434" t="str">
            <v>PCOQ</v>
          </cell>
          <cell r="M2434" t="str">
            <v>F</v>
          </cell>
          <cell r="AC2434">
            <v>1.25</v>
          </cell>
        </row>
        <row r="2435">
          <cell r="A2435" t="str">
            <v>IS_alqt_plus</v>
          </cell>
          <cell r="K2435" t="str">
            <v>EFLA</v>
          </cell>
          <cell r="M2435" t="str">
            <v>M</v>
          </cell>
          <cell r="AC2435">
            <v>1</v>
          </cell>
        </row>
        <row r="2436">
          <cell r="A2436" t="str">
            <v>IS_alqt_plus</v>
          </cell>
          <cell r="K2436" t="str">
            <v>DMAD</v>
          </cell>
          <cell r="M2436" t="str">
            <v>F</v>
          </cell>
          <cell r="AC2436">
            <v>1.25</v>
          </cell>
        </row>
        <row r="2437">
          <cell r="A2437" t="str">
            <v>IS_alqt_plus</v>
          </cell>
          <cell r="K2437" t="str">
            <v>DMAD</v>
          </cell>
          <cell r="M2437" t="str">
            <v>F</v>
          </cell>
          <cell r="AC2437">
            <v>1.25</v>
          </cell>
        </row>
        <row r="2438">
          <cell r="A2438" t="str">
            <v>IS_alqt_plus</v>
          </cell>
          <cell r="K2438" t="str">
            <v>DMAD</v>
          </cell>
          <cell r="M2438" t="str">
            <v>F</v>
          </cell>
          <cell r="AC2438">
            <v>1.25</v>
          </cell>
        </row>
        <row r="2439">
          <cell r="A2439" t="str">
            <v>IS_alqt_plus</v>
          </cell>
          <cell r="K2439" t="str">
            <v>DMAD</v>
          </cell>
          <cell r="M2439" t="str">
            <v>F</v>
          </cell>
          <cell r="AC2439">
            <v>1.25</v>
          </cell>
        </row>
        <row r="2440">
          <cell r="A2440" t="str">
            <v>IS_alqt_plus</v>
          </cell>
          <cell r="K2440" t="str">
            <v>DMAD</v>
          </cell>
          <cell r="M2440" t="str">
            <v>F</v>
          </cell>
          <cell r="AC2440">
            <v>1</v>
          </cell>
        </row>
        <row r="2441">
          <cell r="A2441" t="str">
            <v>IS_alqt_plus</v>
          </cell>
          <cell r="K2441" t="str">
            <v>EFLA</v>
          </cell>
          <cell r="M2441" t="str">
            <v>F</v>
          </cell>
          <cell r="AC2441">
            <v>1.25</v>
          </cell>
        </row>
        <row r="2442">
          <cell r="A2442" t="str">
            <v>IS_alqt_plus</v>
          </cell>
          <cell r="K2442" t="str">
            <v>EFLA</v>
          </cell>
          <cell r="M2442" t="str">
            <v>F</v>
          </cell>
          <cell r="AC2442">
            <v>1.25</v>
          </cell>
        </row>
        <row r="2443">
          <cell r="A2443" t="str">
            <v>IS_alqt_plus</v>
          </cell>
          <cell r="K2443" t="str">
            <v>EFLA</v>
          </cell>
          <cell r="M2443" t="str">
            <v>F</v>
          </cell>
          <cell r="AC2443">
            <v>1.25</v>
          </cell>
        </row>
        <row r="2444">
          <cell r="A2444" t="str">
            <v>IS_alqt_plus</v>
          </cell>
          <cell r="K2444" t="str">
            <v>EFLA</v>
          </cell>
          <cell r="M2444" t="str">
            <v>F</v>
          </cell>
          <cell r="AC2444">
            <v>1.25</v>
          </cell>
        </row>
        <row r="2445">
          <cell r="A2445" t="str">
            <v>IS_alqt_plus</v>
          </cell>
          <cell r="K2445" t="str">
            <v>EFLA</v>
          </cell>
          <cell r="M2445" t="str">
            <v>F</v>
          </cell>
          <cell r="AC2445">
            <v>1</v>
          </cell>
        </row>
        <row r="2446">
          <cell r="A2446" t="str">
            <v>IS_alqt_plus</v>
          </cell>
          <cell r="K2446" t="str">
            <v>EFLA</v>
          </cell>
          <cell r="M2446" t="str">
            <v>F</v>
          </cell>
          <cell r="AC2446">
            <v>1</v>
          </cell>
        </row>
        <row r="2447">
          <cell r="A2447" t="str">
            <v>IS_alqt_plus</v>
          </cell>
          <cell r="K2447" t="str">
            <v>EFLA</v>
          </cell>
          <cell r="M2447" t="str">
            <v>F</v>
          </cell>
          <cell r="AC2447">
            <v>1</v>
          </cell>
        </row>
        <row r="2448">
          <cell r="A2448" t="str">
            <v>IS_alqt_plus</v>
          </cell>
          <cell r="K2448" t="str">
            <v>EFLA</v>
          </cell>
          <cell r="M2448" t="str">
            <v>F</v>
          </cell>
          <cell r="AC2448">
            <v>1</v>
          </cell>
        </row>
        <row r="2449">
          <cell r="A2449" t="str">
            <v>IS_alqt_plus</v>
          </cell>
          <cell r="K2449" t="str">
            <v>EFLA</v>
          </cell>
          <cell r="M2449" t="str">
            <v>F</v>
          </cell>
          <cell r="AC2449">
            <v>1</v>
          </cell>
        </row>
        <row r="2450">
          <cell r="A2450" t="str">
            <v>IS_alqt_plus</v>
          </cell>
          <cell r="K2450" t="str">
            <v>EFLA</v>
          </cell>
          <cell r="M2450" t="str">
            <v>F</v>
          </cell>
          <cell r="AC2450">
            <v>1</v>
          </cell>
        </row>
        <row r="2451">
          <cell r="A2451" t="str">
            <v>IS_alqt_plus</v>
          </cell>
          <cell r="K2451" t="str">
            <v>EFLA</v>
          </cell>
          <cell r="M2451" t="str">
            <v>F</v>
          </cell>
          <cell r="AC2451">
            <v>1</v>
          </cell>
        </row>
        <row r="2452">
          <cell r="A2452" t="str">
            <v>IS_alqt_plus</v>
          </cell>
          <cell r="K2452" t="str">
            <v>EFLA</v>
          </cell>
          <cell r="M2452" t="str">
            <v>F</v>
          </cell>
          <cell r="AC2452">
            <v>1</v>
          </cell>
        </row>
        <row r="2453">
          <cell r="A2453" t="str">
            <v>IS_alqt_plus</v>
          </cell>
          <cell r="K2453" t="str">
            <v>EFLA</v>
          </cell>
          <cell r="M2453" t="str">
            <v>M</v>
          </cell>
          <cell r="AC2453">
            <v>1.25</v>
          </cell>
        </row>
        <row r="2454">
          <cell r="A2454" t="str">
            <v>IS_alqt_plus</v>
          </cell>
          <cell r="K2454" t="str">
            <v>PCOQ</v>
          </cell>
          <cell r="M2454" t="str">
            <v>F</v>
          </cell>
          <cell r="AC2454">
            <v>0.5</v>
          </cell>
        </row>
        <row r="2455">
          <cell r="A2455" t="str">
            <v>IS_alqt_plus</v>
          </cell>
          <cell r="K2455" t="str">
            <v>PCOQ</v>
          </cell>
          <cell r="M2455" t="str">
            <v>F</v>
          </cell>
          <cell r="AC2455">
            <v>0.5</v>
          </cell>
        </row>
        <row r="2456">
          <cell r="A2456" t="str">
            <v>IS_alqt_plus</v>
          </cell>
          <cell r="K2456" t="str">
            <v>PCOQ</v>
          </cell>
          <cell r="M2456" t="str">
            <v>F</v>
          </cell>
          <cell r="AC2456">
            <v>1</v>
          </cell>
        </row>
        <row r="2457">
          <cell r="A2457" t="str">
            <v>IS_alqt_plus</v>
          </cell>
          <cell r="K2457" t="str">
            <v>PCOQ</v>
          </cell>
          <cell r="M2457" t="str">
            <v>F</v>
          </cell>
          <cell r="AC2457">
            <v>0.5</v>
          </cell>
        </row>
        <row r="2458">
          <cell r="A2458" t="str">
            <v>unk</v>
          </cell>
          <cell r="K2458" t="str">
            <v>PCOQ</v>
          </cell>
          <cell r="M2458" t="str">
            <v>F</v>
          </cell>
          <cell r="AC2458">
            <v>3</v>
          </cell>
        </row>
        <row r="2459">
          <cell r="A2459" t="str">
            <v>IS_alqt_plus</v>
          </cell>
          <cell r="K2459" t="str">
            <v>MMUR</v>
          </cell>
          <cell r="M2459" t="str">
            <v>M</v>
          </cell>
          <cell r="AC2459">
            <v>1</v>
          </cell>
        </row>
        <row r="2460">
          <cell r="A2460" t="str">
            <v>IS_alqt_plus</v>
          </cell>
          <cell r="K2460" t="str">
            <v>PCOQ</v>
          </cell>
          <cell r="M2460" t="str">
            <v>F</v>
          </cell>
          <cell r="AC2460">
            <v>0.5</v>
          </cell>
        </row>
        <row r="2461">
          <cell r="A2461" t="str">
            <v>IS_alqt_plus</v>
          </cell>
          <cell r="K2461" t="str">
            <v>PCOQ</v>
          </cell>
          <cell r="M2461" t="str">
            <v>F</v>
          </cell>
          <cell r="AC2461">
            <v>0.5</v>
          </cell>
        </row>
        <row r="2462">
          <cell r="A2462" t="str">
            <v>unk</v>
          </cell>
          <cell r="K2462" t="str">
            <v>PCOQ</v>
          </cell>
          <cell r="M2462" t="str">
            <v>F</v>
          </cell>
          <cell r="AC2462">
            <v>0.2</v>
          </cell>
        </row>
        <row r="2463">
          <cell r="A2463" t="str">
            <v>IS_alqt_minus</v>
          </cell>
          <cell r="K2463" t="str">
            <v>PCOQ</v>
          </cell>
          <cell r="M2463" t="str">
            <v>F</v>
          </cell>
          <cell r="AC2463">
            <v>0.4</v>
          </cell>
        </row>
        <row r="2464">
          <cell r="A2464" t="str">
            <v>IS_alqt_minus</v>
          </cell>
          <cell r="K2464" t="str">
            <v>PCOQ</v>
          </cell>
          <cell r="M2464" t="str">
            <v>F</v>
          </cell>
          <cell r="AC2464">
            <v>0.4</v>
          </cell>
        </row>
        <row r="2465">
          <cell r="A2465" t="str">
            <v>IS_alqt_minus</v>
          </cell>
          <cell r="K2465" t="str">
            <v>PCOQ</v>
          </cell>
          <cell r="M2465" t="str">
            <v>F</v>
          </cell>
          <cell r="AC2465">
            <v>0.4</v>
          </cell>
        </row>
        <row r="2466">
          <cell r="A2466" t="str">
            <v>IS_alqt_plus</v>
          </cell>
          <cell r="K2466" t="str">
            <v>PCOQ</v>
          </cell>
          <cell r="M2466" t="str">
            <v>M</v>
          </cell>
          <cell r="AC2466">
            <v>0.5</v>
          </cell>
        </row>
        <row r="2467">
          <cell r="A2467" t="str">
            <v>IS_alqt_plus</v>
          </cell>
          <cell r="K2467" t="str">
            <v>PCOQ</v>
          </cell>
          <cell r="M2467" t="str">
            <v>M</v>
          </cell>
          <cell r="AC2467">
            <v>0.5</v>
          </cell>
        </row>
        <row r="2468">
          <cell r="A2468" t="str">
            <v>IS_alqt_plus</v>
          </cell>
          <cell r="K2468" t="str">
            <v>PCOQ</v>
          </cell>
          <cell r="M2468" t="str">
            <v>M</v>
          </cell>
          <cell r="AC2468">
            <v>0.5</v>
          </cell>
        </row>
        <row r="2469">
          <cell r="A2469" t="str">
            <v>IS_alqt_plus</v>
          </cell>
          <cell r="K2469" t="str">
            <v>PCOQ</v>
          </cell>
          <cell r="M2469" t="str">
            <v>M</v>
          </cell>
          <cell r="AC2469">
            <v>0.5</v>
          </cell>
        </row>
        <row r="2470">
          <cell r="A2470" t="str">
            <v>IS_alqt_plus</v>
          </cell>
          <cell r="K2470" t="str">
            <v>PCOQ</v>
          </cell>
          <cell r="M2470" t="str">
            <v>M</v>
          </cell>
          <cell r="AC2470">
            <v>1</v>
          </cell>
        </row>
        <row r="2471">
          <cell r="A2471" t="str">
            <v>IS_alqt_plus</v>
          </cell>
          <cell r="K2471" t="str">
            <v>PCOQ</v>
          </cell>
          <cell r="M2471" t="str">
            <v>M</v>
          </cell>
          <cell r="AC2471">
            <v>1</v>
          </cell>
        </row>
        <row r="2472">
          <cell r="A2472" t="str">
            <v>IS_alqt_plus</v>
          </cell>
          <cell r="K2472" t="str">
            <v>PCOQ</v>
          </cell>
          <cell r="M2472" t="str">
            <v>M</v>
          </cell>
          <cell r="AC2472">
            <v>1</v>
          </cell>
        </row>
        <row r="2473">
          <cell r="A2473" t="str">
            <v>IS_alqt_plus</v>
          </cell>
          <cell r="K2473" t="str">
            <v>ECOL</v>
          </cell>
          <cell r="M2473" t="str">
            <v>M</v>
          </cell>
          <cell r="AC2473">
            <v>1</v>
          </cell>
        </row>
        <row r="2474">
          <cell r="A2474" t="str">
            <v>IS_alqt_plus</v>
          </cell>
          <cell r="K2474" t="str">
            <v>ECOL</v>
          </cell>
          <cell r="M2474" t="str">
            <v>M</v>
          </cell>
          <cell r="AC2474">
            <v>1</v>
          </cell>
        </row>
        <row r="2475">
          <cell r="A2475" t="str">
            <v>IS_alqt_plus</v>
          </cell>
          <cell r="K2475" t="str">
            <v>ECOL</v>
          </cell>
          <cell r="M2475" t="str">
            <v>M</v>
          </cell>
          <cell r="AC2475">
            <v>1</v>
          </cell>
        </row>
        <row r="2476">
          <cell r="A2476" t="str">
            <v>IS_alqt_plus</v>
          </cell>
          <cell r="K2476" t="str">
            <v>ECOL</v>
          </cell>
          <cell r="M2476" t="str">
            <v>M</v>
          </cell>
          <cell r="AC2476">
            <v>1</v>
          </cell>
        </row>
        <row r="2477">
          <cell r="A2477" t="str">
            <v>IS_alqt_plus</v>
          </cell>
          <cell r="K2477" t="str">
            <v>ECOL</v>
          </cell>
          <cell r="M2477" t="str">
            <v>M</v>
          </cell>
          <cell r="AC2477">
            <v>1</v>
          </cell>
        </row>
        <row r="2478">
          <cell r="A2478" t="str">
            <v>IS_alqt_plus</v>
          </cell>
          <cell r="K2478" t="str">
            <v>ECOL</v>
          </cell>
          <cell r="M2478" t="str">
            <v>M</v>
          </cell>
          <cell r="AC2478">
            <v>1</v>
          </cell>
        </row>
        <row r="2479">
          <cell r="A2479" t="str">
            <v>IS_alqt_plus</v>
          </cell>
          <cell r="K2479" t="str">
            <v>ECOL</v>
          </cell>
          <cell r="M2479" t="str">
            <v>M</v>
          </cell>
          <cell r="AC2479">
            <v>1</v>
          </cell>
        </row>
        <row r="2480">
          <cell r="A2480" t="str">
            <v>IS_alqt_minus</v>
          </cell>
          <cell r="K2480" t="str">
            <v>PCOQ</v>
          </cell>
          <cell r="M2480" t="str">
            <v>M</v>
          </cell>
          <cell r="AC2480">
            <v>0.2</v>
          </cell>
        </row>
        <row r="2481">
          <cell r="A2481" t="str">
            <v>IS_alqt_plus</v>
          </cell>
          <cell r="K2481" t="str">
            <v>PCOQ</v>
          </cell>
          <cell r="M2481" t="str">
            <v>F</v>
          </cell>
          <cell r="AC2481">
            <v>0.5</v>
          </cell>
        </row>
        <row r="2482">
          <cell r="A2482" t="str">
            <v>IS_alqt_plus</v>
          </cell>
          <cell r="K2482" t="str">
            <v>PCOQ</v>
          </cell>
          <cell r="M2482" t="str">
            <v>F</v>
          </cell>
          <cell r="AC2482">
            <v>0.5</v>
          </cell>
        </row>
        <row r="2483">
          <cell r="A2483" t="str">
            <v>IS_alqt_minus</v>
          </cell>
          <cell r="K2483" t="str">
            <v>PCOQ</v>
          </cell>
          <cell r="M2483" t="str">
            <v>F</v>
          </cell>
          <cell r="AC2483">
            <v>0.3</v>
          </cell>
        </row>
        <row r="2484">
          <cell r="A2484" t="str">
            <v>IS_alqt_minus</v>
          </cell>
          <cell r="K2484" t="str">
            <v>PCOQ</v>
          </cell>
          <cell r="M2484" t="str">
            <v>M</v>
          </cell>
          <cell r="AC2484">
            <v>0.2</v>
          </cell>
        </row>
        <row r="2485">
          <cell r="A2485" t="str">
            <v>IS_alqt_plus</v>
          </cell>
          <cell r="K2485" t="str">
            <v>PCOQ</v>
          </cell>
          <cell r="M2485" t="str">
            <v>F</v>
          </cell>
          <cell r="AC2485">
            <v>1</v>
          </cell>
        </row>
        <row r="2486">
          <cell r="A2486" t="str">
            <v>IS_alqt_plus</v>
          </cell>
          <cell r="K2486" t="str">
            <v>PCOQ</v>
          </cell>
          <cell r="M2486" t="str">
            <v>F</v>
          </cell>
          <cell r="AC2486">
            <v>1.25</v>
          </cell>
        </row>
        <row r="2487">
          <cell r="A2487" t="str">
            <v>IS_alqt_plus</v>
          </cell>
          <cell r="K2487" t="str">
            <v>PCOQ</v>
          </cell>
          <cell r="M2487" t="str">
            <v>F</v>
          </cell>
          <cell r="AC2487">
            <v>1.25</v>
          </cell>
        </row>
        <row r="2488">
          <cell r="A2488" t="str">
            <v>IS_alqt_plus</v>
          </cell>
          <cell r="K2488" t="str">
            <v>PCOQ</v>
          </cell>
          <cell r="M2488" t="str">
            <v>F</v>
          </cell>
          <cell r="AC2488">
            <v>1</v>
          </cell>
        </row>
        <row r="2489">
          <cell r="A2489" t="str">
            <v>IS_alqt_plus</v>
          </cell>
          <cell r="K2489" t="str">
            <v>PCOQ</v>
          </cell>
          <cell r="M2489" t="str">
            <v>F</v>
          </cell>
          <cell r="AC2489">
            <v>1</v>
          </cell>
        </row>
        <row r="2490">
          <cell r="A2490" t="str">
            <v>IS_alqt_plus</v>
          </cell>
          <cell r="K2490" t="str">
            <v>PCOQ</v>
          </cell>
          <cell r="M2490" t="str">
            <v>F</v>
          </cell>
          <cell r="AC2490">
            <v>1</v>
          </cell>
        </row>
        <row r="2491">
          <cell r="A2491" t="str">
            <v>IS_alqt_plus</v>
          </cell>
          <cell r="K2491" t="str">
            <v>PCOQ</v>
          </cell>
          <cell r="M2491" t="str">
            <v>F</v>
          </cell>
          <cell r="AC2491">
            <v>1</v>
          </cell>
        </row>
        <row r="2492">
          <cell r="A2492" t="str">
            <v>IS_alqt_plus</v>
          </cell>
          <cell r="K2492" t="str">
            <v>PCOQ</v>
          </cell>
          <cell r="M2492" t="str">
            <v>F</v>
          </cell>
          <cell r="AC2492">
            <v>1</v>
          </cell>
        </row>
        <row r="2493">
          <cell r="A2493" t="str">
            <v>IS_alqt_plus</v>
          </cell>
          <cell r="K2493" t="str">
            <v>PCOQ</v>
          </cell>
          <cell r="M2493" t="str">
            <v>M</v>
          </cell>
          <cell r="AC2493">
            <v>0.5</v>
          </cell>
        </row>
        <row r="2494">
          <cell r="A2494" t="str">
            <v>IS_alqt_plus</v>
          </cell>
          <cell r="K2494" t="str">
            <v>PCOQ</v>
          </cell>
          <cell r="M2494" t="str">
            <v>M</v>
          </cell>
          <cell r="AC2494">
            <v>0.5</v>
          </cell>
        </row>
        <row r="2495">
          <cell r="A2495" t="str">
            <v>IS_alqt_plus</v>
          </cell>
          <cell r="K2495" t="str">
            <v>PCOQ</v>
          </cell>
          <cell r="M2495" t="str">
            <v>M</v>
          </cell>
          <cell r="AC2495">
            <v>0.5</v>
          </cell>
        </row>
        <row r="2496">
          <cell r="A2496" t="str">
            <v>IS_alqt_plus</v>
          </cell>
          <cell r="K2496" t="str">
            <v>PCOQ</v>
          </cell>
          <cell r="M2496" t="str">
            <v>F</v>
          </cell>
          <cell r="AC2496">
            <v>1</v>
          </cell>
        </row>
        <row r="2497">
          <cell r="A2497" t="str">
            <v>IS_alqt_plus</v>
          </cell>
          <cell r="K2497" t="str">
            <v>PCOQ</v>
          </cell>
          <cell r="M2497" t="str">
            <v>F</v>
          </cell>
          <cell r="AC2497">
            <v>0.5</v>
          </cell>
        </row>
        <row r="2498">
          <cell r="A2498" t="str">
            <v>IS_alqt_plus</v>
          </cell>
          <cell r="K2498" t="str">
            <v>PCOQ</v>
          </cell>
          <cell r="M2498" t="str">
            <v>F</v>
          </cell>
          <cell r="AC2498">
            <v>1</v>
          </cell>
        </row>
        <row r="2499">
          <cell r="A2499" t="str">
            <v>IS_alqt_plus</v>
          </cell>
          <cell r="K2499" t="str">
            <v>PCOQ</v>
          </cell>
          <cell r="M2499" t="str">
            <v>F</v>
          </cell>
          <cell r="AC2499">
            <v>0.5</v>
          </cell>
        </row>
        <row r="2500">
          <cell r="A2500" t="str">
            <v>IS_alqt_plus</v>
          </cell>
          <cell r="K2500" t="str">
            <v>PCOQ</v>
          </cell>
          <cell r="M2500" t="str">
            <v>F</v>
          </cell>
          <cell r="AC2500">
            <v>0.5</v>
          </cell>
        </row>
        <row r="2501">
          <cell r="A2501" t="str">
            <v>IS_alqt_plus</v>
          </cell>
          <cell r="K2501" t="str">
            <v>PCOQ</v>
          </cell>
          <cell r="M2501" t="str">
            <v>F</v>
          </cell>
          <cell r="AC2501">
            <v>0.5</v>
          </cell>
        </row>
        <row r="2502">
          <cell r="A2502" t="str">
            <v>IS_alqt_plus</v>
          </cell>
          <cell r="K2502" t="str">
            <v>PCOQ</v>
          </cell>
          <cell r="M2502" t="str">
            <v>M</v>
          </cell>
          <cell r="AC2502">
            <v>0.5</v>
          </cell>
        </row>
        <row r="2503">
          <cell r="A2503" t="str">
            <v>IS_alqt_plus</v>
          </cell>
          <cell r="K2503" t="str">
            <v>PCOQ</v>
          </cell>
          <cell r="M2503" t="str">
            <v>M</v>
          </cell>
          <cell r="AC2503">
            <v>0.5</v>
          </cell>
        </row>
        <row r="2504">
          <cell r="A2504" t="str">
            <v>IS_alqt_plus</v>
          </cell>
          <cell r="K2504" t="str">
            <v>PCOQ</v>
          </cell>
          <cell r="M2504" t="str">
            <v>M</v>
          </cell>
          <cell r="AC2504">
            <v>0.5</v>
          </cell>
        </row>
        <row r="2505">
          <cell r="A2505" t="str">
            <v>IS_alqt_plus</v>
          </cell>
          <cell r="K2505" t="str">
            <v>PCOQ</v>
          </cell>
          <cell r="M2505" t="str">
            <v>M</v>
          </cell>
          <cell r="AC2505">
            <v>0.5</v>
          </cell>
        </row>
        <row r="2506">
          <cell r="A2506" t="str">
            <v>IS_alqt_plus</v>
          </cell>
          <cell r="K2506" t="str">
            <v>PCOQ</v>
          </cell>
          <cell r="M2506" t="str">
            <v>M</v>
          </cell>
          <cell r="AC2506">
            <v>0.5</v>
          </cell>
        </row>
        <row r="2507">
          <cell r="A2507" t="str">
            <v>IS_alqt_plus</v>
          </cell>
          <cell r="K2507" t="str">
            <v>PCOQ</v>
          </cell>
          <cell r="M2507" t="str">
            <v>M</v>
          </cell>
          <cell r="AC2507">
            <v>0.5</v>
          </cell>
        </row>
        <row r="2508">
          <cell r="A2508" t="str">
            <v>IS_alqt_plus</v>
          </cell>
          <cell r="K2508" t="str">
            <v>PCOQ</v>
          </cell>
          <cell r="M2508" t="str">
            <v>M</v>
          </cell>
          <cell r="AC2508">
            <v>1</v>
          </cell>
        </row>
        <row r="2509">
          <cell r="A2509" t="str">
            <v>IS_alqt_plus</v>
          </cell>
          <cell r="K2509" t="str">
            <v>PCOQ</v>
          </cell>
          <cell r="M2509" t="str">
            <v>M</v>
          </cell>
          <cell r="AC2509">
            <v>1</v>
          </cell>
        </row>
        <row r="2510">
          <cell r="A2510" t="str">
            <v>IS_alqt_plus</v>
          </cell>
          <cell r="K2510" t="str">
            <v>PCOQ</v>
          </cell>
          <cell r="M2510" t="str">
            <v>M</v>
          </cell>
          <cell r="AC2510">
            <v>1</v>
          </cell>
        </row>
        <row r="2511">
          <cell r="A2511" t="str">
            <v>IS_alqt_plus</v>
          </cell>
          <cell r="K2511" t="str">
            <v>PCOQ</v>
          </cell>
          <cell r="M2511" t="str">
            <v>M</v>
          </cell>
          <cell r="AC2511">
            <v>1</v>
          </cell>
        </row>
        <row r="2512">
          <cell r="A2512" t="str">
            <v>IS_alqt_plus</v>
          </cell>
          <cell r="K2512" t="str">
            <v>PCOQ</v>
          </cell>
          <cell r="M2512" t="str">
            <v>M</v>
          </cell>
          <cell r="AC2512">
            <v>1</v>
          </cell>
        </row>
        <row r="2513">
          <cell r="A2513" t="str">
            <v>IS_alqt_plus</v>
          </cell>
          <cell r="K2513" t="str">
            <v>PCOQ</v>
          </cell>
          <cell r="M2513" t="str">
            <v>M</v>
          </cell>
          <cell r="AC2513">
            <v>1</v>
          </cell>
        </row>
        <row r="2514">
          <cell r="A2514" t="str">
            <v>IS_alqt_plus</v>
          </cell>
          <cell r="K2514" t="str">
            <v>PCOQ</v>
          </cell>
          <cell r="M2514" t="str">
            <v>M</v>
          </cell>
          <cell r="AC2514">
            <v>1</v>
          </cell>
        </row>
        <row r="2515">
          <cell r="A2515" t="str">
            <v>IS_alqt_plus</v>
          </cell>
          <cell r="K2515" t="str">
            <v>PCOQ</v>
          </cell>
          <cell r="M2515" t="str">
            <v>M</v>
          </cell>
          <cell r="AC2515">
            <v>1</v>
          </cell>
        </row>
        <row r="2516">
          <cell r="A2516" t="str">
            <v>IS_alqt_plus</v>
          </cell>
          <cell r="K2516" t="str">
            <v>PCOQ</v>
          </cell>
          <cell r="M2516" t="str">
            <v>M</v>
          </cell>
          <cell r="AC2516">
            <v>1</v>
          </cell>
        </row>
        <row r="2517">
          <cell r="A2517" t="str">
            <v>IS_alqt_plus</v>
          </cell>
          <cell r="K2517" t="str">
            <v>PCOQ</v>
          </cell>
          <cell r="M2517" t="str">
            <v>M</v>
          </cell>
          <cell r="AC2517">
            <v>1</v>
          </cell>
        </row>
        <row r="2518">
          <cell r="A2518" t="str">
            <v>IS_alqt_plus</v>
          </cell>
          <cell r="K2518" t="str">
            <v>PCOQ</v>
          </cell>
          <cell r="M2518" t="str">
            <v>M</v>
          </cell>
          <cell r="AC2518">
            <v>1</v>
          </cell>
        </row>
        <row r="2519">
          <cell r="A2519" t="str">
            <v>IS_alqt_plus</v>
          </cell>
          <cell r="K2519" t="str">
            <v>PCOQ</v>
          </cell>
          <cell r="M2519" t="str">
            <v>M</v>
          </cell>
          <cell r="AC2519">
            <v>1</v>
          </cell>
        </row>
        <row r="2520">
          <cell r="A2520" t="str">
            <v>IS_alqt_plus</v>
          </cell>
          <cell r="K2520" t="str">
            <v>PCOQ</v>
          </cell>
          <cell r="M2520" t="str">
            <v>M</v>
          </cell>
          <cell r="AC2520">
            <v>1.5</v>
          </cell>
        </row>
        <row r="2521">
          <cell r="A2521" t="str">
            <v>IS_alqt_plus</v>
          </cell>
          <cell r="K2521" t="str">
            <v>PCOQ</v>
          </cell>
          <cell r="M2521" t="str">
            <v>M</v>
          </cell>
          <cell r="AC2521">
            <v>1.5</v>
          </cell>
        </row>
        <row r="2522">
          <cell r="A2522" t="str">
            <v>IS_alqt_plus</v>
          </cell>
          <cell r="K2522" t="str">
            <v>PCOQ</v>
          </cell>
          <cell r="M2522" t="str">
            <v>M</v>
          </cell>
          <cell r="AC2522">
            <v>1</v>
          </cell>
        </row>
        <row r="2523">
          <cell r="A2523" t="str">
            <v>IS_alqt_plus</v>
          </cell>
          <cell r="K2523" t="str">
            <v>PCOQ</v>
          </cell>
          <cell r="M2523" t="str">
            <v>M</v>
          </cell>
          <cell r="AC2523">
            <v>0.5</v>
          </cell>
        </row>
        <row r="2524">
          <cell r="A2524" t="str">
            <v>IS_alqt_plus</v>
          </cell>
          <cell r="K2524" t="str">
            <v>PCOQ</v>
          </cell>
          <cell r="M2524" t="str">
            <v>M</v>
          </cell>
          <cell r="AC2524">
            <v>0.5</v>
          </cell>
        </row>
        <row r="2525">
          <cell r="A2525" t="str">
            <v>IS_alqt_plus</v>
          </cell>
          <cell r="K2525" t="str">
            <v>PCOQ</v>
          </cell>
          <cell r="M2525" t="str">
            <v>M</v>
          </cell>
          <cell r="AC2525">
            <v>0.5</v>
          </cell>
        </row>
        <row r="2526">
          <cell r="A2526" t="str">
            <v>IS_alqt_plus</v>
          </cell>
          <cell r="K2526" t="str">
            <v>PCOQ</v>
          </cell>
          <cell r="M2526" t="str">
            <v>M</v>
          </cell>
          <cell r="AC2526">
            <v>0.5</v>
          </cell>
        </row>
        <row r="2527">
          <cell r="A2527" t="str">
            <v>IS_alqt_plus</v>
          </cell>
          <cell r="K2527" t="str">
            <v>PCOQ</v>
          </cell>
          <cell r="M2527" t="str">
            <v>M</v>
          </cell>
          <cell r="AC2527">
            <v>0.5</v>
          </cell>
        </row>
        <row r="2528">
          <cell r="A2528" t="str">
            <v>IS_alqt_plus</v>
          </cell>
          <cell r="K2528" t="str">
            <v>PCOQ</v>
          </cell>
          <cell r="M2528" t="str">
            <v>M</v>
          </cell>
          <cell r="AC2528">
            <v>1</v>
          </cell>
        </row>
        <row r="2529">
          <cell r="A2529" t="str">
            <v>IS_alqt_plus</v>
          </cell>
          <cell r="K2529" t="str">
            <v>PCOQ</v>
          </cell>
          <cell r="M2529" t="str">
            <v>M</v>
          </cell>
          <cell r="AC2529">
            <v>0.5</v>
          </cell>
        </row>
        <row r="2530">
          <cell r="A2530" t="str">
            <v>IS_alqt_plus</v>
          </cell>
          <cell r="K2530" t="str">
            <v>PCOQ</v>
          </cell>
          <cell r="M2530" t="str">
            <v>M</v>
          </cell>
          <cell r="AC2530">
            <v>1</v>
          </cell>
        </row>
        <row r="2531">
          <cell r="A2531" t="str">
            <v>IS_alqt_plus</v>
          </cell>
          <cell r="K2531" t="str">
            <v>PCOQ</v>
          </cell>
          <cell r="M2531" t="str">
            <v>M</v>
          </cell>
          <cell r="AC2531">
            <v>1</v>
          </cell>
        </row>
        <row r="2532">
          <cell r="A2532" t="str">
            <v>IS_alqt_plus</v>
          </cell>
          <cell r="K2532" t="str">
            <v>PCOQ</v>
          </cell>
          <cell r="M2532" t="str">
            <v>M</v>
          </cell>
          <cell r="AC2532">
            <v>0.5</v>
          </cell>
        </row>
        <row r="2533">
          <cell r="A2533" t="str">
            <v>IS_alqt_plus</v>
          </cell>
          <cell r="K2533" t="str">
            <v>PCOQ</v>
          </cell>
          <cell r="M2533" t="str">
            <v>M</v>
          </cell>
          <cell r="AC2533">
            <v>0.7</v>
          </cell>
        </row>
        <row r="2534">
          <cell r="A2534" t="str">
            <v>IS_alqt_plus</v>
          </cell>
          <cell r="K2534" t="str">
            <v>PCOQ</v>
          </cell>
          <cell r="M2534" t="str">
            <v>M</v>
          </cell>
          <cell r="AC2534">
            <v>0.5</v>
          </cell>
        </row>
        <row r="2535">
          <cell r="A2535" t="str">
            <v>IS_alqt_plus</v>
          </cell>
          <cell r="K2535" t="str">
            <v>PCOQ</v>
          </cell>
          <cell r="M2535" t="str">
            <v>M</v>
          </cell>
          <cell r="AC2535">
            <v>0.7</v>
          </cell>
        </row>
        <row r="2536">
          <cell r="A2536" t="str">
            <v>IS_alqt_plus</v>
          </cell>
          <cell r="K2536" t="str">
            <v>PCOQ</v>
          </cell>
          <cell r="M2536" t="str">
            <v>M</v>
          </cell>
          <cell r="AC2536">
            <v>1</v>
          </cell>
        </row>
        <row r="2537">
          <cell r="A2537" t="str">
            <v>IS_alqt_plus</v>
          </cell>
          <cell r="K2537" t="str">
            <v>PCOQ</v>
          </cell>
          <cell r="M2537" t="str">
            <v>M</v>
          </cell>
          <cell r="AC2537">
            <v>0.5</v>
          </cell>
        </row>
        <row r="2538">
          <cell r="A2538" t="str">
            <v>IS_alqt_plus</v>
          </cell>
          <cell r="K2538" t="str">
            <v>PCOQ</v>
          </cell>
          <cell r="M2538" t="str">
            <v>M</v>
          </cell>
          <cell r="AC2538">
            <v>0.5</v>
          </cell>
        </row>
        <row r="2539">
          <cell r="A2539" t="str">
            <v>IS_alqt_plus</v>
          </cell>
          <cell r="K2539" t="str">
            <v>PCOQ</v>
          </cell>
          <cell r="M2539" t="str">
            <v>F</v>
          </cell>
          <cell r="AC2539">
            <v>1</v>
          </cell>
        </row>
        <row r="2540">
          <cell r="A2540" t="str">
            <v>IS_alqt_plus</v>
          </cell>
          <cell r="K2540" t="str">
            <v>PCOQ</v>
          </cell>
          <cell r="M2540" t="str">
            <v>F</v>
          </cell>
          <cell r="AC2540">
            <v>1</v>
          </cell>
        </row>
        <row r="2541">
          <cell r="A2541" t="str">
            <v>IS_alqt_plus</v>
          </cell>
          <cell r="K2541" t="str">
            <v>PCOQ</v>
          </cell>
          <cell r="M2541" t="str">
            <v>F</v>
          </cell>
          <cell r="AC2541">
            <v>1</v>
          </cell>
        </row>
        <row r="2542">
          <cell r="A2542" t="str">
            <v>IS_alqt_plus</v>
          </cell>
          <cell r="K2542" t="str">
            <v>PCOQ</v>
          </cell>
          <cell r="M2542" t="str">
            <v>F</v>
          </cell>
          <cell r="AC2542">
            <v>1</v>
          </cell>
        </row>
        <row r="2543">
          <cell r="A2543" t="str">
            <v>IS_alqt_plus</v>
          </cell>
          <cell r="K2543" t="str">
            <v>PCOQ</v>
          </cell>
          <cell r="M2543" t="str">
            <v>F</v>
          </cell>
          <cell r="AC2543">
            <v>1</v>
          </cell>
        </row>
        <row r="2544">
          <cell r="A2544" t="str">
            <v>IS_alqt_plus</v>
          </cell>
          <cell r="K2544" t="str">
            <v>PCOQ</v>
          </cell>
          <cell r="M2544" t="str">
            <v>F</v>
          </cell>
          <cell r="AC2544">
            <v>1</v>
          </cell>
        </row>
        <row r="2545">
          <cell r="A2545" t="str">
            <v>IS_alqt_plus</v>
          </cell>
          <cell r="K2545" t="str">
            <v>PCOQ</v>
          </cell>
          <cell r="M2545" t="str">
            <v>F</v>
          </cell>
          <cell r="AC2545">
            <v>1</v>
          </cell>
        </row>
        <row r="2546">
          <cell r="A2546" t="str">
            <v>IS_alqt_plus</v>
          </cell>
          <cell r="K2546" t="str">
            <v>PCOQ</v>
          </cell>
          <cell r="M2546" t="str">
            <v>F</v>
          </cell>
          <cell r="AC2546">
            <v>1</v>
          </cell>
        </row>
        <row r="2547">
          <cell r="A2547" t="str">
            <v>IS_alqt_plus</v>
          </cell>
          <cell r="K2547" t="str">
            <v>PCOQ</v>
          </cell>
          <cell r="M2547" t="str">
            <v>F</v>
          </cell>
          <cell r="AC2547">
            <v>1</v>
          </cell>
        </row>
        <row r="2548">
          <cell r="A2548" t="str">
            <v>IS_alqt_plus</v>
          </cell>
          <cell r="K2548" t="str">
            <v>PCOQ</v>
          </cell>
          <cell r="M2548" t="str">
            <v>F</v>
          </cell>
          <cell r="AC2548">
            <v>1</v>
          </cell>
        </row>
        <row r="2549">
          <cell r="A2549" t="str">
            <v>IS_alqt_plus</v>
          </cell>
          <cell r="K2549" t="str">
            <v>PCOQ</v>
          </cell>
          <cell r="M2549" t="str">
            <v>F</v>
          </cell>
          <cell r="AC2549">
            <v>1</v>
          </cell>
        </row>
        <row r="2550">
          <cell r="A2550" t="str">
            <v>IS_alqt_plus</v>
          </cell>
          <cell r="K2550" t="str">
            <v>PCOQ</v>
          </cell>
          <cell r="M2550" t="str">
            <v>F</v>
          </cell>
          <cell r="AC2550">
            <v>1</v>
          </cell>
        </row>
        <row r="2551">
          <cell r="A2551" t="str">
            <v>IS_alqt_plus</v>
          </cell>
          <cell r="K2551" t="str">
            <v>PCOQ</v>
          </cell>
          <cell r="M2551" t="str">
            <v>F</v>
          </cell>
          <cell r="AC2551">
            <v>1</v>
          </cell>
        </row>
        <row r="2552">
          <cell r="A2552" t="str">
            <v>IS_alqt_plus</v>
          </cell>
          <cell r="K2552" t="str">
            <v>PCOQ</v>
          </cell>
          <cell r="M2552" t="str">
            <v>F</v>
          </cell>
          <cell r="AC2552">
            <v>1</v>
          </cell>
        </row>
        <row r="2553">
          <cell r="A2553" t="str">
            <v>IS_alqt_plus</v>
          </cell>
          <cell r="K2553" t="str">
            <v>PCOQ</v>
          </cell>
          <cell r="M2553" t="str">
            <v>F</v>
          </cell>
          <cell r="AC2553">
            <v>1</v>
          </cell>
        </row>
        <row r="2554">
          <cell r="A2554" t="str">
            <v>IS_alqt_plus</v>
          </cell>
          <cell r="K2554" t="str">
            <v>PCOQ</v>
          </cell>
          <cell r="M2554" t="str">
            <v>F</v>
          </cell>
          <cell r="AC2554">
            <v>1</v>
          </cell>
        </row>
        <row r="2555">
          <cell r="A2555" t="str">
            <v>IS_alqt_plus</v>
          </cell>
          <cell r="K2555" t="str">
            <v>PCOQ</v>
          </cell>
          <cell r="M2555" t="str">
            <v>F</v>
          </cell>
          <cell r="AC2555">
            <v>1</v>
          </cell>
        </row>
        <row r="2556">
          <cell r="A2556" t="str">
            <v>IS_alqt_plus</v>
          </cell>
          <cell r="K2556" t="str">
            <v>PCOQ</v>
          </cell>
          <cell r="M2556" t="str">
            <v>F</v>
          </cell>
          <cell r="AC2556">
            <v>1</v>
          </cell>
        </row>
        <row r="2557">
          <cell r="A2557" t="str">
            <v>IS_alqt_plus</v>
          </cell>
          <cell r="K2557" t="str">
            <v>PCOQ</v>
          </cell>
          <cell r="M2557" t="str">
            <v>F</v>
          </cell>
          <cell r="AC2557">
            <v>1</v>
          </cell>
        </row>
        <row r="2558">
          <cell r="A2558" t="str">
            <v>IS_alqt_plus</v>
          </cell>
          <cell r="K2558" t="str">
            <v>PCOQ</v>
          </cell>
          <cell r="M2558" t="str">
            <v>F</v>
          </cell>
          <cell r="AC2558">
            <v>1</v>
          </cell>
        </row>
        <row r="2559">
          <cell r="A2559" t="str">
            <v>IS_alqt_plus</v>
          </cell>
          <cell r="K2559" t="str">
            <v>PCOQ</v>
          </cell>
          <cell r="M2559" t="str">
            <v>F</v>
          </cell>
          <cell r="AC2559">
            <v>1</v>
          </cell>
        </row>
        <row r="2560">
          <cell r="A2560" t="str">
            <v>IS_alqt_plus</v>
          </cell>
          <cell r="K2560" t="str">
            <v>PCOQ</v>
          </cell>
          <cell r="M2560" t="str">
            <v>F</v>
          </cell>
          <cell r="AC2560">
            <v>1</v>
          </cell>
        </row>
        <row r="2561">
          <cell r="A2561" t="str">
            <v>IS_alqt_plus</v>
          </cell>
          <cell r="K2561" t="str">
            <v>PCOQ</v>
          </cell>
          <cell r="M2561" t="str">
            <v>F</v>
          </cell>
          <cell r="AC2561">
            <v>1</v>
          </cell>
        </row>
        <row r="2562">
          <cell r="A2562" t="str">
            <v>unk</v>
          </cell>
          <cell r="K2562" t="str">
            <v>PCOQ</v>
          </cell>
          <cell r="M2562" t="str">
            <v>F</v>
          </cell>
          <cell r="AC2562">
            <v>4</v>
          </cell>
        </row>
        <row r="2563">
          <cell r="A2563" t="str">
            <v>IS_alqt_minus</v>
          </cell>
          <cell r="K2563" t="str">
            <v>PCOQ</v>
          </cell>
          <cell r="M2563" t="str">
            <v>F</v>
          </cell>
          <cell r="AC2563">
            <v>0.3</v>
          </cell>
        </row>
        <row r="2564">
          <cell r="A2564" t="str">
            <v>IS_alqt_plus</v>
          </cell>
          <cell r="K2564" t="str">
            <v>PCOQ</v>
          </cell>
          <cell r="M2564" t="str">
            <v>F</v>
          </cell>
          <cell r="AC2564">
            <v>1</v>
          </cell>
        </row>
        <row r="2565">
          <cell r="A2565" t="str">
            <v>IS_alqt_plus</v>
          </cell>
          <cell r="K2565" t="str">
            <v>PCOQ</v>
          </cell>
          <cell r="M2565" t="str">
            <v>F</v>
          </cell>
          <cell r="AC2565">
            <v>1</v>
          </cell>
        </row>
        <row r="2566">
          <cell r="A2566" t="str">
            <v>IS_alqt_plus</v>
          </cell>
          <cell r="K2566" t="str">
            <v>PCOQ</v>
          </cell>
          <cell r="M2566" t="str">
            <v>F</v>
          </cell>
          <cell r="AC2566">
            <v>1</v>
          </cell>
        </row>
        <row r="2567">
          <cell r="A2567" t="str">
            <v>IS_alqt_plus</v>
          </cell>
          <cell r="K2567" t="str">
            <v>PCOQ</v>
          </cell>
          <cell r="M2567" t="str">
            <v>F</v>
          </cell>
          <cell r="AC2567">
            <v>1</v>
          </cell>
        </row>
        <row r="2568">
          <cell r="A2568" t="str">
            <v>IS_alqt_plus</v>
          </cell>
          <cell r="K2568" t="str">
            <v>PCOQ</v>
          </cell>
          <cell r="M2568" t="str">
            <v>F</v>
          </cell>
          <cell r="AC2568">
            <v>1</v>
          </cell>
        </row>
        <row r="2569">
          <cell r="A2569" t="str">
            <v>IS_alqt_plus</v>
          </cell>
          <cell r="K2569" t="str">
            <v>PCOQ</v>
          </cell>
          <cell r="M2569" t="str">
            <v>F</v>
          </cell>
          <cell r="AC2569">
            <v>1</v>
          </cell>
        </row>
        <row r="2570">
          <cell r="A2570" t="str">
            <v>IS_alqt_plus</v>
          </cell>
          <cell r="K2570" t="str">
            <v>PCOQ</v>
          </cell>
          <cell r="M2570" t="str">
            <v>F</v>
          </cell>
          <cell r="AC2570">
            <v>1</v>
          </cell>
        </row>
        <row r="2571">
          <cell r="A2571" t="str">
            <v>IS_alqt_plus</v>
          </cell>
          <cell r="K2571" t="str">
            <v>PCOQ</v>
          </cell>
          <cell r="M2571" t="str">
            <v>F</v>
          </cell>
          <cell r="AC2571">
            <v>1</v>
          </cell>
        </row>
        <row r="2572">
          <cell r="A2572" t="str">
            <v>IS_alqt_plus</v>
          </cell>
          <cell r="K2572" t="str">
            <v>PCOQ</v>
          </cell>
          <cell r="M2572" t="str">
            <v>F</v>
          </cell>
          <cell r="AC2572">
            <v>1</v>
          </cell>
        </row>
        <row r="2573">
          <cell r="A2573" t="str">
            <v>IS_alqt_plus</v>
          </cell>
          <cell r="K2573" t="str">
            <v>PCOQ</v>
          </cell>
          <cell r="M2573" t="str">
            <v>F</v>
          </cell>
          <cell r="AC2573">
            <v>1</v>
          </cell>
        </row>
        <row r="2574">
          <cell r="A2574" t="str">
            <v>IS_alqt_plus</v>
          </cell>
          <cell r="K2574" t="str">
            <v>PCOQ</v>
          </cell>
          <cell r="M2574" t="str">
            <v>F</v>
          </cell>
          <cell r="AC2574">
            <v>1</v>
          </cell>
        </row>
        <row r="2575">
          <cell r="A2575" t="str">
            <v>IS_alqt_plus</v>
          </cell>
          <cell r="K2575" t="str">
            <v>PCOQ</v>
          </cell>
          <cell r="M2575" t="str">
            <v>F</v>
          </cell>
          <cell r="AC2575">
            <v>1</v>
          </cell>
        </row>
        <row r="2576">
          <cell r="A2576" t="str">
            <v>IS_alqt_plus</v>
          </cell>
          <cell r="K2576" t="str">
            <v>PCOQ</v>
          </cell>
          <cell r="M2576" t="str">
            <v>F</v>
          </cell>
          <cell r="AC2576">
            <v>1</v>
          </cell>
        </row>
        <row r="2577">
          <cell r="A2577" t="str">
            <v>IS_alqt_plus</v>
          </cell>
          <cell r="K2577" t="str">
            <v>PCOQ</v>
          </cell>
          <cell r="M2577" t="str">
            <v>F</v>
          </cell>
          <cell r="AC2577">
            <v>1</v>
          </cell>
        </row>
        <row r="2578">
          <cell r="A2578" t="str">
            <v>IS_alqt_plus</v>
          </cell>
          <cell r="K2578" t="str">
            <v>PCOQ</v>
          </cell>
          <cell r="M2578" t="str">
            <v>F</v>
          </cell>
          <cell r="AC2578">
            <v>1</v>
          </cell>
        </row>
        <row r="2579">
          <cell r="A2579" t="str">
            <v>IS_alqt_plus</v>
          </cell>
          <cell r="K2579" t="str">
            <v>PCOQ</v>
          </cell>
          <cell r="M2579" t="str">
            <v>F</v>
          </cell>
          <cell r="AC2579">
            <v>1</v>
          </cell>
        </row>
        <row r="2580">
          <cell r="A2580" t="str">
            <v>IS_alqt_plus</v>
          </cell>
          <cell r="K2580" t="str">
            <v>PCOQ</v>
          </cell>
          <cell r="M2580" t="str">
            <v>F</v>
          </cell>
          <cell r="AC2580">
            <v>1</v>
          </cell>
        </row>
        <row r="2581">
          <cell r="A2581" t="str">
            <v>IS_alqt_plus</v>
          </cell>
          <cell r="K2581" t="str">
            <v>PCOQ</v>
          </cell>
          <cell r="M2581" t="str">
            <v>F</v>
          </cell>
          <cell r="AC2581">
            <v>1</v>
          </cell>
        </row>
        <row r="2582">
          <cell r="A2582" t="str">
            <v>IS_alqt_plus</v>
          </cell>
          <cell r="K2582" t="str">
            <v>PCOQ</v>
          </cell>
          <cell r="M2582" t="str">
            <v>F</v>
          </cell>
          <cell r="AC2582">
            <v>1</v>
          </cell>
        </row>
        <row r="2583">
          <cell r="A2583" t="str">
            <v>IS_alqt_plus</v>
          </cell>
          <cell r="K2583" t="str">
            <v>PCOQ</v>
          </cell>
          <cell r="M2583" t="str">
            <v>F</v>
          </cell>
          <cell r="AC2583">
            <v>1</v>
          </cell>
        </row>
        <row r="2584">
          <cell r="A2584" t="str">
            <v>IS_alqt_plus</v>
          </cell>
          <cell r="K2584" t="str">
            <v>PCOQ</v>
          </cell>
          <cell r="M2584" t="str">
            <v>F</v>
          </cell>
          <cell r="AC2584">
            <v>1</v>
          </cell>
        </row>
        <row r="2585">
          <cell r="A2585" t="str">
            <v>IS_alqt_plus</v>
          </cell>
          <cell r="K2585" t="str">
            <v>PCOQ</v>
          </cell>
          <cell r="M2585" t="str">
            <v>F</v>
          </cell>
          <cell r="AC2585">
            <v>1</v>
          </cell>
        </row>
        <row r="2586">
          <cell r="A2586" t="str">
            <v>IS_alqt_plus</v>
          </cell>
          <cell r="K2586" t="str">
            <v>PCOQ</v>
          </cell>
          <cell r="M2586" t="str">
            <v>F</v>
          </cell>
          <cell r="AC2586">
            <v>1</v>
          </cell>
        </row>
        <row r="2587">
          <cell r="A2587" t="str">
            <v>IS_alqt_plus</v>
          </cell>
          <cell r="K2587" t="str">
            <v>PCOQ</v>
          </cell>
          <cell r="M2587" t="str">
            <v>F</v>
          </cell>
          <cell r="AC2587">
            <v>1</v>
          </cell>
        </row>
        <row r="2588">
          <cell r="A2588" t="str">
            <v>IS_alqt_plus</v>
          </cell>
          <cell r="K2588" t="str">
            <v>PCOQ</v>
          </cell>
          <cell r="M2588" t="str">
            <v>F</v>
          </cell>
          <cell r="AC2588">
            <v>1</v>
          </cell>
        </row>
        <row r="2589">
          <cell r="A2589" t="str">
            <v>unk</v>
          </cell>
          <cell r="K2589" t="str">
            <v>EMON</v>
          </cell>
          <cell r="M2589" t="str">
            <v>F</v>
          </cell>
          <cell r="AC2589">
            <v>1</v>
          </cell>
        </row>
        <row r="2590">
          <cell r="A2590" t="str">
            <v>unk</v>
          </cell>
          <cell r="K2590" t="str">
            <v>EMON</v>
          </cell>
          <cell r="M2590" t="str">
            <v>F</v>
          </cell>
          <cell r="AC2590">
            <v>1</v>
          </cell>
        </row>
        <row r="2591">
          <cell r="A2591" t="str">
            <v>unk</v>
          </cell>
          <cell r="K2591" t="str">
            <v>EMON</v>
          </cell>
          <cell r="M2591" t="str">
            <v>F</v>
          </cell>
          <cell r="AC2591">
            <v>1</v>
          </cell>
        </row>
        <row r="2592">
          <cell r="A2592" t="str">
            <v>unk</v>
          </cell>
          <cell r="K2592" t="str">
            <v>EMON</v>
          </cell>
          <cell r="M2592" t="str">
            <v>F</v>
          </cell>
          <cell r="AC2592">
            <v>1</v>
          </cell>
        </row>
        <row r="2593">
          <cell r="A2593" t="str">
            <v>unk</v>
          </cell>
          <cell r="K2593" t="str">
            <v>EMON</v>
          </cell>
          <cell r="M2593" t="str">
            <v>F</v>
          </cell>
          <cell r="AC2593">
            <v>1</v>
          </cell>
        </row>
        <row r="2594">
          <cell r="A2594" t="str">
            <v>unk</v>
          </cell>
          <cell r="K2594" t="str">
            <v>EMON</v>
          </cell>
          <cell r="M2594" t="str">
            <v>F</v>
          </cell>
          <cell r="AC2594">
            <v>1</v>
          </cell>
        </row>
        <row r="2595">
          <cell r="A2595" t="str">
            <v>unk</v>
          </cell>
          <cell r="K2595" t="str">
            <v>PCOQ</v>
          </cell>
          <cell r="M2595" t="str">
            <v>M</v>
          </cell>
          <cell r="AC2595">
            <v>1</v>
          </cell>
        </row>
        <row r="2596">
          <cell r="A2596" t="str">
            <v>unk</v>
          </cell>
          <cell r="K2596" t="str">
            <v>PCOQ</v>
          </cell>
          <cell r="M2596" t="str">
            <v>M</v>
          </cell>
          <cell r="AC2596">
            <v>1</v>
          </cell>
        </row>
        <row r="2597">
          <cell r="A2597" t="str">
            <v>unk</v>
          </cell>
          <cell r="K2597" t="str">
            <v>PCOQ</v>
          </cell>
          <cell r="M2597" t="str">
            <v>M</v>
          </cell>
          <cell r="AC2597">
            <v>1</v>
          </cell>
        </row>
        <row r="2598">
          <cell r="A2598" t="str">
            <v>unk</v>
          </cell>
          <cell r="K2598" t="str">
            <v>PCOQ</v>
          </cell>
          <cell r="M2598" t="str">
            <v>M</v>
          </cell>
          <cell r="AC2598">
            <v>1</v>
          </cell>
        </row>
        <row r="2599">
          <cell r="A2599" t="str">
            <v>unk</v>
          </cell>
          <cell r="K2599" t="str">
            <v>PCOQ</v>
          </cell>
          <cell r="M2599" t="str">
            <v>M</v>
          </cell>
          <cell r="AC2599">
            <v>1</v>
          </cell>
        </row>
        <row r="2600">
          <cell r="A2600" t="str">
            <v>unk</v>
          </cell>
          <cell r="K2600" t="str">
            <v>PCOQ</v>
          </cell>
          <cell r="M2600" t="str">
            <v>M</v>
          </cell>
          <cell r="AC2600">
            <v>1</v>
          </cell>
        </row>
        <row r="2601">
          <cell r="A2601" t="str">
            <v>unk</v>
          </cell>
          <cell r="K2601" t="str">
            <v>PCOQ</v>
          </cell>
          <cell r="M2601" t="str">
            <v>M</v>
          </cell>
          <cell r="AC2601">
            <v>1</v>
          </cell>
        </row>
        <row r="2602">
          <cell r="A2602" t="str">
            <v>unk</v>
          </cell>
          <cell r="K2602" t="str">
            <v>PCOQ</v>
          </cell>
          <cell r="M2602" t="str">
            <v>M</v>
          </cell>
          <cell r="AC2602">
            <v>1</v>
          </cell>
        </row>
        <row r="2603">
          <cell r="A2603" t="str">
            <v>unk</v>
          </cell>
          <cell r="K2603" t="str">
            <v>PCOQ</v>
          </cell>
          <cell r="M2603" t="str">
            <v>M</v>
          </cell>
          <cell r="AC2603">
            <v>1</v>
          </cell>
        </row>
        <row r="2604">
          <cell r="A2604" t="str">
            <v>IS_alqt_plus</v>
          </cell>
          <cell r="K2604" t="str">
            <v>PCOQ</v>
          </cell>
          <cell r="M2604" t="str">
            <v>M</v>
          </cell>
          <cell r="AC2604">
            <v>1</v>
          </cell>
        </row>
        <row r="2605">
          <cell r="A2605" t="str">
            <v>IS_alqt_plus</v>
          </cell>
          <cell r="K2605" t="str">
            <v>PCOQ</v>
          </cell>
          <cell r="M2605" t="str">
            <v>M</v>
          </cell>
          <cell r="AC2605">
            <v>1</v>
          </cell>
        </row>
        <row r="2606">
          <cell r="A2606" t="str">
            <v>IS_alqt_plus</v>
          </cell>
          <cell r="K2606" t="str">
            <v>PCOQ</v>
          </cell>
          <cell r="M2606" t="str">
            <v>M</v>
          </cell>
          <cell r="AC2606">
            <v>0.5</v>
          </cell>
        </row>
        <row r="2607">
          <cell r="A2607" t="str">
            <v>IS_alqt_plus</v>
          </cell>
          <cell r="K2607" t="str">
            <v>PCOQ</v>
          </cell>
          <cell r="M2607" t="str">
            <v>M</v>
          </cell>
          <cell r="AC2607">
            <v>0.5</v>
          </cell>
        </row>
        <row r="2608">
          <cell r="A2608" t="str">
            <v>IS_alqt_plus</v>
          </cell>
          <cell r="K2608" t="str">
            <v>PCOQ</v>
          </cell>
          <cell r="M2608" t="str">
            <v>M</v>
          </cell>
          <cell r="AC2608">
            <v>0.5</v>
          </cell>
        </row>
        <row r="2609">
          <cell r="A2609" t="str">
            <v>IS_alqt_plus</v>
          </cell>
          <cell r="K2609" t="str">
            <v>PCOQ</v>
          </cell>
          <cell r="M2609" t="str">
            <v>M</v>
          </cell>
          <cell r="AC2609">
            <v>1</v>
          </cell>
        </row>
        <row r="2610">
          <cell r="A2610" t="str">
            <v>IS_alqt_plus</v>
          </cell>
          <cell r="K2610" t="str">
            <v>PCOQ</v>
          </cell>
          <cell r="M2610" t="str">
            <v>M</v>
          </cell>
          <cell r="AC2610">
            <v>0.5</v>
          </cell>
        </row>
        <row r="2611">
          <cell r="A2611" t="str">
            <v>IS_alqt_plus</v>
          </cell>
          <cell r="K2611" t="str">
            <v>PCOQ</v>
          </cell>
          <cell r="M2611" t="str">
            <v>M</v>
          </cell>
          <cell r="AC2611">
            <v>0.5</v>
          </cell>
        </row>
        <row r="2612">
          <cell r="A2612" t="str">
            <v>IS_alqt_plus</v>
          </cell>
          <cell r="K2612" t="str">
            <v>PCOQ</v>
          </cell>
          <cell r="M2612" t="str">
            <v>M</v>
          </cell>
          <cell r="AC2612">
            <v>0.5</v>
          </cell>
        </row>
        <row r="2613">
          <cell r="A2613" t="str">
            <v>IS_alqt_plus</v>
          </cell>
          <cell r="K2613" t="str">
            <v>PCOQ</v>
          </cell>
          <cell r="M2613" t="str">
            <v>M</v>
          </cell>
          <cell r="AC2613">
            <v>0.7</v>
          </cell>
        </row>
        <row r="2614">
          <cell r="A2614" t="str">
            <v>IS_alqt_plus</v>
          </cell>
          <cell r="K2614" t="str">
            <v>PCOQ</v>
          </cell>
          <cell r="M2614" t="str">
            <v>M</v>
          </cell>
          <cell r="AC2614">
            <v>0.5</v>
          </cell>
        </row>
        <row r="2615">
          <cell r="A2615" t="str">
            <v>IS_alqt_plus</v>
          </cell>
          <cell r="K2615" t="str">
            <v>PCOQ</v>
          </cell>
          <cell r="M2615" t="str">
            <v>M</v>
          </cell>
          <cell r="AC2615">
            <v>0.5</v>
          </cell>
        </row>
        <row r="2616">
          <cell r="A2616" t="str">
            <v>IS_alqt_plus</v>
          </cell>
          <cell r="K2616" t="str">
            <v>PCOQ</v>
          </cell>
          <cell r="M2616" t="str">
            <v>M</v>
          </cell>
          <cell r="AC2616">
            <v>0.5</v>
          </cell>
        </row>
        <row r="2617">
          <cell r="A2617" t="str">
            <v>IS_alqt_plus</v>
          </cell>
          <cell r="K2617" t="str">
            <v>PCOQ</v>
          </cell>
          <cell r="M2617" t="str">
            <v>M</v>
          </cell>
          <cell r="AC2617">
            <v>0.5</v>
          </cell>
        </row>
        <row r="2618">
          <cell r="A2618" t="str">
            <v>IS_alqt_plus</v>
          </cell>
          <cell r="K2618" t="str">
            <v>PCOQ</v>
          </cell>
          <cell r="M2618" t="str">
            <v>M</v>
          </cell>
          <cell r="AC2618">
            <v>0.5</v>
          </cell>
        </row>
        <row r="2619">
          <cell r="A2619" t="str">
            <v>IS_alqt_plus</v>
          </cell>
          <cell r="K2619" t="str">
            <v>PCOQ</v>
          </cell>
          <cell r="M2619" t="str">
            <v>M</v>
          </cell>
          <cell r="AC2619">
            <v>0.5</v>
          </cell>
        </row>
        <row r="2620">
          <cell r="A2620" t="str">
            <v>IS_alqt_plus</v>
          </cell>
          <cell r="K2620" t="str">
            <v>PCOQ</v>
          </cell>
          <cell r="M2620" t="str">
            <v>M</v>
          </cell>
          <cell r="AC2620">
            <v>0.5</v>
          </cell>
        </row>
        <row r="2621">
          <cell r="A2621" t="str">
            <v>IS_alqt_plus</v>
          </cell>
          <cell r="K2621" t="str">
            <v>PCOQ</v>
          </cell>
          <cell r="M2621" t="str">
            <v>M</v>
          </cell>
          <cell r="AC2621">
            <v>0.75</v>
          </cell>
        </row>
        <row r="2622">
          <cell r="A2622" t="str">
            <v>IS_alqt_plus</v>
          </cell>
          <cell r="K2622" t="str">
            <v>PCOQ</v>
          </cell>
          <cell r="M2622" t="str">
            <v>M</v>
          </cell>
          <cell r="AC2622">
            <v>1</v>
          </cell>
        </row>
        <row r="2623">
          <cell r="A2623" t="str">
            <v>IS_alqt_plus</v>
          </cell>
          <cell r="K2623" t="str">
            <v>PCOQ</v>
          </cell>
          <cell r="M2623" t="str">
            <v>M</v>
          </cell>
          <cell r="AC2623">
            <v>1</v>
          </cell>
        </row>
        <row r="2624">
          <cell r="A2624" t="str">
            <v>IS_alqt_plus</v>
          </cell>
          <cell r="K2624" t="str">
            <v>PCOQ</v>
          </cell>
          <cell r="M2624" t="str">
            <v>M</v>
          </cell>
          <cell r="AC2624">
            <v>1</v>
          </cell>
        </row>
        <row r="2625">
          <cell r="A2625" t="str">
            <v>IS_alqt_plus</v>
          </cell>
          <cell r="K2625" t="str">
            <v>EMON</v>
          </cell>
          <cell r="M2625" t="str">
            <v>M</v>
          </cell>
          <cell r="AC2625">
            <v>1.8</v>
          </cell>
        </row>
        <row r="2626">
          <cell r="A2626" t="str">
            <v>IS_alqt_plus</v>
          </cell>
          <cell r="K2626" t="str">
            <v>VRUB</v>
          </cell>
          <cell r="M2626" t="str">
            <v>M</v>
          </cell>
          <cell r="AC2626">
            <v>1</v>
          </cell>
        </row>
        <row r="2627">
          <cell r="A2627" t="str">
            <v>IS_alqt_minus</v>
          </cell>
          <cell r="K2627" t="str">
            <v>MMUR</v>
          </cell>
          <cell r="M2627" t="str">
            <v>F</v>
          </cell>
          <cell r="AC2627">
            <v>0.2</v>
          </cell>
        </row>
        <row r="2628">
          <cell r="A2628" t="str">
            <v>gone</v>
          </cell>
          <cell r="K2628" t="str">
            <v>MMUR</v>
          </cell>
          <cell r="M2628" t="str">
            <v>F</v>
          </cell>
          <cell r="AC2628">
            <v>0.25</v>
          </cell>
        </row>
        <row r="2629">
          <cell r="A2629" t="str">
            <v>IS_alqt_minus</v>
          </cell>
          <cell r="K2629" t="str">
            <v>MMUR</v>
          </cell>
          <cell r="M2629" t="str">
            <v>M</v>
          </cell>
          <cell r="AC2629">
            <v>0.25</v>
          </cell>
        </row>
        <row r="2630">
          <cell r="A2630" t="str">
            <v>IS_alqt_plus</v>
          </cell>
          <cell r="K2630" t="str">
            <v>MMUR</v>
          </cell>
          <cell r="M2630" t="str">
            <v>M</v>
          </cell>
          <cell r="AC2630">
            <v>1.5</v>
          </cell>
        </row>
        <row r="2631">
          <cell r="A2631" t="str">
            <v>IS_alqt_plus</v>
          </cell>
          <cell r="K2631" t="str">
            <v>MMUR</v>
          </cell>
          <cell r="M2631" t="str">
            <v>M</v>
          </cell>
          <cell r="AC2631">
            <v>1.3</v>
          </cell>
        </row>
        <row r="2632">
          <cell r="A2632" t="str">
            <v>IS_alqt_minus</v>
          </cell>
          <cell r="K2632" t="str">
            <v>MMUR</v>
          </cell>
          <cell r="M2632" t="str">
            <v>M</v>
          </cell>
          <cell r="AC2632">
            <v>0.1</v>
          </cell>
        </row>
        <row r="2633">
          <cell r="A2633" t="str">
            <v>IS_alqt_minus</v>
          </cell>
          <cell r="K2633" t="str">
            <v>MMUR</v>
          </cell>
          <cell r="M2633" t="str">
            <v>F</v>
          </cell>
          <cell r="AC2633">
            <v>0.2</v>
          </cell>
        </row>
        <row r="2634">
          <cell r="A2634" t="str">
            <v>IS_alqt_plus</v>
          </cell>
          <cell r="K2634" t="str">
            <v>MMUR</v>
          </cell>
          <cell r="M2634" t="str">
            <v>F</v>
          </cell>
          <cell r="AC2634">
            <v>0.5</v>
          </cell>
        </row>
        <row r="2635">
          <cell r="A2635" t="str">
            <v>IS_alqt_minus</v>
          </cell>
          <cell r="K2635" t="str">
            <v>MMUR</v>
          </cell>
          <cell r="M2635" t="str">
            <v>F</v>
          </cell>
          <cell r="AC2635">
            <v>0.2</v>
          </cell>
        </row>
        <row r="2636">
          <cell r="A2636" t="str">
            <v>IS_alqt_minus</v>
          </cell>
          <cell r="K2636" t="str">
            <v>MMUR</v>
          </cell>
          <cell r="M2636" t="str">
            <v>F</v>
          </cell>
          <cell r="AC2636">
            <v>0.3</v>
          </cell>
        </row>
        <row r="2637">
          <cell r="A2637" t="str">
            <v>IS_alqt_minus</v>
          </cell>
          <cell r="K2637" t="str">
            <v>MMUR</v>
          </cell>
          <cell r="M2637" t="str">
            <v>F</v>
          </cell>
          <cell r="AC2637">
            <v>0.1</v>
          </cell>
        </row>
        <row r="2638">
          <cell r="A2638" t="str">
            <v>IS_alqt_plus</v>
          </cell>
          <cell r="K2638" t="str">
            <v>VRUB</v>
          </cell>
          <cell r="M2638" t="str">
            <v>M</v>
          </cell>
          <cell r="AC2638">
            <v>1</v>
          </cell>
        </row>
        <row r="2639">
          <cell r="A2639" t="str">
            <v>IS_alqt_plus</v>
          </cell>
          <cell r="K2639" t="str">
            <v>VRUB</v>
          </cell>
          <cell r="M2639" t="str">
            <v>M</v>
          </cell>
          <cell r="AC2639">
            <v>1</v>
          </cell>
        </row>
        <row r="2640">
          <cell r="A2640" t="str">
            <v>IS_alqt_plus</v>
          </cell>
          <cell r="K2640" t="str">
            <v>MMUR</v>
          </cell>
          <cell r="M2640" t="str">
            <v>M</v>
          </cell>
          <cell r="AC2640">
            <v>0.5</v>
          </cell>
        </row>
        <row r="2641">
          <cell r="A2641" t="str">
            <v>IS_alqt_minus</v>
          </cell>
          <cell r="K2641" t="str">
            <v>MMUR</v>
          </cell>
          <cell r="M2641" t="str">
            <v>F</v>
          </cell>
          <cell r="AC2641">
            <v>0.4</v>
          </cell>
        </row>
        <row r="2642">
          <cell r="A2642" t="str">
            <v>IS_alqt_minus</v>
          </cell>
          <cell r="K2642" t="str">
            <v>MMUR</v>
          </cell>
          <cell r="M2642" t="str">
            <v>F</v>
          </cell>
          <cell r="AC2642">
            <v>0.45</v>
          </cell>
        </row>
        <row r="2643">
          <cell r="A2643" t="str">
            <v>IS_alqt_minus</v>
          </cell>
          <cell r="K2643" t="str">
            <v>MMUR</v>
          </cell>
          <cell r="M2643" t="str">
            <v>F</v>
          </cell>
          <cell r="AC2643">
            <v>0.2</v>
          </cell>
        </row>
        <row r="2644">
          <cell r="A2644" t="str">
            <v>IS_alqt_plus</v>
          </cell>
          <cell r="K2644" t="str">
            <v>PCOQ</v>
          </cell>
          <cell r="M2644" t="str">
            <v>M</v>
          </cell>
          <cell r="AC2644">
            <v>1</v>
          </cell>
        </row>
        <row r="2645">
          <cell r="A2645" t="str">
            <v>IS_alqt_plus</v>
          </cell>
          <cell r="K2645" t="str">
            <v>PCOQ</v>
          </cell>
          <cell r="M2645" t="str">
            <v>M</v>
          </cell>
          <cell r="AC2645">
            <v>1</v>
          </cell>
        </row>
        <row r="2646">
          <cell r="A2646" t="str">
            <v>IS_alqt_plus</v>
          </cell>
          <cell r="K2646" t="str">
            <v>PCOQ</v>
          </cell>
          <cell r="M2646" t="str">
            <v>M</v>
          </cell>
          <cell r="AC2646">
            <v>1</v>
          </cell>
        </row>
        <row r="2647">
          <cell r="A2647" t="str">
            <v>IS_alqt_plus</v>
          </cell>
          <cell r="K2647" t="str">
            <v>PCOQ</v>
          </cell>
          <cell r="M2647" t="str">
            <v>M</v>
          </cell>
          <cell r="AC2647">
            <v>1</v>
          </cell>
        </row>
        <row r="2648">
          <cell r="A2648" t="str">
            <v>IS_alqt_minus</v>
          </cell>
          <cell r="K2648" t="str">
            <v>VVV</v>
          </cell>
          <cell r="M2648" t="str">
            <v>M</v>
          </cell>
          <cell r="AC2648">
            <v>0.35</v>
          </cell>
        </row>
        <row r="2649">
          <cell r="A2649" t="str">
            <v>IS_alqt_plus</v>
          </cell>
          <cell r="K2649" t="str">
            <v>VRUB</v>
          </cell>
          <cell r="M2649" t="str">
            <v>M</v>
          </cell>
          <cell r="AC2649">
            <v>1.3</v>
          </cell>
        </row>
        <row r="2650">
          <cell r="A2650" t="str">
            <v>IS_alqt_plus</v>
          </cell>
          <cell r="K2650" t="str">
            <v>VRUB</v>
          </cell>
          <cell r="M2650" t="str">
            <v>M</v>
          </cell>
          <cell r="AC2650">
            <v>1.3</v>
          </cell>
        </row>
        <row r="2651">
          <cell r="A2651" t="str">
            <v>IS_alqt_minus</v>
          </cell>
          <cell r="K2651" t="str">
            <v>LCAT</v>
          </cell>
          <cell r="M2651" t="str">
            <v>F</v>
          </cell>
          <cell r="AC2651">
            <v>0.3</v>
          </cell>
        </row>
        <row r="2652">
          <cell r="A2652" t="str">
            <v>IS_alqt_plus</v>
          </cell>
          <cell r="K2652" t="str">
            <v>LCAT</v>
          </cell>
          <cell r="M2652" t="str">
            <v>F</v>
          </cell>
          <cell r="AC2652">
            <v>0.5</v>
          </cell>
        </row>
        <row r="2653">
          <cell r="A2653" t="str">
            <v>gone</v>
          </cell>
          <cell r="K2653" t="str">
            <v>LCAT</v>
          </cell>
          <cell r="M2653" t="str">
            <v>F</v>
          </cell>
          <cell r="AC2653">
            <v>0</v>
          </cell>
        </row>
        <row r="2654">
          <cell r="A2654" t="str">
            <v>IS_alqt_plus</v>
          </cell>
          <cell r="K2654" t="str">
            <v>LCAT</v>
          </cell>
          <cell r="M2654" t="str">
            <v>F</v>
          </cell>
          <cell r="AC2654">
            <v>1.2</v>
          </cell>
        </row>
        <row r="2655">
          <cell r="A2655" t="str">
            <v>IS_alqt_minus</v>
          </cell>
          <cell r="K2655" t="str">
            <v>MMUR</v>
          </cell>
          <cell r="M2655" t="str">
            <v>F</v>
          </cell>
          <cell r="AC2655">
            <v>0.2</v>
          </cell>
        </row>
        <row r="2656">
          <cell r="A2656" t="str">
            <v>gone</v>
          </cell>
          <cell r="K2656" t="str">
            <v>MMUR</v>
          </cell>
          <cell r="M2656" t="str">
            <v>F</v>
          </cell>
          <cell r="AC2656">
            <v>0.5</v>
          </cell>
        </row>
        <row r="2657">
          <cell r="A2657" t="str">
            <v>IS_alqt_plus</v>
          </cell>
          <cell r="K2657" t="str">
            <v>MMUR</v>
          </cell>
          <cell r="M2657" t="str">
            <v>F</v>
          </cell>
          <cell r="AC2657">
            <v>0.5</v>
          </cell>
        </row>
        <row r="2658">
          <cell r="A2658" t="str">
            <v>IS_alqt_plus</v>
          </cell>
          <cell r="K2658" t="str">
            <v>MMUR</v>
          </cell>
          <cell r="M2658" t="str">
            <v>F</v>
          </cell>
          <cell r="AC2658">
            <v>0.75</v>
          </cell>
        </row>
        <row r="2659">
          <cell r="A2659" t="str">
            <v>IS_alqt_plus</v>
          </cell>
          <cell r="K2659" t="str">
            <v>MMUR</v>
          </cell>
          <cell r="M2659" t="str">
            <v>F</v>
          </cell>
          <cell r="AC2659">
            <v>0.5</v>
          </cell>
        </row>
        <row r="2660">
          <cell r="A2660" t="str">
            <v>IS_alqt_minus</v>
          </cell>
          <cell r="K2660" t="str">
            <v>MMUR</v>
          </cell>
          <cell r="M2660" t="str">
            <v>F</v>
          </cell>
          <cell r="AC2660">
            <v>0.1</v>
          </cell>
        </row>
        <row r="2661">
          <cell r="A2661" t="str">
            <v>IS_alqt_minus</v>
          </cell>
          <cell r="K2661" t="str">
            <v>MMUR</v>
          </cell>
          <cell r="M2661" t="str">
            <v>F</v>
          </cell>
          <cell r="AC2661">
            <v>0.4</v>
          </cell>
        </row>
        <row r="2662">
          <cell r="A2662" t="str">
            <v>IS_alqt_plus</v>
          </cell>
          <cell r="K2662" t="str">
            <v>PCOQ</v>
          </cell>
          <cell r="M2662" t="str">
            <v>M</v>
          </cell>
          <cell r="AC2662">
            <v>1</v>
          </cell>
        </row>
        <row r="2663">
          <cell r="A2663" t="str">
            <v>IS_alqt_plus</v>
          </cell>
          <cell r="K2663" t="str">
            <v>PCOQ</v>
          </cell>
          <cell r="M2663" t="str">
            <v>M</v>
          </cell>
          <cell r="AC2663">
            <v>1</v>
          </cell>
        </row>
        <row r="2664">
          <cell r="A2664" t="str">
            <v>IS_alqt_plus</v>
          </cell>
          <cell r="K2664" t="str">
            <v>PCOQ</v>
          </cell>
          <cell r="M2664" t="str">
            <v>M</v>
          </cell>
          <cell r="AC2664">
            <v>1</v>
          </cell>
        </row>
        <row r="2665">
          <cell r="A2665" t="str">
            <v>IS_alqt_plus</v>
          </cell>
          <cell r="K2665" t="str">
            <v>PCOQ</v>
          </cell>
          <cell r="M2665" t="str">
            <v>M</v>
          </cell>
          <cell r="AC2665">
            <v>1</v>
          </cell>
        </row>
        <row r="2666">
          <cell r="A2666" t="str">
            <v>IS_alqt_plus</v>
          </cell>
          <cell r="K2666" t="str">
            <v>PCOQ</v>
          </cell>
          <cell r="M2666" t="str">
            <v>M</v>
          </cell>
          <cell r="AC2666">
            <v>1</v>
          </cell>
        </row>
        <row r="2667">
          <cell r="A2667" t="str">
            <v>IS_alqt_plus</v>
          </cell>
          <cell r="K2667" t="str">
            <v>PCOQ</v>
          </cell>
          <cell r="M2667" t="str">
            <v>M</v>
          </cell>
          <cell r="AC2667">
            <v>1</v>
          </cell>
        </row>
        <row r="2668">
          <cell r="A2668" t="str">
            <v>IS_alqt_minus</v>
          </cell>
          <cell r="K2668" t="str">
            <v>MMUR</v>
          </cell>
          <cell r="M2668" t="str">
            <v>F</v>
          </cell>
          <cell r="AC2668">
            <v>0.05</v>
          </cell>
        </row>
        <row r="2669">
          <cell r="A2669" t="str">
            <v>IS_alqt_plus</v>
          </cell>
          <cell r="K2669" t="str">
            <v>PCOQ</v>
          </cell>
          <cell r="M2669" t="str">
            <v>F</v>
          </cell>
          <cell r="AC2669">
            <v>0.75</v>
          </cell>
        </row>
        <row r="2670">
          <cell r="A2670" t="str">
            <v>IS_alqt_minus</v>
          </cell>
          <cell r="K2670" t="str">
            <v>MMUR</v>
          </cell>
          <cell r="M2670" t="str">
            <v>F</v>
          </cell>
          <cell r="AC2670">
            <v>0.1</v>
          </cell>
        </row>
        <row r="2671">
          <cell r="A2671" t="str">
            <v>IS_alqt_plus</v>
          </cell>
          <cell r="K2671" t="str">
            <v>PCOQ</v>
          </cell>
          <cell r="M2671" t="str">
            <v>F</v>
          </cell>
          <cell r="AC2671">
            <v>1</v>
          </cell>
        </row>
        <row r="2672">
          <cell r="A2672" t="str">
            <v>IS_alqt_plus</v>
          </cell>
          <cell r="K2672" t="str">
            <v>PCOQ</v>
          </cell>
          <cell r="M2672" t="str">
            <v>F</v>
          </cell>
          <cell r="AC2672">
            <v>1</v>
          </cell>
        </row>
        <row r="2673">
          <cell r="A2673" t="str">
            <v>IS_alqt_plus</v>
          </cell>
          <cell r="K2673" t="str">
            <v>PCOQ</v>
          </cell>
          <cell r="M2673" t="str">
            <v>F</v>
          </cell>
          <cell r="AC2673">
            <v>1</v>
          </cell>
        </row>
        <row r="2674">
          <cell r="A2674" t="str">
            <v>IS_alqt_plus</v>
          </cell>
          <cell r="K2674" t="str">
            <v>PCOQ</v>
          </cell>
          <cell r="M2674" t="str">
            <v>F</v>
          </cell>
          <cell r="AC2674">
            <v>1</v>
          </cell>
        </row>
        <row r="2675">
          <cell r="A2675" t="str">
            <v>IS_alqt_plus</v>
          </cell>
          <cell r="K2675" t="str">
            <v>PCOQ</v>
          </cell>
          <cell r="M2675" t="str">
            <v>M</v>
          </cell>
          <cell r="AC2675">
            <v>1</v>
          </cell>
        </row>
        <row r="2676">
          <cell r="A2676" t="str">
            <v>IS_alqt_plus</v>
          </cell>
          <cell r="K2676" t="str">
            <v>PCOQ</v>
          </cell>
          <cell r="M2676" t="str">
            <v>M</v>
          </cell>
          <cell r="AC2676">
            <v>1</v>
          </cell>
        </row>
        <row r="2677">
          <cell r="A2677" t="str">
            <v>IS_alqt_plus</v>
          </cell>
          <cell r="K2677" t="str">
            <v>PCOQ</v>
          </cell>
          <cell r="M2677" t="str">
            <v>M</v>
          </cell>
          <cell r="AC2677">
            <v>1</v>
          </cell>
        </row>
        <row r="2678">
          <cell r="A2678" t="str">
            <v>IS_alqt_plus</v>
          </cell>
          <cell r="K2678" t="str">
            <v>PCOQ</v>
          </cell>
          <cell r="M2678" t="str">
            <v>M</v>
          </cell>
          <cell r="AC2678">
            <v>1</v>
          </cell>
        </row>
        <row r="2679">
          <cell r="A2679" t="str">
            <v>IS_alqt_plus</v>
          </cell>
          <cell r="K2679" t="str">
            <v>PCOQ</v>
          </cell>
          <cell r="M2679" t="str">
            <v>M</v>
          </cell>
          <cell r="AC2679">
            <v>1</v>
          </cell>
        </row>
        <row r="2680">
          <cell r="A2680" t="str">
            <v>IS_alqt_plus</v>
          </cell>
          <cell r="K2680" t="str">
            <v>PCOQ</v>
          </cell>
          <cell r="M2680" t="str">
            <v>M</v>
          </cell>
          <cell r="AC2680">
            <v>1</v>
          </cell>
        </row>
        <row r="2681">
          <cell r="A2681" t="str">
            <v>IS_alqt_plus</v>
          </cell>
          <cell r="K2681" t="str">
            <v>PCOQ</v>
          </cell>
          <cell r="M2681" t="str">
            <v>M</v>
          </cell>
          <cell r="AC2681">
            <v>1</v>
          </cell>
        </row>
        <row r="2682">
          <cell r="A2682" t="str">
            <v>IS_alqt_plus</v>
          </cell>
          <cell r="K2682" t="str">
            <v>PCOQ</v>
          </cell>
          <cell r="M2682" t="str">
            <v>M</v>
          </cell>
          <cell r="AC2682">
            <v>1</v>
          </cell>
        </row>
        <row r="2683">
          <cell r="A2683" t="str">
            <v>IS_alqt_plus</v>
          </cell>
          <cell r="K2683" t="str">
            <v>PCOQ</v>
          </cell>
          <cell r="M2683" t="str">
            <v>M</v>
          </cell>
          <cell r="AC2683">
            <v>1</v>
          </cell>
        </row>
        <row r="2684">
          <cell r="A2684" t="str">
            <v>IS_alqt_plus</v>
          </cell>
          <cell r="K2684" t="str">
            <v>PCOQ</v>
          </cell>
          <cell r="M2684" t="str">
            <v>M</v>
          </cell>
          <cell r="AC2684">
            <v>1</v>
          </cell>
        </row>
        <row r="2685">
          <cell r="A2685" t="str">
            <v>IS_alqt_plus</v>
          </cell>
          <cell r="K2685" t="str">
            <v>PCOQ</v>
          </cell>
          <cell r="M2685" t="str">
            <v>M</v>
          </cell>
          <cell r="AC2685">
            <v>1</v>
          </cell>
        </row>
        <row r="2686">
          <cell r="A2686" t="str">
            <v>gone</v>
          </cell>
          <cell r="K2686" t="str">
            <v>PCOQ</v>
          </cell>
          <cell r="M2686" t="str">
            <v>M</v>
          </cell>
          <cell r="AC2686">
            <v>0</v>
          </cell>
        </row>
        <row r="2687">
          <cell r="A2687" t="str">
            <v>IS_alqt_plus</v>
          </cell>
          <cell r="K2687" t="str">
            <v>PCOQ</v>
          </cell>
          <cell r="M2687" t="str">
            <v>F</v>
          </cell>
          <cell r="AC2687">
            <v>0.5</v>
          </cell>
        </row>
        <row r="2688">
          <cell r="A2688" t="str">
            <v>IS_alqt_plus</v>
          </cell>
          <cell r="K2688" t="str">
            <v>PCOQ</v>
          </cell>
          <cell r="M2688" t="str">
            <v>F</v>
          </cell>
          <cell r="AC2688">
            <v>0.5</v>
          </cell>
        </row>
        <row r="2689">
          <cell r="A2689" t="str">
            <v>IS_alqt_plus</v>
          </cell>
          <cell r="K2689" t="str">
            <v>PCOQ</v>
          </cell>
          <cell r="M2689" t="str">
            <v>F</v>
          </cell>
          <cell r="AC2689">
            <v>0.5</v>
          </cell>
        </row>
        <row r="2690">
          <cell r="A2690" t="str">
            <v>IS_alqt_plus</v>
          </cell>
          <cell r="K2690" t="str">
            <v>PCOQ</v>
          </cell>
          <cell r="M2690" t="str">
            <v>F</v>
          </cell>
          <cell r="AC2690">
            <v>0.5</v>
          </cell>
        </row>
        <row r="2691">
          <cell r="A2691" t="str">
            <v>IS_alqt_plus</v>
          </cell>
          <cell r="K2691" t="str">
            <v>PCOQ</v>
          </cell>
          <cell r="M2691" t="str">
            <v>F</v>
          </cell>
          <cell r="AC2691">
            <v>0.5</v>
          </cell>
        </row>
        <row r="2692">
          <cell r="A2692" t="str">
            <v>IS_alqt_plus</v>
          </cell>
          <cell r="K2692" t="str">
            <v>PCOQ</v>
          </cell>
          <cell r="M2692" t="str">
            <v>F</v>
          </cell>
          <cell r="AC2692">
            <v>0.5</v>
          </cell>
        </row>
        <row r="2693">
          <cell r="A2693" t="str">
            <v>IS_alqt_plus</v>
          </cell>
          <cell r="K2693" t="str">
            <v>PCOQ</v>
          </cell>
          <cell r="M2693" t="str">
            <v>M</v>
          </cell>
          <cell r="AC2693">
            <v>0.5</v>
          </cell>
        </row>
        <row r="2694">
          <cell r="A2694" t="str">
            <v>IS_alqt_plus</v>
          </cell>
          <cell r="K2694" t="str">
            <v>PCOQ</v>
          </cell>
          <cell r="M2694" t="str">
            <v>M</v>
          </cell>
          <cell r="AC2694">
            <v>0.5</v>
          </cell>
        </row>
        <row r="2695">
          <cell r="A2695" t="str">
            <v>IS_alqt_plus</v>
          </cell>
          <cell r="K2695" t="str">
            <v>PCOQ</v>
          </cell>
          <cell r="M2695" t="str">
            <v>M</v>
          </cell>
          <cell r="AC2695">
            <v>0.5</v>
          </cell>
        </row>
        <row r="2696">
          <cell r="A2696" t="str">
            <v>IS_alqt_plus</v>
          </cell>
          <cell r="K2696" t="str">
            <v>PCOQ</v>
          </cell>
          <cell r="M2696" t="str">
            <v>M</v>
          </cell>
          <cell r="AC2696">
            <v>0.5</v>
          </cell>
        </row>
        <row r="2697">
          <cell r="A2697" t="str">
            <v>IS_alqt_plus</v>
          </cell>
          <cell r="K2697" t="str">
            <v>PCOQ</v>
          </cell>
          <cell r="M2697" t="str">
            <v>M</v>
          </cell>
          <cell r="AC2697">
            <v>0.5</v>
          </cell>
        </row>
        <row r="2698">
          <cell r="A2698" t="str">
            <v>IS_alqt_plus</v>
          </cell>
          <cell r="K2698" t="str">
            <v>PCOQ</v>
          </cell>
          <cell r="M2698" t="str">
            <v>M</v>
          </cell>
          <cell r="AC2698">
            <v>0.5</v>
          </cell>
        </row>
        <row r="2699">
          <cell r="A2699" t="str">
            <v>IS_alqt_plus</v>
          </cell>
          <cell r="K2699" t="str">
            <v>PCOQ</v>
          </cell>
          <cell r="M2699" t="str">
            <v>M</v>
          </cell>
          <cell r="AC2699">
            <v>0.5</v>
          </cell>
        </row>
        <row r="2700">
          <cell r="A2700" t="str">
            <v>IS_alqt_plus</v>
          </cell>
          <cell r="K2700" t="str">
            <v>PCOQ</v>
          </cell>
          <cell r="M2700" t="str">
            <v>M</v>
          </cell>
          <cell r="AC2700">
            <v>0.5</v>
          </cell>
        </row>
        <row r="2701">
          <cell r="A2701" t="str">
            <v>IS_alqt_plus</v>
          </cell>
          <cell r="K2701" t="str">
            <v>PCOQ</v>
          </cell>
          <cell r="M2701" t="str">
            <v>M</v>
          </cell>
          <cell r="AC2701">
            <v>0.5</v>
          </cell>
        </row>
        <row r="2702">
          <cell r="A2702" t="str">
            <v>IS_alqt_plus</v>
          </cell>
          <cell r="K2702" t="str">
            <v>PCOQ</v>
          </cell>
          <cell r="M2702" t="str">
            <v>M</v>
          </cell>
          <cell r="AC2702">
            <v>0.5</v>
          </cell>
        </row>
        <row r="2703">
          <cell r="A2703" t="str">
            <v>IS_alqt_plus</v>
          </cell>
          <cell r="K2703" t="str">
            <v>PCOQ</v>
          </cell>
          <cell r="M2703" t="str">
            <v>M</v>
          </cell>
          <cell r="AC2703">
            <v>0.5</v>
          </cell>
        </row>
        <row r="2704">
          <cell r="A2704" t="str">
            <v>IS_alqt_plus</v>
          </cell>
          <cell r="K2704" t="str">
            <v>PCOQ</v>
          </cell>
          <cell r="M2704" t="str">
            <v>M</v>
          </cell>
          <cell r="AC2704">
            <v>0.5</v>
          </cell>
        </row>
        <row r="2705">
          <cell r="A2705" t="str">
            <v>IS_alqt_plus</v>
          </cell>
          <cell r="K2705" t="str">
            <v>PCOQ</v>
          </cell>
          <cell r="M2705" t="str">
            <v>M</v>
          </cell>
          <cell r="AC2705">
            <v>1</v>
          </cell>
        </row>
        <row r="2706">
          <cell r="A2706" t="str">
            <v>IS_alqt_plus</v>
          </cell>
          <cell r="K2706" t="str">
            <v>PCOQ</v>
          </cell>
          <cell r="M2706" t="str">
            <v>M</v>
          </cell>
          <cell r="AC2706">
            <v>1</v>
          </cell>
        </row>
        <row r="2707">
          <cell r="A2707" t="str">
            <v>IS_alqt_plus</v>
          </cell>
          <cell r="K2707" t="str">
            <v>PCOQ</v>
          </cell>
          <cell r="M2707" t="str">
            <v>M</v>
          </cell>
          <cell r="AC2707">
            <v>1</v>
          </cell>
        </row>
        <row r="2708">
          <cell r="A2708" t="str">
            <v>IS_alqt_plus</v>
          </cell>
          <cell r="K2708" t="str">
            <v>PCOQ</v>
          </cell>
          <cell r="M2708" t="str">
            <v>M</v>
          </cell>
          <cell r="AC2708">
            <v>1</v>
          </cell>
        </row>
        <row r="2709">
          <cell r="A2709" t="str">
            <v>IS_alqt_plus</v>
          </cell>
          <cell r="K2709" t="str">
            <v>PCOQ</v>
          </cell>
          <cell r="M2709" t="str">
            <v>M</v>
          </cell>
          <cell r="AC2709">
            <v>1</v>
          </cell>
        </row>
        <row r="2710">
          <cell r="A2710" t="str">
            <v>IS_alqt_plus</v>
          </cell>
          <cell r="K2710" t="str">
            <v>PCOQ</v>
          </cell>
          <cell r="M2710" t="str">
            <v>M</v>
          </cell>
          <cell r="AC2710">
            <v>1</v>
          </cell>
        </row>
        <row r="2711">
          <cell r="A2711" t="str">
            <v>IS_alqt_plus</v>
          </cell>
          <cell r="K2711" t="str">
            <v>PCOQ</v>
          </cell>
          <cell r="M2711" t="str">
            <v>M</v>
          </cell>
          <cell r="AC2711">
            <v>1</v>
          </cell>
        </row>
        <row r="2712">
          <cell r="A2712" t="str">
            <v>IS_alqt_plus</v>
          </cell>
          <cell r="K2712" t="str">
            <v>PCOQ</v>
          </cell>
          <cell r="M2712" t="str">
            <v>M</v>
          </cell>
          <cell r="AC2712">
            <v>1</v>
          </cell>
        </row>
        <row r="2713">
          <cell r="A2713" t="str">
            <v>IS_alqt_plus</v>
          </cell>
          <cell r="K2713" t="str">
            <v>PCOQ</v>
          </cell>
          <cell r="M2713" t="str">
            <v>M</v>
          </cell>
          <cell r="AC2713">
            <v>1</v>
          </cell>
        </row>
        <row r="2714">
          <cell r="A2714" t="str">
            <v>IS_alqt_plus</v>
          </cell>
          <cell r="K2714" t="str">
            <v>PCOQ</v>
          </cell>
          <cell r="M2714" t="str">
            <v>M</v>
          </cell>
          <cell r="AC2714">
            <v>1</v>
          </cell>
        </row>
        <row r="2715">
          <cell r="A2715" t="str">
            <v>IS_alqt_plus</v>
          </cell>
          <cell r="K2715" t="str">
            <v>PCOQ</v>
          </cell>
          <cell r="M2715" t="str">
            <v>M</v>
          </cell>
          <cell r="AC2715">
            <v>1</v>
          </cell>
        </row>
        <row r="2716">
          <cell r="A2716" t="str">
            <v>IS_alqt_plus</v>
          </cell>
          <cell r="K2716" t="str">
            <v>PCOQ</v>
          </cell>
          <cell r="M2716" t="str">
            <v>M</v>
          </cell>
          <cell r="AC2716">
            <v>1</v>
          </cell>
        </row>
        <row r="2717">
          <cell r="A2717" t="str">
            <v>gone</v>
          </cell>
          <cell r="K2717" t="str">
            <v>PCOQ</v>
          </cell>
          <cell r="M2717" t="str">
            <v>M</v>
          </cell>
          <cell r="AC2717">
            <v>0</v>
          </cell>
        </row>
        <row r="2718">
          <cell r="A2718" t="str">
            <v>unk</v>
          </cell>
          <cell r="K2718" t="str">
            <v>PCOQ</v>
          </cell>
          <cell r="M2718" t="str">
            <v>M</v>
          </cell>
          <cell r="AC2718">
            <v>0.2</v>
          </cell>
        </row>
        <row r="2719">
          <cell r="A2719" t="str">
            <v>IS_alqt_plus</v>
          </cell>
          <cell r="K2719" t="str">
            <v>PCOQ</v>
          </cell>
          <cell r="M2719" t="str">
            <v>F</v>
          </cell>
          <cell r="AC2719">
            <v>1</v>
          </cell>
        </row>
        <row r="2720">
          <cell r="A2720" t="str">
            <v>IS_alqt_plus</v>
          </cell>
          <cell r="K2720" t="str">
            <v>PCOQ</v>
          </cell>
          <cell r="M2720" t="str">
            <v>F</v>
          </cell>
          <cell r="AC2720">
            <v>1</v>
          </cell>
        </row>
        <row r="2721">
          <cell r="A2721" t="str">
            <v>IS_alqt_plus</v>
          </cell>
          <cell r="K2721" t="str">
            <v>PCOQ</v>
          </cell>
          <cell r="M2721" t="str">
            <v>F</v>
          </cell>
          <cell r="AC2721">
            <v>1</v>
          </cell>
        </row>
        <row r="2722">
          <cell r="A2722" t="str">
            <v>IS_alqt_plus</v>
          </cell>
          <cell r="K2722" t="str">
            <v>PCOQ</v>
          </cell>
          <cell r="M2722" t="str">
            <v>F</v>
          </cell>
          <cell r="AC2722">
            <v>1</v>
          </cell>
        </row>
        <row r="2723">
          <cell r="A2723" t="str">
            <v>IS_alqt_plus</v>
          </cell>
          <cell r="K2723" t="str">
            <v>PCOQ</v>
          </cell>
          <cell r="M2723" t="str">
            <v>F</v>
          </cell>
          <cell r="AC2723">
            <v>1</v>
          </cell>
        </row>
        <row r="2724">
          <cell r="A2724" t="str">
            <v>IS_alqt_plus</v>
          </cell>
          <cell r="K2724" t="str">
            <v>PCOQ</v>
          </cell>
          <cell r="M2724" t="str">
            <v>F</v>
          </cell>
          <cell r="AC2724">
            <v>1</v>
          </cell>
        </row>
        <row r="2725">
          <cell r="A2725" t="str">
            <v>IS_alqt_plus</v>
          </cell>
          <cell r="K2725" t="str">
            <v>PCOQ</v>
          </cell>
          <cell r="M2725" t="str">
            <v>F</v>
          </cell>
          <cell r="AC2725">
            <v>1</v>
          </cell>
        </row>
        <row r="2726">
          <cell r="A2726" t="str">
            <v>IS_alqt_plus</v>
          </cell>
          <cell r="K2726" t="str">
            <v>PCOQ</v>
          </cell>
          <cell r="M2726" t="str">
            <v>F</v>
          </cell>
          <cell r="AC2726">
            <v>1</v>
          </cell>
        </row>
        <row r="2727">
          <cell r="A2727" t="str">
            <v>IS_alqt_plus</v>
          </cell>
          <cell r="K2727" t="str">
            <v>PCOQ</v>
          </cell>
          <cell r="M2727" t="str">
            <v>F</v>
          </cell>
          <cell r="AC2727">
            <v>1</v>
          </cell>
        </row>
        <row r="2728">
          <cell r="A2728" t="str">
            <v>IS_alqt_plus</v>
          </cell>
          <cell r="K2728" t="str">
            <v>PCOQ</v>
          </cell>
          <cell r="M2728" t="str">
            <v>F</v>
          </cell>
          <cell r="AC2728">
            <v>1</v>
          </cell>
        </row>
        <row r="2729">
          <cell r="A2729" t="str">
            <v>IS_alqt_plus</v>
          </cell>
          <cell r="K2729" t="str">
            <v>PCOQ</v>
          </cell>
          <cell r="M2729" t="str">
            <v>F</v>
          </cell>
          <cell r="AC2729">
            <v>1</v>
          </cell>
        </row>
        <row r="2730">
          <cell r="A2730" t="str">
            <v>IS_alqt_plus</v>
          </cell>
          <cell r="K2730" t="str">
            <v>PCOQ</v>
          </cell>
          <cell r="M2730" t="str">
            <v>F</v>
          </cell>
          <cell r="AC2730">
            <v>1</v>
          </cell>
        </row>
        <row r="2731">
          <cell r="A2731" t="str">
            <v>IS_alqt_plus</v>
          </cell>
          <cell r="K2731" t="str">
            <v>PCOQ</v>
          </cell>
          <cell r="M2731" t="str">
            <v>F</v>
          </cell>
          <cell r="AC2731">
            <v>1</v>
          </cell>
        </row>
        <row r="2732">
          <cell r="A2732" t="str">
            <v>IS_alqt_plus</v>
          </cell>
          <cell r="K2732" t="str">
            <v>PCOQ</v>
          </cell>
          <cell r="M2732" t="str">
            <v>F</v>
          </cell>
          <cell r="AC2732">
            <v>1</v>
          </cell>
        </row>
        <row r="2733">
          <cell r="A2733" t="str">
            <v>IS_alqt_plus</v>
          </cell>
          <cell r="K2733" t="str">
            <v>PCOQ</v>
          </cell>
          <cell r="M2733" t="str">
            <v>F</v>
          </cell>
          <cell r="AC2733">
            <v>1</v>
          </cell>
        </row>
        <row r="2734">
          <cell r="A2734" t="str">
            <v>IS_alqt_plus</v>
          </cell>
          <cell r="K2734" t="str">
            <v>PCOQ</v>
          </cell>
          <cell r="M2734" t="str">
            <v>F</v>
          </cell>
          <cell r="AC2734">
            <v>1</v>
          </cell>
        </row>
        <row r="2735">
          <cell r="A2735" t="str">
            <v>IS_alqt_plus</v>
          </cell>
          <cell r="K2735" t="str">
            <v>PCOQ</v>
          </cell>
          <cell r="M2735" t="str">
            <v>F</v>
          </cell>
          <cell r="AC2735">
            <v>1</v>
          </cell>
        </row>
        <row r="2736">
          <cell r="A2736" t="str">
            <v>IS_alqt_plus</v>
          </cell>
          <cell r="K2736" t="str">
            <v>PCOQ</v>
          </cell>
          <cell r="M2736" t="str">
            <v>F</v>
          </cell>
          <cell r="AC2736">
            <v>1</v>
          </cell>
        </row>
        <row r="2737">
          <cell r="A2737" t="str">
            <v>IS_alqt_plus</v>
          </cell>
          <cell r="K2737" t="str">
            <v>PCOQ</v>
          </cell>
          <cell r="M2737" t="str">
            <v>F</v>
          </cell>
          <cell r="AC2737">
            <v>1</v>
          </cell>
        </row>
        <row r="2738">
          <cell r="A2738" t="str">
            <v>IS_alqt_plus</v>
          </cell>
          <cell r="K2738" t="str">
            <v>PCOQ</v>
          </cell>
          <cell r="M2738" t="str">
            <v>F</v>
          </cell>
          <cell r="AC2738">
            <v>1</v>
          </cell>
        </row>
        <row r="2739">
          <cell r="A2739" t="str">
            <v>IS_alqt_plus</v>
          </cell>
          <cell r="K2739" t="str">
            <v>PCOQ</v>
          </cell>
          <cell r="M2739" t="str">
            <v>F</v>
          </cell>
          <cell r="AC2739">
            <v>1</v>
          </cell>
        </row>
        <row r="2740">
          <cell r="A2740" t="str">
            <v>IS_alqt_plus</v>
          </cell>
          <cell r="K2740" t="str">
            <v>PCOQ</v>
          </cell>
          <cell r="M2740" t="str">
            <v>F</v>
          </cell>
          <cell r="AC2740">
            <v>1</v>
          </cell>
        </row>
        <row r="2741">
          <cell r="A2741" t="str">
            <v>IS_alqt_plus</v>
          </cell>
          <cell r="K2741" t="str">
            <v>PCOQ</v>
          </cell>
          <cell r="M2741" t="str">
            <v>F</v>
          </cell>
          <cell r="AC2741">
            <v>1</v>
          </cell>
        </row>
        <row r="2742">
          <cell r="A2742" t="str">
            <v>IS_alqt_plus</v>
          </cell>
          <cell r="K2742" t="str">
            <v>PCOQ</v>
          </cell>
          <cell r="M2742" t="str">
            <v>F</v>
          </cell>
          <cell r="AC2742">
            <v>1</v>
          </cell>
        </row>
        <row r="2743">
          <cell r="A2743" t="str">
            <v>IS_alqt_plus</v>
          </cell>
          <cell r="K2743" t="str">
            <v>PCOQ</v>
          </cell>
          <cell r="M2743" t="str">
            <v>F</v>
          </cell>
          <cell r="AC2743">
            <v>1</v>
          </cell>
        </row>
        <row r="2744">
          <cell r="A2744" t="str">
            <v>gone</v>
          </cell>
          <cell r="K2744" t="str">
            <v>PCOQ</v>
          </cell>
          <cell r="M2744" t="str">
            <v>F</v>
          </cell>
          <cell r="AC2744">
            <v>0</v>
          </cell>
        </row>
        <row r="2745">
          <cell r="A2745" t="str">
            <v>IS_alqt_plus</v>
          </cell>
          <cell r="K2745" t="str">
            <v>PCOQ</v>
          </cell>
          <cell r="M2745" t="str">
            <v>M</v>
          </cell>
          <cell r="AC2745">
            <v>0.5</v>
          </cell>
        </row>
        <row r="2746">
          <cell r="A2746" t="str">
            <v>IS_alqt_plus</v>
          </cell>
          <cell r="K2746" t="str">
            <v>PCOQ</v>
          </cell>
          <cell r="M2746" t="str">
            <v>M</v>
          </cell>
          <cell r="AC2746">
            <v>1</v>
          </cell>
        </row>
        <row r="2747">
          <cell r="A2747" t="str">
            <v>IS_alqt_plus</v>
          </cell>
          <cell r="K2747" t="str">
            <v>PCOQ</v>
          </cell>
          <cell r="M2747" t="str">
            <v>M</v>
          </cell>
          <cell r="AC2747">
            <v>0.5</v>
          </cell>
        </row>
        <row r="2748">
          <cell r="A2748" t="str">
            <v>IS_alqt_plus</v>
          </cell>
          <cell r="K2748" t="str">
            <v>PCOQ</v>
          </cell>
          <cell r="M2748" t="str">
            <v>M</v>
          </cell>
          <cell r="AC2748">
            <v>1</v>
          </cell>
        </row>
        <row r="2749">
          <cell r="A2749" t="str">
            <v>IS_alqt_plus</v>
          </cell>
          <cell r="K2749" t="str">
            <v>PCOQ</v>
          </cell>
          <cell r="M2749" t="str">
            <v>M</v>
          </cell>
          <cell r="AC2749">
            <v>0.5</v>
          </cell>
        </row>
        <row r="2750">
          <cell r="A2750" t="str">
            <v>IS_alqt_plus</v>
          </cell>
          <cell r="K2750" t="str">
            <v>PCOQ</v>
          </cell>
          <cell r="M2750" t="str">
            <v>M</v>
          </cell>
          <cell r="AC2750">
            <v>1</v>
          </cell>
        </row>
        <row r="2751">
          <cell r="A2751" t="str">
            <v>IS_alqt_plus</v>
          </cell>
          <cell r="K2751" t="str">
            <v>PCOQ</v>
          </cell>
          <cell r="M2751" t="str">
            <v>M</v>
          </cell>
          <cell r="AC2751">
            <v>0.5</v>
          </cell>
        </row>
        <row r="2752">
          <cell r="A2752" t="str">
            <v>IS_alqt_plus</v>
          </cell>
          <cell r="K2752" t="str">
            <v>PCOQ</v>
          </cell>
          <cell r="M2752" t="str">
            <v>M</v>
          </cell>
          <cell r="AC2752">
            <v>1</v>
          </cell>
        </row>
        <row r="2753">
          <cell r="A2753" t="str">
            <v>IS_alqt_plus</v>
          </cell>
          <cell r="K2753" t="str">
            <v>PCOQ</v>
          </cell>
          <cell r="M2753" t="str">
            <v>M</v>
          </cell>
          <cell r="AC2753">
            <v>1</v>
          </cell>
        </row>
        <row r="2754">
          <cell r="A2754" t="str">
            <v>IS_alqt_plus</v>
          </cell>
          <cell r="K2754" t="str">
            <v>PCOQ</v>
          </cell>
          <cell r="M2754" t="str">
            <v>M</v>
          </cell>
          <cell r="AC2754">
            <v>1</v>
          </cell>
        </row>
        <row r="2755">
          <cell r="A2755" t="str">
            <v>IS_alqt_plus</v>
          </cell>
          <cell r="K2755" t="str">
            <v>PCOQ</v>
          </cell>
          <cell r="M2755" t="str">
            <v>M</v>
          </cell>
          <cell r="AC2755">
            <v>1</v>
          </cell>
        </row>
        <row r="2756">
          <cell r="A2756" t="str">
            <v>IS_alqt_plus</v>
          </cell>
          <cell r="K2756" t="str">
            <v>PCOQ</v>
          </cell>
          <cell r="M2756" t="str">
            <v>M</v>
          </cell>
          <cell r="AC2756">
            <v>1</v>
          </cell>
        </row>
        <row r="2757">
          <cell r="A2757" t="str">
            <v>IS_alqt_plus</v>
          </cell>
          <cell r="K2757" t="str">
            <v>PCOQ</v>
          </cell>
          <cell r="M2757" t="str">
            <v>M</v>
          </cell>
          <cell r="AC2757">
            <v>1</v>
          </cell>
        </row>
        <row r="2758">
          <cell r="A2758" t="str">
            <v>IS_alqt_plus</v>
          </cell>
          <cell r="K2758" t="str">
            <v>PCOQ</v>
          </cell>
          <cell r="M2758" t="str">
            <v>M</v>
          </cell>
          <cell r="AC2758">
            <v>0.5</v>
          </cell>
        </row>
        <row r="2759">
          <cell r="A2759" t="str">
            <v>IS_alqt_plus</v>
          </cell>
          <cell r="K2759" t="str">
            <v>PCOQ</v>
          </cell>
          <cell r="M2759" t="str">
            <v>M</v>
          </cell>
          <cell r="AC2759">
            <v>0.75</v>
          </cell>
        </row>
        <row r="2760">
          <cell r="A2760" t="str">
            <v>IS_alqt_plus</v>
          </cell>
          <cell r="K2760" t="str">
            <v>PCOQ</v>
          </cell>
          <cell r="M2760" t="str">
            <v>M</v>
          </cell>
          <cell r="AC2760">
            <v>1</v>
          </cell>
        </row>
        <row r="2761">
          <cell r="A2761" t="str">
            <v>IS_alqt_plus</v>
          </cell>
          <cell r="K2761" t="str">
            <v>PCOQ</v>
          </cell>
          <cell r="M2761" t="str">
            <v>M</v>
          </cell>
          <cell r="AC2761">
            <v>1</v>
          </cell>
        </row>
        <row r="2762">
          <cell r="A2762" t="str">
            <v>IS_alqt_plus</v>
          </cell>
          <cell r="K2762" t="str">
            <v>PCOQ</v>
          </cell>
          <cell r="M2762" t="str">
            <v>M</v>
          </cell>
          <cell r="AC2762">
            <v>1</v>
          </cell>
        </row>
        <row r="2763">
          <cell r="A2763" t="str">
            <v>IS_alqt_plus</v>
          </cell>
          <cell r="K2763" t="str">
            <v>PCOQ</v>
          </cell>
          <cell r="M2763" t="str">
            <v>M</v>
          </cell>
          <cell r="AC2763">
            <v>1</v>
          </cell>
        </row>
        <row r="2764">
          <cell r="A2764" t="str">
            <v>IS_alqt_plus</v>
          </cell>
          <cell r="K2764" t="str">
            <v>PCOQ</v>
          </cell>
          <cell r="M2764" t="str">
            <v>M</v>
          </cell>
          <cell r="AC2764">
            <v>1</v>
          </cell>
        </row>
        <row r="2765">
          <cell r="A2765" t="str">
            <v>IS_alqt_plus</v>
          </cell>
          <cell r="K2765" t="str">
            <v>PCOQ</v>
          </cell>
          <cell r="M2765" t="str">
            <v>F</v>
          </cell>
          <cell r="AC2765">
            <v>0.5</v>
          </cell>
        </row>
        <row r="2766">
          <cell r="A2766" t="str">
            <v>IS_alqt_plus</v>
          </cell>
          <cell r="K2766" t="str">
            <v>PCOQ</v>
          </cell>
          <cell r="M2766" t="str">
            <v>F</v>
          </cell>
          <cell r="AC2766">
            <v>1</v>
          </cell>
        </row>
        <row r="2767">
          <cell r="A2767" t="str">
            <v>unk</v>
          </cell>
          <cell r="K2767" t="str">
            <v>PCOQ</v>
          </cell>
          <cell r="M2767" t="str">
            <v>F</v>
          </cell>
          <cell r="AC2767">
            <v>1</v>
          </cell>
        </row>
        <row r="2768">
          <cell r="A2768" t="str">
            <v>IS_alqt_plus</v>
          </cell>
          <cell r="K2768" t="str">
            <v>PCOQ</v>
          </cell>
          <cell r="M2768" t="str">
            <v>M</v>
          </cell>
          <cell r="AC2768">
            <v>0.5</v>
          </cell>
        </row>
        <row r="2769">
          <cell r="A2769" t="str">
            <v>IS_alqt_plus</v>
          </cell>
          <cell r="K2769" t="str">
            <v>PCOQ</v>
          </cell>
          <cell r="M2769" t="str">
            <v>M</v>
          </cell>
          <cell r="AC2769">
            <v>1</v>
          </cell>
        </row>
        <row r="2770">
          <cell r="A2770" t="str">
            <v>IS_alqt_plus</v>
          </cell>
          <cell r="K2770" t="str">
            <v>PCOQ</v>
          </cell>
          <cell r="M2770" t="str">
            <v>M</v>
          </cell>
          <cell r="AC2770">
            <v>1</v>
          </cell>
        </row>
        <row r="2771">
          <cell r="A2771" t="str">
            <v>IS_alqt_plus</v>
          </cell>
          <cell r="K2771" t="str">
            <v>PCOQ</v>
          </cell>
          <cell r="M2771" t="str">
            <v>M</v>
          </cell>
          <cell r="AC2771">
            <v>1</v>
          </cell>
        </row>
        <row r="2772">
          <cell r="A2772" t="str">
            <v>IS_alqt_plus</v>
          </cell>
          <cell r="K2772" t="str">
            <v>PCOQ</v>
          </cell>
          <cell r="M2772" t="str">
            <v>M</v>
          </cell>
          <cell r="AC2772">
            <v>1</v>
          </cell>
        </row>
        <row r="2773">
          <cell r="A2773" t="str">
            <v>IS_alqt_plus</v>
          </cell>
          <cell r="K2773" t="str">
            <v>PCOQ</v>
          </cell>
          <cell r="M2773" t="str">
            <v>M</v>
          </cell>
          <cell r="AC2773">
            <v>1</v>
          </cell>
        </row>
        <row r="2774">
          <cell r="A2774" t="str">
            <v>IS_alqt_plus</v>
          </cell>
          <cell r="K2774" t="str">
            <v>PCOQ</v>
          </cell>
          <cell r="M2774" t="str">
            <v>M</v>
          </cell>
          <cell r="AC2774">
            <v>1</v>
          </cell>
        </row>
        <row r="2775">
          <cell r="A2775" t="str">
            <v>IS_alqt_plus</v>
          </cell>
          <cell r="K2775" t="str">
            <v>PCOQ</v>
          </cell>
          <cell r="M2775" t="str">
            <v>M</v>
          </cell>
          <cell r="AC2775">
            <v>1</v>
          </cell>
        </row>
        <row r="2776">
          <cell r="A2776" t="str">
            <v>IS_alqt_plus</v>
          </cell>
          <cell r="K2776" t="str">
            <v>PCOQ</v>
          </cell>
          <cell r="M2776" t="str">
            <v>M</v>
          </cell>
          <cell r="AC2776">
            <v>1</v>
          </cell>
        </row>
        <row r="2777">
          <cell r="A2777" t="str">
            <v>IS_alqt_plus</v>
          </cell>
          <cell r="K2777" t="str">
            <v>PCOQ</v>
          </cell>
          <cell r="M2777" t="str">
            <v>M</v>
          </cell>
          <cell r="AC2777">
            <v>1</v>
          </cell>
        </row>
        <row r="2778">
          <cell r="A2778" t="str">
            <v>IS_alqt_plus</v>
          </cell>
          <cell r="K2778" t="str">
            <v>PCOQ</v>
          </cell>
          <cell r="M2778" t="str">
            <v>M</v>
          </cell>
          <cell r="AC2778">
            <v>1</v>
          </cell>
        </row>
        <row r="2779">
          <cell r="A2779" t="str">
            <v>IS_alqt_plus</v>
          </cell>
          <cell r="K2779" t="str">
            <v>PCOQ</v>
          </cell>
          <cell r="M2779" t="str">
            <v>M</v>
          </cell>
          <cell r="AC2779">
            <v>1</v>
          </cell>
        </row>
        <row r="2780">
          <cell r="A2780" t="str">
            <v>IS_alqt_plus</v>
          </cell>
          <cell r="K2780" t="str">
            <v>PCOQ</v>
          </cell>
          <cell r="M2780" t="str">
            <v>M</v>
          </cell>
          <cell r="AC2780">
            <v>1</v>
          </cell>
        </row>
        <row r="2781">
          <cell r="A2781" t="str">
            <v>IS_alqt_plus</v>
          </cell>
          <cell r="K2781" t="str">
            <v>PCOQ</v>
          </cell>
          <cell r="M2781" t="str">
            <v>M</v>
          </cell>
          <cell r="AC2781">
            <v>1</v>
          </cell>
        </row>
        <row r="2782">
          <cell r="A2782" t="str">
            <v>IS_alqt_plus</v>
          </cell>
          <cell r="K2782" t="str">
            <v>PCOQ</v>
          </cell>
          <cell r="M2782" t="str">
            <v>M</v>
          </cell>
          <cell r="AC2782">
            <v>1</v>
          </cell>
        </row>
        <row r="2783">
          <cell r="A2783" t="str">
            <v>IS_alqt_plus</v>
          </cell>
          <cell r="K2783" t="str">
            <v>PCOQ</v>
          </cell>
          <cell r="M2783" t="str">
            <v>M</v>
          </cell>
          <cell r="AC2783">
            <v>1</v>
          </cell>
        </row>
        <row r="2784">
          <cell r="A2784" t="str">
            <v>IS_alqt_plus</v>
          </cell>
          <cell r="K2784" t="str">
            <v>PCOQ</v>
          </cell>
          <cell r="M2784" t="str">
            <v>M</v>
          </cell>
          <cell r="AC2784">
            <v>1</v>
          </cell>
        </row>
        <row r="2785">
          <cell r="A2785" t="str">
            <v>IS_alqt_plus</v>
          </cell>
          <cell r="K2785" t="str">
            <v>PCOQ</v>
          </cell>
          <cell r="M2785" t="str">
            <v>M</v>
          </cell>
          <cell r="AC2785">
            <v>1</v>
          </cell>
        </row>
        <row r="2786">
          <cell r="A2786" t="str">
            <v>IS_alqt_plus</v>
          </cell>
          <cell r="K2786" t="str">
            <v>PCOQ</v>
          </cell>
          <cell r="M2786" t="str">
            <v>M</v>
          </cell>
          <cell r="AC2786">
            <v>1</v>
          </cell>
        </row>
        <row r="2787">
          <cell r="A2787" t="str">
            <v>IS_alqt_plus</v>
          </cell>
          <cell r="K2787" t="str">
            <v>PCOQ</v>
          </cell>
          <cell r="M2787" t="str">
            <v>M</v>
          </cell>
          <cell r="AC2787">
            <v>1</v>
          </cell>
        </row>
        <row r="2788">
          <cell r="A2788" t="str">
            <v>gone</v>
          </cell>
          <cell r="K2788" t="str">
            <v>PCOQ</v>
          </cell>
          <cell r="M2788" t="str">
            <v>M</v>
          </cell>
          <cell r="AC2788">
            <v>0</v>
          </cell>
        </row>
        <row r="2789">
          <cell r="A2789" t="str">
            <v>IS_alqt_plus</v>
          </cell>
          <cell r="K2789" t="str">
            <v>PCOQ</v>
          </cell>
          <cell r="M2789" t="str">
            <v>F</v>
          </cell>
          <cell r="AC2789">
            <v>1</v>
          </cell>
        </row>
        <row r="2790">
          <cell r="A2790" t="str">
            <v>IS_alqt_plus</v>
          </cell>
          <cell r="K2790" t="str">
            <v>PCOQ</v>
          </cell>
          <cell r="M2790" t="str">
            <v>F</v>
          </cell>
          <cell r="AC2790">
            <v>1</v>
          </cell>
        </row>
        <row r="2791">
          <cell r="A2791" t="str">
            <v>IS_alqt_plus</v>
          </cell>
          <cell r="K2791" t="str">
            <v>PCOQ</v>
          </cell>
          <cell r="M2791" t="str">
            <v>F</v>
          </cell>
          <cell r="AC2791">
            <v>1</v>
          </cell>
        </row>
        <row r="2792">
          <cell r="A2792" t="str">
            <v>IS_alqt_plus</v>
          </cell>
          <cell r="K2792" t="str">
            <v>PCOQ</v>
          </cell>
          <cell r="M2792" t="str">
            <v>F</v>
          </cell>
          <cell r="AC2792">
            <v>1</v>
          </cell>
        </row>
        <row r="2793">
          <cell r="A2793" t="str">
            <v>IS_alqt_plus</v>
          </cell>
          <cell r="K2793" t="str">
            <v>PCOQ</v>
          </cell>
          <cell r="M2793" t="str">
            <v>F</v>
          </cell>
          <cell r="AC2793">
            <v>1</v>
          </cell>
        </row>
        <row r="2794">
          <cell r="A2794" t="str">
            <v>IS_alqt_plus</v>
          </cell>
          <cell r="K2794" t="str">
            <v>PCOQ</v>
          </cell>
          <cell r="M2794" t="str">
            <v>F</v>
          </cell>
          <cell r="AC2794">
            <v>1</v>
          </cell>
        </row>
        <row r="2795">
          <cell r="A2795" t="str">
            <v>IS_alqt_plus</v>
          </cell>
          <cell r="K2795" t="str">
            <v>PCOQ</v>
          </cell>
          <cell r="M2795" t="str">
            <v>F</v>
          </cell>
          <cell r="AC2795">
            <v>1</v>
          </cell>
        </row>
        <row r="2796">
          <cell r="A2796" t="str">
            <v>IS_alqt_plus</v>
          </cell>
          <cell r="K2796" t="str">
            <v>PCOQ</v>
          </cell>
          <cell r="M2796" t="str">
            <v>F</v>
          </cell>
          <cell r="AC2796">
            <v>1</v>
          </cell>
        </row>
        <row r="2797">
          <cell r="A2797" t="str">
            <v>IS_alqt_plus</v>
          </cell>
          <cell r="K2797" t="str">
            <v>PCOQ</v>
          </cell>
          <cell r="M2797" t="str">
            <v>F</v>
          </cell>
          <cell r="AC2797">
            <v>1</v>
          </cell>
        </row>
        <row r="2798">
          <cell r="A2798" t="str">
            <v>IS_alqt_plus</v>
          </cell>
          <cell r="K2798" t="str">
            <v>PCOQ</v>
          </cell>
          <cell r="M2798" t="str">
            <v>F</v>
          </cell>
          <cell r="AC2798">
            <v>1</v>
          </cell>
        </row>
        <row r="2799">
          <cell r="A2799" t="str">
            <v>IS_alqt_plus</v>
          </cell>
          <cell r="K2799" t="str">
            <v>PCOQ</v>
          </cell>
          <cell r="M2799" t="str">
            <v>M</v>
          </cell>
          <cell r="AC2799">
            <v>1</v>
          </cell>
        </row>
        <row r="2800">
          <cell r="A2800" t="str">
            <v>IS_alqt_plus</v>
          </cell>
          <cell r="K2800" t="str">
            <v>PCOQ</v>
          </cell>
          <cell r="M2800" t="str">
            <v>M</v>
          </cell>
          <cell r="AC2800">
            <v>1</v>
          </cell>
        </row>
        <row r="2801">
          <cell r="A2801" t="str">
            <v>IS_alqt_plus</v>
          </cell>
          <cell r="K2801" t="str">
            <v>PCOQ</v>
          </cell>
          <cell r="M2801" t="str">
            <v>M</v>
          </cell>
          <cell r="AC2801">
            <v>1</v>
          </cell>
        </row>
        <row r="2802">
          <cell r="A2802" t="str">
            <v>IS_alqt_plus</v>
          </cell>
          <cell r="K2802" t="str">
            <v>PCOQ</v>
          </cell>
          <cell r="M2802" t="str">
            <v>M</v>
          </cell>
          <cell r="AC2802">
            <v>1</v>
          </cell>
        </row>
        <row r="2803">
          <cell r="A2803" t="str">
            <v>IS_alqt_plus</v>
          </cell>
          <cell r="K2803" t="str">
            <v>PCOQ</v>
          </cell>
          <cell r="M2803" t="str">
            <v>M</v>
          </cell>
          <cell r="AC2803">
            <v>1</v>
          </cell>
        </row>
        <row r="2804">
          <cell r="A2804" t="str">
            <v>IS_alqt_plus</v>
          </cell>
          <cell r="K2804" t="str">
            <v>PCOQ</v>
          </cell>
          <cell r="M2804" t="str">
            <v>M</v>
          </cell>
          <cell r="AC2804">
            <v>1</v>
          </cell>
        </row>
        <row r="2805">
          <cell r="A2805" t="str">
            <v>IS_alqt_plus</v>
          </cell>
          <cell r="K2805" t="str">
            <v>PCOQ</v>
          </cell>
          <cell r="M2805" t="str">
            <v>M</v>
          </cell>
          <cell r="AC2805">
            <v>1</v>
          </cell>
        </row>
        <row r="2806">
          <cell r="A2806" t="str">
            <v>IS_alqt_plus</v>
          </cell>
          <cell r="K2806" t="str">
            <v>PCOQ</v>
          </cell>
          <cell r="M2806" t="str">
            <v>M</v>
          </cell>
          <cell r="AC2806">
            <v>1</v>
          </cell>
        </row>
        <row r="2807">
          <cell r="A2807" t="str">
            <v>IS_alqt_plus</v>
          </cell>
          <cell r="K2807" t="str">
            <v>PCOQ</v>
          </cell>
          <cell r="M2807" t="str">
            <v>M</v>
          </cell>
          <cell r="AC2807">
            <v>1</v>
          </cell>
        </row>
        <row r="2808">
          <cell r="A2808" t="str">
            <v>IS_alqt_plus</v>
          </cell>
          <cell r="K2808" t="str">
            <v>PCOQ</v>
          </cell>
          <cell r="M2808" t="str">
            <v>M</v>
          </cell>
          <cell r="AC2808">
            <v>1</v>
          </cell>
        </row>
        <row r="2809">
          <cell r="A2809" t="str">
            <v>IS_alqt_plus</v>
          </cell>
          <cell r="K2809" t="str">
            <v>PCOQ</v>
          </cell>
          <cell r="M2809" t="str">
            <v>M</v>
          </cell>
          <cell r="AC2809">
            <v>1</v>
          </cell>
        </row>
        <row r="2810">
          <cell r="A2810" t="str">
            <v>unk</v>
          </cell>
          <cell r="K2810" t="str">
            <v>PCOQ</v>
          </cell>
          <cell r="M2810" t="str">
            <v>M</v>
          </cell>
          <cell r="AC2810">
            <v>2</v>
          </cell>
        </row>
        <row r="2811">
          <cell r="A2811" t="str">
            <v>unk</v>
          </cell>
          <cell r="K2811" t="str">
            <v>PCOQ</v>
          </cell>
          <cell r="M2811" t="str">
            <v>F</v>
          </cell>
          <cell r="AC2811">
            <v>3</v>
          </cell>
        </row>
        <row r="2812">
          <cell r="A2812" t="str">
            <v>IS_alqt_plus</v>
          </cell>
          <cell r="K2812" t="str">
            <v>LCAT</v>
          </cell>
          <cell r="M2812" t="str">
            <v>F</v>
          </cell>
          <cell r="AC2812">
            <v>1.5</v>
          </cell>
        </row>
        <row r="2813">
          <cell r="A2813" t="str">
            <v>IS_alqt_plus</v>
          </cell>
          <cell r="K2813" t="str">
            <v>PCOQ</v>
          </cell>
          <cell r="M2813" t="str">
            <v>F</v>
          </cell>
          <cell r="AC2813">
            <v>1</v>
          </cell>
        </row>
        <row r="2814">
          <cell r="A2814" t="str">
            <v>IS_alqt_plus</v>
          </cell>
          <cell r="K2814" t="str">
            <v>PCOQ</v>
          </cell>
          <cell r="M2814" t="str">
            <v>F</v>
          </cell>
          <cell r="AC2814">
            <v>1</v>
          </cell>
        </row>
        <row r="2815">
          <cell r="A2815" t="str">
            <v>IS_alqt_plus</v>
          </cell>
          <cell r="K2815" t="str">
            <v>PCOQ</v>
          </cell>
          <cell r="M2815" t="str">
            <v>F</v>
          </cell>
          <cell r="AC2815">
            <v>1</v>
          </cell>
        </row>
        <row r="2816">
          <cell r="A2816" t="str">
            <v>IS_alqt_plus</v>
          </cell>
          <cell r="K2816" t="str">
            <v>PCOQ</v>
          </cell>
          <cell r="M2816" t="str">
            <v>F</v>
          </cell>
          <cell r="AC2816">
            <v>1</v>
          </cell>
        </row>
        <row r="2817">
          <cell r="A2817" t="str">
            <v>IS_alqt_plus</v>
          </cell>
          <cell r="K2817" t="str">
            <v>PCOQ</v>
          </cell>
          <cell r="M2817" t="str">
            <v>F</v>
          </cell>
          <cell r="AC2817">
            <v>1</v>
          </cell>
        </row>
        <row r="2818">
          <cell r="A2818" t="str">
            <v>IS_alqt_plus</v>
          </cell>
          <cell r="K2818" t="str">
            <v>PCOQ</v>
          </cell>
          <cell r="M2818" t="str">
            <v>F</v>
          </cell>
          <cell r="AC2818">
            <v>1</v>
          </cell>
        </row>
        <row r="2819">
          <cell r="A2819" t="str">
            <v>IS_alqt_plus</v>
          </cell>
          <cell r="K2819" t="str">
            <v>PCOQ</v>
          </cell>
          <cell r="M2819" t="str">
            <v>M</v>
          </cell>
          <cell r="AC2819">
            <v>1</v>
          </cell>
        </row>
        <row r="2820">
          <cell r="A2820" t="str">
            <v>IS_alqt_plus</v>
          </cell>
          <cell r="K2820" t="str">
            <v>PCOQ</v>
          </cell>
          <cell r="M2820" t="str">
            <v>M</v>
          </cell>
          <cell r="AC2820">
            <v>1</v>
          </cell>
        </row>
        <row r="2821">
          <cell r="A2821" t="str">
            <v>IS_alqt_plus</v>
          </cell>
          <cell r="K2821" t="str">
            <v>PCOQ</v>
          </cell>
          <cell r="M2821" t="str">
            <v>M</v>
          </cell>
          <cell r="AC2821">
            <v>1</v>
          </cell>
        </row>
        <row r="2822">
          <cell r="A2822" t="str">
            <v>IS_alqt_plus</v>
          </cell>
          <cell r="K2822" t="str">
            <v>PCOQ</v>
          </cell>
          <cell r="M2822" t="str">
            <v>M</v>
          </cell>
          <cell r="AC2822">
            <v>1</v>
          </cell>
        </row>
        <row r="2823">
          <cell r="A2823" t="str">
            <v>IS_alqt_plus</v>
          </cell>
          <cell r="K2823" t="str">
            <v>PCOQ</v>
          </cell>
          <cell r="M2823" t="str">
            <v>M</v>
          </cell>
          <cell r="AC2823">
            <v>1</v>
          </cell>
        </row>
        <row r="2824">
          <cell r="A2824" t="str">
            <v>IS_alqt_plus</v>
          </cell>
          <cell r="K2824" t="str">
            <v>PCOQ</v>
          </cell>
          <cell r="M2824" t="str">
            <v>M</v>
          </cell>
          <cell r="AC2824">
            <v>1</v>
          </cell>
        </row>
        <row r="2825">
          <cell r="A2825" t="str">
            <v>IS_alqt_plus</v>
          </cell>
          <cell r="K2825" t="str">
            <v>PCOQ</v>
          </cell>
          <cell r="M2825" t="str">
            <v>F</v>
          </cell>
          <cell r="AC2825">
            <v>1</v>
          </cell>
        </row>
        <row r="2826">
          <cell r="A2826" t="str">
            <v>IS_alqt_plus</v>
          </cell>
          <cell r="K2826" t="str">
            <v>PCOQ</v>
          </cell>
          <cell r="M2826" t="str">
            <v>F</v>
          </cell>
          <cell r="AC2826">
            <v>1</v>
          </cell>
        </row>
        <row r="2827">
          <cell r="A2827" t="str">
            <v>IS_alqt_plus</v>
          </cell>
          <cell r="K2827" t="str">
            <v>PCOQ</v>
          </cell>
          <cell r="M2827" t="str">
            <v>F</v>
          </cell>
          <cell r="AC2827">
            <v>1</v>
          </cell>
        </row>
        <row r="2828">
          <cell r="A2828" t="str">
            <v>IS_alqt_plus</v>
          </cell>
          <cell r="K2828" t="str">
            <v>PCOQ</v>
          </cell>
          <cell r="M2828" t="str">
            <v>F</v>
          </cell>
          <cell r="AC2828">
            <v>1</v>
          </cell>
        </row>
        <row r="2829">
          <cell r="A2829" t="str">
            <v>IS_alqt_plus</v>
          </cell>
          <cell r="K2829" t="str">
            <v>PCOQ</v>
          </cell>
          <cell r="M2829" t="str">
            <v>F</v>
          </cell>
          <cell r="AC2829">
            <v>1</v>
          </cell>
        </row>
        <row r="2830">
          <cell r="A2830" t="str">
            <v>IS_alqt_plus</v>
          </cell>
          <cell r="K2830" t="str">
            <v>PCOQ</v>
          </cell>
          <cell r="M2830" t="str">
            <v>F</v>
          </cell>
          <cell r="AC2830">
            <v>1</v>
          </cell>
        </row>
        <row r="2831">
          <cell r="A2831" t="str">
            <v>IS_alqt_plus</v>
          </cell>
          <cell r="K2831" t="str">
            <v>PCOQ</v>
          </cell>
          <cell r="M2831" t="str">
            <v>F</v>
          </cell>
          <cell r="AC2831">
            <v>1</v>
          </cell>
        </row>
        <row r="2832">
          <cell r="A2832" t="str">
            <v>IS_alqt_plus</v>
          </cell>
          <cell r="K2832" t="str">
            <v>PCOQ</v>
          </cell>
          <cell r="M2832" t="str">
            <v>F</v>
          </cell>
          <cell r="AC2832">
            <v>1</v>
          </cell>
        </row>
        <row r="2833">
          <cell r="A2833" t="str">
            <v>IS_alqt_plus</v>
          </cell>
          <cell r="K2833" t="str">
            <v>PCOQ</v>
          </cell>
          <cell r="M2833" t="str">
            <v>F</v>
          </cell>
          <cell r="AC2833">
            <v>1</v>
          </cell>
        </row>
        <row r="2834">
          <cell r="A2834" t="str">
            <v>IS_alqt_plus</v>
          </cell>
          <cell r="K2834" t="str">
            <v>PCOQ</v>
          </cell>
          <cell r="M2834" t="str">
            <v>F</v>
          </cell>
          <cell r="AC2834">
            <v>0.5</v>
          </cell>
        </row>
        <row r="2835">
          <cell r="A2835" t="str">
            <v>IS_alqt_plus</v>
          </cell>
          <cell r="K2835" t="str">
            <v>PCOQ</v>
          </cell>
          <cell r="M2835" t="str">
            <v>F</v>
          </cell>
          <cell r="AC2835">
            <v>0.5</v>
          </cell>
        </row>
        <row r="2836">
          <cell r="A2836" t="str">
            <v>IS_alqt_plus</v>
          </cell>
          <cell r="K2836" t="str">
            <v>PCOQ</v>
          </cell>
          <cell r="M2836" t="str">
            <v>F</v>
          </cell>
          <cell r="AC2836">
            <v>0.5</v>
          </cell>
        </row>
        <row r="2837">
          <cell r="A2837" t="str">
            <v>IS_alqt_plus</v>
          </cell>
          <cell r="K2837" t="str">
            <v>PCOQ</v>
          </cell>
          <cell r="M2837" t="str">
            <v>F</v>
          </cell>
          <cell r="AC2837">
            <v>0.5</v>
          </cell>
        </row>
        <row r="2838">
          <cell r="A2838" t="str">
            <v>IS_alqt_plus</v>
          </cell>
          <cell r="K2838" t="str">
            <v>PCOQ</v>
          </cell>
          <cell r="M2838" t="str">
            <v>F</v>
          </cell>
          <cell r="AC2838">
            <v>0.5</v>
          </cell>
        </row>
        <row r="2839">
          <cell r="A2839" t="str">
            <v>IS_alqt_plus</v>
          </cell>
          <cell r="K2839" t="str">
            <v>PCOQ</v>
          </cell>
          <cell r="M2839" t="str">
            <v>M</v>
          </cell>
          <cell r="AC2839">
            <v>0.5</v>
          </cell>
        </row>
        <row r="2840">
          <cell r="A2840" t="str">
            <v>IS_alqt_plus</v>
          </cell>
          <cell r="K2840" t="str">
            <v>PCOQ</v>
          </cell>
          <cell r="M2840" t="str">
            <v>M</v>
          </cell>
          <cell r="AC2840">
            <v>0.5</v>
          </cell>
        </row>
        <row r="2841">
          <cell r="A2841" t="str">
            <v>IS_alqt_plus</v>
          </cell>
          <cell r="K2841" t="str">
            <v>PCOQ</v>
          </cell>
          <cell r="M2841" t="str">
            <v>M</v>
          </cell>
          <cell r="AC2841">
            <v>0.5</v>
          </cell>
        </row>
        <row r="2842">
          <cell r="A2842" t="str">
            <v>IS_alqt_plus</v>
          </cell>
          <cell r="K2842" t="str">
            <v>PCOQ</v>
          </cell>
          <cell r="M2842" t="str">
            <v>M</v>
          </cell>
          <cell r="AC2842">
            <v>0.5</v>
          </cell>
        </row>
        <row r="2843">
          <cell r="A2843" t="str">
            <v>IS_alqt_plus</v>
          </cell>
          <cell r="K2843" t="str">
            <v>PCOQ</v>
          </cell>
          <cell r="M2843" t="str">
            <v>M</v>
          </cell>
          <cell r="AC2843">
            <v>1</v>
          </cell>
        </row>
        <row r="2844">
          <cell r="A2844" t="str">
            <v>IS_alqt_plus</v>
          </cell>
          <cell r="K2844" t="str">
            <v>PCOQ</v>
          </cell>
          <cell r="M2844" t="str">
            <v>M</v>
          </cell>
          <cell r="AC2844">
            <v>1</v>
          </cell>
        </row>
        <row r="2845">
          <cell r="A2845" t="str">
            <v>IS_alqt_plus</v>
          </cell>
          <cell r="K2845" t="str">
            <v>PCOQ</v>
          </cell>
          <cell r="M2845" t="str">
            <v>M</v>
          </cell>
          <cell r="AC2845">
            <v>1</v>
          </cell>
        </row>
        <row r="2846">
          <cell r="A2846" t="str">
            <v>IS_alqt_plus</v>
          </cell>
          <cell r="K2846" t="str">
            <v>PCOQ</v>
          </cell>
          <cell r="M2846" t="str">
            <v>M</v>
          </cell>
          <cell r="AC2846">
            <v>1</v>
          </cell>
        </row>
        <row r="2847">
          <cell r="A2847" t="str">
            <v>IS_alqt_plus</v>
          </cell>
          <cell r="K2847" t="str">
            <v>PCOQ</v>
          </cell>
          <cell r="M2847" t="str">
            <v>M</v>
          </cell>
          <cell r="AC2847">
            <v>1</v>
          </cell>
        </row>
        <row r="2848">
          <cell r="A2848" t="str">
            <v>IS_alqt_plus</v>
          </cell>
          <cell r="K2848" t="str">
            <v>PCOQ</v>
          </cell>
          <cell r="M2848" t="str">
            <v>M</v>
          </cell>
          <cell r="AC2848">
            <v>1</v>
          </cell>
        </row>
        <row r="2849">
          <cell r="A2849" t="str">
            <v>IS_alqt_plus</v>
          </cell>
          <cell r="K2849" t="str">
            <v>PCOQ</v>
          </cell>
          <cell r="M2849" t="str">
            <v>M</v>
          </cell>
          <cell r="AC2849">
            <v>1</v>
          </cell>
        </row>
        <row r="2850">
          <cell r="A2850" t="str">
            <v>IS_alqt_plus</v>
          </cell>
          <cell r="K2850" t="str">
            <v>PCOQ</v>
          </cell>
          <cell r="M2850" t="str">
            <v>M</v>
          </cell>
          <cell r="AC2850">
            <v>1</v>
          </cell>
        </row>
        <row r="2851">
          <cell r="A2851" t="str">
            <v>IS_alqt_plus</v>
          </cell>
          <cell r="K2851" t="str">
            <v>PCOQ</v>
          </cell>
          <cell r="M2851" t="str">
            <v>M</v>
          </cell>
          <cell r="AC2851">
            <v>1</v>
          </cell>
        </row>
        <row r="2852">
          <cell r="A2852" t="str">
            <v>IS_alqt_plus</v>
          </cell>
          <cell r="K2852" t="str">
            <v>PCOQ</v>
          </cell>
          <cell r="M2852" t="str">
            <v>M</v>
          </cell>
          <cell r="AC2852">
            <v>1</v>
          </cell>
        </row>
        <row r="2853">
          <cell r="A2853" t="str">
            <v>IS_alqt_plus</v>
          </cell>
          <cell r="K2853" t="str">
            <v>PCOQ</v>
          </cell>
          <cell r="M2853" t="str">
            <v>M</v>
          </cell>
          <cell r="AC2853">
            <v>1</v>
          </cell>
        </row>
        <row r="2854">
          <cell r="A2854" t="str">
            <v>IS_alqt_plus</v>
          </cell>
          <cell r="K2854" t="str">
            <v>PCOQ</v>
          </cell>
          <cell r="M2854" t="str">
            <v>M</v>
          </cell>
          <cell r="AC2854">
            <v>0.5</v>
          </cell>
        </row>
        <row r="2855">
          <cell r="A2855" t="str">
            <v>IS_alqt_plus</v>
          </cell>
          <cell r="K2855" t="str">
            <v>PCOQ</v>
          </cell>
          <cell r="M2855" t="str">
            <v>F</v>
          </cell>
          <cell r="AC2855">
            <v>1</v>
          </cell>
        </row>
        <row r="2856">
          <cell r="A2856" t="str">
            <v>IS_alqt_plus</v>
          </cell>
          <cell r="K2856" t="str">
            <v>PCOQ</v>
          </cell>
          <cell r="M2856" t="str">
            <v>F</v>
          </cell>
          <cell r="AC2856">
            <v>1</v>
          </cell>
        </row>
        <row r="2857">
          <cell r="A2857" t="str">
            <v>IS_alqt_plus</v>
          </cell>
          <cell r="K2857" t="str">
            <v>PCOQ</v>
          </cell>
          <cell r="M2857" t="str">
            <v>F</v>
          </cell>
          <cell r="AC2857">
            <v>1</v>
          </cell>
        </row>
        <row r="2858">
          <cell r="A2858" t="str">
            <v>IS_alqt_plus</v>
          </cell>
          <cell r="K2858" t="str">
            <v>PCOQ</v>
          </cell>
          <cell r="M2858" t="str">
            <v>F</v>
          </cell>
          <cell r="AC2858">
            <v>1</v>
          </cell>
        </row>
        <row r="2859">
          <cell r="A2859" t="str">
            <v>IS_alqt_plus</v>
          </cell>
          <cell r="K2859" t="str">
            <v>PCOQ</v>
          </cell>
          <cell r="M2859" t="str">
            <v>F</v>
          </cell>
          <cell r="AC2859">
            <v>1</v>
          </cell>
        </row>
        <row r="2860">
          <cell r="A2860" t="str">
            <v>IS_alqt_plus</v>
          </cell>
          <cell r="K2860" t="str">
            <v>PCOQ</v>
          </cell>
          <cell r="M2860" t="str">
            <v>F</v>
          </cell>
          <cell r="AC2860">
            <v>1</v>
          </cell>
        </row>
        <row r="2861">
          <cell r="A2861" t="str">
            <v>IS_alqt_plus</v>
          </cell>
          <cell r="K2861" t="str">
            <v>PCOQ</v>
          </cell>
          <cell r="M2861" t="str">
            <v>F</v>
          </cell>
          <cell r="AC2861">
            <v>1</v>
          </cell>
        </row>
        <row r="2862">
          <cell r="A2862" t="str">
            <v>IS_alqt_plus</v>
          </cell>
          <cell r="K2862" t="str">
            <v>PCOQ</v>
          </cell>
          <cell r="M2862" t="str">
            <v>F</v>
          </cell>
          <cell r="AC2862">
            <v>1</v>
          </cell>
        </row>
        <row r="2863">
          <cell r="A2863" t="str">
            <v>IS_alqt_plus</v>
          </cell>
          <cell r="K2863" t="str">
            <v>PCOQ</v>
          </cell>
          <cell r="M2863" t="str">
            <v>F</v>
          </cell>
          <cell r="AC2863">
            <v>1</v>
          </cell>
        </row>
        <row r="2864">
          <cell r="A2864" t="str">
            <v>IS_alqt_plus</v>
          </cell>
          <cell r="K2864" t="str">
            <v>PCOQ</v>
          </cell>
          <cell r="M2864" t="str">
            <v>F</v>
          </cell>
          <cell r="AC2864">
            <v>1</v>
          </cell>
        </row>
        <row r="2865">
          <cell r="A2865" t="str">
            <v>IS_alqt_plus</v>
          </cell>
          <cell r="K2865" t="str">
            <v>PCOQ</v>
          </cell>
          <cell r="M2865" t="str">
            <v>F</v>
          </cell>
          <cell r="AC2865">
            <v>1</v>
          </cell>
        </row>
        <row r="2866">
          <cell r="A2866" t="str">
            <v>IS_alqt_plus</v>
          </cell>
          <cell r="K2866" t="str">
            <v>PCOQ</v>
          </cell>
          <cell r="M2866" t="str">
            <v>F</v>
          </cell>
          <cell r="AC2866">
            <v>1</v>
          </cell>
        </row>
        <row r="2867">
          <cell r="A2867" t="str">
            <v>IS_alqt_plus</v>
          </cell>
          <cell r="K2867" t="str">
            <v>PCOQ</v>
          </cell>
          <cell r="M2867" t="str">
            <v>F</v>
          </cell>
          <cell r="AC2867">
            <v>1</v>
          </cell>
        </row>
        <row r="2868">
          <cell r="A2868" t="str">
            <v>IS_alqt_plus</v>
          </cell>
          <cell r="K2868" t="str">
            <v>PCOQ</v>
          </cell>
          <cell r="M2868" t="str">
            <v>F</v>
          </cell>
          <cell r="AC2868">
            <v>1</v>
          </cell>
        </row>
        <row r="2869">
          <cell r="A2869" t="str">
            <v>IS_alqt_plus</v>
          </cell>
          <cell r="K2869" t="str">
            <v>PCOQ</v>
          </cell>
          <cell r="M2869" t="str">
            <v>F</v>
          </cell>
          <cell r="AC2869">
            <v>0.5</v>
          </cell>
        </row>
        <row r="2870">
          <cell r="A2870" t="str">
            <v>IS_alqt_plus</v>
          </cell>
          <cell r="K2870" t="str">
            <v>PCOQ</v>
          </cell>
          <cell r="M2870" t="str">
            <v>F</v>
          </cell>
          <cell r="AC2870">
            <v>0.5</v>
          </cell>
        </row>
        <row r="2871">
          <cell r="A2871" t="str">
            <v>IS_alqt_plus</v>
          </cell>
          <cell r="K2871" t="str">
            <v>PCOQ</v>
          </cell>
          <cell r="M2871" t="str">
            <v>F</v>
          </cell>
          <cell r="AC2871">
            <v>0.5</v>
          </cell>
        </row>
        <row r="2872">
          <cell r="A2872" t="str">
            <v>IS_alqt_plus</v>
          </cell>
          <cell r="K2872" t="str">
            <v>PCOQ</v>
          </cell>
          <cell r="M2872" t="str">
            <v>F</v>
          </cell>
          <cell r="AC2872">
            <v>0.5</v>
          </cell>
        </row>
        <row r="2873">
          <cell r="A2873" t="str">
            <v>IS_alqt_plus</v>
          </cell>
          <cell r="K2873" t="str">
            <v>PCOQ</v>
          </cell>
          <cell r="M2873" t="str">
            <v>F</v>
          </cell>
          <cell r="AC2873">
            <v>0.5</v>
          </cell>
        </row>
        <row r="2874">
          <cell r="A2874" t="str">
            <v>IS_alqt_plus</v>
          </cell>
          <cell r="K2874" t="str">
            <v>PCOQ</v>
          </cell>
          <cell r="M2874" t="str">
            <v>F</v>
          </cell>
          <cell r="AC2874">
            <v>0.5</v>
          </cell>
        </row>
        <row r="2875">
          <cell r="A2875" t="str">
            <v>IS_alqt_plus</v>
          </cell>
          <cell r="K2875" t="str">
            <v>PCOQ</v>
          </cell>
          <cell r="M2875" t="str">
            <v>F</v>
          </cell>
          <cell r="AC2875">
            <v>0.5</v>
          </cell>
        </row>
        <row r="2876">
          <cell r="A2876" t="str">
            <v>IS_alqt_plus</v>
          </cell>
          <cell r="K2876" t="str">
            <v>PCOQ</v>
          </cell>
          <cell r="M2876" t="str">
            <v>F</v>
          </cell>
          <cell r="AC2876">
            <v>0.5</v>
          </cell>
        </row>
        <row r="2877">
          <cell r="A2877" t="str">
            <v>IS_alqt_plus</v>
          </cell>
          <cell r="K2877" t="str">
            <v>PCOQ</v>
          </cell>
          <cell r="M2877" t="str">
            <v>F</v>
          </cell>
          <cell r="AC2877">
            <v>0.5</v>
          </cell>
        </row>
        <row r="2878">
          <cell r="A2878" t="str">
            <v>IS_alqt_plus</v>
          </cell>
          <cell r="K2878" t="str">
            <v>PCOQ</v>
          </cell>
          <cell r="M2878" t="str">
            <v>F</v>
          </cell>
          <cell r="AC2878">
            <v>0.5</v>
          </cell>
        </row>
        <row r="2879">
          <cell r="A2879" t="str">
            <v>IS_alqt_plus</v>
          </cell>
          <cell r="K2879" t="str">
            <v>PCOQ</v>
          </cell>
          <cell r="M2879" t="str">
            <v>F</v>
          </cell>
          <cell r="AC2879">
            <v>0.5</v>
          </cell>
        </row>
        <row r="2880">
          <cell r="A2880" t="str">
            <v>IS_alqt_plus</v>
          </cell>
          <cell r="K2880" t="str">
            <v>PCOQ</v>
          </cell>
          <cell r="M2880" t="str">
            <v>M</v>
          </cell>
          <cell r="AC2880">
            <v>0.5</v>
          </cell>
        </row>
        <row r="2881">
          <cell r="A2881" t="str">
            <v>IS_alqt_plus</v>
          </cell>
          <cell r="K2881" t="str">
            <v>PCOQ</v>
          </cell>
          <cell r="M2881" t="str">
            <v>M</v>
          </cell>
          <cell r="AC2881">
            <v>0.5</v>
          </cell>
        </row>
        <row r="2882">
          <cell r="A2882" t="str">
            <v>IS_alqt_plus</v>
          </cell>
          <cell r="K2882" t="str">
            <v>PCOQ</v>
          </cell>
          <cell r="M2882" t="str">
            <v>M</v>
          </cell>
          <cell r="AC2882">
            <v>0.5</v>
          </cell>
        </row>
        <row r="2883">
          <cell r="A2883" t="str">
            <v>IS_alqt_plus</v>
          </cell>
          <cell r="K2883" t="str">
            <v>PCOQ</v>
          </cell>
          <cell r="M2883" t="str">
            <v>M</v>
          </cell>
          <cell r="AC2883">
            <v>0.5</v>
          </cell>
        </row>
        <row r="2884">
          <cell r="A2884" t="str">
            <v>IS_alqt_plus</v>
          </cell>
          <cell r="K2884" t="str">
            <v>PCOQ</v>
          </cell>
          <cell r="M2884" t="str">
            <v>M</v>
          </cell>
          <cell r="AC2884">
            <v>0.5</v>
          </cell>
        </row>
        <row r="2885">
          <cell r="A2885" t="str">
            <v>IS_alqt_plus</v>
          </cell>
          <cell r="K2885" t="str">
            <v>PCOQ</v>
          </cell>
          <cell r="M2885" t="str">
            <v>M</v>
          </cell>
          <cell r="AC2885">
            <v>0.75</v>
          </cell>
        </row>
        <row r="2886">
          <cell r="A2886" t="str">
            <v>IS_alqt_plus</v>
          </cell>
          <cell r="K2886" t="str">
            <v>PCOQ</v>
          </cell>
          <cell r="M2886" t="str">
            <v>M</v>
          </cell>
          <cell r="AC2886">
            <v>0.5</v>
          </cell>
        </row>
        <row r="2887">
          <cell r="A2887" t="str">
            <v>IS_alqt_plus</v>
          </cell>
          <cell r="K2887" t="str">
            <v>PCOQ</v>
          </cell>
          <cell r="M2887" t="str">
            <v>M</v>
          </cell>
          <cell r="AC2887">
            <v>0.5</v>
          </cell>
        </row>
        <row r="2888">
          <cell r="A2888" t="str">
            <v>IS_alqt_plus</v>
          </cell>
          <cell r="K2888" t="str">
            <v>PCOQ</v>
          </cell>
          <cell r="M2888" t="str">
            <v>M</v>
          </cell>
          <cell r="AC2888">
            <v>0.5</v>
          </cell>
        </row>
        <row r="2889">
          <cell r="A2889" t="str">
            <v>IS_alqt_plus</v>
          </cell>
          <cell r="K2889" t="str">
            <v>PCOQ</v>
          </cell>
          <cell r="M2889" t="str">
            <v>M</v>
          </cell>
          <cell r="AC2889">
            <v>0.5</v>
          </cell>
        </row>
        <row r="2890">
          <cell r="A2890" t="str">
            <v>IS_alqt_plus</v>
          </cell>
          <cell r="K2890" t="str">
            <v>PCOQ</v>
          </cell>
          <cell r="M2890" t="str">
            <v>M</v>
          </cell>
          <cell r="AC2890">
            <v>0.5</v>
          </cell>
        </row>
        <row r="2891">
          <cell r="A2891" t="str">
            <v>IS_alqt_plus</v>
          </cell>
          <cell r="K2891" t="str">
            <v>PCOQ</v>
          </cell>
          <cell r="M2891" t="str">
            <v>M</v>
          </cell>
          <cell r="AC2891">
            <v>0.5</v>
          </cell>
        </row>
        <row r="2892">
          <cell r="A2892" t="str">
            <v>IS_alqt_plus</v>
          </cell>
          <cell r="K2892" t="str">
            <v>PCOQ</v>
          </cell>
          <cell r="M2892" t="str">
            <v>M</v>
          </cell>
          <cell r="AC2892">
            <v>0.5</v>
          </cell>
        </row>
        <row r="2893">
          <cell r="A2893" t="str">
            <v>IS_alqt_plus</v>
          </cell>
          <cell r="K2893" t="str">
            <v>PCOQ</v>
          </cell>
          <cell r="M2893" t="str">
            <v>M</v>
          </cell>
          <cell r="AC2893">
            <v>0.5</v>
          </cell>
        </row>
        <row r="2894">
          <cell r="A2894" t="str">
            <v>IS_alqt_plus</v>
          </cell>
          <cell r="K2894" t="str">
            <v>PCOQ</v>
          </cell>
          <cell r="M2894" t="str">
            <v>M</v>
          </cell>
          <cell r="AC2894">
            <v>0.5</v>
          </cell>
        </row>
        <row r="2895">
          <cell r="A2895" t="str">
            <v>IS_alqt_plus</v>
          </cell>
          <cell r="K2895" t="str">
            <v>PCOQ</v>
          </cell>
          <cell r="M2895" t="str">
            <v>M</v>
          </cell>
          <cell r="AC2895">
            <v>0.5</v>
          </cell>
        </row>
        <row r="2896">
          <cell r="A2896" t="str">
            <v>IS_alqt_plus</v>
          </cell>
          <cell r="K2896" t="str">
            <v>PCOQ</v>
          </cell>
          <cell r="M2896" t="str">
            <v>M</v>
          </cell>
          <cell r="AC2896">
            <v>1.25</v>
          </cell>
        </row>
        <row r="2897">
          <cell r="A2897" t="str">
            <v>IS_alqt_plus</v>
          </cell>
          <cell r="K2897" t="str">
            <v>PCOQ</v>
          </cell>
          <cell r="M2897" t="str">
            <v>M</v>
          </cell>
          <cell r="AC2897">
            <v>0.5</v>
          </cell>
        </row>
        <row r="2898">
          <cell r="A2898" t="str">
            <v>IS_alqt_plus</v>
          </cell>
          <cell r="K2898" t="str">
            <v>PCOQ</v>
          </cell>
          <cell r="M2898" t="str">
            <v>M</v>
          </cell>
          <cell r="AC2898">
            <v>0.5</v>
          </cell>
        </row>
        <row r="2899">
          <cell r="A2899" t="str">
            <v>IS_alqt_plus</v>
          </cell>
          <cell r="K2899" t="str">
            <v>PCOQ</v>
          </cell>
          <cell r="M2899" t="str">
            <v>M</v>
          </cell>
          <cell r="AC2899">
            <v>0.5</v>
          </cell>
        </row>
        <row r="2900">
          <cell r="A2900" t="str">
            <v>IS_alqt_plus</v>
          </cell>
          <cell r="K2900" t="str">
            <v>PCOQ</v>
          </cell>
          <cell r="M2900" t="str">
            <v>M</v>
          </cell>
          <cell r="AC2900">
            <v>0.5</v>
          </cell>
        </row>
        <row r="2901">
          <cell r="A2901" t="str">
            <v>IS_alqt_plus</v>
          </cell>
          <cell r="K2901" t="str">
            <v>PCOQ</v>
          </cell>
          <cell r="M2901" t="str">
            <v>M</v>
          </cell>
          <cell r="AC2901">
            <v>0.75</v>
          </cell>
        </row>
        <row r="2902">
          <cell r="A2902" t="str">
            <v>IS_alqt_plus</v>
          </cell>
          <cell r="K2902" t="str">
            <v>PCOQ</v>
          </cell>
          <cell r="M2902" t="str">
            <v>M</v>
          </cell>
          <cell r="AC2902">
            <v>1</v>
          </cell>
        </row>
        <row r="2903">
          <cell r="A2903" t="str">
            <v>IS_alqt_plus</v>
          </cell>
          <cell r="K2903" t="str">
            <v>PCOQ</v>
          </cell>
          <cell r="M2903" t="str">
            <v>M</v>
          </cell>
          <cell r="AC2903">
            <v>1</v>
          </cell>
        </row>
        <row r="2904">
          <cell r="A2904" t="str">
            <v>IS_alqt_plus</v>
          </cell>
          <cell r="K2904" t="str">
            <v>PCOQ</v>
          </cell>
          <cell r="M2904" t="str">
            <v>M</v>
          </cell>
          <cell r="AC2904">
            <v>1</v>
          </cell>
        </row>
        <row r="2905">
          <cell r="A2905" t="str">
            <v>IS_alqt_plus</v>
          </cell>
          <cell r="K2905" t="str">
            <v>MMUR</v>
          </cell>
          <cell r="M2905" t="str">
            <v>M</v>
          </cell>
          <cell r="AC2905">
            <v>0.9</v>
          </cell>
        </row>
        <row r="2906">
          <cell r="A2906" t="str">
            <v>IS_alqt_plus</v>
          </cell>
          <cell r="K2906" t="str">
            <v>MMUR</v>
          </cell>
          <cell r="M2906" t="str">
            <v>F</v>
          </cell>
          <cell r="AC2906">
            <v>0.6</v>
          </cell>
        </row>
        <row r="2907">
          <cell r="A2907" t="str">
            <v>IS_alqt_plus</v>
          </cell>
          <cell r="K2907" t="str">
            <v>MMUR</v>
          </cell>
          <cell r="M2907" t="str">
            <v>F</v>
          </cell>
          <cell r="AC2907">
            <v>0.75</v>
          </cell>
        </row>
        <row r="2908">
          <cell r="A2908" t="str">
            <v>IS_alqt_plus</v>
          </cell>
          <cell r="K2908" t="str">
            <v>MMUR</v>
          </cell>
          <cell r="M2908" t="str">
            <v>F</v>
          </cell>
          <cell r="AC2908">
            <v>0.9</v>
          </cell>
        </row>
        <row r="2909">
          <cell r="A2909" t="str">
            <v>IS_alqt_plus</v>
          </cell>
          <cell r="K2909" t="str">
            <v>PCOQ</v>
          </cell>
          <cell r="M2909" t="str">
            <v>F</v>
          </cell>
          <cell r="AC2909">
            <v>1.5</v>
          </cell>
        </row>
        <row r="2910">
          <cell r="A2910" t="str">
            <v>IS_alqt_plus</v>
          </cell>
          <cell r="K2910" t="str">
            <v>PCOQ</v>
          </cell>
          <cell r="M2910" t="str">
            <v>F</v>
          </cell>
          <cell r="AC2910">
            <v>0.5</v>
          </cell>
        </row>
        <row r="2911">
          <cell r="A2911" t="str">
            <v>IS_alqt_plus</v>
          </cell>
          <cell r="K2911" t="str">
            <v>PCOQ</v>
          </cell>
          <cell r="M2911" t="str">
            <v>M</v>
          </cell>
          <cell r="AC2911">
            <v>1</v>
          </cell>
        </row>
        <row r="2912">
          <cell r="A2912" t="str">
            <v>IS_alqt_plus</v>
          </cell>
          <cell r="K2912" t="str">
            <v>PCOQ</v>
          </cell>
          <cell r="M2912" t="str">
            <v>M</v>
          </cell>
          <cell r="AC2912">
            <v>0.5</v>
          </cell>
        </row>
        <row r="2913">
          <cell r="A2913" t="str">
            <v>IS_alqt_plus</v>
          </cell>
          <cell r="K2913" t="str">
            <v>PCOQ</v>
          </cell>
          <cell r="M2913" t="str">
            <v>M</v>
          </cell>
          <cell r="AC2913">
            <v>0.5</v>
          </cell>
        </row>
        <row r="2914">
          <cell r="A2914" t="str">
            <v>IS_alqt_plus</v>
          </cell>
          <cell r="K2914" t="str">
            <v>PCOQ</v>
          </cell>
          <cell r="M2914" t="str">
            <v>M</v>
          </cell>
          <cell r="AC2914">
            <v>0.5</v>
          </cell>
        </row>
        <row r="2915">
          <cell r="A2915" t="str">
            <v>IS_alqt_plus</v>
          </cell>
          <cell r="K2915" t="str">
            <v>PCOQ</v>
          </cell>
          <cell r="M2915" t="str">
            <v>M</v>
          </cell>
          <cell r="AC2915">
            <v>0.5</v>
          </cell>
        </row>
        <row r="2916">
          <cell r="A2916" t="str">
            <v>IS_alqt_plus</v>
          </cell>
          <cell r="K2916" t="str">
            <v>PCOQ</v>
          </cell>
          <cell r="M2916" t="str">
            <v>M</v>
          </cell>
          <cell r="AC2916">
            <v>0.5</v>
          </cell>
        </row>
        <row r="2917">
          <cell r="A2917" t="str">
            <v>IS_alqt_plus</v>
          </cell>
          <cell r="K2917" t="str">
            <v>PCOQ</v>
          </cell>
          <cell r="M2917" t="str">
            <v>M</v>
          </cell>
          <cell r="AC2917">
            <v>0.5</v>
          </cell>
        </row>
        <row r="2918">
          <cell r="A2918" t="str">
            <v>IS_alqt_plus</v>
          </cell>
          <cell r="K2918" t="str">
            <v>PCOQ</v>
          </cell>
          <cell r="M2918" t="str">
            <v>M</v>
          </cell>
          <cell r="AC2918">
            <v>0.5</v>
          </cell>
        </row>
        <row r="2919">
          <cell r="A2919" t="str">
            <v>IS_alqt_plus</v>
          </cell>
          <cell r="K2919" t="str">
            <v>PCOQ</v>
          </cell>
          <cell r="M2919" t="str">
            <v>M</v>
          </cell>
          <cell r="AC2919">
            <v>0.5</v>
          </cell>
        </row>
        <row r="2920">
          <cell r="A2920" t="str">
            <v>IS_alqt_plus</v>
          </cell>
          <cell r="K2920" t="str">
            <v>PCOQ</v>
          </cell>
          <cell r="M2920" t="str">
            <v>M</v>
          </cell>
          <cell r="AC2920">
            <v>0.5</v>
          </cell>
        </row>
        <row r="2921">
          <cell r="A2921" t="str">
            <v>IS_alqt_plus</v>
          </cell>
          <cell r="K2921" t="str">
            <v>PCOQ</v>
          </cell>
          <cell r="M2921" t="str">
            <v>M</v>
          </cell>
          <cell r="AC2921">
            <v>0.5</v>
          </cell>
        </row>
        <row r="2922">
          <cell r="A2922" t="str">
            <v>IS_alqt_plus</v>
          </cell>
          <cell r="K2922" t="str">
            <v>PCOQ</v>
          </cell>
          <cell r="M2922" t="str">
            <v>M</v>
          </cell>
          <cell r="AC2922">
            <v>1</v>
          </cell>
        </row>
        <row r="2923">
          <cell r="A2923" t="str">
            <v>IS_alqt_plus</v>
          </cell>
          <cell r="K2923" t="str">
            <v>PCOQ</v>
          </cell>
          <cell r="M2923" t="str">
            <v>M</v>
          </cell>
          <cell r="AC2923">
            <v>1</v>
          </cell>
        </row>
        <row r="2924">
          <cell r="A2924" t="str">
            <v>IS_alqt_plus</v>
          </cell>
          <cell r="K2924" t="str">
            <v>PCOQ</v>
          </cell>
          <cell r="M2924" t="str">
            <v>M</v>
          </cell>
          <cell r="AC2924">
            <v>1</v>
          </cell>
        </row>
        <row r="2925">
          <cell r="A2925" t="str">
            <v>IS_alqt_plus</v>
          </cell>
          <cell r="K2925" t="str">
            <v>PCOQ</v>
          </cell>
          <cell r="M2925" t="str">
            <v>M</v>
          </cell>
          <cell r="AC2925">
            <v>1</v>
          </cell>
        </row>
        <row r="2926">
          <cell r="A2926" t="str">
            <v>IS_alqt_plus</v>
          </cell>
          <cell r="K2926" t="str">
            <v>DMAD</v>
          </cell>
          <cell r="M2926" t="str">
            <v>F</v>
          </cell>
          <cell r="AC2926">
            <v>1</v>
          </cell>
        </row>
        <row r="2927">
          <cell r="A2927" t="str">
            <v>IS_alqt_plus</v>
          </cell>
          <cell r="K2927" t="str">
            <v>DMAD</v>
          </cell>
          <cell r="M2927" t="str">
            <v>F</v>
          </cell>
          <cell r="AC2927">
            <v>1</v>
          </cell>
        </row>
        <row r="2928">
          <cell r="A2928" t="str">
            <v>IS_alqt_plus</v>
          </cell>
          <cell r="K2928" t="str">
            <v>DMAD</v>
          </cell>
          <cell r="M2928" t="str">
            <v>F</v>
          </cell>
          <cell r="AC2928">
            <v>1</v>
          </cell>
        </row>
        <row r="2929">
          <cell r="A2929" t="str">
            <v>IS_alqt_plus</v>
          </cell>
          <cell r="K2929" t="str">
            <v>DMAD</v>
          </cell>
          <cell r="M2929" t="str">
            <v>F</v>
          </cell>
          <cell r="AC2929">
            <v>1</v>
          </cell>
        </row>
        <row r="2930">
          <cell r="A2930" t="str">
            <v>IS_alqt_plus</v>
          </cell>
          <cell r="K2930" t="str">
            <v>DMAD</v>
          </cell>
          <cell r="M2930" t="str">
            <v>F</v>
          </cell>
          <cell r="AC2930">
            <v>1</v>
          </cell>
        </row>
        <row r="2931">
          <cell r="A2931" t="str">
            <v>IS_alqt_plus</v>
          </cell>
          <cell r="K2931" t="str">
            <v>PCOQ</v>
          </cell>
          <cell r="M2931" t="str">
            <v>F</v>
          </cell>
          <cell r="AC2931">
            <v>0.5</v>
          </cell>
        </row>
        <row r="2932">
          <cell r="A2932" t="str">
            <v>IS_alqt_plus</v>
          </cell>
          <cell r="K2932" t="str">
            <v>PCOQ</v>
          </cell>
          <cell r="M2932" t="str">
            <v>M</v>
          </cell>
          <cell r="AC2932">
            <v>1</v>
          </cell>
        </row>
        <row r="2933">
          <cell r="A2933" t="str">
            <v>IS_alqt_plus</v>
          </cell>
          <cell r="K2933" t="str">
            <v>PCOQ</v>
          </cell>
          <cell r="M2933" t="str">
            <v>M</v>
          </cell>
          <cell r="AC2933">
            <v>1</v>
          </cell>
        </row>
        <row r="2934">
          <cell r="A2934" t="str">
            <v>IS_alqt_plus</v>
          </cell>
          <cell r="K2934" t="str">
            <v>PCOQ</v>
          </cell>
          <cell r="M2934" t="str">
            <v>M</v>
          </cell>
          <cell r="AC2934">
            <v>0.75</v>
          </cell>
        </row>
        <row r="2935">
          <cell r="A2935" t="str">
            <v>IS_alqt_plus</v>
          </cell>
          <cell r="K2935" t="str">
            <v>PCOQ</v>
          </cell>
          <cell r="M2935" t="str">
            <v>M</v>
          </cell>
          <cell r="AC2935">
            <v>1</v>
          </cell>
        </row>
        <row r="2936">
          <cell r="A2936" t="str">
            <v>IS_alqt_plus</v>
          </cell>
          <cell r="K2936" t="str">
            <v>PCOQ</v>
          </cell>
          <cell r="M2936" t="str">
            <v>M</v>
          </cell>
          <cell r="AC2936">
            <v>1</v>
          </cell>
        </row>
        <row r="2937">
          <cell r="A2937" t="str">
            <v>IS_alqt_plus</v>
          </cell>
          <cell r="K2937" t="str">
            <v>PCOQ</v>
          </cell>
          <cell r="M2937" t="str">
            <v>M</v>
          </cell>
          <cell r="AC2937">
            <v>1</v>
          </cell>
        </row>
        <row r="2938">
          <cell r="A2938" t="str">
            <v>IS_alqt_plus</v>
          </cell>
          <cell r="K2938" t="str">
            <v>PCOQ</v>
          </cell>
          <cell r="M2938" t="str">
            <v>M</v>
          </cell>
          <cell r="AC2938">
            <v>1</v>
          </cell>
        </row>
        <row r="2939">
          <cell r="A2939" t="str">
            <v>IS_alqt_plus</v>
          </cell>
          <cell r="K2939" t="str">
            <v>PCOQ</v>
          </cell>
          <cell r="M2939" t="str">
            <v>M</v>
          </cell>
          <cell r="AC2939">
            <v>1</v>
          </cell>
        </row>
        <row r="2940">
          <cell r="A2940" t="str">
            <v>IS_alqt_plus</v>
          </cell>
          <cell r="K2940" t="str">
            <v>PCOQ</v>
          </cell>
          <cell r="M2940" t="str">
            <v>M</v>
          </cell>
          <cell r="AC2940">
            <v>1</v>
          </cell>
        </row>
        <row r="2941">
          <cell r="A2941" t="str">
            <v>IS_alqt_plus</v>
          </cell>
          <cell r="K2941" t="str">
            <v>MMUR</v>
          </cell>
          <cell r="M2941" t="str">
            <v>M</v>
          </cell>
          <cell r="AC2941">
            <v>0.5</v>
          </cell>
        </row>
        <row r="2942">
          <cell r="A2942" t="str">
            <v>IS_alqt_minus</v>
          </cell>
          <cell r="K2942" t="str">
            <v>MMUR</v>
          </cell>
          <cell r="M2942" t="str">
            <v>M</v>
          </cell>
          <cell r="AC2942">
            <v>0.2</v>
          </cell>
        </row>
        <row r="2943">
          <cell r="A2943" t="str">
            <v>IS_alqt_plus</v>
          </cell>
          <cell r="K2943" t="str">
            <v>PCOQ</v>
          </cell>
          <cell r="M2943" t="str">
            <v>F</v>
          </cell>
          <cell r="AC2943">
            <v>1</v>
          </cell>
        </row>
        <row r="2944">
          <cell r="A2944" t="str">
            <v>IS_alqt_plus</v>
          </cell>
          <cell r="K2944" t="str">
            <v>PCOQ</v>
          </cell>
          <cell r="M2944" t="str">
            <v>F</v>
          </cell>
          <cell r="AC2944">
            <v>1</v>
          </cell>
        </row>
        <row r="2945">
          <cell r="A2945" t="str">
            <v>IS_alqt_plus</v>
          </cell>
          <cell r="K2945" t="str">
            <v>PCOQ</v>
          </cell>
          <cell r="M2945" t="str">
            <v>F</v>
          </cell>
          <cell r="AC2945">
            <v>1</v>
          </cell>
        </row>
        <row r="2946">
          <cell r="A2946" t="str">
            <v>IS_alqt_plus</v>
          </cell>
          <cell r="K2946" t="str">
            <v>PCOQ</v>
          </cell>
          <cell r="M2946" t="str">
            <v>F</v>
          </cell>
          <cell r="AC2946">
            <v>1</v>
          </cell>
        </row>
        <row r="2947">
          <cell r="A2947" t="str">
            <v>IS_alqt_plus</v>
          </cell>
          <cell r="K2947" t="str">
            <v>PCOQ</v>
          </cell>
          <cell r="M2947" t="str">
            <v>F</v>
          </cell>
          <cell r="AC2947">
            <v>1</v>
          </cell>
        </row>
        <row r="2948">
          <cell r="A2948" t="str">
            <v>IS_alqt_plus</v>
          </cell>
          <cell r="K2948" t="str">
            <v>PCOQ</v>
          </cell>
          <cell r="M2948" t="str">
            <v>F</v>
          </cell>
          <cell r="AC2948">
            <v>1</v>
          </cell>
        </row>
        <row r="2949">
          <cell r="A2949" t="str">
            <v>IS_alqt_plus</v>
          </cell>
          <cell r="K2949" t="str">
            <v>PCOQ</v>
          </cell>
          <cell r="M2949" t="str">
            <v>F</v>
          </cell>
          <cell r="AC2949">
            <v>1</v>
          </cell>
        </row>
        <row r="2950">
          <cell r="A2950" t="str">
            <v>IS_alqt_plus</v>
          </cell>
          <cell r="K2950" t="str">
            <v>PCOQ</v>
          </cell>
          <cell r="M2950" t="str">
            <v>F</v>
          </cell>
          <cell r="AC2950">
            <v>1</v>
          </cell>
        </row>
        <row r="2951">
          <cell r="A2951" t="str">
            <v>IS_alqt_plus</v>
          </cell>
          <cell r="K2951" t="str">
            <v>PCOQ</v>
          </cell>
          <cell r="M2951" t="str">
            <v>F</v>
          </cell>
          <cell r="AC2951">
            <v>1</v>
          </cell>
        </row>
        <row r="2952">
          <cell r="A2952" t="str">
            <v>IS_alqt_plus</v>
          </cell>
          <cell r="K2952" t="str">
            <v>PCOQ</v>
          </cell>
          <cell r="M2952" t="str">
            <v>F</v>
          </cell>
          <cell r="AC2952">
            <v>1</v>
          </cell>
        </row>
        <row r="2953">
          <cell r="A2953" t="str">
            <v>IS_alqt_plus</v>
          </cell>
          <cell r="K2953" t="str">
            <v>PCOQ</v>
          </cell>
          <cell r="M2953" t="str">
            <v>F</v>
          </cell>
          <cell r="AC2953">
            <v>1</v>
          </cell>
        </row>
        <row r="2954">
          <cell r="A2954" t="str">
            <v>IS_alqt_plus</v>
          </cell>
          <cell r="K2954" t="str">
            <v>PCOQ</v>
          </cell>
          <cell r="M2954" t="str">
            <v>F</v>
          </cell>
          <cell r="AC2954">
            <v>1</v>
          </cell>
        </row>
        <row r="2955">
          <cell r="A2955" t="str">
            <v>IS_alqt_plus</v>
          </cell>
          <cell r="K2955" t="str">
            <v>PCOQ</v>
          </cell>
          <cell r="M2955" t="str">
            <v>F</v>
          </cell>
          <cell r="AC2955">
            <v>1</v>
          </cell>
        </row>
        <row r="2956">
          <cell r="A2956" t="str">
            <v>IS_alqt_plus</v>
          </cell>
          <cell r="K2956" t="str">
            <v>PCOQ</v>
          </cell>
          <cell r="M2956" t="str">
            <v>F</v>
          </cell>
          <cell r="AC2956">
            <v>1</v>
          </cell>
        </row>
        <row r="2957">
          <cell r="A2957" t="str">
            <v>IS_alqt_plus</v>
          </cell>
          <cell r="K2957" t="str">
            <v>PCOQ</v>
          </cell>
          <cell r="M2957" t="str">
            <v>F</v>
          </cell>
          <cell r="AC2957">
            <v>1</v>
          </cell>
        </row>
        <row r="2958">
          <cell r="A2958" t="str">
            <v>IS_alqt_plus</v>
          </cell>
          <cell r="K2958" t="str">
            <v>PCOQ</v>
          </cell>
          <cell r="M2958" t="str">
            <v>F</v>
          </cell>
          <cell r="AC2958">
            <v>1</v>
          </cell>
        </row>
        <row r="2959">
          <cell r="A2959" t="str">
            <v>IS_alqt_plus</v>
          </cell>
          <cell r="K2959" t="str">
            <v>PCOQ</v>
          </cell>
          <cell r="M2959" t="str">
            <v>F</v>
          </cell>
          <cell r="AC2959">
            <v>1</v>
          </cell>
        </row>
        <row r="2960">
          <cell r="A2960" t="str">
            <v>IS_alqt_plus</v>
          </cell>
          <cell r="K2960" t="str">
            <v>PCOQ</v>
          </cell>
          <cell r="M2960" t="str">
            <v>F</v>
          </cell>
          <cell r="AC2960">
            <v>1</v>
          </cell>
        </row>
        <row r="2961">
          <cell r="A2961" t="str">
            <v>IS_alqt_plus</v>
          </cell>
          <cell r="K2961" t="str">
            <v>PCOQ</v>
          </cell>
          <cell r="M2961" t="str">
            <v>F</v>
          </cell>
          <cell r="AC2961">
            <v>1</v>
          </cell>
        </row>
        <row r="2962">
          <cell r="A2962" t="str">
            <v>IS_alqt_plus</v>
          </cell>
          <cell r="K2962" t="str">
            <v>PCOQ</v>
          </cell>
          <cell r="M2962" t="str">
            <v>F</v>
          </cell>
          <cell r="AC2962">
            <v>1</v>
          </cell>
        </row>
        <row r="2963">
          <cell r="A2963" t="str">
            <v>IS_alqt_plus</v>
          </cell>
          <cell r="K2963" t="str">
            <v>PCOQ</v>
          </cell>
          <cell r="M2963" t="str">
            <v>F</v>
          </cell>
          <cell r="AC2963">
            <v>1</v>
          </cell>
        </row>
        <row r="2964">
          <cell r="A2964" t="str">
            <v>IS_alqt_plus</v>
          </cell>
          <cell r="K2964" t="str">
            <v>EFLA</v>
          </cell>
          <cell r="M2964" t="str">
            <v>M</v>
          </cell>
          <cell r="AC2964">
            <v>0.75</v>
          </cell>
        </row>
        <row r="2965">
          <cell r="A2965" t="str">
            <v>IS_alqt_plus</v>
          </cell>
          <cell r="K2965" t="str">
            <v>PCOQ</v>
          </cell>
          <cell r="M2965" t="str">
            <v>M</v>
          </cell>
          <cell r="AC2965">
            <v>1.25</v>
          </cell>
        </row>
        <row r="2966">
          <cell r="A2966" t="str">
            <v>IS_alqt_plus</v>
          </cell>
          <cell r="K2966" t="str">
            <v>PCOQ</v>
          </cell>
          <cell r="M2966" t="str">
            <v>M</v>
          </cell>
          <cell r="AC2966">
            <v>1</v>
          </cell>
        </row>
        <row r="2967">
          <cell r="A2967" t="str">
            <v>IS_alqt_plus</v>
          </cell>
          <cell r="K2967" t="str">
            <v>PCOQ</v>
          </cell>
          <cell r="M2967" t="str">
            <v>F</v>
          </cell>
          <cell r="AC2967">
            <v>0.75</v>
          </cell>
        </row>
        <row r="2968">
          <cell r="A2968" t="str">
            <v>IS_alqt_plus</v>
          </cell>
          <cell r="K2968" t="str">
            <v>PCOQ</v>
          </cell>
          <cell r="M2968" t="str">
            <v>F</v>
          </cell>
          <cell r="AC2968">
            <v>1</v>
          </cell>
        </row>
        <row r="2969">
          <cell r="A2969" t="str">
            <v>IS_alqt_plus</v>
          </cell>
          <cell r="K2969" t="str">
            <v>PCOQ</v>
          </cell>
          <cell r="M2969" t="str">
            <v>F</v>
          </cell>
          <cell r="AC2969">
            <v>1</v>
          </cell>
        </row>
        <row r="2970">
          <cell r="A2970" t="str">
            <v>IS_alqt_plus</v>
          </cell>
          <cell r="K2970" t="str">
            <v>PCOQ</v>
          </cell>
          <cell r="M2970" t="str">
            <v>F</v>
          </cell>
          <cell r="AC2970">
            <v>1</v>
          </cell>
        </row>
        <row r="2971">
          <cell r="A2971" t="str">
            <v>IS_alqt_plus</v>
          </cell>
          <cell r="K2971" t="str">
            <v>PCOQ</v>
          </cell>
          <cell r="M2971" t="str">
            <v>F</v>
          </cell>
          <cell r="AC2971">
            <v>1</v>
          </cell>
        </row>
        <row r="2972">
          <cell r="A2972" t="str">
            <v>IS_alqt_plus</v>
          </cell>
          <cell r="K2972" t="str">
            <v>PCOQ</v>
          </cell>
          <cell r="M2972" t="str">
            <v>F</v>
          </cell>
          <cell r="AC2972">
            <v>1</v>
          </cell>
        </row>
        <row r="2973">
          <cell r="A2973" t="str">
            <v>IS_alqt_plus</v>
          </cell>
          <cell r="K2973" t="str">
            <v>PCOQ</v>
          </cell>
          <cell r="M2973" t="str">
            <v>F</v>
          </cell>
          <cell r="AC2973">
            <v>1</v>
          </cell>
        </row>
        <row r="2974">
          <cell r="A2974" t="str">
            <v>IS_alqt_plus</v>
          </cell>
          <cell r="K2974" t="str">
            <v>PCOQ</v>
          </cell>
          <cell r="M2974" t="str">
            <v>F</v>
          </cell>
          <cell r="AC2974">
            <v>1</v>
          </cell>
        </row>
        <row r="2975">
          <cell r="A2975" t="str">
            <v>IS_alqt_plus</v>
          </cell>
          <cell r="K2975" t="str">
            <v>PCOQ</v>
          </cell>
          <cell r="M2975" t="str">
            <v>F</v>
          </cell>
          <cell r="AC2975">
            <v>1</v>
          </cell>
        </row>
        <row r="2976">
          <cell r="A2976" t="str">
            <v>IS_alqt_plus</v>
          </cell>
          <cell r="K2976" t="str">
            <v>PCOQ</v>
          </cell>
          <cell r="M2976" t="str">
            <v>F</v>
          </cell>
          <cell r="AC2976">
            <v>1</v>
          </cell>
        </row>
        <row r="2977">
          <cell r="A2977" t="str">
            <v>IS_alqt_plus</v>
          </cell>
          <cell r="K2977" t="str">
            <v>PCOQ</v>
          </cell>
          <cell r="M2977" t="str">
            <v>F</v>
          </cell>
          <cell r="AC2977">
            <v>1</v>
          </cell>
        </row>
        <row r="2978">
          <cell r="A2978" t="str">
            <v>IS_alqt_plus</v>
          </cell>
          <cell r="K2978" t="str">
            <v>PCOQ</v>
          </cell>
          <cell r="M2978" t="str">
            <v>F</v>
          </cell>
          <cell r="AC2978">
            <v>1</v>
          </cell>
        </row>
        <row r="2979">
          <cell r="A2979" t="str">
            <v>IS_alqt_plus</v>
          </cell>
          <cell r="K2979" t="str">
            <v>PCOQ</v>
          </cell>
          <cell r="M2979" t="str">
            <v>F</v>
          </cell>
          <cell r="AC2979">
            <v>1</v>
          </cell>
        </row>
        <row r="2980">
          <cell r="A2980" t="str">
            <v>IS_alqt_plus</v>
          </cell>
          <cell r="K2980" t="str">
            <v>PCOQ</v>
          </cell>
          <cell r="M2980" t="str">
            <v>F</v>
          </cell>
          <cell r="AC2980">
            <v>1</v>
          </cell>
        </row>
        <row r="2981">
          <cell r="A2981" t="str">
            <v>IS_alqt_plus</v>
          </cell>
          <cell r="K2981" t="str">
            <v>DMAD</v>
          </cell>
          <cell r="M2981" t="str">
            <v>F</v>
          </cell>
          <cell r="AC2981">
            <v>1</v>
          </cell>
        </row>
        <row r="2982">
          <cell r="A2982" t="str">
            <v>IS_alqt_plus</v>
          </cell>
          <cell r="K2982" t="str">
            <v>DMAD</v>
          </cell>
          <cell r="M2982" t="str">
            <v>F</v>
          </cell>
          <cell r="AC2982">
            <v>1</v>
          </cell>
        </row>
        <row r="2983">
          <cell r="A2983" t="str">
            <v>IS_alqt_plus</v>
          </cell>
          <cell r="K2983" t="str">
            <v>DMAD</v>
          </cell>
          <cell r="M2983" t="str">
            <v>F</v>
          </cell>
          <cell r="AC2983">
            <v>1</v>
          </cell>
        </row>
        <row r="2984">
          <cell r="A2984" t="str">
            <v>IS_alqt_plus</v>
          </cell>
          <cell r="K2984" t="str">
            <v>DMAD</v>
          </cell>
          <cell r="M2984" t="str">
            <v>F</v>
          </cell>
          <cell r="AC2984">
            <v>1</v>
          </cell>
        </row>
        <row r="2985">
          <cell r="A2985" t="str">
            <v>IS_alqt_plus</v>
          </cell>
          <cell r="K2985" t="str">
            <v>DMAD</v>
          </cell>
          <cell r="M2985" t="str">
            <v>F</v>
          </cell>
          <cell r="AC2985">
            <v>1</v>
          </cell>
        </row>
        <row r="2986">
          <cell r="A2986" t="str">
            <v>IS_alqt_plus</v>
          </cell>
          <cell r="K2986" t="str">
            <v>DMAD</v>
          </cell>
          <cell r="M2986" t="str">
            <v>F</v>
          </cell>
          <cell r="AC2986">
            <v>1</v>
          </cell>
        </row>
        <row r="2987">
          <cell r="A2987" t="str">
            <v>IS_alqt_plus</v>
          </cell>
          <cell r="K2987" t="str">
            <v>DMAD</v>
          </cell>
          <cell r="M2987" t="str">
            <v>F</v>
          </cell>
          <cell r="AC2987">
            <v>1</v>
          </cell>
        </row>
        <row r="2988">
          <cell r="A2988" t="str">
            <v>IS_alqt_plus</v>
          </cell>
          <cell r="K2988" t="str">
            <v>DMAD</v>
          </cell>
          <cell r="M2988" t="str">
            <v>F</v>
          </cell>
          <cell r="AC2988">
            <v>1</v>
          </cell>
        </row>
        <row r="2989">
          <cell r="A2989" t="str">
            <v>IS_alqt_plus</v>
          </cell>
          <cell r="K2989" t="str">
            <v>DMAD</v>
          </cell>
          <cell r="M2989" t="str">
            <v>F</v>
          </cell>
          <cell r="AC2989">
            <v>1</v>
          </cell>
        </row>
        <row r="2990">
          <cell r="A2990" t="str">
            <v>IS_alqt_plus</v>
          </cell>
          <cell r="K2990" t="str">
            <v>DMAD</v>
          </cell>
          <cell r="M2990" t="str">
            <v>F</v>
          </cell>
          <cell r="AC2990">
            <v>1</v>
          </cell>
        </row>
        <row r="2991">
          <cell r="A2991" t="str">
            <v>IS_alqt_plus</v>
          </cell>
          <cell r="K2991" t="str">
            <v>DMAD</v>
          </cell>
          <cell r="M2991" t="str">
            <v>F</v>
          </cell>
          <cell r="AC2991">
            <v>1</v>
          </cell>
        </row>
        <row r="2992">
          <cell r="A2992" t="str">
            <v>IS_alqt_plus</v>
          </cell>
          <cell r="K2992" t="str">
            <v>MMUR</v>
          </cell>
          <cell r="M2992" t="str">
            <v>M</v>
          </cell>
          <cell r="AC2992">
            <v>0.5</v>
          </cell>
        </row>
        <row r="2993">
          <cell r="A2993" t="str">
            <v>IS_alqt_plus</v>
          </cell>
          <cell r="K2993" t="str">
            <v>PCOQ</v>
          </cell>
          <cell r="M2993" t="str">
            <v>F</v>
          </cell>
          <cell r="AC2993">
            <v>0.5</v>
          </cell>
        </row>
        <row r="2994">
          <cell r="A2994" t="str">
            <v>IS_alqt_plus</v>
          </cell>
          <cell r="K2994" t="str">
            <v>PCOQ</v>
          </cell>
          <cell r="M2994" t="str">
            <v>F</v>
          </cell>
          <cell r="AC2994">
            <v>0.5</v>
          </cell>
        </row>
        <row r="2995">
          <cell r="A2995" t="str">
            <v>IS_alqt_plus</v>
          </cell>
          <cell r="K2995" t="str">
            <v>PCOQ</v>
          </cell>
          <cell r="M2995" t="str">
            <v>F</v>
          </cell>
          <cell r="AC2995">
            <v>0.5</v>
          </cell>
        </row>
        <row r="2996">
          <cell r="A2996" t="str">
            <v>IS_alqt_plus</v>
          </cell>
          <cell r="K2996" t="str">
            <v>PCOQ</v>
          </cell>
          <cell r="M2996" t="str">
            <v>F</v>
          </cell>
          <cell r="AC2996">
            <v>0.5</v>
          </cell>
        </row>
        <row r="2997">
          <cell r="A2997" t="str">
            <v>IS_alqt_plus</v>
          </cell>
          <cell r="K2997" t="str">
            <v>PCOQ</v>
          </cell>
          <cell r="M2997" t="str">
            <v>F</v>
          </cell>
          <cell r="AC2997">
            <v>0.5</v>
          </cell>
        </row>
        <row r="2998">
          <cell r="A2998" t="str">
            <v>IS_alqt_plus</v>
          </cell>
          <cell r="K2998" t="str">
            <v>PCOQ</v>
          </cell>
          <cell r="M2998" t="str">
            <v>F</v>
          </cell>
          <cell r="AC2998">
            <v>0.5</v>
          </cell>
        </row>
        <row r="2999">
          <cell r="A2999" t="str">
            <v>IS_alqt_plus</v>
          </cell>
          <cell r="K2999" t="str">
            <v>PCOQ</v>
          </cell>
          <cell r="M2999" t="str">
            <v>F</v>
          </cell>
          <cell r="AC2999">
            <v>0.5</v>
          </cell>
        </row>
        <row r="3000">
          <cell r="A3000" t="str">
            <v>unk</v>
          </cell>
          <cell r="K3000" t="str">
            <v>PCOQ</v>
          </cell>
          <cell r="M3000" t="str">
            <v>F</v>
          </cell>
          <cell r="AC3000">
            <v>3</v>
          </cell>
        </row>
        <row r="3001">
          <cell r="A3001" t="str">
            <v>IS_alqt_plus</v>
          </cell>
          <cell r="K3001" t="str">
            <v>PCOQ</v>
          </cell>
          <cell r="M3001" t="str">
            <v>F</v>
          </cell>
          <cell r="AC3001">
            <v>0.5</v>
          </cell>
        </row>
        <row r="3002">
          <cell r="A3002" t="str">
            <v>IS_alqt_plus</v>
          </cell>
          <cell r="K3002" t="str">
            <v>GMOH</v>
          </cell>
          <cell r="M3002" t="str">
            <v>F</v>
          </cell>
          <cell r="AC3002">
            <v>1</v>
          </cell>
        </row>
        <row r="3003">
          <cell r="A3003" t="str">
            <v>IS_alqt_plus</v>
          </cell>
          <cell r="K3003" t="str">
            <v>GMOH</v>
          </cell>
          <cell r="M3003" t="str">
            <v>F</v>
          </cell>
          <cell r="AC3003">
            <v>0.5</v>
          </cell>
        </row>
        <row r="3004">
          <cell r="A3004" t="str">
            <v>IS_alqt_minus</v>
          </cell>
          <cell r="K3004" t="str">
            <v>MMUR</v>
          </cell>
          <cell r="M3004" t="str">
            <v>F</v>
          </cell>
          <cell r="AC3004">
            <v>0.1</v>
          </cell>
        </row>
        <row r="3005">
          <cell r="A3005" t="str">
            <v>IS_alqt_minus</v>
          </cell>
          <cell r="K3005" t="str">
            <v>MMUR</v>
          </cell>
          <cell r="M3005" t="str">
            <v>F</v>
          </cell>
          <cell r="AC3005">
            <v>0.1</v>
          </cell>
        </row>
        <row r="3006">
          <cell r="A3006" t="str">
            <v>IS_alqt_plus</v>
          </cell>
          <cell r="K3006" t="str">
            <v>PCOQ</v>
          </cell>
          <cell r="M3006" t="str">
            <v>F</v>
          </cell>
          <cell r="AC3006">
            <v>0.5</v>
          </cell>
        </row>
        <row r="3007">
          <cell r="A3007" t="str">
            <v>IS_alqt_plus</v>
          </cell>
          <cell r="K3007" t="str">
            <v>PCOQ</v>
          </cell>
          <cell r="M3007" t="str">
            <v>F</v>
          </cell>
          <cell r="AC3007">
            <v>0.5</v>
          </cell>
        </row>
        <row r="3008">
          <cell r="A3008" t="str">
            <v>IS_alqt_plus</v>
          </cell>
          <cell r="K3008" t="str">
            <v>PCOQ</v>
          </cell>
          <cell r="M3008" t="str">
            <v>F</v>
          </cell>
          <cell r="AC3008">
            <v>0.5</v>
          </cell>
        </row>
        <row r="3009">
          <cell r="A3009" t="str">
            <v>IS_alqt_plus</v>
          </cell>
          <cell r="K3009" t="str">
            <v>PCOQ</v>
          </cell>
          <cell r="M3009" t="str">
            <v>F</v>
          </cell>
          <cell r="AC3009">
            <v>0.5</v>
          </cell>
        </row>
        <row r="3010">
          <cell r="A3010" t="str">
            <v>IS_alqt_plus</v>
          </cell>
          <cell r="K3010" t="str">
            <v>PCOQ</v>
          </cell>
          <cell r="M3010" t="str">
            <v>F</v>
          </cell>
          <cell r="AC3010">
            <v>0.5</v>
          </cell>
        </row>
        <row r="3011">
          <cell r="A3011" t="str">
            <v>IS_alqt_plus</v>
          </cell>
          <cell r="K3011" t="str">
            <v>PCOQ</v>
          </cell>
          <cell r="M3011" t="str">
            <v>F</v>
          </cell>
          <cell r="AC3011">
            <v>0.5</v>
          </cell>
        </row>
        <row r="3012">
          <cell r="A3012" t="str">
            <v>IS_alqt_plus</v>
          </cell>
          <cell r="K3012" t="str">
            <v>PCOQ</v>
          </cell>
          <cell r="M3012" t="str">
            <v>M</v>
          </cell>
          <cell r="AC3012">
            <v>1.25</v>
          </cell>
        </row>
        <row r="3013">
          <cell r="A3013" t="str">
            <v>IS_alqt_plus</v>
          </cell>
          <cell r="K3013" t="str">
            <v>PCOQ</v>
          </cell>
          <cell r="M3013" t="str">
            <v>M</v>
          </cell>
          <cell r="AC3013">
            <v>1.25</v>
          </cell>
        </row>
        <row r="3014">
          <cell r="A3014" t="str">
            <v>IS_alqt_plus</v>
          </cell>
          <cell r="K3014" t="str">
            <v>PCOQ</v>
          </cell>
          <cell r="M3014" t="str">
            <v>M</v>
          </cell>
          <cell r="AC3014">
            <v>1.25</v>
          </cell>
        </row>
        <row r="3015">
          <cell r="A3015" t="str">
            <v>IS_alqt_plus</v>
          </cell>
          <cell r="K3015" t="str">
            <v>PCOQ</v>
          </cell>
          <cell r="M3015" t="str">
            <v>F</v>
          </cell>
          <cell r="AC3015">
            <v>1</v>
          </cell>
        </row>
        <row r="3016">
          <cell r="A3016" t="str">
            <v>IS_alqt_plus</v>
          </cell>
          <cell r="K3016" t="str">
            <v>PCOQ</v>
          </cell>
          <cell r="M3016" t="str">
            <v>F</v>
          </cell>
          <cell r="AC3016">
            <v>1</v>
          </cell>
        </row>
        <row r="3017">
          <cell r="A3017" t="str">
            <v>IS_alqt_plus</v>
          </cell>
          <cell r="K3017" t="str">
            <v>PCOQ</v>
          </cell>
          <cell r="M3017" t="str">
            <v>F</v>
          </cell>
          <cell r="AC3017">
            <v>1</v>
          </cell>
        </row>
        <row r="3018">
          <cell r="A3018" t="str">
            <v>IS_alqt_plus</v>
          </cell>
          <cell r="K3018" t="str">
            <v>PCOQ</v>
          </cell>
          <cell r="M3018" t="str">
            <v>F</v>
          </cell>
          <cell r="AC3018">
            <v>1</v>
          </cell>
        </row>
        <row r="3019">
          <cell r="A3019" t="str">
            <v>IS_alqt_plus</v>
          </cell>
          <cell r="K3019" t="str">
            <v>PCOQ</v>
          </cell>
          <cell r="M3019" t="str">
            <v>F</v>
          </cell>
          <cell r="AC3019">
            <v>1</v>
          </cell>
        </row>
        <row r="3020">
          <cell r="A3020" t="str">
            <v>IS_alqt_plus</v>
          </cell>
          <cell r="K3020" t="str">
            <v>PCOQ</v>
          </cell>
          <cell r="M3020" t="str">
            <v>F</v>
          </cell>
          <cell r="AC3020">
            <v>1</v>
          </cell>
        </row>
        <row r="3021">
          <cell r="A3021" t="str">
            <v>IS_alqt_plus</v>
          </cell>
          <cell r="K3021" t="str">
            <v>PCOQ</v>
          </cell>
          <cell r="M3021" t="str">
            <v>F</v>
          </cell>
          <cell r="AC3021">
            <v>1</v>
          </cell>
        </row>
        <row r="3022">
          <cell r="A3022" t="str">
            <v>IS_alqt_minus</v>
          </cell>
          <cell r="K3022" t="str">
            <v>PCOQ</v>
          </cell>
          <cell r="M3022" t="str">
            <v>F</v>
          </cell>
          <cell r="AC3022">
            <v>0.2</v>
          </cell>
        </row>
        <row r="3023">
          <cell r="A3023" t="str">
            <v>IS_alqt_plus</v>
          </cell>
          <cell r="K3023" t="str">
            <v>DMAD</v>
          </cell>
          <cell r="M3023" t="str">
            <v>F</v>
          </cell>
          <cell r="AC3023">
            <v>0.5</v>
          </cell>
        </row>
        <row r="3024">
          <cell r="A3024" t="str">
            <v>IS_alqt_plus</v>
          </cell>
          <cell r="K3024" t="str">
            <v>DMAD</v>
          </cell>
          <cell r="M3024" t="str">
            <v>F</v>
          </cell>
          <cell r="AC3024">
            <v>1</v>
          </cell>
        </row>
        <row r="3025">
          <cell r="A3025" t="str">
            <v>IS_alqt_plus</v>
          </cell>
          <cell r="K3025" t="str">
            <v>DMAD</v>
          </cell>
          <cell r="M3025" t="str">
            <v>F</v>
          </cell>
          <cell r="AC3025">
            <v>1.25</v>
          </cell>
        </row>
        <row r="3026">
          <cell r="A3026" t="str">
            <v>IS_alqt_plus</v>
          </cell>
          <cell r="K3026" t="str">
            <v>DMAD</v>
          </cell>
          <cell r="M3026" t="str">
            <v>F</v>
          </cell>
          <cell r="AC3026">
            <v>1</v>
          </cell>
        </row>
        <row r="3027">
          <cell r="A3027" t="str">
            <v>IS_alqt_plus</v>
          </cell>
          <cell r="K3027" t="str">
            <v>DMAD</v>
          </cell>
          <cell r="M3027" t="str">
            <v>F</v>
          </cell>
          <cell r="AC3027">
            <v>0.5</v>
          </cell>
        </row>
        <row r="3028">
          <cell r="A3028" t="str">
            <v>gone</v>
          </cell>
          <cell r="K3028" t="str">
            <v>MMUR</v>
          </cell>
          <cell r="M3028" t="str">
            <v>F</v>
          </cell>
          <cell r="AC3028">
            <v>0.3</v>
          </cell>
        </row>
        <row r="3029">
          <cell r="A3029" t="str">
            <v>gone</v>
          </cell>
          <cell r="K3029" t="str">
            <v>MMUR</v>
          </cell>
          <cell r="M3029" t="str">
            <v>F</v>
          </cell>
          <cell r="AC3029">
            <v>0.3</v>
          </cell>
        </row>
        <row r="3030">
          <cell r="A3030" t="str">
            <v>IS_alqt_plus</v>
          </cell>
          <cell r="K3030" t="str">
            <v>EFLA</v>
          </cell>
          <cell r="M3030" t="str">
            <v>F</v>
          </cell>
          <cell r="AC3030">
            <v>1</v>
          </cell>
        </row>
        <row r="3031">
          <cell r="A3031" t="str">
            <v>IS_alqt_plus</v>
          </cell>
          <cell r="K3031" t="str">
            <v>EFLA</v>
          </cell>
          <cell r="M3031" t="str">
            <v>F</v>
          </cell>
          <cell r="AC3031">
            <v>1</v>
          </cell>
        </row>
        <row r="3032">
          <cell r="A3032" t="str">
            <v>IS_alqt_plus</v>
          </cell>
          <cell r="K3032" t="str">
            <v>EFLA</v>
          </cell>
          <cell r="M3032" t="str">
            <v>F</v>
          </cell>
          <cell r="AC3032">
            <v>1</v>
          </cell>
        </row>
        <row r="3033">
          <cell r="A3033" t="str">
            <v>IS_alqt_plus</v>
          </cell>
          <cell r="K3033" t="str">
            <v>EFLA</v>
          </cell>
          <cell r="M3033" t="str">
            <v>F</v>
          </cell>
          <cell r="AC3033">
            <v>1</v>
          </cell>
        </row>
        <row r="3034">
          <cell r="A3034" t="str">
            <v>IS_alqt_plus</v>
          </cell>
          <cell r="K3034" t="str">
            <v>EFLA</v>
          </cell>
          <cell r="M3034" t="str">
            <v>F</v>
          </cell>
          <cell r="AC3034">
            <v>1</v>
          </cell>
        </row>
        <row r="3035">
          <cell r="A3035" t="str">
            <v>IS_alqt_plus</v>
          </cell>
          <cell r="K3035" t="str">
            <v>EFLA</v>
          </cell>
          <cell r="M3035" t="str">
            <v>F</v>
          </cell>
          <cell r="AC3035">
            <v>1</v>
          </cell>
        </row>
        <row r="3036">
          <cell r="A3036" t="str">
            <v>IS_alqt_plus</v>
          </cell>
          <cell r="K3036" t="str">
            <v>EFLA</v>
          </cell>
          <cell r="M3036" t="str">
            <v>F</v>
          </cell>
          <cell r="AC3036">
            <v>1</v>
          </cell>
        </row>
        <row r="3037">
          <cell r="A3037" t="str">
            <v>IS_alqt_plus</v>
          </cell>
          <cell r="K3037" t="str">
            <v>EFLA</v>
          </cell>
          <cell r="M3037" t="str">
            <v>F</v>
          </cell>
          <cell r="AC3037">
            <v>1</v>
          </cell>
        </row>
        <row r="3038">
          <cell r="A3038" t="str">
            <v>IS_alqt_plus</v>
          </cell>
          <cell r="K3038" t="str">
            <v>EFLA</v>
          </cell>
          <cell r="M3038" t="str">
            <v>F</v>
          </cell>
          <cell r="AC3038">
            <v>1</v>
          </cell>
        </row>
        <row r="3039">
          <cell r="A3039" t="str">
            <v>IS_alqt_plus</v>
          </cell>
          <cell r="K3039" t="str">
            <v>EFLA</v>
          </cell>
          <cell r="M3039" t="str">
            <v>F</v>
          </cell>
          <cell r="AC3039">
            <v>1</v>
          </cell>
        </row>
        <row r="3040">
          <cell r="A3040" t="str">
            <v>IS_alqt_plus</v>
          </cell>
          <cell r="K3040" t="str">
            <v>EFLA</v>
          </cell>
          <cell r="M3040" t="str">
            <v>F</v>
          </cell>
          <cell r="AC3040">
            <v>1</v>
          </cell>
        </row>
        <row r="3041">
          <cell r="A3041" t="str">
            <v>IS_alqt_plus</v>
          </cell>
          <cell r="K3041" t="str">
            <v>EFLA</v>
          </cell>
          <cell r="M3041" t="str">
            <v>F</v>
          </cell>
          <cell r="AC3041">
            <v>1</v>
          </cell>
        </row>
        <row r="3042">
          <cell r="A3042" t="str">
            <v>IS_alqt_plus</v>
          </cell>
          <cell r="K3042" t="str">
            <v>EFLA</v>
          </cell>
          <cell r="M3042" t="str">
            <v>F</v>
          </cell>
          <cell r="AC3042">
            <v>1</v>
          </cell>
        </row>
        <row r="3043">
          <cell r="A3043" t="str">
            <v>IS_alqt_plus</v>
          </cell>
          <cell r="K3043" t="str">
            <v>EFLA</v>
          </cell>
          <cell r="M3043" t="str">
            <v>F</v>
          </cell>
          <cell r="AC3043">
            <v>1</v>
          </cell>
        </row>
        <row r="3044">
          <cell r="A3044" t="str">
            <v>IS_alqt_plus</v>
          </cell>
          <cell r="K3044" t="str">
            <v>EFLA</v>
          </cell>
          <cell r="M3044" t="str">
            <v>F</v>
          </cell>
          <cell r="AC3044">
            <v>1</v>
          </cell>
        </row>
        <row r="3045">
          <cell r="A3045" t="str">
            <v>IS_alqt_plus</v>
          </cell>
          <cell r="K3045" t="str">
            <v>EFLA</v>
          </cell>
          <cell r="M3045" t="str">
            <v>F</v>
          </cell>
          <cell r="AC3045">
            <v>1</v>
          </cell>
        </row>
        <row r="3046">
          <cell r="A3046" t="str">
            <v>IS_alqt_plus</v>
          </cell>
          <cell r="K3046" t="str">
            <v>EFLA</v>
          </cell>
          <cell r="M3046" t="str">
            <v>F</v>
          </cell>
          <cell r="AC3046">
            <v>1</v>
          </cell>
        </row>
        <row r="3047">
          <cell r="A3047" t="str">
            <v>IS_alqt_plus</v>
          </cell>
          <cell r="K3047" t="str">
            <v>EFLA</v>
          </cell>
          <cell r="M3047" t="str">
            <v>F</v>
          </cell>
          <cell r="AC3047">
            <v>1</v>
          </cell>
        </row>
        <row r="3048">
          <cell r="A3048" t="str">
            <v>IS_alqt_plus</v>
          </cell>
          <cell r="K3048" t="str">
            <v>EFLA</v>
          </cell>
          <cell r="M3048" t="str">
            <v>F</v>
          </cell>
          <cell r="AC3048">
            <v>1</v>
          </cell>
        </row>
        <row r="3049">
          <cell r="A3049" t="str">
            <v>IS_alqt_plus</v>
          </cell>
          <cell r="K3049" t="str">
            <v>EFLA</v>
          </cell>
          <cell r="M3049" t="str">
            <v>F</v>
          </cell>
          <cell r="AC3049">
            <v>1</v>
          </cell>
        </row>
        <row r="3050">
          <cell r="A3050" t="str">
            <v>IS_alqt_minus</v>
          </cell>
          <cell r="K3050" t="str">
            <v>MMUR</v>
          </cell>
          <cell r="M3050" t="str">
            <v>F</v>
          </cell>
          <cell r="AC3050">
            <v>0.2</v>
          </cell>
        </row>
        <row r="3051">
          <cell r="A3051" t="str">
            <v>IS_alqt_plus</v>
          </cell>
          <cell r="K3051" t="str">
            <v>PCOQ</v>
          </cell>
          <cell r="M3051" t="str">
            <v>M</v>
          </cell>
          <cell r="AC3051">
            <v>0.75</v>
          </cell>
        </row>
        <row r="3052">
          <cell r="A3052" t="str">
            <v>IS_alqt_plus</v>
          </cell>
          <cell r="K3052" t="str">
            <v>PCOQ</v>
          </cell>
          <cell r="M3052" t="str">
            <v>M</v>
          </cell>
          <cell r="AC3052">
            <v>0.5</v>
          </cell>
        </row>
        <row r="3053">
          <cell r="A3053" t="str">
            <v>IS_alqt_plus</v>
          </cell>
          <cell r="K3053" t="str">
            <v>PCOQ</v>
          </cell>
          <cell r="M3053" t="str">
            <v>M</v>
          </cell>
          <cell r="AC3053">
            <v>0.5</v>
          </cell>
        </row>
        <row r="3054">
          <cell r="A3054" t="str">
            <v>IS_alqt_plus</v>
          </cell>
          <cell r="K3054" t="str">
            <v>PCOQ</v>
          </cell>
          <cell r="M3054" t="str">
            <v>M</v>
          </cell>
          <cell r="AC3054">
            <v>0.5</v>
          </cell>
        </row>
        <row r="3055">
          <cell r="A3055" t="str">
            <v>IS_alqt_plus</v>
          </cell>
          <cell r="K3055" t="str">
            <v>PCOQ</v>
          </cell>
          <cell r="M3055" t="str">
            <v>M</v>
          </cell>
          <cell r="AC3055">
            <v>0.5</v>
          </cell>
        </row>
        <row r="3056">
          <cell r="A3056" t="str">
            <v>IS_alqt_plus</v>
          </cell>
          <cell r="K3056" t="str">
            <v>PCOQ</v>
          </cell>
          <cell r="M3056" t="str">
            <v>M</v>
          </cell>
          <cell r="AC3056">
            <v>0.5</v>
          </cell>
        </row>
        <row r="3057">
          <cell r="A3057" t="str">
            <v>IS_alqt_plus</v>
          </cell>
          <cell r="K3057" t="str">
            <v>PCOQ</v>
          </cell>
          <cell r="M3057" t="str">
            <v>M</v>
          </cell>
          <cell r="AC3057">
            <v>0.5</v>
          </cell>
        </row>
        <row r="3058">
          <cell r="A3058" t="str">
            <v>IS_alqt_plus</v>
          </cell>
          <cell r="K3058" t="str">
            <v>PCOQ</v>
          </cell>
          <cell r="M3058" t="str">
            <v>M</v>
          </cell>
          <cell r="AC3058">
            <v>0.5</v>
          </cell>
        </row>
        <row r="3059">
          <cell r="A3059" t="str">
            <v>IS_alqt_plus</v>
          </cell>
          <cell r="K3059" t="str">
            <v>PCOQ</v>
          </cell>
          <cell r="M3059" t="str">
            <v>M</v>
          </cell>
          <cell r="AC3059">
            <v>0.5</v>
          </cell>
        </row>
        <row r="3060">
          <cell r="A3060" t="str">
            <v>IS_alqt_plus</v>
          </cell>
          <cell r="K3060" t="str">
            <v>PCOQ</v>
          </cell>
          <cell r="M3060" t="str">
            <v>M</v>
          </cell>
          <cell r="AC3060">
            <v>1</v>
          </cell>
        </row>
        <row r="3061">
          <cell r="A3061" t="str">
            <v>IS_alqt_plus</v>
          </cell>
          <cell r="K3061" t="str">
            <v>PCOQ</v>
          </cell>
          <cell r="M3061" t="str">
            <v>M</v>
          </cell>
          <cell r="AC3061">
            <v>1</v>
          </cell>
        </row>
        <row r="3062">
          <cell r="A3062" t="str">
            <v>IS_alqt_plus</v>
          </cell>
          <cell r="K3062" t="str">
            <v>PCOQ</v>
          </cell>
          <cell r="M3062" t="str">
            <v>M</v>
          </cell>
          <cell r="AC3062">
            <v>1</v>
          </cell>
        </row>
        <row r="3063">
          <cell r="A3063" t="str">
            <v>IS_alqt_plus</v>
          </cell>
          <cell r="K3063" t="str">
            <v>PCOQ</v>
          </cell>
          <cell r="M3063" t="str">
            <v>M</v>
          </cell>
          <cell r="AC3063">
            <v>1</v>
          </cell>
        </row>
        <row r="3064">
          <cell r="A3064" t="str">
            <v>IS_alqt_plus</v>
          </cell>
          <cell r="K3064" t="str">
            <v>PCOQ</v>
          </cell>
          <cell r="M3064" t="str">
            <v>M</v>
          </cell>
          <cell r="AC3064">
            <v>1</v>
          </cell>
        </row>
        <row r="3065">
          <cell r="A3065" t="str">
            <v>IS_alqt_plus</v>
          </cell>
          <cell r="K3065" t="str">
            <v>PCOQ</v>
          </cell>
          <cell r="M3065" t="str">
            <v>M</v>
          </cell>
          <cell r="AC3065">
            <v>1</v>
          </cell>
        </row>
        <row r="3066">
          <cell r="A3066" t="str">
            <v>IS_alqt_plus</v>
          </cell>
          <cell r="K3066" t="str">
            <v>PCOQ</v>
          </cell>
          <cell r="M3066" t="str">
            <v>M</v>
          </cell>
          <cell r="AC3066">
            <v>0.5</v>
          </cell>
        </row>
        <row r="3067">
          <cell r="A3067" t="str">
            <v>IS_alqt_plus</v>
          </cell>
          <cell r="K3067" t="str">
            <v>PCOQ</v>
          </cell>
          <cell r="M3067" t="str">
            <v>M</v>
          </cell>
          <cell r="AC3067">
            <v>0.5</v>
          </cell>
        </row>
        <row r="3068">
          <cell r="A3068" t="str">
            <v>IS_alqt_plus</v>
          </cell>
          <cell r="K3068" t="str">
            <v>PCOQ</v>
          </cell>
          <cell r="M3068" t="str">
            <v>M</v>
          </cell>
          <cell r="AC3068">
            <v>1</v>
          </cell>
        </row>
        <row r="3069">
          <cell r="A3069" t="str">
            <v>unk</v>
          </cell>
          <cell r="K3069" t="str">
            <v>PCOQ</v>
          </cell>
          <cell r="M3069" t="str">
            <v>M</v>
          </cell>
          <cell r="AC3069">
            <v>1</v>
          </cell>
        </row>
        <row r="3070">
          <cell r="A3070" t="str">
            <v>IS_alqt_minus</v>
          </cell>
          <cell r="K3070" t="str">
            <v>EFLA</v>
          </cell>
          <cell r="M3070" t="str">
            <v>F</v>
          </cell>
          <cell r="AC3070">
            <v>0.25</v>
          </cell>
        </row>
        <row r="3071">
          <cell r="A3071" t="str">
            <v>IS_alqt_plus</v>
          </cell>
          <cell r="K3071" t="str">
            <v>PCOQ</v>
          </cell>
          <cell r="M3071" t="str">
            <v>M</v>
          </cell>
          <cell r="AC3071">
            <v>1</v>
          </cell>
        </row>
        <row r="3072">
          <cell r="A3072" t="str">
            <v>IS_alqt_plus</v>
          </cell>
          <cell r="K3072" t="str">
            <v>PCOQ</v>
          </cell>
          <cell r="M3072" t="str">
            <v>M</v>
          </cell>
          <cell r="AC3072">
            <v>1</v>
          </cell>
        </row>
        <row r="3073">
          <cell r="A3073" t="str">
            <v>IS_alqt_plus</v>
          </cell>
          <cell r="K3073" t="str">
            <v>PCOQ</v>
          </cell>
          <cell r="M3073" t="str">
            <v>M</v>
          </cell>
          <cell r="AC3073">
            <v>1</v>
          </cell>
        </row>
        <row r="3074">
          <cell r="A3074" t="str">
            <v>IS_alqt_plus</v>
          </cell>
          <cell r="K3074" t="str">
            <v>PCOQ</v>
          </cell>
          <cell r="M3074" t="str">
            <v>M</v>
          </cell>
          <cell r="AC3074">
            <v>1</v>
          </cell>
        </row>
        <row r="3075">
          <cell r="A3075" t="str">
            <v>IS_alqt_plus</v>
          </cell>
          <cell r="K3075" t="str">
            <v>PCOQ</v>
          </cell>
          <cell r="M3075" t="str">
            <v>M</v>
          </cell>
          <cell r="AC3075">
            <v>1</v>
          </cell>
        </row>
        <row r="3076">
          <cell r="A3076" t="str">
            <v>IS_alqt_plus</v>
          </cell>
          <cell r="K3076" t="str">
            <v>PCOQ</v>
          </cell>
          <cell r="M3076" t="str">
            <v>M</v>
          </cell>
          <cell r="AC3076">
            <v>1</v>
          </cell>
        </row>
        <row r="3077">
          <cell r="A3077" t="str">
            <v>IS_alqt_plus</v>
          </cell>
          <cell r="K3077" t="str">
            <v>PCOQ</v>
          </cell>
          <cell r="M3077" t="str">
            <v>M</v>
          </cell>
          <cell r="AC3077">
            <v>1</v>
          </cell>
        </row>
        <row r="3078">
          <cell r="A3078" t="str">
            <v>IS_alqt_plus</v>
          </cell>
          <cell r="K3078" t="str">
            <v>PCOQ</v>
          </cell>
          <cell r="M3078" t="str">
            <v>M</v>
          </cell>
          <cell r="AC3078">
            <v>1</v>
          </cell>
        </row>
        <row r="3079">
          <cell r="A3079" t="str">
            <v>IS_alqt_plus</v>
          </cell>
          <cell r="K3079" t="str">
            <v>PCOQ</v>
          </cell>
          <cell r="M3079" t="str">
            <v>M</v>
          </cell>
          <cell r="AC3079">
            <v>1</v>
          </cell>
        </row>
        <row r="3080">
          <cell r="A3080" t="str">
            <v>IS_alqt_plus</v>
          </cell>
          <cell r="K3080" t="str">
            <v>PCOQ</v>
          </cell>
          <cell r="M3080" t="str">
            <v>M</v>
          </cell>
          <cell r="AC3080">
            <v>1</v>
          </cell>
        </row>
        <row r="3081">
          <cell r="A3081" t="str">
            <v>IS_alqt_plus</v>
          </cell>
          <cell r="K3081" t="str">
            <v>PCOQ</v>
          </cell>
          <cell r="M3081" t="str">
            <v>M</v>
          </cell>
          <cell r="AC3081">
            <v>1</v>
          </cell>
        </row>
        <row r="3082">
          <cell r="A3082" t="str">
            <v>IS_alqt_plus</v>
          </cell>
          <cell r="K3082" t="str">
            <v>PCOQ</v>
          </cell>
          <cell r="M3082" t="str">
            <v>M</v>
          </cell>
          <cell r="AC3082">
            <v>1</v>
          </cell>
        </row>
        <row r="3083">
          <cell r="A3083" t="str">
            <v>IS_alqt_plus</v>
          </cell>
          <cell r="K3083" t="str">
            <v>PCOQ</v>
          </cell>
          <cell r="M3083" t="str">
            <v>M</v>
          </cell>
          <cell r="AC3083">
            <v>1</v>
          </cell>
        </row>
        <row r="3084">
          <cell r="A3084" t="str">
            <v>IS_alqt_plus</v>
          </cell>
          <cell r="K3084" t="str">
            <v>PCOQ</v>
          </cell>
          <cell r="M3084" t="str">
            <v>M</v>
          </cell>
          <cell r="AC3084">
            <v>1</v>
          </cell>
        </row>
        <row r="3085">
          <cell r="A3085" t="str">
            <v>IS_alqt_plus</v>
          </cell>
          <cell r="K3085" t="str">
            <v>PCOQ</v>
          </cell>
          <cell r="M3085" t="str">
            <v>M</v>
          </cell>
          <cell r="AC3085">
            <v>1</v>
          </cell>
        </row>
        <row r="3086">
          <cell r="A3086" t="str">
            <v>IS_alqt_plus</v>
          </cell>
          <cell r="K3086" t="str">
            <v>PCOQ</v>
          </cell>
          <cell r="M3086" t="str">
            <v>M</v>
          </cell>
          <cell r="AC3086">
            <v>1</v>
          </cell>
        </row>
        <row r="3087">
          <cell r="A3087" t="str">
            <v>IS_alqt_plus</v>
          </cell>
          <cell r="K3087" t="str">
            <v>PCOQ</v>
          </cell>
          <cell r="M3087" t="str">
            <v>M</v>
          </cell>
          <cell r="AC3087">
            <v>1</v>
          </cell>
        </row>
        <row r="3088">
          <cell r="A3088" t="str">
            <v>IS_alqt_plus</v>
          </cell>
          <cell r="K3088" t="str">
            <v>PCOQ</v>
          </cell>
          <cell r="M3088" t="str">
            <v>M</v>
          </cell>
          <cell r="AC3088">
            <v>1</v>
          </cell>
        </row>
        <row r="3089">
          <cell r="A3089" t="str">
            <v>IS_alqt_plus</v>
          </cell>
          <cell r="K3089" t="str">
            <v>PCOQ</v>
          </cell>
          <cell r="M3089" t="str">
            <v>M</v>
          </cell>
          <cell r="AC3089">
            <v>1</v>
          </cell>
        </row>
        <row r="3090">
          <cell r="A3090" t="str">
            <v>IS_alqt_plus</v>
          </cell>
          <cell r="K3090" t="str">
            <v>PCOQ</v>
          </cell>
          <cell r="M3090" t="str">
            <v>M</v>
          </cell>
          <cell r="AC3090">
            <v>1</v>
          </cell>
        </row>
        <row r="3091">
          <cell r="A3091" t="str">
            <v>IS_alqt_plus</v>
          </cell>
          <cell r="K3091" t="str">
            <v>PCOQ</v>
          </cell>
          <cell r="M3091" t="str">
            <v>M</v>
          </cell>
          <cell r="AC3091">
            <v>1</v>
          </cell>
        </row>
        <row r="3092">
          <cell r="A3092" t="str">
            <v>IS_alqt_plus</v>
          </cell>
          <cell r="K3092" t="str">
            <v>PCOQ</v>
          </cell>
          <cell r="M3092" t="str">
            <v>M</v>
          </cell>
          <cell r="AC3092">
            <v>1</v>
          </cell>
        </row>
        <row r="3093">
          <cell r="A3093" t="str">
            <v>IS_alqt_plus</v>
          </cell>
          <cell r="K3093" t="str">
            <v>PCOQ</v>
          </cell>
          <cell r="M3093" t="str">
            <v>M</v>
          </cell>
          <cell r="AC3093">
            <v>1</v>
          </cell>
        </row>
        <row r="3094">
          <cell r="A3094" t="str">
            <v>IS_alqt_plus</v>
          </cell>
          <cell r="K3094" t="str">
            <v>PCOQ</v>
          </cell>
          <cell r="M3094" t="str">
            <v>M</v>
          </cell>
          <cell r="AC3094">
            <v>1</v>
          </cell>
        </row>
        <row r="3095">
          <cell r="A3095" t="str">
            <v>IS_alqt_plus</v>
          </cell>
          <cell r="K3095" t="str">
            <v>PCOQ</v>
          </cell>
          <cell r="M3095" t="str">
            <v>M</v>
          </cell>
          <cell r="AC3095">
            <v>1</v>
          </cell>
        </row>
        <row r="3096">
          <cell r="A3096" t="str">
            <v>IS_alqt_plus</v>
          </cell>
          <cell r="K3096" t="str">
            <v>PCOQ</v>
          </cell>
          <cell r="M3096" t="str">
            <v>M</v>
          </cell>
          <cell r="AC3096">
            <v>1</v>
          </cell>
        </row>
        <row r="3097">
          <cell r="A3097" t="str">
            <v>IS_alqt_plus</v>
          </cell>
          <cell r="K3097" t="str">
            <v>PCOQ</v>
          </cell>
          <cell r="M3097" t="str">
            <v>M</v>
          </cell>
          <cell r="AC3097">
            <v>1</v>
          </cell>
        </row>
        <row r="3098">
          <cell r="A3098" t="str">
            <v>IS_alqt_plus</v>
          </cell>
          <cell r="K3098" t="str">
            <v>PCOQ</v>
          </cell>
          <cell r="M3098" t="str">
            <v>M</v>
          </cell>
          <cell r="AC3098">
            <v>1</v>
          </cell>
        </row>
        <row r="3099">
          <cell r="A3099" t="str">
            <v>IS_alqt_plus</v>
          </cell>
          <cell r="K3099" t="str">
            <v>PCOQ</v>
          </cell>
          <cell r="M3099" t="str">
            <v>M</v>
          </cell>
          <cell r="AC3099">
            <v>1</v>
          </cell>
        </row>
        <row r="3100">
          <cell r="A3100" t="str">
            <v>IS_alqt_plus</v>
          </cell>
          <cell r="K3100" t="str">
            <v>PCOQ</v>
          </cell>
          <cell r="M3100" t="str">
            <v>M</v>
          </cell>
          <cell r="AC3100">
            <v>1</v>
          </cell>
        </row>
        <row r="3101">
          <cell r="A3101" t="str">
            <v>IS_alqt_plus</v>
          </cell>
          <cell r="K3101" t="str">
            <v>DMAD</v>
          </cell>
          <cell r="M3101" t="str">
            <v>F</v>
          </cell>
          <cell r="AC3101">
            <v>1</v>
          </cell>
        </row>
        <row r="3102">
          <cell r="A3102" t="str">
            <v>IS_alqt_plus</v>
          </cell>
          <cell r="K3102" t="str">
            <v>DMAD</v>
          </cell>
          <cell r="M3102" t="str">
            <v>F</v>
          </cell>
          <cell r="AC3102">
            <v>1</v>
          </cell>
        </row>
        <row r="3103">
          <cell r="A3103" t="str">
            <v>IS_alqt_plus</v>
          </cell>
          <cell r="K3103" t="str">
            <v>DMAD</v>
          </cell>
          <cell r="M3103" t="str">
            <v>F</v>
          </cell>
          <cell r="AC3103">
            <v>1</v>
          </cell>
        </row>
        <row r="3104">
          <cell r="A3104" t="str">
            <v>IS_alqt_plus</v>
          </cell>
          <cell r="K3104" t="str">
            <v>DMAD</v>
          </cell>
          <cell r="M3104" t="str">
            <v>F</v>
          </cell>
          <cell r="AC3104">
            <v>1</v>
          </cell>
        </row>
        <row r="3105">
          <cell r="A3105" t="str">
            <v>IS_alqt_plus</v>
          </cell>
          <cell r="K3105" t="str">
            <v>DMAD</v>
          </cell>
          <cell r="M3105" t="str">
            <v>F</v>
          </cell>
          <cell r="AC3105">
            <v>1</v>
          </cell>
        </row>
        <row r="3106">
          <cell r="A3106" t="str">
            <v>IS_alqt_plus</v>
          </cell>
          <cell r="K3106" t="str">
            <v>DMAD</v>
          </cell>
          <cell r="M3106" t="str">
            <v>F</v>
          </cell>
          <cell r="AC3106">
            <v>1</v>
          </cell>
        </row>
        <row r="3107">
          <cell r="A3107" t="str">
            <v>IS_alqt_plus</v>
          </cell>
          <cell r="K3107" t="str">
            <v>DMAD</v>
          </cell>
          <cell r="M3107" t="str">
            <v>F</v>
          </cell>
          <cell r="AC3107">
            <v>1</v>
          </cell>
        </row>
        <row r="3108">
          <cell r="A3108" t="str">
            <v>IS_alqt_plus</v>
          </cell>
          <cell r="K3108" t="str">
            <v>DMAD</v>
          </cell>
          <cell r="M3108" t="str">
            <v>F</v>
          </cell>
          <cell r="AC3108">
            <v>0.75</v>
          </cell>
        </row>
        <row r="3109">
          <cell r="A3109" t="str">
            <v>IS_alqt_plus</v>
          </cell>
          <cell r="K3109" t="str">
            <v>DMAD</v>
          </cell>
          <cell r="M3109" t="str">
            <v>F</v>
          </cell>
          <cell r="AC3109">
            <v>1</v>
          </cell>
        </row>
        <row r="3110">
          <cell r="A3110" t="str">
            <v>IS_alqt_plus</v>
          </cell>
          <cell r="K3110" t="str">
            <v>DMAD</v>
          </cell>
          <cell r="M3110" t="str">
            <v>F</v>
          </cell>
          <cell r="AC3110">
            <v>1</v>
          </cell>
        </row>
        <row r="3111">
          <cell r="A3111" t="str">
            <v>IS_alqt_plus</v>
          </cell>
          <cell r="K3111" t="str">
            <v>DMAD</v>
          </cell>
          <cell r="M3111" t="str">
            <v>F</v>
          </cell>
          <cell r="AC3111">
            <v>1</v>
          </cell>
        </row>
        <row r="3112">
          <cell r="A3112" t="str">
            <v>IS_alqt_plus</v>
          </cell>
          <cell r="K3112" t="str">
            <v>DMAD</v>
          </cell>
          <cell r="M3112" t="str">
            <v>F</v>
          </cell>
          <cell r="AC3112">
            <v>1</v>
          </cell>
        </row>
        <row r="3113">
          <cell r="A3113" t="str">
            <v>IS_alqt_plus</v>
          </cell>
          <cell r="K3113" t="str">
            <v>DMAD</v>
          </cell>
          <cell r="M3113" t="str">
            <v>F</v>
          </cell>
          <cell r="AC3113">
            <v>1</v>
          </cell>
        </row>
        <row r="3114">
          <cell r="A3114" t="str">
            <v>IS_alqt_plus</v>
          </cell>
          <cell r="K3114" t="str">
            <v>DMAD</v>
          </cell>
          <cell r="M3114" t="str">
            <v>F</v>
          </cell>
          <cell r="AC3114">
            <v>1</v>
          </cell>
        </row>
        <row r="3115">
          <cell r="A3115" t="str">
            <v>IS_alqt_plus</v>
          </cell>
          <cell r="K3115" t="str">
            <v>DMAD</v>
          </cell>
          <cell r="M3115" t="str">
            <v>F</v>
          </cell>
          <cell r="AC3115">
            <v>1</v>
          </cell>
        </row>
        <row r="3116">
          <cell r="A3116" t="str">
            <v>IS_alqt_plus</v>
          </cell>
          <cell r="K3116" t="str">
            <v>DMAD</v>
          </cell>
          <cell r="M3116" t="str">
            <v>F</v>
          </cell>
          <cell r="AC3116">
            <v>1</v>
          </cell>
        </row>
        <row r="3117">
          <cell r="A3117" t="str">
            <v>IS_alqt_plus</v>
          </cell>
          <cell r="K3117" t="str">
            <v>DMAD</v>
          </cell>
          <cell r="M3117" t="str">
            <v>F</v>
          </cell>
          <cell r="AC3117">
            <v>1</v>
          </cell>
        </row>
        <row r="3118">
          <cell r="A3118" t="str">
            <v>IS_alqt_plus</v>
          </cell>
          <cell r="K3118" t="str">
            <v>DMAD</v>
          </cell>
          <cell r="M3118" t="str">
            <v>F</v>
          </cell>
          <cell r="AC3118">
            <v>1</v>
          </cell>
        </row>
        <row r="3119">
          <cell r="A3119" t="str">
            <v>IS_alqt_plus</v>
          </cell>
          <cell r="K3119" t="str">
            <v>DMAD</v>
          </cell>
          <cell r="M3119" t="str">
            <v>F</v>
          </cell>
          <cell r="AC3119">
            <v>1</v>
          </cell>
        </row>
        <row r="3120">
          <cell r="A3120" t="str">
            <v>IS_alqt_plus</v>
          </cell>
          <cell r="K3120" t="str">
            <v>DMAD</v>
          </cell>
          <cell r="M3120" t="str">
            <v>F</v>
          </cell>
          <cell r="AC3120">
            <v>1</v>
          </cell>
        </row>
        <row r="3121">
          <cell r="A3121" t="str">
            <v>IS_alqt_plus</v>
          </cell>
          <cell r="K3121" t="str">
            <v>DMAD</v>
          </cell>
          <cell r="M3121" t="str">
            <v>F</v>
          </cell>
          <cell r="AC3121">
            <v>1</v>
          </cell>
        </row>
        <row r="3122">
          <cell r="A3122" t="str">
            <v>IS_alqt_plus</v>
          </cell>
          <cell r="K3122" t="str">
            <v>DMAD</v>
          </cell>
          <cell r="M3122" t="str">
            <v>F</v>
          </cell>
          <cell r="AC3122">
            <v>1</v>
          </cell>
        </row>
        <row r="3123">
          <cell r="A3123" t="str">
            <v>IS_alqt_plus</v>
          </cell>
          <cell r="K3123" t="str">
            <v>DMAD</v>
          </cell>
          <cell r="M3123" t="str">
            <v>F</v>
          </cell>
          <cell r="AC3123">
            <v>1</v>
          </cell>
        </row>
        <row r="3124">
          <cell r="A3124" t="str">
            <v>IS_alqt_plus</v>
          </cell>
          <cell r="K3124" t="str">
            <v>DMAD</v>
          </cell>
          <cell r="M3124" t="str">
            <v>F</v>
          </cell>
          <cell r="AC3124">
            <v>1</v>
          </cell>
        </row>
        <row r="3125">
          <cell r="A3125" t="str">
            <v>IS_alqt_plus</v>
          </cell>
          <cell r="K3125" t="str">
            <v>DMAD</v>
          </cell>
          <cell r="M3125" t="str">
            <v>F</v>
          </cell>
          <cell r="AC3125">
            <v>1</v>
          </cell>
        </row>
        <row r="3126">
          <cell r="A3126" t="str">
            <v>IS_alqt_plus</v>
          </cell>
          <cell r="K3126" t="str">
            <v>DMAD</v>
          </cell>
          <cell r="M3126" t="str">
            <v>F</v>
          </cell>
          <cell r="AC3126">
            <v>1</v>
          </cell>
        </row>
        <row r="3127">
          <cell r="A3127" t="str">
            <v>IS_alqt_plus</v>
          </cell>
          <cell r="K3127" t="str">
            <v>DMAD</v>
          </cell>
          <cell r="M3127" t="str">
            <v>F</v>
          </cell>
          <cell r="AC3127">
            <v>1</v>
          </cell>
        </row>
        <row r="3128">
          <cell r="A3128" t="str">
            <v>IS_alqt_plus</v>
          </cell>
          <cell r="K3128" t="str">
            <v>DMAD</v>
          </cell>
          <cell r="M3128" t="str">
            <v>F</v>
          </cell>
          <cell r="AC3128">
            <v>1</v>
          </cell>
        </row>
        <row r="3129">
          <cell r="A3129" t="str">
            <v>IS_alqt_plus</v>
          </cell>
          <cell r="K3129" t="str">
            <v>DMAD</v>
          </cell>
          <cell r="M3129" t="str">
            <v>F</v>
          </cell>
          <cell r="AC3129">
            <v>1</v>
          </cell>
        </row>
        <row r="3130">
          <cell r="A3130" t="str">
            <v>IS_alqt_plus</v>
          </cell>
          <cell r="K3130" t="str">
            <v>DMAD</v>
          </cell>
          <cell r="M3130" t="str">
            <v>F</v>
          </cell>
          <cell r="AC3130">
            <v>0.5</v>
          </cell>
        </row>
        <row r="3131">
          <cell r="A3131" t="str">
            <v>IS_alqt_plus</v>
          </cell>
          <cell r="K3131" t="str">
            <v>DMAD</v>
          </cell>
          <cell r="M3131" t="str">
            <v>F</v>
          </cell>
          <cell r="AC3131">
            <v>0.5</v>
          </cell>
        </row>
        <row r="3132">
          <cell r="A3132" t="str">
            <v>IS_alqt_plus</v>
          </cell>
          <cell r="K3132" t="str">
            <v>DMAD</v>
          </cell>
          <cell r="M3132" t="str">
            <v>F</v>
          </cell>
          <cell r="AC3132">
            <v>0.5</v>
          </cell>
        </row>
        <row r="3133">
          <cell r="A3133" t="str">
            <v>IS_alqt_plus</v>
          </cell>
          <cell r="K3133" t="str">
            <v>DMAD</v>
          </cell>
          <cell r="M3133" t="str">
            <v>F</v>
          </cell>
          <cell r="AC3133">
            <v>0.5</v>
          </cell>
        </row>
        <row r="3134">
          <cell r="A3134" t="str">
            <v>IS_alqt_plus</v>
          </cell>
          <cell r="K3134" t="str">
            <v>DMAD</v>
          </cell>
          <cell r="M3134" t="str">
            <v>F</v>
          </cell>
          <cell r="AC3134">
            <v>0.5</v>
          </cell>
        </row>
        <row r="3135">
          <cell r="A3135" t="str">
            <v>IS_alqt_plus</v>
          </cell>
          <cell r="K3135" t="str">
            <v>DMAD</v>
          </cell>
          <cell r="M3135" t="str">
            <v>F</v>
          </cell>
          <cell r="AC3135">
            <v>0.5</v>
          </cell>
        </row>
        <row r="3136">
          <cell r="A3136" t="str">
            <v>IS_alqt_plus</v>
          </cell>
          <cell r="K3136" t="str">
            <v>PCOQ</v>
          </cell>
          <cell r="M3136" t="str">
            <v>M</v>
          </cell>
          <cell r="AC3136">
            <v>0.5</v>
          </cell>
        </row>
        <row r="3137">
          <cell r="A3137" t="str">
            <v>IS_alqt_plus</v>
          </cell>
          <cell r="K3137" t="str">
            <v>PCOQ</v>
          </cell>
          <cell r="M3137" t="str">
            <v>M</v>
          </cell>
          <cell r="AC3137">
            <v>1</v>
          </cell>
        </row>
        <row r="3138">
          <cell r="A3138" t="str">
            <v>IS_alqt_plus</v>
          </cell>
          <cell r="K3138" t="str">
            <v>PCOQ</v>
          </cell>
          <cell r="M3138" t="str">
            <v>M</v>
          </cell>
          <cell r="AC3138">
            <v>1</v>
          </cell>
        </row>
        <row r="3139">
          <cell r="A3139" t="str">
            <v>IS_alqt_plus</v>
          </cell>
          <cell r="K3139" t="str">
            <v>PCOQ</v>
          </cell>
          <cell r="M3139" t="str">
            <v>M</v>
          </cell>
          <cell r="AC3139">
            <v>1</v>
          </cell>
        </row>
        <row r="3140">
          <cell r="A3140" t="str">
            <v>IS_alqt_plus</v>
          </cell>
          <cell r="K3140" t="str">
            <v>PCOQ</v>
          </cell>
          <cell r="M3140" t="str">
            <v>M</v>
          </cell>
          <cell r="AC3140">
            <v>1</v>
          </cell>
        </row>
        <row r="3141">
          <cell r="A3141" t="str">
            <v>IS_alqt_plus</v>
          </cell>
          <cell r="K3141" t="str">
            <v>PCOQ</v>
          </cell>
          <cell r="M3141" t="str">
            <v>M</v>
          </cell>
          <cell r="AC3141">
            <v>1</v>
          </cell>
        </row>
        <row r="3142">
          <cell r="A3142" t="str">
            <v>IS_alqt_plus</v>
          </cell>
          <cell r="K3142" t="str">
            <v>PCOQ</v>
          </cell>
          <cell r="M3142" t="str">
            <v>M</v>
          </cell>
          <cell r="AC3142">
            <v>1</v>
          </cell>
        </row>
        <row r="3143">
          <cell r="A3143" t="str">
            <v>IS_alqt_plus</v>
          </cell>
          <cell r="K3143" t="str">
            <v>PCOQ</v>
          </cell>
          <cell r="M3143" t="str">
            <v>M</v>
          </cell>
          <cell r="AC3143">
            <v>1</v>
          </cell>
        </row>
        <row r="3144">
          <cell r="A3144" t="str">
            <v>IS_alqt_plus</v>
          </cell>
          <cell r="K3144" t="str">
            <v>EFLA</v>
          </cell>
          <cell r="M3144" t="str">
            <v>M</v>
          </cell>
          <cell r="AC3144">
            <v>1</v>
          </cell>
        </row>
        <row r="3145">
          <cell r="A3145" t="str">
            <v>IS_alqt_plus</v>
          </cell>
          <cell r="K3145" t="str">
            <v>EFLA</v>
          </cell>
          <cell r="M3145" t="str">
            <v>M</v>
          </cell>
          <cell r="AC3145">
            <v>1</v>
          </cell>
        </row>
        <row r="3146">
          <cell r="A3146" t="str">
            <v>IS_alqt_plus</v>
          </cell>
          <cell r="K3146" t="str">
            <v>EFLA</v>
          </cell>
          <cell r="M3146" t="str">
            <v>M</v>
          </cell>
          <cell r="AC3146">
            <v>1</v>
          </cell>
        </row>
        <row r="3147">
          <cell r="A3147" t="str">
            <v>IS_alqt_minus</v>
          </cell>
          <cell r="K3147" t="str">
            <v>MMUR</v>
          </cell>
          <cell r="M3147" t="str">
            <v>M</v>
          </cell>
          <cell r="AC3147">
            <v>0.3</v>
          </cell>
        </row>
        <row r="3148">
          <cell r="A3148" t="str">
            <v>IS_alqt_minus</v>
          </cell>
          <cell r="K3148" t="str">
            <v>MMUR</v>
          </cell>
          <cell r="M3148" t="str">
            <v>M</v>
          </cell>
          <cell r="AC3148">
            <v>0.2</v>
          </cell>
        </row>
        <row r="3149">
          <cell r="A3149" t="str">
            <v>IS_alqt_plus</v>
          </cell>
          <cell r="K3149" t="str">
            <v>LCAT</v>
          </cell>
          <cell r="M3149" t="str">
            <v>F</v>
          </cell>
          <cell r="AC3149">
            <v>1.3</v>
          </cell>
        </row>
        <row r="3150">
          <cell r="A3150" t="str">
            <v>IS_alqt_plus</v>
          </cell>
          <cell r="K3150" t="str">
            <v>LCAT</v>
          </cell>
          <cell r="M3150" t="str">
            <v>F</v>
          </cell>
          <cell r="AC3150">
            <v>1</v>
          </cell>
        </row>
        <row r="3151">
          <cell r="A3151" t="str">
            <v>IS_alqt_plus</v>
          </cell>
          <cell r="K3151" t="str">
            <v>LCAT</v>
          </cell>
          <cell r="M3151" t="str">
            <v>F</v>
          </cell>
          <cell r="AC3151">
            <v>1.2</v>
          </cell>
        </row>
        <row r="3152">
          <cell r="A3152" t="str">
            <v>gone</v>
          </cell>
          <cell r="K3152" t="str">
            <v>LCAT</v>
          </cell>
          <cell r="M3152" t="str">
            <v>F</v>
          </cell>
          <cell r="AC3152">
            <v>0</v>
          </cell>
        </row>
        <row r="3153">
          <cell r="A3153" t="str">
            <v>IS_alqt_plus</v>
          </cell>
          <cell r="K3153" t="str">
            <v>DMAD</v>
          </cell>
          <cell r="M3153" t="str">
            <v>M</v>
          </cell>
          <cell r="AC3153">
            <v>0.75</v>
          </cell>
        </row>
        <row r="3154">
          <cell r="A3154" t="str">
            <v>IS_alqt_plus</v>
          </cell>
          <cell r="K3154" t="str">
            <v>DMAD</v>
          </cell>
          <cell r="M3154" t="str">
            <v>M</v>
          </cell>
          <cell r="AC3154">
            <v>1</v>
          </cell>
        </row>
        <row r="3155">
          <cell r="A3155" t="str">
            <v>IS_alqt_plus</v>
          </cell>
          <cell r="K3155" t="str">
            <v>DMAD</v>
          </cell>
          <cell r="M3155" t="str">
            <v>M</v>
          </cell>
          <cell r="AC3155">
            <v>1</v>
          </cell>
        </row>
        <row r="3156">
          <cell r="A3156" t="str">
            <v>IS_alqt_plus</v>
          </cell>
          <cell r="K3156" t="str">
            <v>DMAD</v>
          </cell>
          <cell r="M3156" t="str">
            <v>M</v>
          </cell>
          <cell r="AC3156">
            <v>1</v>
          </cell>
        </row>
        <row r="3157">
          <cell r="A3157" t="str">
            <v>IS_alqt_plus</v>
          </cell>
          <cell r="K3157" t="str">
            <v>DMAD</v>
          </cell>
          <cell r="M3157" t="str">
            <v>M</v>
          </cell>
          <cell r="AC3157">
            <v>1</v>
          </cell>
        </row>
        <row r="3158">
          <cell r="A3158" t="str">
            <v>IS_alqt_plus</v>
          </cell>
          <cell r="K3158" t="str">
            <v>ECOL</v>
          </cell>
          <cell r="M3158" t="str">
            <v>F</v>
          </cell>
          <cell r="AC3158">
            <v>0.75</v>
          </cell>
        </row>
        <row r="3159">
          <cell r="A3159" t="str">
            <v>IS_alqt_plus</v>
          </cell>
          <cell r="K3159" t="str">
            <v>PCOQ</v>
          </cell>
          <cell r="M3159" t="str">
            <v>M</v>
          </cell>
          <cell r="AC3159">
            <v>1</v>
          </cell>
        </row>
        <row r="3160">
          <cell r="A3160" t="str">
            <v>IS_alqt_plus</v>
          </cell>
          <cell r="K3160" t="str">
            <v>PCOQ</v>
          </cell>
          <cell r="M3160" t="str">
            <v>M</v>
          </cell>
          <cell r="AC3160">
            <v>1</v>
          </cell>
        </row>
        <row r="3161">
          <cell r="A3161" t="str">
            <v>IS_alqt_plus</v>
          </cell>
          <cell r="K3161" t="str">
            <v>PCOQ</v>
          </cell>
          <cell r="M3161" t="str">
            <v>M</v>
          </cell>
          <cell r="AC3161">
            <v>1</v>
          </cell>
        </row>
        <row r="3162">
          <cell r="A3162" t="str">
            <v>IS_alqt_plus</v>
          </cell>
          <cell r="K3162" t="str">
            <v>PCOQ</v>
          </cell>
          <cell r="M3162" t="str">
            <v>M</v>
          </cell>
          <cell r="AC3162">
            <v>1</v>
          </cell>
        </row>
        <row r="3163">
          <cell r="A3163" t="str">
            <v>IS_alqt_plus</v>
          </cell>
          <cell r="K3163" t="str">
            <v>PCOQ</v>
          </cell>
          <cell r="M3163" t="str">
            <v>M</v>
          </cell>
          <cell r="AC3163">
            <v>1</v>
          </cell>
        </row>
        <row r="3164">
          <cell r="A3164" t="str">
            <v>IS_alqt_plus</v>
          </cell>
          <cell r="K3164" t="str">
            <v>PCOQ</v>
          </cell>
          <cell r="M3164" t="str">
            <v>M</v>
          </cell>
          <cell r="AC3164">
            <v>1</v>
          </cell>
        </row>
        <row r="3165">
          <cell r="A3165" t="str">
            <v>IS_alqt_plus</v>
          </cell>
          <cell r="K3165" t="str">
            <v>PCOQ</v>
          </cell>
          <cell r="M3165" t="str">
            <v>M</v>
          </cell>
          <cell r="AC3165">
            <v>1</v>
          </cell>
        </row>
        <row r="3166">
          <cell r="A3166" t="str">
            <v>IS_alqt_plus</v>
          </cell>
          <cell r="K3166" t="str">
            <v>PCOQ</v>
          </cell>
          <cell r="M3166" t="str">
            <v>M</v>
          </cell>
          <cell r="AC3166">
            <v>1</v>
          </cell>
        </row>
        <row r="3167">
          <cell r="A3167" t="str">
            <v>IS_alqt_plus</v>
          </cell>
          <cell r="K3167" t="str">
            <v>PCOQ</v>
          </cell>
          <cell r="M3167" t="str">
            <v>M</v>
          </cell>
          <cell r="AC3167">
            <v>1</v>
          </cell>
        </row>
        <row r="3168">
          <cell r="A3168" t="str">
            <v>IS_alqt_plus</v>
          </cell>
          <cell r="K3168" t="str">
            <v>PCOQ</v>
          </cell>
          <cell r="M3168" t="str">
            <v>M</v>
          </cell>
          <cell r="AC3168">
            <v>1</v>
          </cell>
        </row>
        <row r="3169">
          <cell r="A3169" t="str">
            <v>IS_alqt_plus</v>
          </cell>
          <cell r="K3169" t="str">
            <v>PCOQ</v>
          </cell>
          <cell r="M3169" t="str">
            <v>F</v>
          </cell>
          <cell r="AC3169">
            <v>1</v>
          </cell>
        </row>
        <row r="3170">
          <cell r="A3170" t="str">
            <v>IS_alqt_plus</v>
          </cell>
          <cell r="K3170" t="str">
            <v>DMAD</v>
          </cell>
          <cell r="M3170" t="str">
            <v>F</v>
          </cell>
          <cell r="AC3170">
            <v>1.25</v>
          </cell>
        </row>
        <row r="3171">
          <cell r="A3171" t="str">
            <v>IS_alqt_plus</v>
          </cell>
          <cell r="K3171" t="str">
            <v>DMAD</v>
          </cell>
          <cell r="M3171" t="str">
            <v>F</v>
          </cell>
          <cell r="AC3171">
            <v>1.25</v>
          </cell>
        </row>
        <row r="3172">
          <cell r="A3172" t="str">
            <v>IS_alqt_plus</v>
          </cell>
          <cell r="K3172" t="str">
            <v>DMAD</v>
          </cell>
          <cell r="M3172" t="str">
            <v>F</v>
          </cell>
          <cell r="AC3172">
            <v>1.25</v>
          </cell>
        </row>
        <row r="3173">
          <cell r="A3173" t="str">
            <v>IS_alqt_plus</v>
          </cell>
          <cell r="K3173" t="str">
            <v>EFLA</v>
          </cell>
          <cell r="M3173" t="str">
            <v>F</v>
          </cell>
          <cell r="AC3173">
            <v>1.25</v>
          </cell>
        </row>
        <row r="3174">
          <cell r="A3174" t="str">
            <v>IS_alqt_minus</v>
          </cell>
          <cell r="K3174" t="str">
            <v>MMUR</v>
          </cell>
          <cell r="M3174" t="str">
            <v>M</v>
          </cell>
          <cell r="AC3174">
            <v>0.2</v>
          </cell>
        </row>
        <row r="3175">
          <cell r="A3175" t="str">
            <v>IS_alqt_plus</v>
          </cell>
          <cell r="K3175" t="str">
            <v>MMUR</v>
          </cell>
          <cell r="M3175" t="str">
            <v>M</v>
          </cell>
          <cell r="AC3175">
            <v>0.5</v>
          </cell>
        </row>
        <row r="3176">
          <cell r="A3176" t="str">
            <v>IS_alqt_minus</v>
          </cell>
          <cell r="K3176" t="str">
            <v>MMUR</v>
          </cell>
          <cell r="M3176" t="str">
            <v>M</v>
          </cell>
          <cell r="AC3176">
            <v>0.3</v>
          </cell>
        </row>
        <row r="3177">
          <cell r="A3177" t="str">
            <v>IS_alqt_plus</v>
          </cell>
          <cell r="K3177" t="str">
            <v>MMUR</v>
          </cell>
          <cell r="M3177" t="str">
            <v>M</v>
          </cell>
          <cell r="AC3177">
            <v>0.5</v>
          </cell>
        </row>
        <row r="3178">
          <cell r="A3178" t="str">
            <v>IS_alqt_plus</v>
          </cell>
          <cell r="K3178" t="str">
            <v>EFLA</v>
          </cell>
          <cell r="M3178" t="str">
            <v>F</v>
          </cell>
          <cell r="AC3178">
            <v>0.75</v>
          </cell>
        </row>
        <row r="3179">
          <cell r="A3179" t="str">
            <v>IS_alqt_plus</v>
          </cell>
          <cell r="K3179" t="str">
            <v>MMUR</v>
          </cell>
          <cell r="M3179" t="str">
            <v>M</v>
          </cell>
          <cell r="AC3179">
            <v>0.5</v>
          </cell>
        </row>
        <row r="3180">
          <cell r="A3180" t="str">
            <v>IS_alqt_plus</v>
          </cell>
          <cell r="K3180" t="str">
            <v>PCOQ</v>
          </cell>
          <cell r="M3180" t="str">
            <v>M</v>
          </cell>
          <cell r="AC3180">
            <v>1</v>
          </cell>
        </row>
        <row r="3181">
          <cell r="A3181" t="str">
            <v>IS_alqt_plus</v>
          </cell>
          <cell r="K3181" t="str">
            <v>PCOQ</v>
          </cell>
          <cell r="M3181" t="str">
            <v>M</v>
          </cell>
          <cell r="AC3181">
            <v>1</v>
          </cell>
        </row>
        <row r="3182">
          <cell r="A3182" t="str">
            <v>IS_alqt_plus</v>
          </cell>
          <cell r="K3182" t="str">
            <v>PCOQ</v>
          </cell>
          <cell r="M3182" t="str">
            <v>M</v>
          </cell>
          <cell r="AC3182">
            <v>1</v>
          </cell>
        </row>
        <row r="3183">
          <cell r="A3183" t="str">
            <v>IS_alqt_plus</v>
          </cell>
          <cell r="K3183" t="str">
            <v>PCOQ</v>
          </cell>
          <cell r="M3183" t="str">
            <v>M</v>
          </cell>
          <cell r="AC3183">
            <v>1</v>
          </cell>
        </row>
        <row r="3184">
          <cell r="A3184" t="str">
            <v>IS_alqt_plus</v>
          </cell>
          <cell r="K3184" t="str">
            <v>PCOQ</v>
          </cell>
          <cell r="M3184" t="str">
            <v>M</v>
          </cell>
          <cell r="AC3184">
            <v>1</v>
          </cell>
        </row>
        <row r="3185">
          <cell r="A3185" t="str">
            <v>IS_alqt_plus</v>
          </cell>
          <cell r="K3185" t="str">
            <v>PCOQ</v>
          </cell>
          <cell r="M3185" t="str">
            <v>M</v>
          </cell>
          <cell r="AC3185">
            <v>0.75</v>
          </cell>
        </row>
        <row r="3186">
          <cell r="A3186" t="str">
            <v>IS_alqt_plus</v>
          </cell>
          <cell r="K3186" t="str">
            <v>PCOQ</v>
          </cell>
          <cell r="M3186" t="str">
            <v>M</v>
          </cell>
          <cell r="AC3186">
            <v>1</v>
          </cell>
        </row>
        <row r="3187">
          <cell r="A3187" t="str">
            <v>IS_alqt_plus</v>
          </cell>
          <cell r="K3187" t="str">
            <v>PCOQ</v>
          </cell>
          <cell r="M3187" t="str">
            <v>M</v>
          </cell>
          <cell r="AC3187">
            <v>1</v>
          </cell>
        </row>
        <row r="3188">
          <cell r="A3188" t="str">
            <v>IS_alqt_plus</v>
          </cell>
          <cell r="K3188" t="str">
            <v>PCOQ</v>
          </cell>
          <cell r="M3188" t="str">
            <v>M</v>
          </cell>
          <cell r="AC3188">
            <v>1</v>
          </cell>
        </row>
        <row r="3189">
          <cell r="A3189" t="str">
            <v>IS_alqt_plus</v>
          </cell>
          <cell r="K3189" t="str">
            <v>PCOQ</v>
          </cell>
          <cell r="M3189" t="str">
            <v>M</v>
          </cell>
          <cell r="AC3189">
            <v>1</v>
          </cell>
        </row>
        <row r="3190">
          <cell r="A3190" t="str">
            <v>IS_alqt_plus</v>
          </cell>
          <cell r="K3190" t="str">
            <v>PCOQ</v>
          </cell>
          <cell r="M3190" t="str">
            <v>M</v>
          </cell>
          <cell r="AC3190">
            <v>1</v>
          </cell>
        </row>
        <row r="3191">
          <cell r="A3191" t="str">
            <v>IS_alqt_plus</v>
          </cell>
          <cell r="K3191" t="str">
            <v>PCOQ</v>
          </cell>
          <cell r="M3191" t="str">
            <v>M</v>
          </cell>
          <cell r="AC3191">
            <v>1</v>
          </cell>
        </row>
        <row r="3192">
          <cell r="A3192" t="str">
            <v>IS_alqt_plus</v>
          </cell>
          <cell r="K3192" t="str">
            <v>PCOQ</v>
          </cell>
          <cell r="M3192" t="str">
            <v>M</v>
          </cell>
          <cell r="AC3192">
            <v>1</v>
          </cell>
        </row>
        <row r="3193">
          <cell r="A3193" t="str">
            <v>IS_alqt_plus</v>
          </cell>
          <cell r="K3193" t="str">
            <v>PCOQ</v>
          </cell>
          <cell r="M3193" t="str">
            <v>M</v>
          </cell>
          <cell r="AC3193">
            <v>1</v>
          </cell>
        </row>
        <row r="3194">
          <cell r="A3194" t="str">
            <v>IS_alqt_plus</v>
          </cell>
          <cell r="K3194" t="str">
            <v>PCOQ</v>
          </cell>
          <cell r="M3194" t="str">
            <v>M</v>
          </cell>
          <cell r="AC3194">
            <v>1</v>
          </cell>
        </row>
        <row r="3195">
          <cell r="A3195" t="str">
            <v>IS_alqt_plus</v>
          </cell>
          <cell r="K3195" t="str">
            <v>PCOQ</v>
          </cell>
          <cell r="M3195" t="str">
            <v>M</v>
          </cell>
          <cell r="AC3195">
            <v>1</v>
          </cell>
        </row>
        <row r="3196">
          <cell r="A3196" t="str">
            <v>IS_alqt_plus</v>
          </cell>
          <cell r="K3196" t="str">
            <v>PCOQ</v>
          </cell>
          <cell r="M3196" t="str">
            <v>M</v>
          </cell>
          <cell r="AC3196">
            <v>1</v>
          </cell>
        </row>
        <row r="3197">
          <cell r="A3197" t="str">
            <v>IS_alqt_plus</v>
          </cell>
          <cell r="K3197" t="str">
            <v>PCOQ</v>
          </cell>
          <cell r="M3197" t="str">
            <v>M</v>
          </cell>
          <cell r="AC3197">
            <v>1</v>
          </cell>
        </row>
        <row r="3198">
          <cell r="A3198" t="str">
            <v>IS_alqt_plus</v>
          </cell>
          <cell r="K3198" t="str">
            <v>PCOQ</v>
          </cell>
          <cell r="M3198" t="str">
            <v>M</v>
          </cell>
          <cell r="AC3198">
            <v>1</v>
          </cell>
        </row>
        <row r="3199">
          <cell r="A3199" t="str">
            <v>IS_alqt_plus</v>
          </cell>
          <cell r="K3199" t="str">
            <v>PCOQ</v>
          </cell>
          <cell r="M3199" t="str">
            <v>M</v>
          </cell>
          <cell r="AC3199">
            <v>1</v>
          </cell>
        </row>
        <row r="3200">
          <cell r="A3200" t="str">
            <v>IS_alqt_plus</v>
          </cell>
          <cell r="K3200" t="str">
            <v>PCOQ</v>
          </cell>
          <cell r="M3200" t="str">
            <v>M</v>
          </cell>
          <cell r="AC3200">
            <v>1</v>
          </cell>
        </row>
        <row r="3201">
          <cell r="A3201" t="str">
            <v>IS_alqt_plus</v>
          </cell>
          <cell r="K3201" t="str">
            <v>PCOQ</v>
          </cell>
          <cell r="M3201" t="str">
            <v>M</v>
          </cell>
          <cell r="AC3201">
            <v>1</v>
          </cell>
        </row>
        <row r="3202">
          <cell r="A3202" t="str">
            <v>IS_alqt_plus</v>
          </cell>
          <cell r="K3202" t="str">
            <v>PCOQ</v>
          </cell>
          <cell r="M3202" t="str">
            <v>M</v>
          </cell>
          <cell r="AC3202">
            <v>1</v>
          </cell>
        </row>
        <row r="3203">
          <cell r="A3203" t="str">
            <v>IS_alqt_plus</v>
          </cell>
          <cell r="K3203" t="str">
            <v>LCAT</v>
          </cell>
          <cell r="M3203" t="str">
            <v>F</v>
          </cell>
          <cell r="AC3203">
            <v>0.9</v>
          </cell>
        </row>
        <row r="3204">
          <cell r="A3204" t="str">
            <v>gone</v>
          </cell>
          <cell r="K3204" t="str">
            <v>LCAT</v>
          </cell>
          <cell r="M3204" t="str">
            <v>F</v>
          </cell>
          <cell r="AC3204">
            <v>0</v>
          </cell>
        </row>
        <row r="3205">
          <cell r="A3205" t="str">
            <v>IS_alqt_plus</v>
          </cell>
          <cell r="K3205" t="str">
            <v>LCAT</v>
          </cell>
          <cell r="M3205" t="str">
            <v>F</v>
          </cell>
          <cell r="AC3205">
            <v>1.5</v>
          </cell>
        </row>
        <row r="3206">
          <cell r="A3206" t="str">
            <v>IS_alqt_plus</v>
          </cell>
          <cell r="K3206" t="str">
            <v>LCAT</v>
          </cell>
          <cell r="M3206" t="str">
            <v>F</v>
          </cell>
          <cell r="AC3206">
            <v>1.5</v>
          </cell>
        </row>
        <row r="3207">
          <cell r="A3207" t="str">
            <v>gone</v>
          </cell>
          <cell r="K3207" t="str">
            <v>LCAT</v>
          </cell>
          <cell r="M3207" t="str">
            <v>F</v>
          </cell>
          <cell r="AC3207">
            <v>0</v>
          </cell>
        </row>
        <row r="3208">
          <cell r="A3208" t="str">
            <v>IS_alqt_plus</v>
          </cell>
          <cell r="K3208" t="str">
            <v>LCAT</v>
          </cell>
          <cell r="M3208" t="str">
            <v>F</v>
          </cell>
          <cell r="AC3208">
            <v>1.5</v>
          </cell>
        </row>
        <row r="3209">
          <cell r="A3209" t="str">
            <v>IS_alqt_plus</v>
          </cell>
          <cell r="K3209" t="str">
            <v>LCAT</v>
          </cell>
          <cell r="M3209" t="str">
            <v>F</v>
          </cell>
          <cell r="AC3209">
            <v>0.5</v>
          </cell>
        </row>
        <row r="3210">
          <cell r="A3210" t="str">
            <v>IS_alqt_plus</v>
          </cell>
          <cell r="K3210" t="str">
            <v>LCAT</v>
          </cell>
          <cell r="M3210" t="str">
            <v>F</v>
          </cell>
          <cell r="AC3210">
            <v>0.5</v>
          </cell>
        </row>
        <row r="3211">
          <cell r="A3211" t="str">
            <v>IS_alqt_plus</v>
          </cell>
          <cell r="K3211" t="str">
            <v>LCAT</v>
          </cell>
          <cell r="M3211" t="str">
            <v>F</v>
          </cell>
          <cell r="AC3211">
            <v>0.5</v>
          </cell>
        </row>
        <row r="3212">
          <cell r="A3212" t="str">
            <v>IS_alqt_plus</v>
          </cell>
          <cell r="K3212" t="str">
            <v>LCAT</v>
          </cell>
          <cell r="M3212" t="str">
            <v>F</v>
          </cell>
          <cell r="AC3212">
            <v>0.5</v>
          </cell>
        </row>
        <row r="3213">
          <cell r="A3213" t="str">
            <v>IS_alqt_minus</v>
          </cell>
          <cell r="K3213" t="str">
            <v>MMUR</v>
          </cell>
          <cell r="M3213" t="str">
            <v>F</v>
          </cell>
          <cell r="AC3213">
            <v>0.4</v>
          </cell>
        </row>
        <row r="3214">
          <cell r="A3214" t="str">
            <v>IS_alqt_minus</v>
          </cell>
          <cell r="K3214" t="str">
            <v>MMUR</v>
          </cell>
          <cell r="M3214" t="str">
            <v>F</v>
          </cell>
          <cell r="AC3214">
            <v>0.1</v>
          </cell>
        </row>
        <row r="3215">
          <cell r="A3215" t="str">
            <v>IS_alqt_minus</v>
          </cell>
          <cell r="K3215" t="str">
            <v>PCOQ</v>
          </cell>
          <cell r="M3215" t="str">
            <v>M</v>
          </cell>
          <cell r="AC3215">
            <v>0.4</v>
          </cell>
        </row>
        <row r="3216">
          <cell r="A3216" t="str">
            <v>IS_alqt_plus</v>
          </cell>
          <cell r="K3216" t="str">
            <v>VRUB</v>
          </cell>
          <cell r="M3216" t="str">
            <v>M</v>
          </cell>
          <cell r="AC3216">
            <v>1</v>
          </cell>
        </row>
        <row r="3217">
          <cell r="A3217" t="str">
            <v>IS_alqt_plus</v>
          </cell>
          <cell r="K3217" t="str">
            <v>PCOQ</v>
          </cell>
          <cell r="M3217" t="str">
            <v>M</v>
          </cell>
          <cell r="AC3217">
            <v>1</v>
          </cell>
        </row>
        <row r="3218">
          <cell r="A3218" t="str">
            <v>IS_alqt_plus</v>
          </cell>
          <cell r="K3218" t="str">
            <v>PCOQ</v>
          </cell>
          <cell r="M3218" t="str">
            <v>M</v>
          </cell>
          <cell r="AC3218">
            <v>1</v>
          </cell>
        </row>
        <row r="3219">
          <cell r="A3219" t="str">
            <v>IS_alqt_plus</v>
          </cell>
          <cell r="K3219" t="str">
            <v>PCOQ</v>
          </cell>
          <cell r="M3219" t="str">
            <v>M</v>
          </cell>
          <cell r="AC3219">
            <v>1</v>
          </cell>
        </row>
        <row r="3220">
          <cell r="A3220" t="str">
            <v>IS_alqt_plus</v>
          </cell>
          <cell r="K3220" t="str">
            <v>PCOQ</v>
          </cell>
          <cell r="M3220" t="str">
            <v>M</v>
          </cell>
          <cell r="AC3220">
            <v>1</v>
          </cell>
        </row>
        <row r="3221">
          <cell r="A3221" t="str">
            <v>IS_alqt_plus</v>
          </cell>
          <cell r="K3221" t="str">
            <v>PCOQ</v>
          </cell>
          <cell r="M3221" t="str">
            <v>M</v>
          </cell>
          <cell r="AC3221">
            <v>1</v>
          </cell>
        </row>
        <row r="3222">
          <cell r="A3222" t="str">
            <v>IS_alqt_plus</v>
          </cell>
          <cell r="K3222" t="str">
            <v>PCOQ</v>
          </cell>
          <cell r="M3222" t="str">
            <v>M</v>
          </cell>
          <cell r="AC3222">
            <v>1</v>
          </cell>
        </row>
        <row r="3223">
          <cell r="A3223" t="str">
            <v>IS_alqt_plus</v>
          </cell>
          <cell r="K3223" t="str">
            <v>PCOQ</v>
          </cell>
          <cell r="M3223" t="str">
            <v>M</v>
          </cell>
          <cell r="AC3223">
            <v>1</v>
          </cell>
        </row>
        <row r="3224">
          <cell r="A3224" t="str">
            <v>IS_alqt_plus</v>
          </cell>
          <cell r="K3224" t="str">
            <v>PCOQ</v>
          </cell>
          <cell r="M3224" t="str">
            <v>M</v>
          </cell>
          <cell r="AC3224">
            <v>1</v>
          </cell>
        </row>
        <row r="3225">
          <cell r="A3225" t="str">
            <v>IS_alqt_plus</v>
          </cell>
          <cell r="K3225" t="str">
            <v>PCOQ</v>
          </cell>
          <cell r="M3225" t="str">
            <v>M</v>
          </cell>
          <cell r="AC3225">
            <v>1</v>
          </cell>
        </row>
        <row r="3226">
          <cell r="A3226" t="str">
            <v>IS_alqt_plus</v>
          </cell>
          <cell r="K3226" t="str">
            <v>PCOQ</v>
          </cell>
          <cell r="M3226" t="str">
            <v>M</v>
          </cell>
          <cell r="AC3226">
            <v>1</v>
          </cell>
        </row>
        <row r="3227">
          <cell r="A3227" t="str">
            <v>IS_alqt_plus</v>
          </cell>
          <cell r="K3227" t="str">
            <v>PCOQ</v>
          </cell>
          <cell r="M3227" t="str">
            <v>M</v>
          </cell>
          <cell r="AC3227">
            <v>1</v>
          </cell>
        </row>
        <row r="3228">
          <cell r="A3228" t="str">
            <v>IS_alqt_plus</v>
          </cell>
          <cell r="K3228" t="str">
            <v>PCOQ</v>
          </cell>
          <cell r="M3228" t="str">
            <v>M</v>
          </cell>
          <cell r="AC3228">
            <v>1</v>
          </cell>
        </row>
        <row r="3229">
          <cell r="A3229" t="str">
            <v>IS_alqt_plus</v>
          </cell>
          <cell r="K3229" t="str">
            <v>PCOQ</v>
          </cell>
          <cell r="M3229" t="str">
            <v>M</v>
          </cell>
          <cell r="AC3229">
            <v>1</v>
          </cell>
        </row>
        <row r="3230">
          <cell r="A3230" t="str">
            <v>IS_alqt_plus</v>
          </cell>
          <cell r="K3230" t="str">
            <v>PCOQ</v>
          </cell>
          <cell r="M3230" t="str">
            <v>M</v>
          </cell>
          <cell r="AC3230">
            <v>1</v>
          </cell>
        </row>
        <row r="3231">
          <cell r="A3231" t="str">
            <v>IS_alqt_plus</v>
          </cell>
          <cell r="K3231" t="str">
            <v>PCOQ</v>
          </cell>
          <cell r="M3231" t="str">
            <v>M</v>
          </cell>
          <cell r="AC3231">
            <v>1</v>
          </cell>
        </row>
        <row r="3232">
          <cell r="A3232" t="str">
            <v>IS_alqt_plus</v>
          </cell>
          <cell r="K3232" t="str">
            <v>PCOQ</v>
          </cell>
          <cell r="M3232" t="str">
            <v>M</v>
          </cell>
          <cell r="AC3232">
            <v>1</v>
          </cell>
        </row>
        <row r="3233">
          <cell r="A3233" t="str">
            <v>IS_alqt_plus</v>
          </cell>
          <cell r="K3233" t="str">
            <v>PCOQ</v>
          </cell>
          <cell r="M3233" t="str">
            <v>M</v>
          </cell>
          <cell r="AC3233">
            <v>1</v>
          </cell>
        </row>
        <row r="3234">
          <cell r="A3234" t="str">
            <v>IS_alqt_plus</v>
          </cell>
          <cell r="K3234" t="str">
            <v>VRUB</v>
          </cell>
          <cell r="M3234" t="str">
            <v>M</v>
          </cell>
          <cell r="AC3234">
            <v>1</v>
          </cell>
        </row>
        <row r="3235">
          <cell r="A3235" t="str">
            <v>IS_alqt_plus</v>
          </cell>
          <cell r="K3235" t="str">
            <v>MMUR</v>
          </cell>
          <cell r="M3235" t="str">
            <v>F</v>
          </cell>
          <cell r="AC3235">
            <v>0.6</v>
          </cell>
        </row>
        <row r="3236">
          <cell r="A3236" t="str">
            <v>IS_alqt_minus</v>
          </cell>
          <cell r="K3236" t="str">
            <v>MMUR</v>
          </cell>
          <cell r="M3236" t="str">
            <v>F</v>
          </cell>
          <cell r="AC3236">
            <v>0.15</v>
          </cell>
        </row>
        <row r="3237">
          <cell r="A3237" t="str">
            <v>IS_alqt_plus</v>
          </cell>
          <cell r="K3237" t="str">
            <v>LCAT</v>
          </cell>
          <cell r="M3237" t="str">
            <v>F</v>
          </cell>
          <cell r="AC3237">
            <v>0.5</v>
          </cell>
        </row>
        <row r="3238">
          <cell r="A3238" t="str">
            <v>IS_alqt_plus</v>
          </cell>
          <cell r="K3238" t="str">
            <v>LCAT</v>
          </cell>
          <cell r="M3238" t="str">
            <v>F</v>
          </cell>
          <cell r="AC3238">
            <v>0.5</v>
          </cell>
        </row>
        <row r="3239">
          <cell r="A3239" t="str">
            <v>IS_alqt_plus</v>
          </cell>
          <cell r="K3239" t="str">
            <v>LCAT</v>
          </cell>
          <cell r="M3239" t="str">
            <v>F</v>
          </cell>
          <cell r="AC3239">
            <v>0.5</v>
          </cell>
        </row>
        <row r="3240">
          <cell r="A3240" t="str">
            <v>IS_alqt_plus</v>
          </cell>
          <cell r="K3240" t="str">
            <v>LCAT</v>
          </cell>
          <cell r="M3240" t="str">
            <v>F</v>
          </cell>
          <cell r="AC3240">
            <v>0.5</v>
          </cell>
        </row>
        <row r="3241">
          <cell r="A3241" t="str">
            <v>IS_alqt_plus</v>
          </cell>
          <cell r="K3241" t="str">
            <v>LCAT</v>
          </cell>
          <cell r="M3241" t="str">
            <v>F</v>
          </cell>
          <cell r="AC3241">
            <v>0.5</v>
          </cell>
        </row>
        <row r="3242">
          <cell r="A3242" t="str">
            <v>IS_alqt_plus</v>
          </cell>
          <cell r="K3242" t="str">
            <v>LCAT</v>
          </cell>
          <cell r="M3242" t="str">
            <v>F</v>
          </cell>
          <cell r="AC3242">
            <v>0.5</v>
          </cell>
        </row>
        <row r="3243">
          <cell r="A3243" t="str">
            <v>IS_alqt_minus</v>
          </cell>
          <cell r="K3243" t="str">
            <v>LCAT</v>
          </cell>
          <cell r="M3243" t="str">
            <v>F</v>
          </cell>
          <cell r="AC3243">
            <v>0.2</v>
          </cell>
        </row>
        <row r="3244">
          <cell r="A3244" t="str">
            <v>IS_alqt_minus</v>
          </cell>
          <cell r="K3244" t="str">
            <v>LCAT</v>
          </cell>
          <cell r="M3244" t="str">
            <v>F</v>
          </cell>
          <cell r="AC3244">
            <v>0.2</v>
          </cell>
        </row>
        <row r="3245">
          <cell r="A3245" t="str">
            <v>IS_alqt_minus</v>
          </cell>
          <cell r="K3245" t="str">
            <v>LCAT</v>
          </cell>
          <cell r="M3245" t="str">
            <v>F</v>
          </cell>
          <cell r="AC3245">
            <v>0.2</v>
          </cell>
        </row>
        <row r="3246">
          <cell r="A3246" t="str">
            <v>IS_alqt_minus</v>
          </cell>
          <cell r="K3246" t="str">
            <v>LCAT</v>
          </cell>
          <cell r="M3246" t="str">
            <v>F</v>
          </cell>
          <cell r="AC3246">
            <v>0.2</v>
          </cell>
        </row>
        <row r="3247">
          <cell r="A3247" t="str">
            <v>IS_alqt_minus</v>
          </cell>
          <cell r="K3247" t="str">
            <v>LCAT</v>
          </cell>
          <cell r="M3247" t="str">
            <v>F</v>
          </cell>
          <cell r="AC3247">
            <v>0.2</v>
          </cell>
        </row>
        <row r="3248">
          <cell r="A3248" t="str">
            <v>IS_alqt_plus</v>
          </cell>
          <cell r="K3248" t="str">
            <v>PCOQ</v>
          </cell>
          <cell r="M3248" t="str">
            <v>F</v>
          </cell>
          <cell r="AC3248">
            <v>1</v>
          </cell>
        </row>
        <row r="3249">
          <cell r="A3249" t="str">
            <v>IS_alqt_plus</v>
          </cell>
          <cell r="K3249" t="str">
            <v>PCOQ</v>
          </cell>
          <cell r="M3249" t="str">
            <v>F</v>
          </cell>
          <cell r="AC3249">
            <v>1</v>
          </cell>
        </row>
        <row r="3250">
          <cell r="A3250" t="str">
            <v>IS_alqt_plus</v>
          </cell>
          <cell r="K3250" t="str">
            <v>PCOQ</v>
          </cell>
          <cell r="M3250" t="str">
            <v>F</v>
          </cell>
          <cell r="AC3250">
            <v>0.5</v>
          </cell>
        </row>
        <row r="3251">
          <cell r="A3251" t="str">
            <v>IS_alqt_plus</v>
          </cell>
          <cell r="K3251" t="str">
            <v>PCOQ</v>
          </cell>
          <cell r="M3251" t="str">
            <v>F</v>
          </cell>
          <cell r="AC3251">
            <v>1</v>
          </cell>
        </row>
        <row r="3252">
          <cell r="A3252" t="str">
            <v>IS_alqt_plus</v>
          </cell>
          <cell r="K3252" t="str">
            <v>PCOQ</v>
          </cell>
          <cell r="M3252" t="str">
            <v>F</v>
          </cell>
          <cell r="AC3252">
            <v>1</v>
          </cell>
        </row>
        <row r="3253">
          <cell r="A3253" t="str">
            <v>IS_alqt_minus</v>
          </cell>
          <cell r="K3253" t="str">
            <v>LCAT</v>
          </cell>
          <cell r="M3253" t="str">
            <v>F</v>
          </cell>
          <cell r="AC3253">
            <v>0.2</v>
          </cell>
        </row>
        <row r="3254">
          <cell r="A3254" t="str">
            <v>IS_alqt_minus</v>
          </cell>
          <cell r="K3254" t="str">
            <v>LCAT</v>
          </cell>
          <cell r="M3254" t="str">
            <v>F</v>
          </cell>
          <cell r="AC3254">
            <v>0.2</v>
          </cell>
        </row>
        <row r="3255">
          <cell r="A3255" t="str">
            <v>IS_alqt_minus</v>
          </cell>
          <cell r="K3255" t="str">
            <v>LCAT</v>
          </cell>
          <cell r="M3255" t="str">
            <v>F</v>
          </cell>
          <cell r="AC3255">
            <v>0.2</v>
          </cell>
        </row>
        <row r="3256">
          <cell r="A3256" t="str">
            <v>IS_alqt_minus</v>
          </cell>
          <cell r="K3256" t="str">
            <v>LCAT</v>
          </cell>
          <cell r="M3256" t="str">
            <v>F</v>
          </cell>
          <cell r="AC3256">
            <v>0.2</v>
          </cell>
        </row>
        <row r="3257">
          <cell r="A3257" t="str">
            <v>IS_alqt_minus</v>
          </cell>
          <cell r="K3257" t="str">
            <v>LCAT</v>
          </cell>
          <cell r="M3257" t="str">
            <v>F</v>
          </cell>
          <cell r="AC3257">
            <v>0.2</v>
          </cell>
        </row>
        <row r="3258">
          <cell r="A3258" t="str">
            <v>IS_alqt_minus</v>
          </cell>
          <cell r="K3258" t="str">
            <v>LCAT</v>
          </cell>
          <cell r="M3258" t="str">
            <v>F</v>
          </cell>
          <cell r="AC3258">
            <v>0.2</v>
          </cell>
        </row>
        <row r="3259">
          <cell r="A3259" t="str">
            <v>IS_alqt_plus</v>
          </cell>
          <cell r="K3259" t="str">
            <v>LCAT</v>
          </cell>
          <cell r="M3259" t="str">
            <v>F</v>
          </cell>
          <cell r="AC3259">
            <v>1.5</v>
          </cell>
        </row>
        <row r="3260">
          <cell r="A3260" t="str">
            <v>IS_alqt_plus</v>
          </cell>
          <cell r="K3260" t="str">
            <v>LCAT</v>
          </cell>
          <cell r="M3260" t="str">
            <v>F</v>
          </cell>
          <cell r="AC3260">
            <v>0.6</v>
          </cell>
        </row>
        <row r="3261">
          <cell r="A3261" t="str">
            <v>IS_alqt_plus</v>
          </cell>
          <cell r="K3261" t="str">
            <v>LCAT</v>
          </cell>
          <cell r="M3261" t="str">
            <v>F</v>
          </cell>
          <cell r="AC3261">
            <v>1</v>
          </cell>
        </row>
        <row r="3262">
          <cell r="A3262" t="str">
            <v>IS_alqt_plus</v>
          </cell>
          <cell r="K3262" t="str">
            <v>LCAT</v>
          </cell>
          <cell r="M3262" t="str">
            <v>F</v>
          </cell>
          <cell r="AC3262">
            <v>1</v>
          </cell>
        </row>
        <row r="3263">
          <cell r="A3263" t="str">
            <v>IS_alqt_plus</v>
          </cell>
          <cell r="K3263" t="str">
            <v>LCAT</v>
          </cell>
          <cell r="M3263" t="str">
            <v>F</v>
          </cell>
          <cell r="AC3263">
            <v>1</v>
          </cell>
        </row>
        <row r="3264">
          <cell r="A3264" t="str">
            <v>gone</v>
          </cell>
          <cell r="K3264" t="str">
            <v>LCAT</v>
          </cell>
          <cell r="M3264" t="str">
            <v>F</v>
          </cell>
          <cell r="AC3264">
            <v>1</v>
          </cell>
        </row>
        <row r="3265">
          <cell r="A3265" t="str">
            <v>IS_alqt_plus</v>
          </cell>
          <cell r="K3265" t="str">
            <v>LCAT</v>
          </cell>
          <cell r="M3265" t="str">
            <v>F</v>
          </cell>
          <cell r="AC3265">
            <v>1.5</v>
          </cell>
        </row>
        <row r="3266">
          <cell r="A3266" t="str">
            <v>IS_alqt_plus</v>
          </cell>
          <cell r="K3266" t="str">
            <v>LCAT</v>
          </cell>
          <cell r="M3266" t="str">
            <v>F</v>
          </cell>
          <cell r="AC3266">
            <v>1.5</v>
          </cell>
        </row>
        <row r="3267">
          <cell r="A3267" t="str">
            <v>IS_alqt_plus</v>
          </cell>
          <cell r="K3267" t="str">
            <v>VRUB</v>
          </cell>
          <cell r="M3267" t="str">
            <v>M</v>
          </cell>
          <cell r="AC3267">
            <v>1</v>
          </cell>
        </row>
        <row r="3268">
          <cell r="A3268" t="str">
            <v>IS_alqt_plus</v>
          </cell>
          <cell r="K3268" t="str">
            <v>VRUB</v>
          </cell>
          <cell r="M3268" t="str">
            <v>M</v>
          </cell>
          <cell r="AC3268">
            <v>1</v>
          </cell>
        </row>
        <row r="3269">
          <cell r="A3269" t="str">
            <v>IS_alqt_plus</v>
          </cell>
          <cell r="K3269" t="str">
            <v>EMON</v>
          </cell>
          <cell r="M3269" t="str">
            <v>M</v>
          </cell>
          <cell r="AC3269">
            <v>1</v>
          </cell>
        </row>
        <row r="3270">
          <cell r="A3270" t="str">
            <v>IS_alqt_plus</v>
          </cell>
          <cell r="K3270" t="str">
            <v>EMON</v>
          </cell>
          <cell r="M3270" t="str">
            <v>M</v>
          </cell>
          <cell r="AC3270">
            <v>1</v>
          </cell>
        </row>
        <row r="3271">
          <cell r="A3271" t="str">
            <v>IS_alqt_plus</v>
          </cell>
          <cell r="K3271" t="str">
            <v>ERUF</v>
          </cell>
          <cell r="M3271" t="str">
            <v>M</v>
          </cell>
          <cell r="AC3271">
            <v>1.5</v>
          </cell>
        </row>
        <row r="3272">
          <cell r="A3272" t="str">
            <v>IS_alqt_plus</v>
          </cell>
          <cell r="K3272" t="str">
            <v>ERUF</v>
          </cell>
          <cell r="M3272" t="str">
            <v>M</v>
          </cell>
          <cell r="AC3272">
            <v>1.5</v>
          </cell>
        </row>
        <row r="3273">
          <cell r="A3273" t="str">
            <v>IS_alqt_plus</v>
          </cell>
          <cell r="K3273" t="str">
            <v>PCOQ</v>
          </cell>
          <cell r="M3273" t="str">
            <v>M</v>
          </cell>
          <cell r="AC3273">
            <v>1</v>
          </cell>
        </row>
        <row r="3274">
          <cell r="A3274" t="str">
            <v>IS_alqt_plus</v>
          </cell>
          <cell r="K3274" t="str">
            <v>PCOQ</v>
          </cell>
          <cell r="M3274" t="str">
            <v>M</v>
          </cell>
          <cell r="AC3274">
            <v>1</v>
          </cell>
        </row>
        <row r="3275">
          <cell r="A3275" t="str">
            <v>IS_alqt_plus</v>
          </cell>
          <cell r="K3275" t="str">
            <v>PCOQ</v>
          </cell>
          <cell r="M3275" t="str">
            <v>M</v>
          </cell>
          <cell r="AC3275">
            <v>1</v>
          </cell>
        </row>
        <row r="3276">
          <cell r="A3276" t="str">
            <v>IS_alqt_plus</v>
          </cell>
          <cell r="K3276" t="str">
            <v>PCOQ</v>
          </cell>
          <cell r="M3276" t="str">
            <v>M</v>
          </cell>
          <cell r="AC3276">
            <v>1</v>
          </cell>
        </row>
        <row r="3277">
          <cell r="A3277" t="str">
            <v>IS_alqt_plus</v>
          </cell>
          <cell r="K3277" t="str">
            <v>PCOQ</v>
          </cell>
          <cell r="M3277" t="str">
            <v>M</v>
          </cell>
          <cell r="AC3277">
            <v>1</v>
          </cell>
        </row>
        <row r="3278">
          <cell r="A3278" t="str">
            <v>IS_alqt_plus</v>
          </cell>
          <cell r="K3278" t="str">
            <v>PCOQ</v>
          </cell>
          <cell r="M3278" t="str">
            <v>M</v>
          </cell>
          <cell r="AC3278">
            <v>1</v>
          </cell>
        </row>
        <row r="3279">
          <cell r="A3279" t="str">
            <v>IS_alqt_plus</v>
          </cell>
          <cell r="K3279" t="str">
            <v>PCOQ</v>
          </cell>
          <cell r="M3279" t="str">
            <v>M</v>
          </cell>
          <cell r="AC3279">
            <v>1</v>
          </cell>
        </row>
        <row r="3280">
          <cell r="A3280" t="str">
            <v>IS_alqt_plus</v>
          </cell>
          <cell r="K3280" t="str">
            <v>LCAT</v>
          </cell>
          <cell r="M3280" t="str">
            <v>F</v>
          </cell>
          <cell r="AC3280">
            <v>0.5</v>
          </cell>
        </row>
        <row r="3281">
          <cell r="A3281" t="str">
            <v>IS_alqt_plus</v>
          </cell>
          <cell r="K3281" t="str">
            <v>LCAT</v>
          </cell>
          <cell r="M3281" t="str">
            <v>F</v>
          </cell>
          <cell r="AC3281">
            <v>0.5</v>
          </cell>
        </row>
        <row r="3282">
          <cell r="A3282" t="str">
            <v>IS_alqt_plus</v>
          </cell>
          <cell r="K3282" t="str">
            <v>LCAT</v>
          </cell>
          <cell r="M3282" t="str">
            <v>F</v>
          </cell>
          <cell r="AC3282">
            <v>1</v>
          </cell>
        </row>
        <row r="3283">
          <cell r="A3283" t="str">
            <v>IS_alqt_plus</v>
          </cell>
          <cell r="K3283" t="str">
            <v>LCAT</v>
          </cell>
          <cell r="M3283" t="str">
            <v>F</v>
          </cell>
          <cell r="AC3283">
            <v>1</v>
          </cell>
        </row>
        <row r="3284">
          <cell r="A3284" t="str">
            <v>IS_alqt_plus</v>
          </cell>
          <cell r="K3284" t="str">
            <v>LCAT</v>
          </cell>
          <cell r="M3284" t="str">
            <v>F</v>
          </cell>
          <cell r="AC3284">
            <v>1</v>
          </cell>
        </row>
        <row r="3285">
          <cell r="A3285" t="str">
            <v>IS_alqt_plus</v>
          </cell>
          <cell r="K3285" t="str">
            <v>LCAT</v>
          </cell>
          <cell r="M3285" t="str">
            <v>F</v>
          </cell>
          <cell r="AC3285">
            <v>1</v>
          </cell>
        </row>
        <row r="3286">
          <cell r="A3286" t="str">
            <v>IS_alqt_plus</v>
          </cell>
          <cell r="K3286" t="str">
            <v>LCAT</v>
          </cell>
          <cell r="M3286" t="str">
            <v>F</v>
          </cell>
          <cell r="AC3286">
            <v>1</v>
          </cell>
        </row>
        <row r="3287">
          <cell r="A3287" t="str">
            <v>IS_alqt_plus</v>
          </cell>
          <cell r="K3287" t="str">
            <v>LCAT</v>
          </cell>
          <cell r="M3287" t="str">
            <v>F</v>
          </cell>
          <cell r="AC3287">
            <v>1</v>
          </cell>
        </row>
        <row r="3288">
          <cell r="A3288" t="str">
            <v>IS_alqt_plus</v>
          </cell>
          <cell r="K3288" t="str">
            <v>LCAT</v>
          </cell>
          <cell r="M3288" t="str">
            <v>F</v>
          </cell>
          <cell r="AC3288">
            <v>0.5</v>
          </cell>
        </row>
        <row r="3289">
          <cell r="A3289" t="str">
            <v>IS_alqt_plus</v>
          </cell>
          <cell r="K3289" t="str">
            <v>LCAT</v>
          </cell>
          <cell r="M3289" t="str">
            <v>F</v>
          </cell>
          <cell r="AC3289">
            <v>0.5</v>
          </cell>
        </row>
        <row r="3290">
          <cell r="A3290" t="str">
            <v>IS_alqt_plus</v>
          </cell>
          <cell r="K3290" t="str">
            <v>LCAT</v>
          </cell>
          <cell r="M3290" t="str">
            <v>F</v>
          </cell>
          <cell r="AC3290">
            <v>0.5</v>
          </cell>
        </row>
        <row r="3291">
          <cell r="A3291" t="str">
            <v>IS_alqt_plus</v>
          </cell>
          <cell r="K3291" t="str">
            <v>LCAT</v>
          </cell>
          <cell r="M3291" t="str">
            <v>F</v>
          </cell>
          <cell r="AC3291">
            <v>0.5</v>
          </cell>
        </row>
        <row r="3292">
          <cell r="A3292" t="str">
            <v>IS_alqt_plus</v>
          </cell>
          <cell r="K3292" t="str">
            <v>LCAT</v>
          </cell>
          <cell r="M3292" t="str">
            <v>F</v>
          </cell>
          <cell r="AC3292">
            <v>1</v>
          </cell>
        </row>
        <row r="3293">
          <cell r="A3293" t="str">
            <v>IS_alqt_plus</v>
          </cell>
          <cell r="K3293" t="str">
            <v>LCAT</v>
          </cell>
          <cell r="M3293" t="str">
            <v>F</v>
          </cell>
          <cell r="AC3293">
            <v>1</v>
          </cell>
        </row>
        <row r="3294">
          <cell r="A3294" t="str">
            <v>IS_alqt_plus</v>
          </cell>
          <cell r="K3294" t="str">
            <v>LCAT</v>
          </cell>
          <cell r="M3294" t="str">
            <v>F</v>
          </cell>
          <cell r="AC3294">
            <v>1</v>
          </cell>
        </row>
        <row r="3295">
          <cell r="A3295" t="str">
            <v>IS_alqt_plus</v>
          </cell>
          <cell r="K3295" t="str">
            <v>PCOQ</v>
          </cell>
          <cell r="M3295" t="str">
            <v>M</v>
          </cell>
          <cell r="AC3295">
            <v>1</v>
          </cell>
        </row>
        <row r="3296">
          <cell r="A3296" t="str">
            <v>IS_alqt_plus</v>
          </cell>
          <cell r="K3296" t="str">
            <v>PCOQ</v>
          </cell>
          <cell r="M3296" t="str">
            <v>M</v>
          </cell>
          <cell r="AC3296">
            <v>1</v>
          </cell>
        </row>
        <row r="3297">
          <cell r="A3297" t="str">
            <v>IS_alqt_plus</v>
          </cell>
          <cell r="K3297" t="str">
            <v>LCAT</v>
          </cell>
          <cell r="M3297" t="str">
            <v>F</v>
          </cell>
          <cell r="AC3297">
            <v>1</v>
          </cell>
        </row>
        <row r="3298">
          <cell r="A3298" t="str">
            <v>unk</v>
          </cell>
          <cell r="K3298" t="str">
            <v>LCAT</v>
          </cell>
          <cell r="M3298" t="str">
            <v>F</v>
          </cell>
          <cell r="AC3298">
            <v>1</v>
          </cell>
        </row>
        <row r="3299">
          <cell r="A3299" t="str">
            <v>unk</v>
          </cell>
          <cell r="K3299" t="str">
            <v>LCAT</v>
          </cell>
          <cell r="M3299" t="str">
            <v>F</v>
          </cell>
          <cell r="AC3299">
            <v>1</v>
          </cell>
        </row>
        <row r="3300">
          <cell r="A3300" t="str">
            <v>unk</v>
          </cell>
          <cell r="K3300" t="str">
            <v>LCAT</v>
          </cell>
          <cell r="M3300" t="str">
            <v>F</v>
          </cell>
          <cell r="AC3300">
            <v>1</v>
          </cell>
        </row>
        <row r="3301">
          <cell r="A3301" t="str">
            <v>unk</v>
          </cell>
          <cell r="K3301" t="str">
            <v>LCAT</v>
          </cell>
          <cell r="M3301" t="str">
            <v>F</v>
          </cell>
          <cell r="AC3301">
            <v>1</v>
          </cell>
        </row>
        <row r="3302">
          <cell r="A3302" t="str">
            <v>IS_alqt_plus</v>
          </cell>
          <cell r="K3302" t="str">
            <v>LCAT</v>
          </cell>
          <cell r="M3302" t="str">
            <v>F</v>
          </cell>
          <cell r="AC3302">
            <v>0.6</v>
          </cell>
        </row>
        <row r="3303">
          <cell r="A3303" t="str">
            <v>IS_alqt_plus</v>
          </cell>
          <cell r="K3303" t="str">
            <v>LCAT</v>
          </cell>
          <cell r="M3303" t="str">
            <v>F</v>
          </cell>
          <cell r="AC3303">
            <v>0.6</v>
          </cell>
        </row>
        <row r="3304">
          <cell r="A3304" t="str">
            <v>IS_alqt_plus</v>
          </cell>
          <cell r="K3304" t="str">
            <v>LCAT</v>
          </cell>
          <cell r="M3304" t="str">
            <v>F</v>
          </cell>
          <cell r="AC3304">
            <v>0.6</v>
          </cell>
        </row>
        <row r="3305">
          <cell r="A3305" t="str">
            <v>IS_alqt_plus</v>
          </cell>
          <cell r="K3305" t="str">
            <v>LCAT</v>
          </cell>
          <cell r="M3305" t="str">
            <v>F</v>
          </cell>
          <cell r="AC3305">
            <v>0.6</v>
          </cell>
        </row>
        <row r="3306">
          <cell r="A3306" t="str">
            <v>IS_alqt_plus</v>
          </cell>
          <cell r="K3306" t="str">
            <v>LCAT</v>
          </cell>
          <cell r="M3306" t="str">
            <v>F</v>
          </cell>
          <cell r="AC3306">
            <v>0.6</v>
          </cell>
        </row>
        <row r="3307">
          <cell r="A3307" t="str">
            <v>IS_alqt_plus</v>
          </cell>
          <cell r="K3307" t="str">
            <v>LCAT</v>
          </cell>
          <cell r="M3307" t="str">
            <v>F</v>
          </cell>
          <cell r="AC3307">
            <v>1.5</v>
          </cell>
        </row>
        <row r="3308">
          <cell r="A3308" t="str">
            <v>IS_alqt_plus</v>
          </cell>
          <cell r="K3308" t="str">
            <v>LCAT</v>
          </cell>
          <cell r="M3308" t="str">
            <v>F</v>
          </cell>
          <cell r="AC3308">
            <v>1.5</v>
          </cell>
        </row>
        <row r="3309">
          <cell r="A3309" t="str">
            <v>IS_alqt_plus</v>
          </cell>
          <cell r="K3309" t="str">
            <v>LCAT</v>
          </cell>
          <cell r="M3309" t="str">
            <v>F</v>
          </cell>
          <cell r="AC3309">
            <v>1.5</v>
          </cell>
        </row>
        <row r="3310">
          <cell r="A3310" t="str">
            <v>IS_alqt_plus</v>
          </cell>
          <cell r="K3310" t="str">
            <v>LCAT</v>
          </cell>
          <cell r="M3310" t="str">
            <v>F</v>
          </cell>
          <cell r="AC3310">
            <v>1.5</v>
          </cell>
        </row>
        <row r="3311">
          <cell r="A3311" t="str">
            <v>IS_alqt_plus</v>
          </cell>
          <cell r="K3311" t="str">
            <v>LCAT</v>
          </cell>
          <cell r="M3311" t="str">
            <v>F</v>
          </cell>
          <cell r="AC3311">
            <v>1.5</v>
          </cell>
        </row>
        <row r="3312">
          <cell r="A3312" t="str">
            <v>IS_alqt_plus</v>
          </cell>
          <cell r="K3312" t="str">
            <v>LCAT</v>
          </cell>
          <cell r="M3312" t="str">
            <v>F</v>
          </cell>
          <cell r="AC3312">
            <v>1.5</v>
          </cell>
        </row>
        <row r="3313">
          <cell r="A3313" t="str">
            <v>IS_alqt_plus</v>
          </cell>
          <cell r="K3313" t="str">
            <v>LCAT</v>
          </cell>
          <cell r="M3313" t="str">
            <v>F</v>
          </cell>
          <cell r="AC3313">
            <v>1.5</v>
          </cell>
        </row>
        <row r="3314">
          <cell r="A3314" t="str">
            <v>IS_alqt_plus</v>
          </cell>
          <cell r="K3314" t="str">
            <v>LCAT</v>
          </cell>
          <cell r="M3314" t="str">
            <v>F</v>
          </cell>
          <cell r="AC3314">
            <v>1.5</v>
          </cell>
        </row>
        <row r="3315">
          <cell r="A3315" t="str">
            <v>IS_alqt_plus</v>
          </cell>
          <cell r="K3315" t="str">
            <v>LCAT</v>
          </cell>
          <cell r="M3315" t="str">
            <v>F</v>
          </cell>
          <cell r="AC3315">
            <v>1.5</v>
          </cell>
        </row>
        <row r="3316">
          <cell r="A3316" t="str">
            <v>IS_alqt_plus</v>
          </cell>
          <cell r="K3316" t="str">
            <v>LCAT</v>
          </cell>
          <cell r="M3316" t="str">
            <v>F</v>
          </cell>
          <cell r="AC3316">
            <v>1.5</v>
          </cell>
        </row>
        <row r="3317">
          <cell r="A3317" t="str">
            <v>IS_alqt_plus</v>
          </cell>
          <cell r="K3317" t="str">
            <v>LCAT</v>
          </cell>
          <cell r="M3317" t="str">
            <v>F</v>
          </cell>
          <cell r="AC3317">
            <v>1.5</v>
          </cell>
        </row>
        <row r="3318">
          <cell r="A3318" t="str">
            <v>IS_alqt_plus</v>
          </cell>
          <cell r="K3318" t="str">
            <v>LCAT</v>
          </cell>
          <cell r="M3318" t="str">
            <v>F</v>
          </cell>
          <cell r="AC3318">
            <v>1.5</v>
          </cell>
        </row>
        <row r="3319">
          <cell r="A3319" t="str">
            <v>IS_alqt_plus</v>
          </cell>
          <cell r="K3319" t="str">
            <v>LCAT</v>
          </cell>
          <cell r="M3319" t="str">
            <v>F</v>
          </cell>
          <cell r="AC3319">
            <v>1.5</v>
          </cell>
        </row>
        <row r="3320">
          <cell r="A3320" t="str">
            <v>IS_alqt_plus</v>
          </cell>
          <cell r="K3320" t="str">
            <v>LCAT</v>
          </cell>
          <cell r="M3320" t="str">
            <v>F</v>
          </cell>
          <cell r="AC3320">
            <v>1.5</v>
          </cell>
        </row>
        <row r="3321">
          <cell r="A3321" t="str">
            <v>IS_alqt_plus</v>
          </cell>
          <cell r="K3321" t="str">
            <v>LCAT</v>
          </cell>
          <cell r="M3321" t="str">
            <v>F</v>
          </cell>
          <cell r="AC3321">
            <v>1.5</v>
          </cell>
        </row>
        <row r="3322">
          <cell r="A3322" t="str">
            <v>IS_alqt_plus</v>
          </cell>
          <cell r="K3322" t="str">
            <v>LCAT</v>
          </cell>
          <cell r="M3322" t="str">
            <v>F</v>
          </cell>
          <cell r="AC3322">
            <v>1.5</v>
          </cell>
        </row>
        <row r="3323">
          <cell r="A3323" t="str">
            <v>IS_alqt_plus</v>
          </cell>
          <cell r="K3323" t="str">
            <v>LCAT</v>
          </cell>
          <cell r="M3323" t="str">
            <v>F</v>
          </cell>
          <cell r="AC3323">
            <v>1.5</v>
          </cell>
        </row>
        <row r="3324">
          <cell r="A3324" t="str">
            <v>IS_alqt_plus</v>
          </cell>
          <cell r="K3324" t="str">
            <v>LCAT</v>
          </cell>
          <cell r="M3324" t="str">
            <v>F</v>
          </cell>
          <cell r="AC3324">
            <v>1.5</v>
          </cell>
        </row>
        <row r="3325">
          <cell r="A3325" t="str">
            <v>IS_alqt_plus</v>
          </cell>
          <cell r="K3325" t="str">
            <v>LCAT</v>
          </cell>
          <cell r="M3325" t="str">
            <v>F</v>
          </cell>
          <cell r="AC3325">
            <v>1.5</v>
          </cell>
        </row>
        <row r="3326">
          <cell r="A3326" t="str">
            <v>IS_alqt_minus</v>
          </cell>
          <cell r="K3326" t="str">
            <v>LCAT</v>
          </cell>
          <cell r="M3326" t="str">
            <v>F</v>
          </cell>
          <cell r="AC3326">
            <v>0.25</v>
          </cell>
        </row>
        <row r="3327">
          <cell r="A3327" t="str">
            <v>IS_alqt_minus</v>
          </cell>
          <cell r="K3327" t="str">
            <v>LCAT</v>
          </cell>
          <cell r="M3327" t="str">
            <v>F</v>
          </cell>
          <cell r="AC3327">
            <v>0.25</v>
          </cell>
        </row>
        <row r="3328">
          <cell r="A3328" t="str">
            <v>IS_alqt_minus</v>
          </cell>
          <cell r="K3328" t="str">
            <v>LCAT</v>
          </cell>
          <cell r="M3328" t="str">
            <v>F</v>
          </cell>
          <cell r="AC3328">
            <v>0.25</v>
          </cell>
        </row>
        <row r="3329">
          <cell r="A3329" t="str">
            <v>IS_alqt_minus</v>
          </cell>
          <cell r="K3329" t="str">
            <v>LCAT</v>
          </cell>
          <cell r="M3329" t="str">
            <v>F</v>
          </cell>
          <cell r="AC3329">
            <v>0.25</v>
          </cell>
        </row>
        <row r="3330">
          <cell r="A3330" t="str">
            <v>IS_alqt_minus</v>
          </cell>
          <cell r="K3330" t="str">
            <v>LCAT</v>
          </cell>
          <cell r="M3330" t="str">
            <v>F</v>
          </cell>
          <cell r="AC3330">
            <v>0.25</v>
          </cell>
        </row>
        <row r="3331">
          <cell r="A3331" t="str">
            <v>IS_alqt_minus</v>
          </cell>
          <cell r="K3331" t="str">
            <v>LCAT</v>
          </cell>
          <cell r="M3331" t="str">
            <v>F</v>
          </cell>
          <cell r="AC3331">
            <v>0.25</v>
          </cell>
        </row>
        <row r="3332">
          <cell r="A3332" t="str">
            <v>IS_alqt_minus</v>
          </cell>
          <cell r="K3332" t="str">
            <v>LCAT</v>
          </cell>
          <cell r="M3332" t="str">
            <v>F</v>
          </cell>
          <cell r="AC3332">
            <v>0.25</v>
          </cell>
        </row>
        <row r="3333">
          <cell r="A3333" t="str">
            <v>IS_alqt_minus</v>
          </cell>
          <cell r="K3333" t="str">
            <v>LCAT</v>
          </cell>
          <cell r="M3333" t="str">
            <v>F</v>
          </cell>
          <cell r="AC3333">
            <v>0.25</v>
          </cell>
        </row>
        <row r="3334">
          <cell r="A3334" t="str">
            <v>IS_alqt_minus</v>
          </cell>
          <cell r="K3334" t="str">
            <v>LCAT</v>
          </cell>
          <cell r="M3334" t="str">
            <v>F</v>
          </cell>
          <cell r="AC3334">
            <v>0.25</v>
          </cell>
        </row>
        <row r="3335">
          <cell r="A3335" t="str">
            <v>IS_alqt_minus</v>
          </cell>
          <cell r="K3335" t="str">
            <v>LCAT</v>
          </cell>
          <cell r="M3335" t="str">
            <v>F</v>
          </cell>
          <cell r="AC3335">
            <v>0.25</v>
          </cell>
        </row>
        <row r="3336">
          <cell r="A3336" t="str">
            <v>IS_alqt_minus</v>
          </cell>
          <cell r="K3336" t="str">
            <v>LCAT</v>
          </cell>
          <cell r="M3336" t="str">
            <v>F</v>
          </cell>
          <cell r="AC3336">
            <v>0.25</v>
          </cell>
        </row>
        <row r="3337">
          <cell r="A3337" t="str">
            <v>IS_alqt_minus</v>
          </cell>
          <cell r="K3337" t="str">
            <v>LCAT</v>
          </cell>
          <cell r="M3337" t="str">
            <v>F</v>
          </cell>
          <cell r="AC3337">
            <v>0.25</v>
          </cell>
        </row>
        <row r="3338">
          <cell r="A3338" t="str">
            <v>IS_alqt_minus</v>
          </cell>
          <cell r="K3338" t="str">
            <v>MMUR</v>
          </cell>
          <cell r="M3338" t="str">
            <v>F</v>
          </cell>
          <cell r="AC3338">
            <v>0.3</v>
          </cell>
        </row>
        <row r="3339">
          <cell r="A3339" t="str">
            <v>IS_alqt_minus</v>
          </cell>
          <cell r="K3339" t="str">
            <v>LCAT</v>
          </cell>
          <cell r="M3339" t="str">
            <v>F</v>
          </cell>
          <cell r="AC3339">
            <v>0.25</v>
          </cell>
        </row>
        <row r="3340">
          <cell r="A3340" t="str">
            <v>IS_alqt_minus</v>
          </cell>
          <cell r="K3340" t="str">
            <v>LCAT</v>
          </cell>
          <cell r="M3340" t="str">
            <v>F</v>
          </cell>
          <cell r="AC3340">
            <v>0.25</v>
          </cell>
        </row>
        <row r="3341">
          <cell r="A3341" t="str">
            <v>IS_alqt_minus</v>
          </cell>
          <cell r="K3341" t="str">
            <v>LCAT</v>
          </cell>
          <cell r="M3341" t="str">
            <v>F</v>
          </cell>
          <cell r="AC3341">
            <v>0.25</v>
          </cell>
        </row>
        <row r="3342">
          <cell r="A3342" t="str">
            <v>IS_alqt_minus</v>
          </cell>
          <cell r="K3342" t="str">
            <v>LCAT</v>
          </cell>
          <cell r="M3342" t="str">
            <v>F</v>
          </cell>
          <cell r="AC3342">
            <v>0.25</v>
          </cell>
        </row>
        <row r="3343">
          <cell r="A3343" t="str">
            <v>IS_alqt_minus</v>
          </cell>
          <cell r="K3343" t="str">
            <v>MMUR</v>
          </cell>
          <cell r="M3343" t="str">
            <v>M</v>
          </cell>
          <cell r="AC3343">
            <v>0.3</v>
          </cell>
        </row>
        <row r="3344">
          <cell r="A3344" t="str">
            <v>IS_alqt_minus</v>
          </cell>
          <cell r="K3344" t="str">
            <v>MMUR</v>
          </cell>
          <cell r="M3344" t="str">
            <v>F</v>
          </cell>
          <cell r="AC3344">
            <v>0.05</v>
          </cell>
        </row>
        <row r="3345">
          <cell r="A3345" t="str">
            <v>IS_alqt_minus</v>
          </cell>
          <cell r="K3345" t="str">
            <v>MMUR</v>
          </cell>
          <cell r="M3345" t="str">
            <v>F</v>
          </cell>
          <cell r="AC3345">
            <v>0.05</v>
          </cell>
        </row>
        <row r="3346">
          <cell r="A3346" t="str">
            <v>IS_alqt_plus</v>
          </cell>
          <cell r="K3346" t="str">
            <v>VRUB</v>
          </cell>
          <cell r="M3346" t="str">
            <v>M</v>
          </cell>
          <cell r="AC3346">
            <v>1</v>
          </cell>
        </row>
        <row r="3347">
          <cell r="A3347" t="str">
            <v>IS_alqt_plus</v>
          </cell>
          <cell r="K3347" t="str">
            <v>VRUB</v>
          </cell>
          <cell r="M3347" t="str">
            <v>M</v>
          </cell>
          <cell r="AC3347">
            <v>1</v>
          </cell>
        </row>
        <row r="3348">
          <cell r="A3348" t="str">
            <v>IS_alqt_plus</v>
          </cell>
          <cell r="K3348" t="str">
            <v>PCOQ</v>
          </cell>
          <cell r="M3348" t="str">
            <v>M</v>
          </cell>
          <cell r="AC3348">
            <v>1.5</v>
          </cell>
        </row>
        <row r="3349">
          <cell r="A3349" t="str">
            <v>IS_alqt_plus</v>
          </cell>
          <cell r="K3349" t="str">
            <v>PCOQ</v>
          </cell>
          <cell r="M3349" t="str">
            <v>M</v>
          </cell>
        </row>
        <row r="3350">
          <cell r="A3350" t="str">
            <v>IS_alqt_plus</v>
          </cell>
          <cell r="K3350" t="str">
            <v>LCAT</v>
          </cell>
          <cell r="M3350" t="str">
            <v>F</v>
          </cell>
          <cell r="AC3350">
            <v>1.5</v>
          </cell>
        </row>
        <row r="3351">
          <cell r="A3351" t="str">
            <v>IS_alqt_plus</v>
          </cell>
          <cell r="K3351" t="str">
            <v>ECOL</v>
          </cell>
          <cell r="M3351" t="str">
            <v>F</v>
          </cell>
          <cell r="AC3351">
            <v>1</v>
          </cell>
        </row>
        <row r="3352">
          <cell r="A3352" t="str">
            <v>unk</v>
          </cell>
          <cell r="K3352" t="str">
            <v>ECOL</v>
          </cell>
          <cell r="M3352" t="str">
            <v>M</v>
          </cell>
          <cell r="AC3352">
            <v>3.5</v>
          </cell>
        </row>
        <row r="3353">
          <cell r="A3353" t="str">
            <v>unk</v>
          </cell>
          <cell r="K3353" t="str">
            <v>ECOL</v>
          </cell>
          <cell r="M3353" t="str">
            <v>M</v>
          </cell>
          <cell r="AC3353">
            <v>3.5</v>
          </cell>
        </row>
        <row r="3354">
          <cell r="A3354" t="str">
            <v>gone</v>
          </cell>
          <cell r="K3354" t="str">
            <v>PCOQ</v>
          </cell>
          <cell r="M3354" t="str">
            <v>M</v>
          </cell>
          <cell r="AC3354">
            <v>0.5</v>
          </cell>
        </row>
        <row r="3355">
          <cell r="A3355" t="str">
            <v>IS_alqt_plus</v>
          </cell>
          <cell r="K3355" t="str">
            <v>ERUF</v>
          </cell>
          <cell r="M3355" t="str">
            <v>M</v>
          </cell>
          <cell r="AC3355">
            <v>1.25</v>
          </cell>
        </row>
        <row r="3356">
          <cell r="A3356" t="str">
            <v>IS_alqt_plus</v>
          </cell>
          <cell r="K3356" t="str">
            <v>VRUB</v>
          </cell>
          <cell r="M3356" t="str">
            <v>M</v>
          </cell>
          <cell r="AC3356">
            <v>1</v>
          </cell>
        </row>
        <row r="3357">
          <cell r="A3357" t="str">
            <v>IS_alqt_plus</v>
          </cell>
          <cell r="K3357" t="str">
            <v>VRUB</v>
          </cell>
          <cell r="M3357" t="str">
            <v>M</v>
          </cell>
          <cell r="AC3357">
            <v>1</v>
          </cell>
        </row>
        <row r="3358">
          <cell r="A3358" t="str">
            <v>IS_alqt_plus</v>
          </cell>
          <cell r="K3358" t="str">
            <v>DMAD</v>
          </cell>
          <cell r="M3358" t="str">
            <v>F</v>
          </cell>
          <cell r="AC3358">
            <v>1</v>
          </cell>
        </row>
        <row r="3359">
          <cell r="A3359" t="str">
            <v>IS_alqt_plus</v>
          </cell>
          <cell r="K3359" t="str">
            <v>DMAD</v>
          </cell>
          <cell r="M3359" t="str">
            <v>F</v>
          </cell>
          <cell r="AC3359">
            <v>1.25</v>
          </cell>
        </row>
        <row r="3360">
          <cell r="A3360" t="str">
            <v>IS_alqt_plus</v>
          </cell>
          <cell r="K3360" t="str">
            <v>DMAD</v>
          </cell>
          <cell r="M3360" t="str">
            <v>F</v>
          </cell>
          <cell r="AC3360">
            <v>1.25</v>
          </cell>
        </row>
        <row r="3361">
          <cell r="A3361" t="str">
            <v>IS_alqt_plus</v>
          </cell>
          <cell r="K3361" t="str">
            <v>VVV</v>
          </cell>
          <cell r="M3361" t="str">
            <v>M</v>
          </cell>
          <cell r="AC3361">
            <v>1</v>
          </cell>
        </row>
        <row r="3362">
          <cell r="A3362" t="str">
            <v>IS_alqt_plus</v>
          </cell>
          <cell r="K3362" t="str">
            <v>VVV</v>
          </cell>
          <cell r="M3362" t="str">
            <v>M</v>
          </cell>
          <cell r="AC3362">
            <v>1</v>
          </cell>
        </row>
        <row r="3363">
          <cell r="A3363" t="str">
            <v>IS_alqt_plus</v>
          </cell>
          <cell r="K3363" t="str">
            <v>EFLA</v>
          </cell>
          <cell r="M3363" t="str">
            <v>M</v>
          </cell>
          <cell r="AC3363">
            <v>1</v>
          </cell>
        </row>
        <row r="3364">
          <cell r="A3364" t="str">
            <v>IS_alqt_plus</v>
          </cell>
          <cell r="K3364" t="str">
            <v>EFLA</v>
          </cell>
          <cell r="M3364" t="str">
            <v>M</v>
          </cell>
          <cell r="AC3364">
            <v>1</v>
          </cell>
        </row>
        <row r="3365">
          <cell r="A3365" t="str">
            <v>IS_alqt_plus</v>
          </cell>
          <cell r="K3365" t="str">
            <v>EFLA</v>
          </cell>
          <cell r="M3365" t="str">
            <v>M</v>
          </cell>
          <cell r="AC3365">
            <v>1</v>
          </cell>
        </row>
        <row r="3366">
          <cell r="A3366" t="str">
            <v>gone</v>
          </cell>
          <cell r="K3366" t="str">
            <v>LCAT</v>
          </cell>
          <cell r="M3366" t="str">
            <v>F</v>
          </cell>
          <cell r="AC3366">
            <v>0</v>
          </cell>
        </row>
        <row r="3367">
          <cell r="A3367" t="str">
            <v>IS_alqt_plus</v>
          </cell>
          <cell r="K3367" t="str">
            <v>LCAT</v>
          </cell>
          <cell r="M3367" t="str">
            <v>M</v>
          </cell>
          <cell r="AC3367">
            <v>0.5</v>
          </cell>
        </row>
        <row r="3368">
          <cell r="A3368" t="str">
            <v>IS_alqt_plus</v>
          </cell>
          <cell r="K3368" t="str">
            <v>LCAT</v>
          </cell>
          <cell r="M3368" t="str">
            <v>M</v>
          </cell>
          <cell r="AC3368">
            <v>0.5</v>
          </cell>
        </row>
        <row r="3369">
          <cell r="A3369" t="str">
            <v>IS_alqt_plus</v>
          </cell>
          <cell r="K3369" t="str">
            <v>LCAT</v>
          </cell>
          <cell r="M3369" t="str">
            <v>M</v>
          </cell>
          <cell r="AC3369">
            <v>0.5</v>
          </cell>
        </row>
        <row r="3370">
          <cell r="A3370" t="str">
            <v>IS_alqt_plus</v>
          </cell>
          <cell r="K3370" t="str">
            <v>LCAT</v>
          </cell>
          <cell r="M3370" t="str">
            <v>M</v>
          </cell>
          <cell r="AC3370">
            <v>0.5</v>
          </cell>
        </row>
        <row r="3371">
          <cell r="A3371" t="str">
            <v>IS_alqt_plus</v>
          </cell>
          <cell r="K3371" t="str">
            <v>LCAT</v>
          </cell>
          <cell r="M3371" t="str">
            <v>M</v>
          </cell>
          <cell r="AC3371">
            <v>0.5</v>
          </cell>
        </row>
        <row r="3372">
          <cell r="A3372" t="str">
            <v>IS_alqt_plus</v>
          </cell>
          <cell r="K3372" t="str">
            <v>LCAT</v>
          </cell>
          <cell r="M3372" t="str">
            <v>M</v>
          </cell>
          <cell r="AC3372">
            <v>0.5</v>
          </cell>
        </row>
        <row r="3373">
          <cell r="A3373" t="str">
            <v>IS_alqt_plus</v>
          </cell>
          <cell r="K3373" t="str">
            <v>LCAT</v>
          </cell>
          <cell r="M3373" t="str">
            <v>M</v>
          </cell>
          <cell r="AC3373">
            <v>1</v>
          </cell>
        </row>
        <row r="3374">
          <cell r="A3374" t="str">
            <v>IS_alqt_plus</v>
          </cell>
          <cell r="K3374" t="str">
            <v>LCAT</v>
          </cell>
          <cell r="M3374" t="str">
            <v>M</v>
          </cell>
          <cell r="AC3374">
            <v>1</v>
          </cell>
        </row>
        <row r="3375">
          <cell r="A3375" t="str">
            <v>IS_alqt_plus</v>
          </cell>
          <cell r="K3375" t="str">
            <v>LCAT</v>
          </cell>
          <cell r="M3375" t="str">
            <v>M</v>
          </cell>
          <cell r="AC3375">
            <v>0.8</v>
          </cell>
        </row>
        <row r="3376">
          <cell r="A3376" t="str">
            <v>IS_alqt_plus</v>
          </cell>
          <cell r="K3376" t="str">
            <v>LCAT</v>
          </cell>
          <cell r="M3376" t="str">
            <v>M</v>
          </cell>
          <cell r="AC3376">
            <v>1</v>
          </cell>
        </row>
        <row r="3377">
          <cell r="A3377" t="str">
            <v>IS_alqt_plus</v>
          </cell>
          <cell r="K3377" t="str">
            <v>PCOQ</v>
          </cell>
          <cell r="M3377" t="str">
            <v>F</v>
          </cell>
          <cell r="AC3377">
            <v>1</v>
          </cell>
        </row>
        <row r="3378">
          <cell r="A3378" t="str">
            <v>IS_alqt_plus</v>
          </cell>
          <cell r="K3378" t="str">
            <v>PCOQ</v>
          </cell>
          <cell r="M3378" t="str">
            <v>F</v>
          </cell>
          <cell r="AC3378">
            <v>1</v>
          </cell>
        </row>
        <row r="3379">
          <cell r="A3379" t="str">
            <v>IS_alqt_plus</v>
          </cell>
          <cell r="K3379" t="str">
            <v>PCOQ</v>
          </cell>
          <cell r="M3379" t="str">
            <v>F</v>
          </cell>
          <cell r="AC3379">
            <v>1</v>
          </cell>
        </row>
        <row r="3380">
          <cell r="A3380" t="str">
            <v>IS_alqt_plus</v>
          </cell>
          <cell r="K3380" t="str">
            <v>PCOQ</v>
          </cell>
          <cell r="M3380" t="str">
            <v>F</v>
          </cell>
          <cell r="AC3380">
            <v>0.8</v>
          </cell>
        </row>
        <row r="3381">
          <cell r="A3381" t="str">
            <v>IS_alqt_plus</v>
          </cell>
          <cell r="K3381" t="str">
            <v>EFLA</v>
          </cell>
          <cell r="M3381" t="str">
            <v>M</v>
          </cell>
          <cell r="AC3381">
            <v>1</v>
          </cell>
        </row>
        <row r="3382">
          <cell r="A3382" t="str">
            <v>IS_alqt_plus</v>
          </cell>
          <cell r="K3382" t="str">
            <v>EFLA</v>
          </cell>
          <cell r="M3382" t="str">
            <v>M</v>
          </cell>
          <cell r="AC3382">
            <v>1</v>
          </cell>
        </row>
        <row r="3383">
          <cell r="A3383" t="str">
            <v>IS_alqt_plus</v>
          </cell>
          <cell r="K3383" t="str">
            <v>PCOQ</v>
          </cell>
          <cell r="M3383" t="str">
            <v>F</v>
          </cell>
          <cell r="AC3383">
            <v>1</v>
          </cell>
        </row>
        <row r="3384">
          <cell r="A3384" t="str">
            <v>IS_alqt_minus</v>
          </cell>
          <cell r="K3384" t="str">
            <v>MMUR</v>
          </cell>
          <cell r="M3384" t="str">
            <v>M</v>
          </cell>
          <cell r="AC3384">
            <v>0.25</v>
          </cell>
        </row>
        <row r="3385">
          <cell r="A3385" t="str">
            <v>IS_alqt_plus</v>
          </cell>
          <cell r="K3385" t="str">
            <v>MMUR</v>
          </cell>
          <cell r="M3385" t="str">
            <v>M</v>
          </cell>
          <cell r="AC3385">
            <v>0.8</v>
          </cell>
        </row>
        <row r="3386">
          <cell r="A3386" t="str">
            <v>IS_alqt_minus</v>
          </cell>
          <cell r="K3386" t="str">
            <v>MMUR</v>
          </cell>
          <cell r="M3386" t="str">
            <v>M</v>
          </cell>
          <cell r="AC3386">
            <v>0.25</v>
          </cell>
        </row>
        <row r="3387">
          <cell r="A3387" t="str">
            <v>IS_alqt_plus</v>
          </cell>
          <cell r="K3387" t="str">
            <v>VRUB</v>
          </cell>
          <cell r="M3387" t="str">
            <v>M</v>
          </cell>
          <cell r="AC3387">
            <v>1</v>
          </cell>
        </row>
        <row r="3388">
          <cell r="A3388" t="str">
            <v>IS_alqt_minus</v>
          </cell>
          <cell r="K3388" t="str">
            <v>VRUB</v>
          </cell>
          <cell r="M3388" t="str">
            <v>M</v>
          </cell>
          <cell r="AC3388">
            <v>0.25</v>
          </cell>
        </row>
        <row r="3389">
          <cell r="A3389" t="str">
            <v>IS_alqt_plus</v>
          </cell>
          <cell r="K3389" t="str">
            <v>VRUB</v>
          </cell>
          <cell r="M3389" t="str">
            <v>M</v>
          </cell>
          <cell r="AC3389">
            <v>1</v>
          </cell>
        </row>
        <row r="3390">
          <cell r="A3390" t="str">
            <v>IS_alqt_plus</v>
          </cell>
          <cell r="K3390" t="str">
            <v>VRUB</v>
          </cell>
          <cell r="M3390" t="str">
            <v>M</v>
          </cell>
          <cell r="AC3390">
            <v>1</v>
          </cell>
        </row>
        <row r="3391">
          <cell r="A3391" t="str">
            <v>IS_alqt_plus</v>
          </cell>
          <cell r="K3391" t="str">
            <v>CMED</v>
          </cell>
          <cell r="M3391" t="str">
            <v>M</v>
          </cell>
          <cell r="AC3391">
            <v>1.8</v>
          </cell>
        </row>
        <row r="3392">
          <cell r="A3392" t="str">
            <v>IS_alqt_plus</v>
          </cell>
          <cell r="K3392" t="str">
            <v>VVV</v>
          </cell>
          <cell r="M3392" t="str">
            <v>F</v>
          </cell>
          <cell r="AC3392">
            <v>1</v>
          </cell>
        </row>
        <row r="3393">
          <cell r="A3393" t="str">
            <v>IS_alqt_plus</v>
          </cell>
          <cell r="K3393" t="str">
            <v>MMUR</v>
          </cell>
          <cell r="M3393" t="str">
            <v>F</v>
          </cell>
          <cell r="AC3393">
            <v>0.6</v>
          </cell>
        </row>
        <row r="3394">
          <cell r="A3394" t="str">
            <v>IS_alqt_plus</v>
          </cell>
          <cell r="K3394" t="str">
            <v>VVV</v>
          </cell>
          <cell r="M3394" t="str">
            <v>F</v>
          </cell>
          <cell r="AC3394">
            <v>1</v>
          </cell>
        </row>
        <row r="3395">
          <cell r="A3395" t="str">
            <v>IS_alqt_plus</v>
          </cell>
          <cell r="K3395" t="str">
            <v>PCOQ</v>
          </cell>
          <cell r="M3395" t="str">
            <v>M</v>
          </cell>
          <cell r="AC3395">
            <v>1</v>
          </cell>
        </row>
        <row r="3396">
          <cell r="A3396" t="str">
            <v>IS_alqt_plus</v>
          </cell>
          <cell r="K3396" t="str">
            <v>PCOQ</v>
          </cell>
          <cell r="M3396" t="str">
            <v>M</v>
          </cell>
          <cell r="AC3396">
            <v>1</v>
          </cell>
        </row>
        <row r="3397">
          <cell r="A3397" t="str">
            <v>IS_alqt_plus</v>
          </cell>
          <cell r="K3397" t="str">
            <v>PCOQ</v>
          </cell>
          <cell r="M3397" t="str">
            <v>M</v>
          </cell>
          <cell r="AC3397">
            <v>1</v>
          </cell>
        </row>
        <row r="3398">
          <cell r="A3398" t="str">
            <v>IS_alqt_plus</v>
          </cell>
          <cell r="K3398" t="str">
            <v>PCOQ</v>
          </cell>
          <cell r="M3398" t="str">
            <v>M</v>
          </cell>
          <cell r="AC3398">
            <v>1</v>
          </cell>
        </row>
        <row r="3399">
          <cell r="A3399" t="str">
            <v>IS_alqt_plus</v>
          </cell>
          <cell r="K3399" t="str">
            <v>PCOQ</v>
          </cell>
          <cell r="M3399" t="str">
            <v>M</v>
          </cell>
          <cell r="AC3399">
            <v>1</v>
          </cell>
        </row>
        <row r="3400">
          <cell r="A3400" t="str">
            <v>IS_alqt_plus</v>
          </cell>
          <cell r="K3400" t="str">
            <v>PCOQ</v>
          </cell>
          <cell r="M3400" t="str">
            <v>M</v>
          </cell>
          <cell r="AC3400">
            <v>1</v>
          </cell>
        </row>
        <row r="3401">
          <cell r="A3401" t="str">
            <v>IS_alqt_plus</v>
          </cell>
          <cell r="K3401" t="str">
            <v>PCOQ</v>
          </cell>
          <cell r="M3401" t="str">
            <v>M</v>
          </cell>
          <cell r="AC3401">
            <v>1</v>
          </cell>
        </row>
        <row r="3402">
          <cell r="A3402" t="str">
            <v>IS_alqt_plus</v>
          </cell>
          <cell r="K3402" t="str">
            <v>PCOQ</v>
          </cell>
          <cell r="M3402" t="str">
            <v>M</v>
          </cell>
          <cell r="AC3402">
            <v>1</v>
          </cell>
        </row>
        <row r="3403">
          <cell r="A3403" t="str">
            <v>IS_alqt_plus</v>
          </cell>
          <cell r="K3403" t="str">
            <v>LCAT</v>
          </cell>
          <cell r="M3403" t="str">
            <v>M</v>
          </cell>
          <cell r="AC3403">
            <v>1</v>
          </cell>
        </row>
        <row r="3404">
          <cell r="A3404" t="str">
            <v>IS_alqt_minus</v>
          </cell>
          <cell r="K3404" t="str">
            <v>LCAT</v>
          </cell>
          <cell r="M3404" t="str">
            <v>F</v>
          </cell>
          <cell r="AC3404">
            <v>0.2</v>
          </cell>
        </row>
        <row r="3405">
          <cell r="A3405" t="str">
            <v>IS_alqt_minus</v>
          </cell>
          <cell r="K3405" t="str">
            <v>LCAT</v>
          </cell>
          <cell r="M3405" t="str">
            <v>F</v>
          </cell>
          <cell r="AC3405">
            <v>0.2</v>
          </cell>
        </row>
        <row r="3406">
          <cell r="A3406" t="str">
            <v>IS_alqt_minus</v>
          </cell>
          <cell r="K3406" t="str">
            <v>LCAT</v>
          </cell>
          <cell r="M3406" t="str">
            <v>F</v>
          </cell>
          <cell r="AC3406">
            <v>0.2</v>
          </cell>
        </row>
        <row r="3407">
          <cell r="A3407" t="str">
            <v>IS_alqt_plus</v>
          </cell>
          <cell r="K3407" t="str">
            <v>PCOQ</v>
          </cell>
          <cell r="M3407" t="str">
            <v>F</v>
          </cell>
          <cell r="AC3407">
            <v>1</v>
          </cell>
        </row>
        <row r="3408">
          <cell r="A3408" t="str">
            <v>IS_alqt_plus</v>
          </cell>
          <cell r="K3408" t="str">
            <v>PCOQ</v>
          </cell>
          <cell r="M3408" t="str">
            <v>F</v>
          </cell>
          <cell r="AC3408">
            <v>1</v>
          </cell>
        </row>
        <row r="3409">
          <cell r="A3409" t="str">
            <v>IS_alqt_plus</v>
          </cell>
          <cell r="K3409" t="str">
            <v>PCOQ</v>
          </cell>
          <cell r="M3409" t="str">
            <v>F</v>
          </cell>
          <cell r="AC3409">
            <v>1</v>
          </cell>
        </row>
        <row r="3410">
          <cell r="A3410" t="str">
            <v>IS_alqt_plus</v>
          </cell>
          <cell r="K3410" t="str">
            <v>PCOQ</v>
          </cell>
          <cell r="M3410" t="str">
            <v>F</v>
          </cell>
          <cell r="AC3410">
            <v>1</v>
          </cell>
        </row>
        <row r="3411">
          <cell r="A3411" t="str">
            <v>IS_alqt_plus</v>
          </cell>
          <cell r="K3411" t="str">
            <v>PCOQ</v>
          </cell>
          <cell r="M3411" t="str">
            <v>F</v>
          </cell>
          <cell r="AC3411">
            <v>1</v>
          </cell>
        </row>
        <row r="3412">
          <cell r="A3412" t="str">
            <v>IS_alqt_plus</v>
          </cell>
          <cell r="K3412" t="str">
            <v>PCOQ</v>
          </cell>
          <cell r="M3412" t="str">
            <v>F</v>
          </cell>
          <cell r="AC3412">
            <v>1</v>
          </cell>
        </row>
        <row r="3413">
          <cell r="A3413" t="str">
            <v>IS_alqt_plus</v>
          </cell>
          <cell r="K3413" t="str">
            <v>PCOQ</v>
          </cell>
          <cell r="M3413" t="str">
            <v>F</v>
          </cell>
          <cell r="AC3413">
            <v>1</v>
          </cell>
        </row>
        <row r="3414">
          <cell r="A3414" t="str">
            <v>IS_alqt_plus</v>
          </cell>
          <cell r="K3414" t="str">
            <v>PCOQ</v>
          </cell>
          <cell r="M3414" t="str">
            <v>F</v>
          </cell>
          <cell r="AC3414">
            <v>1</v>
          </cell>
        </row>
        <row r="3415">
          <cell r="A3415" t="str">
            <v>IS_alqt_plus</v>
          </cell>
          <cell r="K3415" t="str">
            <v>PCOQ</v>
          </cell>
          <cell r="M3415" t="str">
            <v>F</v>
          </cell>
          <cell r="AC3415">
            <v>1</v>
          </cell>
        </row>
        <row r="3416">
          <cell r="A3416" t="str">
            <v>IS_alqt_plus</v>
          </cell>
          <cell r="K3416" t="str">
            <v>PCOQ</v>
          </cell>
          <cell r="M3416" t="str">
            <v>F</v>
          </cell>
          <cell r="AC3416">
            <v>1</v>
          </cell>
        </row>
        <row r="3417">
          <cell r="A3417" t="str">
            <v>IS_alqt_plus</v>
          </cell>
          <cell r="K3417" t="str">
            <v>PCOQ</v>
          </cell>
          <cell r="M3417" t="str">
            <v>F</v>
          </cell>
          <cell r="AC3417">
            <v>1</v>
          </cell>
        </row>
        <row r="3418">
          <cell r="A3418" t="str">
            <v>IS_alqt_plus</v>
          </cell>
          <cell r="K3418" t="str">
            <v>PCOQ</v>
          </cell>
          <cell r="M3418" t="str">
            <v>F</v>
          </cell>
          <cell r="AC3418">
            <v>1</v>
          </cell>
        </row>
        <row r="3419">
          <cell r="A3419" t="str">
            <v>IS_alqt_plus</v>
          </cell>
          <cell r="K3419" t="str">
            <v>PCOQ</v>
          </cell>
          <cell r="M3419" t="str">
            <v>F</v>
          </cell>
          <cell r="AC3419">
            <v>1</v>
          </cell>
        </row>
        <row r="3420">
          <cell r="A3420" t="str">
            <v>IS_alqt_plus</v>
          </cell>
          <cell r="K3420" t="str">
            <v>PCOQ</v>
          </cell>
          <cell r="M3420" t="str">
            <v>M</v>
          </cell>
          <cell r="AC3420">
            <v>0.5</v>
          </cell>
        </row>
        <row r="3421">
          <cell r="A3421" t="str">
            <v>IS_alqt_plus</v>
          </cell>
          <cell r="K3421" t="str">
            <v>PCOQ</v>
          </cell>
          <cell r="M3421" t="str">
            <v>M</v>
          </cell>
          <cell r="AC3421">
            <v>0.5</v>
          </cell>
        </row>
        <row r="3422">
          <cell r="A3422" t="str">
            <v>IS_alqt_plus</v>
          </cell>
          <cell r="K3422" t="str">
            <v>PCOQ</v>
          </cell>
          <cell r="M3422" t="str">
            <v>M</v>
          </cell>
          <cell r="AC3422">
            <v>0.5</v>
          </cell>
        </row>
        <row r="3423">
          <cell r="A3423" t="str">
            <v>IS_alqt_plus</v>
          </cell>
          <cell r="K3423" t="str">
            <v>PCOQ</v>
          </cell>
          <cell r="M3423" t="str">
            <v>M</v>
          </cell>
          <cell r="AC3423">
            <v>0.5</v>
          </cell>
        </row>
        <row r="3424">
          <cell r="A3424" t="str">
            <v>IS_alqt_plus</v>
          </cell>
          <cell r="K3424" t="str">
            <v>PCOQ</v>
          </cell>
          <cell r="M3424" t="str">
            <v>M</v>
          </cell>
          <cell r="AC3424">
            <v>0.5</v>
          </cell>
        </row>
        <row r="3425">
          <cell r="A3425" t="str">
            <v>IS_alqt_plus</v>
          </cell>
          <cell r="K3425" t="str">
            <v>PCOQ</v>
          </cell>
          <cell r="M3425" t="str">
            <v>M</v>
          </cell>
          <cell r="AC3425">
            <v>0.5</v>
          </cell>
        </row>
        <row r="3426">
          <cell r="A3426" t="str">
            <v>IS_alqt_plus</v>
          </cell>
          <cell r="K3426" t="str">
            <v>PCOQ</v>
          </cell>
          <cell r="M3426" t="str">
            <v>M</v>
          </cell>
          <cell r="AC3426">
            <v>0.5</v>
          </cell>
        </row>
        <row r="3427">
          <cell r="A3427" t="str">
            <v>IS_alqt_plus</v>
          </cell>
          <cell r="K3427" t="str">
            <v>PCOQ</v>
          </cell>
          <cell r="M3427" t="str">
            <v>M</v>
          </cell>
          <cell r="AC3427">
            <v>0.5</v>
          </cell>
        </row>
        <row r="3428">
          <cell r="A3428" t="str">
            <v>IS_alqt_plus</v>
          </cell>
          <cell r="K3428" t="str">
            <v>VRUB</v>
          </cell>
          <cell r="M3428" t="str">
            <v>F</v>
          </cell>
          <cell r="AC3428">
            <v>0.5</v>
          </cell>
        </row>
        <row r="3429">
          <cell r="A3429" t="str">
            <v>IS_alqt_plus</v>
          </cell>
          <cell r="K3429" t="str">
            <v>VRUB</v>
          </cell>
          <cell r="M3429" t="str">
            <v>F</v>
          </cell>
          <cell r="AC3429">
            <v>0.5</v>
          </cell>
        </row>
        <row r="3430">
          <cell r="A3430" t="str">
            <v>IS_alqt_plus</v>
          </cell>
          <cell r="K3430" t="str">
            <v>VRUB</v>
          </cell>
          <cell r="M3430" t="str">
            <v>F</v>
          </cell>
          <cell r="AC3430">
            <v>0.5</v>
          </cell>
        </row>
        <row r="3431">
          <cell r="A3431" t="str">
            <v>IS_alqt_plus</v>
          </cell>
          <cell r="K3431" t="str">
            <v>VRUB</v>
          </cell>
          <cell r="M3431" t="str">
            <v>F</v>
          </cell>
          <cell r="AC3431">
            <v>0.5</v>
          </cell>
        </row>
        <row r="3432">
          <cell r="A3432" t="str">
            <v>IS_alqt_plus</v>
          </cell>
          <cell r="K3432" t="str">
            <v>VRUB</v>
          </cell>
          <cell r="M3432" t="str">
            <v>F</v>
          </cell>
          <cell r="AC3432">
            <v>0.5</v>
          </cell>
        </row>
        <row r="3433">
          <cell r="A3433" t="str">
            <v>IS_alqt_plus</v>
          </cell>
          <cell r="K3433" t="str">
            <v>VRUB</v>
          </cell>
          <cell r="M3433" t="str">
            <v>F</v>
          </cell>
          <cell r="AC3433">
            <v>0.5</v>
          </cell>
        </row>
        <row r="3434">
          <cell r="A3434" t="str">
            <v>IS_alqt_plus</v>
          </cell>
          <cell r="K3434" t="str">
            <v>PCOQ</v>
          </cell>
          <cell r="M3434" t="str">
            <v>M</v>
          </cell>
          <cell r="AC3434">
            <v>0.5</v>
          </cell>
        </row>
        <row r="3435">
          <cell r="A3435" t="str">
            <v>IS_alqt_plus</v>
          </cell>
          <cell r="K3435" t="str">
            <v>PCOQ</v>
          </cell>
          <cell r="M3435" t="str">
            <v>M</v>
          </cell>
          <cell r="AC3435">
            <v>0.5</v>
          </cell>
        </row>
        <row r="3436">
          <cell r="A3436" t="str">
            <v>IS_alqt_plus</v>
          </cell>
          <cell r="K3436" t="str">
            <v>PCOQ</v>
          </cell>
          <cell r="M3436" t="str">
            <v>M</v>
          </cell>
          <cell r="AC3436">
            <v>0.5</v>
          </cell>
        </row>
        <row r="3437">
          <cell r="A3437" t="str">
            <v>IS_alqt_plus</v>
          </cell>
          <cell r="K3437" t="str">
            <v>VRUB</v>
          </cell>
          <cell r="M3437" t="str">
            <v>F</v>
          </cell>
          <cell r="AC3437">
            <v>0.5</v>
          </cell>
        </row>
        <row r="3438">
          <cell r="A3438" t="str">
            <v>IS_alqt_plus</v>
          </cell>
          <cell r="K3438" t="str">
            <v>VRUB</v>
          </cell>
          <cell r="M3438" t="str">
            <v>F</v>
          </cell>
          <cell r="AC3438">
            <v>0.75</v>
          </cell>
        </row>
        <row r="3439">
          <cell r="A3439" t="str">
            <v>IS_alqt_plus</v>
          </cell>
          <cell r="K3439" t="str">
            <v>VRUB</v>
          </cell>
          <cell r="M3439" t="str">
            <v>F</v>
          </cell>
          <cell r="AC3439">
            <v>0.75</v>
          </cell>
        </row>
        <row r="3440">
          <cell r="A3440" t="str">
            <v>IS_alqt_plus</v>
          </cell>
          <cell r="K3440" t="str">
            <v>VRUB</v>
          </cell>
          <cell r="M3440" t="str">
            <v>F</v>
          </cell>
          <cell r="AC3440">
            <v>0.75</v>
          </cell>
        </row>
        <row r="3441">
          <cell r="A3441" t="str">
            <v>IS_alqt_plus</v>
          </cell>
          <cell r="K3441" t="str">
            <v>VRUB</v>
          </cell>
          <cell r="M3441" t="str">
            <v>F</v>
          </cell>
          <cell r="AC3441">
            <v>0.5</v>
          </cell>
        </row>
        <row r="3442">
          <cell r="A3442" t="str">
            <v>IS_alqt_plus</v>
          </cell>
          <cell r="K3442" t="str">
            <v>LCAT</v>
          </cell>
          <cell r="M3442" t="str">
            <v>F</v>
          </cell>
          <cell r="AC3442">
            <v>0.5</v>
          </cell>
        </row>
        <row r="3443">
          <cell r="A3443" t="str">
            <v>IS_alqt_plus</v>
          </cell>
          <cell r="K3443" t="str">
            <v>PCOQ</v>
          </cell>
          <cell r="M3443" t="str">
            <v>F</v>
          </cell>
          <cell r="AC3443">
            <v>1</v>
          </cell>
        </row>
        <row r="3444">
          <cell r="A3444" t="str">
            <v>IS_alqt_plus</v>
          </cell>
          <cell r="K3444" t="str">
            <v>PCOQ</v>
          </cell>
          <cell r="M3444" t="str">
            <v>F</v>
          </cell>
          <cell r="AC3444">
            <v>1</v>
          </cell>
        </row>
        <row r="3445">
          <cell r="A3445" t="str">
            <v>IS_alqt_plus</v>
          </cell>
          <cell r="K3445" t="str">
            <v>PCOQ</v>
          </cell>
          <cell r="M3445" t="str">
            <v>F</v>
          </cell>
          <cell r="AC3445">
            <v>0.75</v>
          </cell>
        </row>
        <row r="3446">
          <cell r="A3446" t="str">
            <v>IS_alqt_plus</v>
          </cell>
          <cell r="K3446" t="str">
            <v>LCAT</v>
          </cell>
          <cell r="M3446" t="str">
            <v>F</v>
          </cell>
          <cell r="AC3446">
            <v>0.5</v>
          </cell>
        </row>
        <row r="3447">
          <cell r="A3447" t="str">
            <v>IS_alqt_plus</v>
          </cell>
          <cell r="K3447" t="str">
            <v>LCAT</v>
          </cell>
          <cell r="M3447" t="str">
            <v>F</v>
          </cell>
          <cell r="AC3447">
            <v>0.5</v>
          </cell>
        </row>
        <row r="3448">
          <cell r="A3448" t="str">
            <v>IS_alqt_plus</v>
          </cell>
          <cell r="K3448" t="str">
            <v>LCAT</v>
          </cell>
          <cell r="M3448" t="str">
            <v>F</v>
          </cell>
          <cell r="AC3448">
            <v>0.5</v>
          </cell>
        </row>
        <row r="3449">
          <cell r="A3449" t="str">
            <v>IS_alqt_plus</v>
          </cell>
          <cell r="K3449" t="str">
            <v>PCOQ</v>
          </cell>
          <cell r="M3449" t="str">
            <v>M</v>
          </cell>
          <cell r="AC3449">
            <v>0.5</v>
          </cell>
        </row>
        <row r="3450">
          <cell r="A3450" t="str">
            <v>IS_alqt_plus</v>
          </cell>
          <cell r="K3450" t="str">
            <v>PCOQ</v>
          </cell>
          <cell r="M3450" t="str">
            <v>M</v>
          </cell>
          <cell r="AC3450">
            <v>0.5</v>
          </cell>
        </row>
        <row r="3451">
          <cell r="A3451" t="str">
            <v>IS_alqt_minus</v>
          </cell>
          <cell r="K3451" t="str">
            <v>LCAT</v>
          </cell>
          <cell r="M3451" t="str">
            <v>F</v>
          </cell>
          <cell r="AC3451">
            <v>0.2</v>
          </cell>
        </row>
        <row r="3452">
          <cell r="A3452" t="str">
            <v>IS_alqt_minus</v>
          </cell>
          <cell r="K3452" t="str">
            <v>LCAT</v>
          </cell>
          <cell r="M3452" t="str">
            <v>F</v>
          </cell>
          <cell r="AC3452">
            <v>0.2</v>
          </cell>
        </row>
        <row r="3453">
          <cell r="A3453" t="str">
            <v>IS_alqt_minus</v>
          </cell>
          <cell r="K3453" t="str">
            <v>LCAT</v>
          </cell>
          <cell r="M3453" t="str">
            <v>F</v>
          </cell>
          <cell r="AC3453">
            <v>0.2</v>
          </cell>
        </row>
        <row r="3454">
          <cell r="A3454" t="str">
            <v>IS_alqt_minus</v>
          </cell>
          <cell r="K3454" t="str">
            <v>LCAT</v>
          </cell>
          <cell r="M3454" t="str">
            <v>F</v>
          </cell>
          <cell r="AC3454">
            <v>0.2</v>
          </cell>
        </row>
        <row r="3455">
          <cell r="A3455" t="str">
            <v>IS_alqt_minus</v>
          </cell>
          <cell r="K3455" t="str">
            <v>LCAT</v>
          </cell>
          <cell r="M3455" t="str">
            <v>F</v>
          </cell>
          <cell r="AC3455">
            <v>0.2</v>
          </cell>
        </row>
        <row r="3456">
          <cell r="A3456" t="str">
            <v>IS_alqt_minus</v>
          </cell>
          <cell r="K3456" t="str">
            <v>LCAT</v>
          </cell>
          <cell r="M3456" t="str">
            <v>F</v>
          </cell>
          <cell r="AC3456">
            <v>0.2</v>
          </cell>
        </row>
        <row r="3457">
          <cell r="A3457" t="str">
            <v>IS_alqt_plus</v>
          </cell>
          <cell r="K3457" t="str">
            <v>PCOQ</v>
          </cell>
          <cell r="M3457" t="str">
            <v>M</v>
          </cell>
          <cell r="AC3457">
            <v>0.5</v>
          </cell>
        </row>
        <row r="3458">
          <cell r="A3458" t="str">
            <v>IS_alqt_plus</v>
          </cell>
          <cell r="K3458" t="str">
            <v>PCOQ</v>
          </cell>
          <cell r="M3458" t="str">
            <v>M</v>
          </cell>
          <cell r="AC3458">
            <v>1</v>
          </cell>
        </row>
        <row r="3459">
          <cell r="A3459" t="str">
            <v>IS_alqt_plus</v>
          </cell>
          <cell r="K3459" t="str">
            <v>LCAT</v>
          </cell>
          <cell r="M3459" t="str">
            <v>F</v>
          </cell>
          <cell r="AC3459">
            <v>0.5</v>
          </cell>
        </row>
        <row r="3460">
          <cell r="A3460" t="str">
            <v>IS_alqt_plus</v>
          </cell>
          <cell r="K3460" t="str">
            <v>LCAT</v>
          </cell>
          <cell r="M3460" t="str">
            <v>F</v>
          </cell>
          <cell r="AC3460">
            <v>0.5</v>
          </cell>
        </row>
        <row r="3461">
          <cell r="A3461" t="str">
            <v>IS_alqt_plus</v>
          </cell>
          <cell r="K3461" t="str">
            <v>LCAT</v>
          </cell>
          <cell r="M3461" t="str">
            <v>F</v>
          </cell>
          <cell r="AC3461">
            <v>0.5</v>
          </cell>
        </row>
        <row r="3462">
          <cell r="A3462" t="str">
            <v>IS_alqt_plus</v>
          </cell>
          <cell r="K3462" t="str">
            <v>PCOQ</v>
          </cell>
          <cell r="M3462" t="str">
            <v>M</v>
          </cell>
          <cell r="AC3462">
            <v>1</v>
          </cell>
        </row>
        <row r="3463">
          <cell r="A3463" t="str">
            <v>IS_alqt_plus</v>
          </cell>
          <cell r="K3463" t="str">
            <v>PCOQ</v>
          </cell>
          <cell r="M3463" t="str">
            <v>M</v>
          </cell>
          <cell r="AC3463">
            <v>1</v>
          </cell>
        </row>
        <row r="3464">
          <cell r="A3464" t="str">
            <v>IS_alqt_plus</v>
          </cell>
          <cell r="K3464" t="str">
            <v>PCOQ</v>
          </cell>
          <cell r="M3464" t="str">
            <v>F</v>
          </cell>
          <cell r="AC3464">
            <v>1</v>
          </cell>
        </row>
        <row r="3465">
          <cell r="A3465" t="str">
            <v>IS_alqt_plus</v>
          </cell>
          <cell r="K3465" t="str">
            <v>PCOQ</v>
          </cell>
          <cell r="M3465" t="str">
            <v>F</v>
          </cell>
          <cell r="AC3465">
            <v>1</v>
          </cell>
        </row>
        <row r="3466">
          <cell r="A3466" t="str">
            <v>IS_alqt_plus</v>
          </cell>
          <cell r="K3466" t="str">
            <v>PCOQ</v>
          </cell>
          <cell r="M3466" t="str">
            <v>F</v>
          </cell>
          <cell r="AC3466">
            <v>1</v>
          </cell>
        </row>
        <row r="3467">
          <cell r="A3467" t="str">
            <v>IS_alqt_plus</v>
          </cell>
          <cell r="K3467" t="str">
            <v>PCOQ</v>
          </cell>
          <cell r="M3467" t="str">
            <v>F</v>
          </cell>
          <cell r="AC3467">
            <v>1</v>
          </cell>
        </row>
        <row r="3468">
          <cell r="A3468" t="str">
            <v>IS_alqt_plus</v>
          </cell>
          <cell r="K3468" t="str">
            <v>LCAT</v>
          </cell>
          <cell r="M3468" t="str">
            <v>F</v>
          </cell>
          <cell r="AC3468">
            <v>1</v>
          </cell>
        </row>
        <row r="3469">
          <cell r="A3469" t="str">
            <v>IS_alqt_plus</v>
          </cell>
          <cell r="K3469" t="str">
            <v>LCAT</v>
          </cell>
          <cell r="M3469" t="str">
            <v>F</v>
          </cell>
          <cell r="AC3469">
            <v>1</v>
          </cell>
        </row>
        <row r="3470">
          <cell r="A3470" t="str">
            <v>IS_alqt_plus</v>
          </cell>
          <cell r="K3470" t="str">
            <v>LCAT</v>
          </cell>
          <cell r="M3470" t="str">
            <v>F</v>
          </cell>
          <cell r="AC3470">
            <v>1</v>
          </cell>
        </row>
        <row r="3471">
          <cell r="A3471" t="str">
            <v>IS_alqt_plus</v>
          </cell>
          <cell r="K3471" t="str">
            <v>LCAT</v>
          </cell>
          <cell r="M3471" t="str">
            <v>F</v>
          </cell>
          <cell r="AC3471">
            <v>1</v>
          </cell>
        </row>
        <row r="3472">
          <cell r="A3472" t="str">
            <v>IS_alqt_plus</v>
          </cell>
          <cell r="K3472" t="str">
            <v>LCAT</v>
          </cell>
          <cell r="M3472" t="str">
            <v>F</v>
          </cell>
          <cell r="AC3472">
            <v>1</v>
          </cell>
        </row>
        <row r="3473">
          <cell r="A3473" t="str">
            <v>IS_alqt_plus</v>
          </cell>
          <cell r="K3473" t="str">
            <v>LCAT</v>
          </cell>
          <cell r="M3473" t="str">
            <v>F</v>
          </cell>
          <cell r="AC3473">
            <v>0.5</v>
          </cell>
        </row>
        <row r="3474">
          <cell r="A3474" t="str">
            <v>IS_alqt_plus</v>
          </cell>
          <cell r="K3474" t="str">
            <v>LCAT</v>
          </cell>
          <cell r="M3474" t="str">
            <v>F</v>
          </cell>
          <cell r="AC3474">
            <v>0.5</v>
          </cell>
        </row>
        <row r="3475">
          <cell r="A3475" t="str">
            <v>IS_alqt_plus</v>
          </cell>
          <cell r="K3475" t="str">
            <v>LCAT</v>
          </cell>
          <cell r="M3475" t="str">
            <v>F</v>
          </cell>
          <cell r="AC3475">
            <v>0.5</v>
          </cell>
        </row>
        <row r="3476">
          <cell r="A3476" t="str">
            <v>IS_alqt_plus</v>
          </cell>
          <cell r="K3476" t="str">
            <v>LCAT</v>
          </cell>
          <cell r="M3476" t="str">
            <v>F</v>
          </cell>
          <cell r="AC3476">
            <v>1</v>
          </cell>
        </row>
        <row r="3477">
          <cell r="A3477" t="str">
            <v>IS_alqt_plus</v>
          </cell>
          <cell r="K3477" t="str">
            <v>LCAT</v>
          </cell>
          <cell r="M3477" t="str">
            <v>F</v>
          </cell>
          <cell r="AC3477">
            <v>1</v>
          </cell>
        </row>
        <row r="3478">
          <cell r="A3478" t="str">
            <v>IS_alqt_plus</v>
          </cell>
          <cell r="K3478" t="str">
            <v>LCAT</v>
          </cell>
          <cell r="M3478" t="str">
            <v>F</v>
          </cell>
          <cell r="AC3478">
            <v>1</v>
          </cell>
        </row>
        <row r="3479">
          <cell r="A3479" t="str">
            <v>IS_alqt_plus</v>
          </cell>
          <cell r="K3479" t="str">
            <v>VRUB</v>
          </cell>
          <cell r="M3479" t="str">
            <v>F</v>
          </cell>
          <cell r="AC3479">
            <v>0.5</v>
          </cell>
        </row>
        <row r="3480">
          <cell r="A3480" t="str">
            <v>IS_alqt_plus</v>
          </cell>
          <cell r="K3480" t="str">
            <v>VRUB</v>
          </cell>
          <cell r="M3480" t="str">
            <v>F</v>
          </cell>
          <cell r="AC3480">
            <v>0.5</v>
          </cell>
        </row>
        <row r="3481">
          <cell r="A3481" t="str">
            <v>IS_alqt_plus</v>
          </cell>
          <cell r="K3481" t="str">
            <v>VRUB</v>
          </cell>
          <cell r="M3481" t="str">
            <v>F</v>
          </cell>
          <cell r="AC3481">
            <v>0.5</v>
          </cell>
        </row>
        <row r="3482">
          <cell r="A3482" t="str">
            <v>IS_alqt_plus</v>
          </cell>
          <cell r="K3482" t="str">
            <v>VRUB</v>
          </cell>
          <cell r="M3482" t="str">
            <v>F</v>
          </cell>
          <cell r="AC3482">
            <v>0.5</v>
          </cell>
        </row>
        <row r="3483">
          <cell r="A3483" t="str">
            <v>IS_alqt_plus</v>
          </cell>
          <cell r="K3483" t="str">
            <v>VRUB</v>
          </cell>
          <cell r="M3483" t="str">
            <v>F</v>
          </cell>
          <cell r="AC3483">
            <v>0.5</v>
          </cell>
        </row>
        <row r="3484">
          <cell r="A3484" t="str">
            <v>IS_alqt_plus</v>
          </cell>
          <cell r="K3484" t="str">
            <v>LCAT</v>
          </cell>
          <cell r="M3484" t="str">
            <v>F</v>
          </cell>
          <cell r="AC3484">
            <v>0.5</v>
          </cell>
        </row>
        <row r="3485">
          <cell r="A3485" t="str">
            <v>IS_alqt_plus</v>
          </cell>
          <cell r="K3485" t="str">
            <v>LCAT</v>
          </cell>
          <cell r="M3485" t="str">
            <v>F</v>
          </cell>
          <cell r="AC3485">
            <v>0.5</v>
          </cell>
        </row>
        <row r="3486">
          <cell r="A3486" t="str">
            <v>IS_alqt_plus</v>
          </cell>
          <cell r="K3486" t="str">
            <v>VRUB</v>
          </cell>
          <cell r="M3486" t="str">
            <v>F</v>
          </cell>
          <cell r="AC3486">
            <v>0.5</v>
          </cell>
        </row>
        <row r="3487">
          <cell r="A3487" t="str">
            <v>IS_alqt_plus</v>
          </cell>
          <cell r="K3487" t="str">
            <v>VRUB</v>
          </cell>
          <cell r="M3487" t="str">
            <v>F</v>
          </cell>
          <cell r="AC3487">
            <v>0.5</v>
          </cell>
        </row>
        <row r="3488">
          <cell r="A3488" t="str">
            <v>IS_alqt_plus</v>
          </cell>
          <cell r="K3488" t="str">
            <v>VRUB</v>
          </cell>
          <cell r="M3488" t="str">
            <v>F</v>
          </cell>
          <cell r="AC3488">
            <v>0.5</v>
          </cell>
        </row>
        <row r="3489">
          <cell r="A3489" t="str">
            <v>IS_alqt_plus</v>
          </cell>
          <cell r="K3489" t="str">
            <v>VRUB</v>
          </cell>
          <cell r="M3489" t="str">
            <v>F</v>
          </cell>
          <cell r="AC3489">
            <v>0.5</v>
          </cell>
        </row>
        <row r="3490">
          <cell r="A3490" t="str">
            <v>IS_alqt_plus</v>
          </cell>
          <cell r="K3490" t="str">
            <v>VRUB</v>
          </cell>
          <cell r="M3490" t="str">
            <v>F</v>
          </cell>
          <cell r="AC3490">
            <v>0.5</v>
          </cell>
        </row>
        <row r="3491">
          <cell r="A3491" t="str">
            <v>IS_alqt_plus</v>
          </cell>
          <cell r="K3491" t="str">
            <v>VRUB</v>
          </cell>
          <cell r="M3491" t="str">
            <v>F</v>
          </cell>
          <cell r="AC3491">
            <v>0.5</v>
          </cell>
        </row>
        <row r="3492">
          <cell r="A3492" t="str">
            <v>IS_alqt_plus</v>
          </cell>
          <cell r="K3492" t="str">
            <v>VRUB</v>
          </cell>
          <cell r="M3492" t="str">
            <v>F</v>
          </cell>
          <cell r="AC3492">
            <v>0.5</v>
          </cell>
        </row>
        <row r="3493">
          <cell r="A3493" t="str">
            <v>IS_alqt_plus</v>
          </cell>
          <cell r="K3493" t="str">
            <v>VRUB</v>
          </cell>
          <cell r="M3493" t="str">
            <v>F</v>
          </cell>
          <cell r="AC3493">
            <v>0.5</v>
          </cell>
        </row>
        <row r="3494">
          <cell r="A3494" t="str">
            <v>IS_alqt_plus</v>
          </cell>
          <cell r="K3494" t="str">
            <v>VRUB</v>
          </cell>
          <cell r="M3494" t="str">
            <v>F</v>
          </cell>
          <cell r="AC3494">
            <v>0.5</v>
          </cell>
        </row>
        <row r="3495">
          <cell r="A3495" t="str">
            <v>IS_alqt_plus</v>
          </cell>
          <cell r="K3495" t="str">
            <v>VRUB</v>
          </cell>
          <cell r="M3495" t="str">
            <v>F</v>
          </cell>
          <cell r="AC3495">
            <v>0.5</v>
          </cell>
        </row>
        <row r="3496">
          <cell r="A3496" t="str">
            <v>IS_alqt_plus</v>
          </cell>
          <cell r="K3496" t="str">
            <v>VVV</v>
          </cell>
          <cell r="M3496" t="str">
            <v>F</v>
          </cell>
          <cell r="AC3496">
            <v>1</v>
          </cell>
        </row>
        <row r="3497">
          <cell r="A3497" t="str">
            <v>IS_alqt_minus</v>
          </cell>
          <cell r="K3497" t="str">
            <v>MMUR</v>
          </cell>
          <cell r="M3497" t="str">
            <v>F</v>
          </cell>
          <cell r="AC3497">
            <v>0.1</v>
          </cell>
        </row>
        <row r="3498">
          <cell r="A3498" t="str">
            <v>IS_alqt_plus</v>
          </cell>
          <cell r="K3498" t="str">
            <v>VVV</v>
          </cell>
          <cell r="M3498" t="str">
            <v>F</v>
          </cell>
          <cell r="AC3498">
            <v>1</v>
          </cell>
        </row>
        <row r="3499">
          <cell r="A3499" t="str">
            <v>IS_alqt_plus</v>
          </cell>
          <cell r="K3499" t="str">
            <v>MMUR</v>
          </cell>
          <cell r="M3499" t="str">
            <v>F</v>
          </cell>
          <cell r="AC3499">
            <v>1</v>
          </cell>
        </row>
        <row r="3500">
          <cell r="A3500" t="str">
            <v>IS_alqt_minus</v>
          </cell>
          <cell r="K3500" t="str">
            <v>MMUR</v>
          </cell>
          <cell r="M3500" t="str">
            <v>F</v>
          </cell>
          <cell r="AC3500">
            <v>0.4</v>
          </cell>
        </row>
        <row r="3501">
          <cell r="A3501" t="str">
            <v>IS_alqt_plus</v>
          </cell>
          <cell r="K3501" t="str">
            <v>CMED</v>
          </cell>
          <cell r="M3501" t="str">
            <v>M</v>
          </cell>
          <cell r="AC3501">
            <v>1</v>
          </cell>
        </row>
        <row r="3502">
          <cell r="A3502" t="str">
            <v>IS_alqt_plus</v>
          </cell>
          <cell r="K3502" t="str">
            <v>CMED</v>
          </cell>
          <cell r="M3502" t="str">
            <v>M</v>
          </cell>
          <cell r="AC3502">
            <v>1</v>
          </cell>
        </row>
        <row r="3503">
          <cell r="A3503" t="str">
            <v>IS_alqt_plus</v>
          </cell>
          <cell r="K3503" t="str">
            <v>MMUR</v>
          </cell>
          <cell r="M3503" t="str">
            <v>F</v>
          </cell>
          <cell r="AC3503">
            <v>1</v>
          </cell>
        </row>
        <row r="3504">
          <cell r="A3504" t="str">
            <v>IS_alqt_minus</v>
          </cell>
          <cell r="K3504" t="str">
            <v>MMUR</v>
          </cell>
          <cell r="M3504" t="str">
            <v>F</v>
          </cell>
          <cell r="AC3504">
            <v>0.25</v>
          </cell>
        </row>
        <row r="3505">
          <cell r="A3505" t="str">
            <v>IS_alqt_minus</v>
          </cell>
          <cell r="K3505" t="str">
            <v>LCAT</v>
          </cell>
          <cell r="M3505" t="str">
            <v>F</v>
          </cell>
          <cell r="AC3505">
            <v>0.2</v>
          </cell>
        </row>
        <row r="3506">
          <cell r="A3506" t="str">
            <v>IS_alqt_minus</v>
          </cell>
          <cell r="K3506" t="str">
            <v>LCAT</v>
          </cell>
          <cell r="M3506" t="str">
            <v>F</v>
          </cell>
          <cell r="AC3506">
            <v>0.2</v>
          </cell>
        </row>
        <row r="3507">
          <cell r="A3507" t="str">
            <v>IS_alqt_plus</v>
          </cell>
          <cell r="K3507" t="str">
            <v>LCAT</v>
          </cell>
          <cell r="M3507" t="str">
            <v>F</v>
          </cell>
          <cell r="AC3507">
            <v>0.5</v>
          </cell>
        </row>
        <row r="3508">
          <cell r="A3508" t="str">
            <v>IS_alqt_minus</v>
          </cell>
          <cell r="K3508" t="str">
            <v>MMUR</v>
          </cell>
          <cell r="M3508" t="str">
            <v>F</v>
          </cell>
          <cell r="AC3508">
            <v>0.3</v>
          </cell>
        </row>
        <row r="3509">
          <cell r="A3509" t="str">
            <v>IS_alqt_minus</v>
          </cell>
          <cell r="K3509" t="str">
            <v>MMUR</v>
          </cell>
          <cell r="M3509" t="str">
            <v>F</v>
          </cell>
          <cell r="AC3509">
            <v>0.4</v>
          </cell>
        </row>
        <row r="3510">
          <cell r="A3510" t="str">
            <v>IS_alqt_plus</v>
          </cell>
          <cell r="K3510" t="str">
            <v>CMED</v>
          </cell>
          <cell r="M3510" t="str">
            <v>M</v>
          </cell>
          <cell r="AC3510">
            <v>1</v>
          </cell>
        </row>
        <row r="3511">
          <cell r="A3511" t="str">
            <v>IS_alqt_minus</v>
          </cell>
          <cell r="K3511" t="str">
            <v>MMUR</v>
          </cell>
          <cell r="M3511" t="str">
            <v>F</v>
          </cell>
          <cell r="AC3511">
            <v>0.2</v>
          </cell>
        </row>
        <row r="3512">
          <cell r="A3512" t="str">
            <v>IS_alqt_minus</v>
          </cell>
          <cell r="K3512" t="str">
            <v>VRUB</v>
          </cell>
          <cell r="M3512" t="str">
            <v>M</v>
          </cell>
          <cell r="AC3512">
            <v>0.25</v>
          </cell>
        </row>
        <row r="3513">
          <cell r="A3513" t="str">
            <v>IS_alqt_plus</v>
          </cell>
          <cell r="K3513" t="str">
            <v>VRUB</v>
          </cell>
          <cell r="M3513" t="str">
            <v>M</v>
          </cell>
          <cell r="AC3513">
            <v>1</v>
          </cell>
        </row>
        <row r="3514">
          <cell r="A3514" t="str">
            <v>IS_alqt_plus</v>
          </cell>
          <cell r="K3514" t="str">
            <v>VRUB</v>
          </cell>
          <cell r="M3514" t="str">
            <v>M</v>
          </cell>
          <cell r="AC3514">
            <v>1</v>
          </cell>
        </row>
        <row r="3515">
          <cell r="A3515" t="str">
            <v>IS_alqt_minus</v>
          </cell>
          <cell r="K3515" t="str">
            <v>LCAT</v>
          </cell>
          <cell r="M3515" t="str">
            <v>F</v>
          </cell>
          <cell r="AC3515">
            <v>0.2</v>
          </cell>
        </row>
        <row r="3516">
          <cell r="A3516" t="str">
            <v>IS_alqt_minus</v>
          </cell>
          <cell r="K3516" t="str">
            <v>LCAT</v>
          </cell>
          <cell r="M3516" t="str">
            <v>F</v>
          </cell>
          <cell r="AC3516">
            <v>0.2</v>
          </cell>
        </row>
        <row r="3517">
          <cell r="A3517" t="str">
            <v>unk</v>
          </cell>
          <cell r="K3517" t="str">
            <v>LCAT</v>
          </cell>
          <cell r="M3517" t="str">
            <v>F</v>
          </cell>
          <cell r="AC3517">
            <v>5</v>
          </cell>
        </row>
        <row r="3518">
          <cell r="A3518" t="str">
            <v>IS_alqt_minus</v>
          </cell>
          <cell r="K3518" t="str">
            <v>LCAT</v>
          </cell>
          <cell r="M3518" t="str">
            <v>F</v>
          </cell>
          <cell r="AC3518">
            <v>0.2</v>
          </cell>
        </row>
        <row r="3519">
          <cell r="A3519" t="str">
            <v>IS_alqt_minus</v>
          </cell>
          <cell r="K3519" t="str">
            <v>LCAT</v>
          </cell>
          <cell r="M3519" t="str">
            <v>F</v>
          </cell>
          <cell r="AC3519">
            <v>0.2</v>
          </cell>
        </row>
        <row r="3520">
          <cell r="A3520" t="str">
            <v>IS_alqt_minus</v>
          </cell>
          <cell r="K3520" t="str">
            <v>LCAT</v>
          </cell>
          <cell r="M3520" t="str">
            <v>F</v>
          </cell>
          <cell r="AC3520">
            <v>0.2</v>
          </cell>
        </row>
        <row r="3521">
          <cell r="A3521" t="str">
            <v>IS_alqt_minus</v>
          </cell>
          <cell r="K3521" t="str">
            <v>LCAT</v>
          </cell>
          <cell r="M3521" t="str">
            <v>F</v>
          </cell>
          <cell r="AC3521">
            <v>0.2</v>
          </cell>
        </row>
        <row r="3522">
          <cell r="A3522" t="str">
            <v>IS_alqt_minus</v>
          </cell>
          <cell r="K3522" t="str">
            <v>LCAT</v>
          </cell>
          <cell r="M3522" t="str">
            <v>F</v>
          </cell>
          <cell r="AC3522">
            <v>0.2</v>
          </cell>
        </row>
        <row r="3523">
          <cell r="A3523" t="str">
            <v>IS_alqt_minus</v>
          </cell>
          <cell r="K3523" t="str">
            <v>LCAT</v>
          </cell>
          <cell r="M3523" t="str">
            <v>F</v>
          </cell>
          <cell r="AC3523">
            <v>0.2</v>
          </cell>
        </row>
        <row r="3524">
          <cell r="A3524" t="str">
            <v>IS_alqt_minus</v>
          </cell>
          <cell r="K3524" t="str">
            <v>LCAT</v>
          </cell>
          <cell r="M3524" t="str">
            <v>F</v>
          </cell>
          <cell r="AC3524">
            <v>0.2</v>
          </cell>
        </row>
        <row r="3525">
          <cell r="A3525" t="str">
            <v>IS_alqt_minus</v>
          </cell>
          <cell r="K3525" t="str">
            <v>LCAT</v>
          </cell>
          <cell r="M3525" t="str">
            <v>F</v>
          </cell>
          <cell r="AC3525">
            <v>0.2</v>
          </cell>
        </row>
        <row r="3526">
          <cell r="A3526" t="str">
            <v>IS_alqt_minus</v>
          </cell>
          <cell r="K3526" t="str">
            <v>LCAT</v>
          </cell>
          <cell r="M3526" t="str">
            <v>F</v>
          </cell>
          <cell r="AC3526">
            <v>0.2</v>
          </cell>
        </row>
        <row r="3527">
          <cell r="A3527" t="str">
            <v>IS_alqt_minus</v>
          </cell>
          <cell r="K3527" t="str">
            <v>LCAT</v>
          </cell>
          <cell r="M3527" t="str">
            <v>F</v>
          </cell>
          <cell r="AC3527">
            <v>0.2</v>
          </cell>
        </row>
        <row r="3528">
          <cell r="A3528" t="str">
            <v>IS_alqt_minus</v>
          </cell>
          <cell r="K3528" t="str">
            <v>MMUR</v>
          </cell>
          <cell r="M3528" t="str">
            <v>F</v>
          </cell>
          <cell r="AC3528">
            <v>0.1</v>
          </cell>
        </row>
        <row r="3529">
          <cell r="A3529" t="str">
            <v>IS_alqt_minus</v>
          </cell>
          <cell r="K3529" t="str">
            <v>LCAT</v>
          </cell>
          <cell r="M3529" t="str">
            <v>F</v>
          </cell>
          <cell r="AC3529">
            <v>0.2</v>
          </cell>
        </row>
        <row r="3530">
          <cell r="A3530" t="str">
            <v>IS_alqt_plus</v>
          </cell>
          <cell r="K3530" t="str">
            <v>LCAT</v>
          </cell>
          <cell r="M3530" t="str">
            <v>F</v>
          </cell>
          <cell r="AC3530">
            <v>0.5</v>
          </cell>
        </row>
        <row r="3531">
          <cell r="A3531" t="str">
            <v>gone</v>
          </cell>
          <cell r="K3531" t="str">
            <v>LCAT</v>
          </cell>
          <cell r="M3531" t="str">
            <v>F</v>
          </cell>
          <cell r="AC3531">
            <v>0</v>
          </cell>
        </row>
        <row r="3532">
          <cell r="A3532" t="str">
            <v>gone</v>
          </cell>
          <cell r="K3532" t="str">
            <v>LCAT</v>
          </cell>
          <cell r="M3532" t="str">
            <v>F</v>
          </cell>
          <cell r="AC3532">
            <v>0</v>
          </cell>
        </row>
        <row r="3533">
          <cell r="A3533" t="str">
            <v>IS_alqt_minus</v>
          </cell>
          <cell r="K3533" t="str">
            <v>MMUR</v>
          </cell>
          <cell r="M3533" t="str">
            <v>F</v>
          </cell>
          <cell r="AC3533">
            <v>0.1</v>
          </cell>
        </row>
        <row r="3534">
          <cell r="A3534" t="str">
            <v>IS_alqt_minus</v>
          </cell>
          <cell r="K3534" t="str">
            <v>MMUR</v>
          </cell>
          <cell r="M3534" t="str">
            <v>M</v>
          </cell>
          <cell r="AC3534">
            <v>0.1</v>
          </cell>
        </row>
        <row r="3535">
          <cell r="A3535" t="str">
            <v>IS_alqt_plus</v>
          </cell>
          <cell r="K3535" t="str">
            <v>MMUR</v>
          </cell>
          <cell r="M3535" t="str">
            <v>M</v>
          </cell>
          <cell r="AC3535">
            <v>1</v>
          </cell>
        </row>
        <row r="3536">
          <cell r="A3536" t="str">
            <v>IS_alqt_minus</v>
          </cell>
          <cell r="K3536" t="str">
            <v>MMUR</v>
          </cell>
          <cell r="M3536" t="str">
            <v>M</v>
          </cell>
          <cell r="AC3536">
            <v>0.25</v>
          </cell>
        </row>
        <row r="3537">
          <cell r="A3537" t="str">
            <v>gone</v>
          </cell>
          <cell r="K3537" t="str">
            <v>MMUR</v>
          </cell>
          <cell r="M3537" t="str">
            <v>F</v>
          </cell>
          <cell r="AC3537">
            <v>0.4</v>
          </cell>
        </row>
        <row r="3538">
          <cell r="A3538" t="str">
            <v>IS_alqt_minus</v>
          </cell>
          <cell r="K3538" t="str">
            <v>MMUR</v>
          </cell>
          <cell r="M3538" t="str">
            <v>F</v>
          </cell>
          <cell r="AC3538">
            <v>0.2</v>
          </cell>
        </row>
        <row r="3539">
          <cell r="A3539" t="str">
            <v>unk</v>
          </cell>
          <cell r="K3539" t="str">
            <v>LCAT</v>
          </cell>
          <cell r="M3539" t="str">
            <v>F</v>
          </cell>
          <cell r="AC3539">
            <v>0.4</v>
          </cell>
        </row>
        <row r="3540">
          <cell r="A3540" t="str">
            <v>IS_alqt_minus</v>
          </cell>
          <cell r="K3540" t="str">
            <v>LCAT</v>
          </cell>
          <cell r="M3540" t="str">
            <v>M</v>
          </cell>
          <cell r="AC3540">
            <v>0.2</v>
          </cell>
        </row>
        <row r="3541">
          <cell r="A3541" t="str">
            <v>gone</v>
          </cell>
          <cell r="K3541" t="str">
            <v>LCAT</v>
          </cell>
          <cell r="M3541" t="str">
            <v>M</v>
          </cell>
          <cell r="AC3541">
            <v>0</v>
          </cell>
        </row>
        <row r="3542">
          <cell r="A3542" t="str">
            <v>IS_alqt_plus</v>
          </cell>
          <cell r="K3542" t="str">
            <v>LCAT</v>
          </cell>
          <cell r="M3542" t="str">
            <v>M</v>
          </cell>
          <cell r="AC3542">
            <v>1</v>
          </cell>
        </row>
        <row r="3543">
          <cell r="A3543" t="str">
            <v>IS_alqt_plus</v>
          </cell>
          <cell r="K3543" t="str">
            <v>LCAT</v>
          </cell>
          <cell r="M3543" t="str">
            <v>M</v>
          </cell>
          <cell r="AC3543">
            <v>1</v>
          </cell>
        </row>
        <row r="3544">
          <cell r="A3544" t="str">
            <v>IS_alqt_plus</v>
          </cell>
          <cell r="K3544" t="str">
            <v>LCAT</v>
          </cell>
          <cell r="M3544" t="str">
            <v>M</v>
          </cell>
          <cell r="AC3544">
            <v>0.5</v>
          </cell>
        </row>
        <row r="3545">
          <cell r="A3545" t="str">
            <v>IS_alqt_plus</v>
          </cell>
          <cell r="K3545" t="str">
            <v>LCAT</v>
          </cell>
          <cell r="M3545" t="str">
            <v>M</v>
          </cell>
          <cell r="AC3545">
            <v>0.5</v>
          </cell>
        </row>
        <row r="3546">
          <cell r="A3546" t="str">
            <v>IS_alqt_minus</v>
          </cell>
          <cell r="K3546" t="str">
            <v>LCAT</v>
          </cell>
          <cell r="M3546" t="str">
            <v>M</v>
          </cell>
          <cell r="AC3546">
            <v>0.2</v>
          </cell>
        </row>
        <row r="3547">
          <cell r="A3547" t="str">
            <v>IS_alqt_plus</v>
          </cell>
          <cell r="K3547" t="str">
            <v>LCAT</v>
          </cell>
          <cell r="M3547" t="str">
            <v>M</v>
          </cell>
          <cell r="AC3547">
            <v>0.5</v>
          </cell>
        </row>
        <row r="3548">
          <cell r="A3548" t="str">
            <v>IS_alqt_plus</v>
          </cell>
          <cell r="K3548" t="str">
            <v>LCAT</v>
          </cell>
          <cell r="M3548" t="str">
            <v>M</v>
          </cell>
          <cell r="AC3548">
            <v>0.5</v>
          </cell>
        </row>
        <row r="3549">
          <cell r="A3549" t="str">
            <v>IS_alqt_minus</v>
          </cell>
          <cell r="K3549" t="str">
            <v>LCAT</v>
          </cell>
          <cell r="M3549" t="str">
            <v>M</v>
          </cell>
          <cell r="AC3549">
            <v>0.2</v>
          </cell>
        </row>
        <row r="3550">
          <cell r="A3550" t="str">
            <v>IS_alqt_plus</v>
          </cell>
          <cell r="K3550" t="str">
            <v>LCAT</v>
          </cell>
          <cell r="M3550" t="str">
            <v>M</v>
          </cell>
          <cell r="AC3550">
            <v>0.5</v>
          </cell>
        </row>
        <row r="3551">
          <cell r="A3551" t="str">
            <v>unk</v>
          </cell>
          <cell r="K3551" t="str">
            <v>MMUR</v>
          </cell>
          <cell r="M3551" t="str">
            <v>F</v>
          </cell>
          <cell r="AC3551">
            <v>0.5</v>
          </cell>
        </row>
        <row r="3552">
          <cell r="A3552" t="str">
            <v>IS_alqt_plus</v>
          </cell>
          <cell r="K3552" t="str">
            <v>PCOQ</v>
          </cell>
          <cell r="M3552" t="str">
            <v>M</v>
          </cell>
          <cell r="AC3552">
            <v>0.5</v>
          </cell>
        </row>
        <row r="3553">
          <cell r="A3553" t="str">
            <v>IS_alqt_plus</v>
          </cell>
          <cell r="K3553" t="str">
            <v>PCOQ</v>
          </cell>
          <cell r="M3553" t="str">
            <v>M</v>
          </cell>
          <cell r="AC3553">
            <v>0.5</v>
          </cell>
        </row>
        <row r="3554">
          <cell r="A3554" t="str">
            <v>IS_alqt_plus</v>
          </cell>
          <cell r="K3554" t="str">
            <v>PCOQ</v>
          </cell>
          <cell r="M3554" t="str">
            <v>M</v>
          </cell>
          <cell r="AC3554">
            <v>0.5</v>
          </cell>
        </row>
        <row r="3555">
          <cell r="A3555" t="str">
            <v>IS_alqt_plus</v>
          </cell>
          <cell r="K3555" t="str">
            <v>PCOQ</v>
          </cell>
          <cell r="M3555" t="str">
            <v>M</v>
          </cell>
          <cell r="AC3555">
            <v>0.5</v>
          </cell>
        </row>
        <row r="3556">
          <cell r="A3556" t="str">
            <v>IS_alqt_plus</v>
          </cell>
          <cell r="K3556" t="str">
            <v>PCOQ</v>
          </cell>
          <cell r="M3556" t="str">
            <v>M</v>
          </cell>
          <cell r="AC3556">
            <v>0.5</v>
          </cell>
        </row>
        <row r="3557">
          <cell r="A3557" t="str">
            <v>IS_alqt_plus</v>
          </cell>
          <cell r="K3557" t="str">
            <v>VRUB</v>
          </cell>
          <cell r="M3557" t="str">
            <v>F</v>
          </cell>
          <cell r="AC3557">
            <v>0.5</v>
          </cell>
        </row>
        <row r="3558">
          <cell r="A3558" t="str">
            <v>IS_alqt_plus</v>
          </cell>
          <cell r="K3558" t="str">
            <v>VRUB</v>
          </cell>
          <cell r="M3558" t="str">
            <v>F</v>
          </cell>
          <cell r="AC3558">
            <v>0.5</v>
          </cell>
        </row>
        <row r="3559">
          <cell r="A3559" t="str">
            <v>IS_alqt_plus</v>
          </cell>
          <cell r="K3559" t="str">
            <v>VRUB</v>
          </cell>
          <cell r="M3559" t="str">
            <v>F</v>
          </cell>
          <cell r="AC3559">
            <v>0.5</v>
          </cell>
        </row>
        <row r="3560">
          <cell r="A3560" t="str">
            <v>IS_alqt_plus</v>
          </cell>
          <cell r="K3560" t="str">
            <v>VRUB</v>
          </cell>
          <cell r="M3560" t="str">
            <v>F</v>
          </cell>
          <cell r="AC3560">
            <v>0.5</v>
          </cell>
        </row>
        <row r="3561">
          <cell r="A3561" t="str">
            <v>IS_alqt_plus</v>
          </cell>
          <cell r="K3561" t="str">
            <v>LCAT</v>
          </cell>
          <cell r="M3561" t="str">
            <v>M</v>
          </cell>
          <cell r="AC3561">
            <v>0.5</v>
          </cell>
        </row>
        <row r="3562">
          <cell r="A3562" t="str">
            <v>IS_alqt_minus</v>
          </cell>
          <cell r="K3562" t="str">
            <v>LCAT</v>
          </cell>
          <cell r="M3562" t="str">
            <v>M</v>
          </cell>
          <cell r="AC3562">
            <v>0.2</v>
          </cell>
        </row>
        <row r="3563">
          <cell r="A3563" t="str">
            <v>IS_alqt_plus</v>
          </cell>
          <cell r="K3563" t="str">
            <v>LCAT</v>
          </cell>
          <cell r="M3563" t="str">
            <v>M</v>
          </cell>
          <cell r="AC3563">
            <v>0.5</v>
          </cell>
        </row>
        <row r="3564">
          <cell r="A3564" t="str">
            <v>IS_alqt_plus</v>
          </cell>
          <cell r="K3564" t="str">
            <v>LCAT</v>
          </cell>
          <cell r="M3564" t="str">
            <v>M</v>
          </cell>
          <cell r="AC3564">
            <v>0.5</v>
          </cell>
        </row>
        <row r="3565">
          <cell r="A3565" t="str">
            <v>IS_alqt_plus</v>
          </cell>
          <cell r="K3565" t="str">
            <v>LCAT</v>
          </cell>
          <cell r="M3565" t="str">
            <v>M</v>
          </cell>
          <cell r="AC3565">
            <v>0.5</v>
          </cell>
        </row>
        <row r="3566">
          <cell r="A3566" t="str">
            <v>IS_alqt_plus</v>
          </cell>
          <cell r="K3566" t="str">
            <v>LCAT</v>
          </cell>
          <cell r="M3566" t="str">
            <v>M</v>
          </cell>
          <cell r="AC3566">
            <v>0.5</v>
          </cell>
        </row>
        <row r="3567">
          <cell r="A3567" t="str">
            <v>IS_alqt_minus</v>
          </cell>
          <cell r="K3567" t="str">
            <v>LCAT</v>
          </cell>
          <cell r="M3567" t="str">
            <v>M</v>
          </cell>
          <cell r="AC3567">
            <v>0.2</v>
          </cell>
        </row>
        <row r="3568">
          <cell r="A3568" t="str">
            <v>IS_alqt_minus</v>
          </cell>
          <cell r="K3568" t="str">
            <v>LCAT</v>
          </cell>
          <cell r="M3568" t="str">
            <v>M</v>
          </cell>
          <cell r="AC3568">
            <v>0.2</v>
          </cell>
        </row>
        <row r="3569">
          <cell r="A3569" t="str">
            <v>IS_alqt_minus</v>
          </cell>
          <cell r="K3569" t="str">
            <v>LCAT</v>
          </cell>
          <cell r="M3569" t="str">
            <v>M</v>
          </cell>
          <cell r="AC3569">
            <v>0.2</v>
          </cell>
        </row>
        <row r="3570">
          <cell r="A3570" t="str">
            <v>IS_alqt_minus</v>
          </cell>
          <cell r="K3570" t="str">
            <v>LCAT</v>
          </cell>
          <cell r="M3570" t="str">
            <v>M</v>
          </cell>
          <cell r="AC3570">
            <v>0.2</v>
          </cell>
        </row>
        <row r="3571">
          <cell r="A3571" t="str">
            <v>IS_alqt_minus</v>
          </cell>
          <cell r="K3571" t="str">
            <v>LCAT</v>
          </cell>
          <cell r="M3571" t="str">
            <v>M</v>
          </cell>
          <cell r="AC3571">
            <v>0.2</v>
          </cell>
        </row>
        <row r="3572">
          <cell r="A3572" t="str">
            <v>IS_alqt_minus</v>
          </cell>
          <cell r="K3572" t="str">
            <v>LCAT</v>
          </cell>
          <cell r="M3572" t="str">
            <v>M</v>
          </cell>
          <cell r="AC3572">
            <v>0.2</v>
          </cell>
        </row>
        <row r="3573">
          <cell r="A3573" t="str">
            <v>IS_alqt_minus</v>
          </cell>
          <cell r="K3573" t="str">
            <v>LCAT</v>
          </cell>
          <cell r="M3573" t="str">
            <v>M</v>
          </cell>
          <cell r="AC3573">
            <v>0.2</v>
          </cell>
        </row>
        <row r="3574">
          <cell r="A3574" t="str">
            <v>gone</v>
          </cell>
          <cell r="K3574" t="str">
            <v>LCAT</v>
          </cell>
          <cell r="M3574" t="str">
            <v>M</v>
          </cell>
          <cell r="AC3574">
            <v>0</v>
          </cell>
        </row>
        <row r="3575">
          <cell r="A3575" t="str">
            <v>IS_alqt_plus</v>
          </cell>
          <cell r="K3575" t="str">
            <v>PCOQ</v>
          </cell>
          <cell r="M3575" t="str">
            <v>M</v>
          </cell>
          <cell r="AC3575">
            <v>1.2</v>
          </cell>
        </row>
        <row r="3576">
          <cell r="A3576" t="str">
            <v>IS_alqt_plus</v>
          </cell>
          <cell r="K3576" t="str">
            <v>PCOQ</v>
          </cell>
          <cell r="M3576" t="str">
            <v>F</v>
          </cell>
          <cell r="AC3576">
            <v>0.75</v>
          </cell>
        </row>
        <row r="3577">
          <cell r="A3577" t="str">
            <v>gone</v>
          </cell>
          <cell r="K3577" t="str">
            <v>LCAT</v>
          </cell>
          <cell r="M3577" t="str">
            <v>M</v>
          </cell>
          <cell r="AC3577">
            <v>0</v>
          </cell>
        </row>
        <row r="3578">
          <cell r="A3578" t="str">
            <v>gone</v>
          </cell>
          <cell r="K3578" t="str">
            <v>LCAT</v>
          </cell>
          <cell r="M3578" t="str">
            <v>M</v>
          </cell>
          <cell r="AC3578">
            <v>0</v>
          </cell>
        </row>
        <row r="3579">
          <cell r="A3579" t="str">
            <v>gone</v>
          </cell>
          <cell r="K3579" t="str">
            <v>LCAT</v>
          </cell>
          <cell r="M3579" t="str">
            <v>M</v>
          </cell>
          <cell r="AC3579">
            <v>0</v>
          </cell>
        </row>
        <row r="3580">
          <cell r="A3580" t="str">
            <v>gone</v>
          </cell>
          <cell r="K3580" t="str">
            <v>LCAT</v>
          </cell>
          <cell r="M3580" t="str">
            <v>M</v>
          </cell>
          <cell r="AC3580">
            <v>0</v>
          </cell>
        </row>
        <row r="3581">
          <cell r="A3581" t="str">
            <v>unk</v>
          </cell>
          <cell r="K3581" t="str">
            <v>LCAT</v>
          </cell>
          <cell r="M3581" t="str">
            <v>M</v>
          </cell>
          <cell r="AC3581">
            <v>0.5</v>
          </cell>
        </row>
        <row r="3582">
          <cell r="A3582" t="str">
            <v>unk</v>
          </cell>
          <cell r="K3582" t="str">
            <v>LCAT</v>
          </cell>
          <cell r="M3582" t="str">
            <v>M</v>
          </cell>
          <cell r="AC3582">
            <v>5</v>
          </cell>
        </row>
        <row r="3583">
          <cell r="A3583" t="str">
            <v>IS_alqt_plus</v>
          </cell>
          <cell r="K3583" t="str">
            <v>LCAT</v>
          </cell>
          <cell r="M3583" t="str">
            <v>M</v>
          </cell>
          <cell r="AC3583">
            <v>1.5</v>
          </cell>
        </row>
        <row r="3584">
          <cell r="A3584" t="str">
            <v>IS_alqt_plus</v>
          </cell>
          <cell r="K3584" t="str">
            <v>LCAT</v>
          </cell>
          <cell r="M3584" t="str">
            <v>M</v>
          </cell>
          <cell r="AC3584">
            <v>1.5</v>
          </cell>
        </row>
        <row r="3585">
          <cell r="A3585" t="str">
            <v>IS_alqt_plus</v>
          </cell>
          <cell r="K3585" t="str">
            <v>LCAT</v>
          </cell>
          <cell r="M3585" t="str">
            <v>M</v>
          </cell>
          <cell r="AC3585">
            <v>1.5</v>
          </cell>
        </row>
        <row r="3586">
          <cell r="A3586" t="str">
            <v>IS_alqt_plus</v>
          </cell>
          <cell r="K3586" t="str">
            <v>LCAT</v>
          </cell>
          <cell r="M3586" t="str">
            <v>M</v>
          </cell>
          <cell r="AC3586">
            <v>0.5</v>
          </cell>
        </row>
        <row r="3587">
          <cell r="A3587" t="str">
            <v>IS_alqt_plus</v>
          </cell>
          <cell r="K3587" t="str">
            <v>PCOQ</v>
          </cell>
          <cell r="M3587" t="str">
            <v>F</v>
          </cell>
          <cell r="AC3587">
            <v>0.5</v>
          </cell>
        </row>
        <row r="3588">
          <cell r="A3588" t="str">
            <v>IS_alqt_plus</v>
          </cell>
          <cell r="K3588" t="str">
            <v>PCOQ</v>
          </cell>
          <cell r="M3588" t="str">
            <v>M</v>
          </cell>
          <cell r="AC3588">
            <v>1</v>
          </cell>
        </row>
        <row r="3589">
          <cell r="A3589" t="str">
            <v>IS_alqt_plus</v>
          </cell>
          <cell r="K3589" t="str">
            <v>PCOQ</v>
          </cell>
          <cell r="M3589" t="str">
            <v>M</v>
          </cell>
          <cell r="AC3589">
            <v>1</v>
          </cell>
        </row>
        <row r="3590">
          <cell r="A3590" t="str">
            <v>IS_alqt_plus</v>
          </cell>
          <cell r="K3590" t="str">
            <v>PCOQ</v>
          </cell>
          <cell r="M3590" t="str">
            <v>M</v>
          </cell>
          <cell r="AC3590">
            <v>1</v>
          </cell>
        </row>
        <row r="3591">
          <cell r="A3591" t="str">
            <v>IS_alqt_plus</v>
          </cell>
          <cell r="K3591" t="str">
            <v>PCOQ</v>
          </cell>
          <cell r="M3591" t="str">
            <v>M</v>
          </cell>
          <cell r="AC3591">
            <v>1</v>
          </cell>
        </row>
        <row r="3592">
          <cell r="A3592" t="str">
            <v>IS_alqt_plus</v>
          </cell>
          <cell r="K3592" t="str">
            <v>PCOQ</v>
          </cell>
          <cell r="M3592" t="str">
            <v>M</v>
          </cell>
          <cell r="AC3592">
            <v>1</v>
          </cell>
        </row>
        <row r="3593">
          <cell r="A3593" t="str">
            <v>IS_alqt_plus</v>
          </cell>
          <cell r="K3593" t="str">
            <v>PCOQ</v>
          </cell>
          <cell r="M3593" t="str">
            <v>M</v>
          </cell>
          <cell r="AC3593">
            <v>1</v>
          </cell>
        </row>
        <row r="3594">
          <cell r="A3594" t="str">
            <v>IS_alqt_plus</v>
          </cell>
          <cell r="K3594" t="str">
            <v>PCOQ</v>
          </cell>
          <cell r="M3594" t="str">
            <v>M</v>
          </cell>
          <cell r="AC3594">
            <v>1</v>
          </cell>
        </row>
        <row r="3595">
          <cell r="A3595" t="str">
            <v>IS_alqt_plus</v>
          </cell>
          <cell r="K3595" t="str">
            <v>PCOQ</v>
          </cell>
          <cell r="M3595" t="str">
            <v>M</v>
          </cell>
          <cell r="AC3595">
            <v>1</v>
          </cell>
        </row>
        <row r="3596">
          <cell r="A3596" t="str">
            <v>IS_alqt_plus</v>
          </cell>
          <cell r="K3596" t="str">
            <v>LCAT</v>
          </cell>
          <cell r="M3596" t="str">
            <v>M</v>
          </cell>
          <cell r="AC3596">
            <v>0.5</v>
          </cell>
        </row>
        <row r="3597">
          <cell r="A3597" t="str">
            <v>IS_alqt_plus</v>
          </cell>
          <cell r="K3597" t="str">
            <v>LCAT</v>
          </cell>
          <cell r="M3597" t="str">
            <v>M</v>
          </cell>
          <cell r="AC3597">
            <v>0.5</v>
          </cell>
        </row>
        <row r="3598">
          <cell r="A3598" t="str">
            <v>IS_alqt_plus</v>
          </cell>
          <cell r="K3598" t="str">
            <v>LCAT</v>
          </cell>
          <cell r="M3598" t="str">
            <v>M</v>
          </cell>
          <cell r="AC3598">
            <v>0.5</v>
          </cell>
        </row>
        <row r="3599">
          <cell r="A3599" t="str">
            <v>IS_alqt_plus</v>
          </cell>
          <cell r="K3599" t="str">
            <v>LCAT</v>
          </cell>
          <cell r="M3599" t="str">
            <v>M</v>
          </cell>
          <cell r="AC3599">
            <v>0.5</v>
          </cell>
        </row>
        <row r="3600">
          <cell r="A3600" t="str">
            <v>IS_alqt_plus</v>
          </cell>
          <cell r="K3600" t="str">
            <v>LCAT</v>
          </cell>
          <cell r="M3600" t="str">
            <v>M</v>
          </cell>
          <cell r="AC3600">
            <v>0.5</v>
          </cell>
        </row>
        <row r="3601">
          <cell r="A3601" t="str">
            <v>IS_alqt_plus</v>
          </cell>
          <cell r="K3601" t="str">
            <v>LCAT</v>
          </cell>
          <cell r="M3601" t="str">
            <v>M</v>
          </cell>
          <cell r="AC3601">
            <v>0.5</v>
          </cell>
        </row>
        <row r="3602">
          <cell r="A3602" t="str">
            <v>IS_alqt_plus</v>
          </cell>
          <cell r="K3602" t="str">
            <v>LCAT</v>
          </cell>
          <cell r="M3602" t="str">
            <v>F</v>
          </cell>
          <cell r="AC3602">
            <v>0.5</v>
          </cell>
        </row>
        <row r="3603">
          <cell r="A3603" t="str">
            <v>gone</v>
          </cell>
          <cell r="K3603" t="str">
            <v>LCAT</v>
          </cell>
          <cell r="M3603" t="str">
            <v>F</v>
          </cell>
          <cell r="AC3603">
            <v>0</v>
          </cell>
        </row>
        <row r="3604">
          <cell r="A3604" t="str">
            <v>IS_alqt_plus</v>
          </cell>
          <cell r="K3604" t="str">
            <v>LCAT</v>
          </cell>
          <cell r="M3604" t="str">
            <v>M</v>
          </cell>
          <cell r="AC3604">
            <v>1</v>
          </cell>
        </row>
        <row r="3605">
          <cell r="A3605" t="str">
            <v>IS_alqt_plus</v>
          </cell>
          <cell r="K3605" t="str">
            <v>LCAT</v>
          </cell>
          <cell r="M3605" t="str">
            <v>M</v>
          </cell>
          <cell r="AC3605">
            <v>1.3</v>
          </cell>
        </row>
        <row r="3606">
          <cell r="A3606" t="str">
            <v>gone</v>
          </cell>
          <cell r="K3606" t="str">
            <v>LCAT</v>
          </cell>
          <cell r="M3606" t="str">
            <v>M</v>
          </cell>
          <cell r="AC3606">
            <v>0</v>
          </cell>
        </row>
        <row r="3607">
          <cell r="A3607" t="str">
            <v>IS_alqt_plus</v>
          </cell>
          <cell r="K3607" t="str">
            <v>LCAT</v>
          </cell>
          <cell r="M3607" t="str">
            <v>M</v>
          </cell>
          <cell r="AC3607">
            <v>0.75</v>
          </cell>
        </row>
        <row r="3608">
          <cell r="A3608" t="str">
            <v>IS_alqt_plus</v>
          </cell>
          <cell r="K3608" t="str">
            <v>LCAT</v>
          </cell>
          <cell r="M3608" t="str">
            <v>M</v>
          </cell>
          <cell r="AC3608">
            <v>1.8</v>
          </cell>
        </row>
        <row r="3609">
          <cell r="A3609" t="str">
            <v>IS_alqt_plus</v>
          </cell>
          <cell r="K3609" t="str">
            <v>LCAT</v>
          </cell>
          <cell r="M3609" t="str">
            <v>M</v>
          </cell>
          <cell r="AC3609">
            <v>0.75</v>
          </cell>
        </row>
        <row r="3610">
          <cell r="A3610" t="str">
            <v>IS_alqt_plus</v>
          </cell>
          <cell r="K3610" t="str">
            <v>LCAT</v>
          </cell>
          <cell r="M3610" t="str">
            <v>M</v>
          </cell>
          <cell r="AC3610">
            <v>1.5</v>
          </cell>
        </row>
        <row r="3611">
          <cell r="A3611" t="str">
            <v>IS_alqt_plus</v>
          </cell>
          <cell r="K3611" t="str">
            <v>PCOQ</v>
          </cell>
          <cell r="M3611" t="str">
            <v>M</v>
          </cell>
          <cell r="AC3611">
            <v>0.5</v>
          </cell>
        </row>
        <row r="3612">
          <cell r="A3612" t="str">
            <v>IS_alqt_plus</v>
          </cell>
          <cell r="K3612" t="str">
            <v>PCOQ</v>
          </cell>
          <cell r="M3612" t="str">
            <v>M</v>
          </cell>
          <cell r="AC3612">
            <v>0.5</v>
          </cell>
        </row>
        <row r="3613">
          <cell r="A3613" t="str">
            <v>IS_alqt_plus</v>
          </cell>
          <cell r="K3613" t="str">
            <v>PCOQ</v>
          </cell>
          <cell r="M3613" t="str">
            <v>M</v>
          </cell>
          <cell r="AC3613">
            <v>0.5</v>
          </cell>
        </row>
        <row r="3614">
          <cell r="A3614" t="str">
            <v>IS_alqt_plus</v>
          </cell>
          <cell r="K3614" t="str">
            <v>PCOQ</v>
          </cell>
          <cell r="M3614" t="str">
            <v>M</v>
          </cell>
          <cell r="AC3614">
            <v>0.5</v>
          </cell>
        </row>
        <row r="3615">
          <cell r="A3615" t="str">
            <v>IS_alqt_plus</v>
          </cell>
          <cell r="K3615" t="str">
            <v>PCOQ</v>
          </cell>
          <cell r="M3615" t="str">
            <v>M</v>
          </cell>
          <cell r="AC3615">
            <v>0.5</v>
          </cell>
        </row>
        <row r="3616">
          <cell r="A3616" t="str">
            <v>IS_alqt_plus</v>
          </cell>
          <cell r="K3616" t="str">
            <v>PCOQ</v>
          </cell>
          <cell r="M3616" t="str">
            <v>M</v>
          </cell>
          <cell r="AC3616">
            <v>0.5</v>
          </cell>
        </row>
        <row r="3617">
          <cell r="A3617" t="str">
            <v>IS_alqt_plus</v>
          </cell>
          <cell r="K3617" t="str">
            <v>PCOQ</v>
          </cell>
          <cell r="M3617" t="str">
            <v>M</v>
          </cell>
          <cell r="AC3617">
            <v>0.5</v>
          </cell>
        </row>
        <row r="3618">
          <cell r="A3618" t="str">
            <v>IS_alqt_plus</v>
          </cell>
          <cell r="K3618" t="str">
            <v>PCOQ</v>
          </cell>
          <cell r="M3618" t="str">
            <v>M</v>
          </cell>
          <cell r="AC3618">
            <v>0.5</v>
          </cell>
        </row>
        <row r="3619">
          <cell r="A3619" t="str">
            <v>IS_alqt_plus</v>
          </cell>
          <cell r="K3619" t="str">
            <v>PCOQ</v>
          </cell>
          <cell r="M3619" t="str">
            <v>M</v>
          </cell>
          <cell r="AC3619">
            <v>0.5</v>
          </cell>
        </row>
        <row r="3620">
          <cell r="A3620" t="str">
            <v>IS_alqt_plus</v>
          </cell>
          <cell r="K3620" t="str">
            <v>PCOQ</v>
          </cell>
          <cell r="M3620" t="str">
            <v>M</v>
          </cell>
          <cell r="AC3620">
            <v>1</v>
          </cell>
        </row>
        <row r="3621">
          <cell r="A3621" t="str">
            <v>IS_alqt_minus</v>
          </cell>
          <cell r="K3621" t="str">
            <v>MMUR</v>
          </cell>
          <cell r="M3621" t="str">
            <v>M</v>
          </cell>
          <cell r="AC3621">
            <v>0.3</v>
          </cell>
        </row>
        <row r="3622">
          <cell r="A3622" t="str">
            <v>IS_alqt_plus</v>
          </cell>
          <cell r="K3622" t="str">
            <v>VRUB</v>
          </cell>
          <cell r="M3622" t="str">
            <v>F</v>
          </cell>
          <cell r="AC3622">
            <v>0.5</v>
          </cell>
        </row>
        <row r="3623">
          <cell r="A3623" t="str">
            <v>IS_alqt_plus</v>
          </cell>
          <cell r="K3623" t="str">
            <v>VRUB</v>
          </cell>
          <cell r="M3623" t="str">
            <v>F</v>
          </cell>
          <cell r="AC3623">
            <v>0.5</v>
          </cell>
        </row>
        <row r="3624">
          <cell r="A3624" t="str">
            <v>IS_alqt_plus</v>
          </cell>
          <cell r="K3624" t="str">
            <v>VRUB</v>
          </cell>
          <cell r="M3624" t="str">
            <v>F</v>
          </cell>
          <cell r="AC3624">
            <v>0.5</v>
          </cell>
        </row>
        <row r="3625">
          <cell r="A3625" t="str">
            <v>IS_alqt_plus</v>
          </cell>
          <cell r="K3625" t="str">
            <v>VRUB</v>
          </cell>
          <cell r="M3625" t="str">
            <v>F</v>
          </cell>
          <cell r="AC3625">
            <v>0.5</v>
          </cell>
        </row>
        <row r="3626">
          <cell r="A3626" t="str">
            <v>IS_alqt_plus</v>
          </cell>
          <cell r="K3626" t="str">
            <v>VRUB</v>
          </cell>
          <cell r="M3626" t="str">
            <v>F</v>
          </cell>
          <cell r="AC3626">
            <v>0.5</v>
          </cell>
        </row>
        <row r="3627">
          <cell r="A3627" t="str">
            <v>IS_alqt_plus</v>
          </cell>
          <cell r="K3627" t="str">
            <v>VRUB</v>
          </cell>
          <cell r="M3627" t="str">
            <v>F</v>
          </cell>
          <cell r="AC3627">
            <v>0.5</v>
          </cell>
        </row>
        <row r="3628">
          <cell r="A3628" t="str">
            <v>IS_alqt_plus</v>
          </cell>
          <cell r="K3628" t="str">
            <v>VRUB</v>
          </cell>
          <cell r="M3628" t="str">
            <v>F</v>
          </cell>
          <cell r="AC3628">
            <v>0.5</v>
          </cell>
        </row>
        <row r="3629">
          <cell r="A3629" t="str">
            <v>IS_alqt_plus</v>
          </cell>
          <cell r="K3629" t="str">
            <v>VRUB</v>
          </cell>
          <cell r="M3629" t="str">
            <v>F</v>
          </cell>
          <cell r="AC3629">
            <v>0.5</v>
          </cell>
        </row>
        <row r="3630">
          <cell r="A3630" t="str">
            <v>IS_alqt_plus</v>
          </cell>
          <cell r="K3630" t="str">
            <v>VRUB</v>
          </cell>
          <cell r="M3630" t="str">
            <v>F</v>
          </cell>
          <cell r="AC3630">
            <v>0.5</v>
          </cell>
        </row>
        <row r="3631">
          <cell r="A3631" t="str">
            <v>IS_alqt_plus</v>
          </cell>
          <cell r="K3631" t="str">
            <v>VRUB</v>
          </cell>
          <cell r="M3631" t="str">
            <v>F</v>
          </cell>
          <cell r="AC3631">
            <v>0.5</v>
          </cell>
        </row>
        <row r="3632">
          <cell r="A3632" t="str">
            <v>IS_alqt_plus</v>
          </cell>
          <cell r="K3632" t="str">
            <v>VRUB</v>
          </cell>
          <cell r="M3632" t="str">
            <v>F</v>
          </cell>
          <cell r="AC3632">
            <v>0.5</v>
          </cell>
        </row>
        <row r="3633">
          <cell r="A3633" t="str">
            <v>IS_alqt_plus</v>
          </cell>
          <cell r="K3633" t="str">
            <v>VVV</v>
          </cell>
          <cell r="M3633" t="str">
            <v>F</v>
          </cell>
          <cell r="AC3633">
            <v>0.5</v>
          </cell>
        </row>
        <row r="3634">
          <cell r="A3634" t="str">
            <v>IS_alqt_plus</v>
          </cell>
          <cell r="K3634" t="str">
            <v>VVV</v>
          </cell>
          <cell r="M3634" t="str">
            <v>F</v>
          </cell>
          <cell r="AC3634">
            <v>0.5</v>
          </cell>
        </row>
        <row r="3635">
          <cell r="A3635" t="str">
            <v>IS_alqt_plus</v>
          </cell>
          <cell r="K3635" t="str">
            <v>VVV</v>
          </cell>
          <cell r="M3635" t="str">
            <v>F</v>
          </cell>
          <cell r="AC3635">
            <v>0.5</v>
          </cell>
        </row>
        <row r="3636">
          <cell r="A3636" t="str">
            <v>IS_alqt_plus</v>
          </cell>
          <cell r="K3636" t="str">
            <v>VVV</v>
          </cell>
          <cell r="M3636" t="str">
            <v>F</v>
          </cell>
          <cell r="AC3636">
            <v>0.5</v>
          </cell>
        </row>
        <row r="3637">
          <cell r="A3637" t="str">
            <v>IS_alqt_plus</v>
          </cell>
          <cell r="K3637" t="str">
            <v>VVV</v>
          </cell>
          <cell r="M3637" t="str">
            <v>F</v>
          </cell>
          <cell r="AC3637">
            <v>0.5</v>
          </cell>
        </row>
        <row r="3638">
          <cell r="A3638" t="str">
            <v>IS_alqt_plus</v>
          </cell>
          <cell r="K3638" t="str">
            <v>VVV</v>
          </cell>
          <cell r="M3638" t="str">
            <v>F</v>
          </cell>
          <cell r="AC3638">
            <v>0.5</v>
          </cell>
        </row>
        <row r="3639">
          <cell r="A3639" t="str">
            <v>IS_alqt_plus</v>
          </cell>
          <cell r="K3639" t="str">
            <v>VVV</v>
          </cell>
          <cell r="M3639" t="str">
            <v>F</v>
          </cell>
          <cell r="AC3639">
            <v>0.5</v>
          </cell>
        </row>
        <row r="3640">
          <cell r="A3640" t="str">
            <v>IS_alqt_plus</v>
          </cell>
          <cell r="K3640" t="str">
            <v>VVV</v>
          </cell>
          <cell r="M3640" t="str">
            <v>F</v>
          </cell>
          <cell r="AC3640">
            <v>0.5</v>
          </cell>
        </row>
        <row r="3641">
          <cell r="A3641" t="str">
            <v>IS_alqt_plus</v>
          </cell>
          <cell r="K3641" t="str">
            <v>LCAT</v>
          </cell>
          <cell r="M3641" t="str">
            <v>F</v>
          </cell>
          <cell r="AC3641">
            <v>0.5</v>
          </cell>
        </row>
        <row r="3642">
          <cell r="A3642" t="str">
            <v>IS_alqt_plus</v>
          </cell>
          <cell r="K3642" t="str">
            <v>LCAT</v>
          </cell>
          <cell r="M3642" t="str">
            <v>F</v>
          </cell>
          <cell r="AC3642">
            <v>0.5</v>
          </cell>
        </row>
        <row r="3643">
          <cell r="A3643" t="str">
            <v>IS_alqt_plus</v>
          </cell>
          <cell r="K3643" t="str">
            <v>LCAT</v>
          </cell>
          <cell r="M3643" t="str">
            <v>F</v>
          </cell>
          <cell r="AC3643">
            <v>0.75</v>
          </cell>
        </row>
        <row r="3644">
          <cell r="A3644" t="str">
            <v>IS_alqt_plus</v>
          </cell>
          <cell r="K3644" t="str">
            <v>MMUR</v>
          </cell>
          <cell r="M3644" t="str">
            <v>M</v>
          </cell>
          <cell r="AC3644">
            <v>1</v>
          </cell>
        </row>
        <row r="3645">
          <cell r="A3645" t="str">
            <v>gone</v>
          </cell>
          <cell r="K3645" t="str">
            <v>MMUR</v>
          </cell>
          <cell r="M3645" t="str">
            <v>M</v>
          </cell>
          <cell r="AC3645">
            <v>0</v>
          </cell>
        </row>
        <row r="3646">
          <cell r="A3646" t="str">
            <v>IS_alqt_minus</v>
          </cell>
          <cell r="K3646" t="str">
            <v>MMUR</v>
          </cell>
          <cell r="M3646" t="str">
            <v>M</v>
          </cell>
          <cell r="AC3646">
            <v>0.25</v>
          </cell>
        </row>
        <row r="3647">
          <cell r="A3647" t="str">
            <v>IS_alqt_plus</v>
          </cell>
          <cell r="K3647" t="str">
            <v>MMUR</v>
          </cell>
          <cell r="M3647" t="str">
            <v>M</v>
          </cell>
          <cell r="AC3647">
            <v>0.5</v>
          </cell>
        </row>
        <row r="3648">
          <cell r="A3648" t="str">
            <v>IS_alqt_plus</v>
          </cell>
          <cell r="K3648" t="str">
            <v>PCOQ</v>
          </cell>
          <cell r="M3648" t="str">
            <v>M</v>
          </cell>
          <cell r="AC3648">
            <v>1</v>
          </cell>
        </row>
        <row r="3649">
          <cell r="A3649" t="str">
            <v>IS_alqt_plus</v>
          </cell>
          <cell r="K3649" t="str">
            <v>PCOQ</v>
          </cell>
          <cell r="M3649" t="str">
            <v>M</v>
          </cell>
          <cell r="AC3649">
            <v>1</v>
          </cell>
        </row>
        <row r="3650">
          <cell r="A3650" t="str">
            <v>IS_alqt_plus</v>
          </cell>
          <cell r="K3650" t="str">
            <v>PCOQ</v>
          </cell>
          <cell r="M3650" t="str">
            <v>M</v>
          </cell>
          <cell r="AC3650">
            <v>1</v>
          </cell>
        </row>
        <row r="3651">
          <cell r="A3651" t="str">
            <v>IS_alqt_plus</v>
          </cell>
          <cell r="K3651" t="str">
            <v>PCOQ</v>
          </cell>
          <cell r="M3651" t="str">
            <v>M</v>
          </cell>
          <cell r="AC3651">
            <v>1</v>
          </cell>
        </row>
        <row r="3652">
          <cell r="A3652" t="str">
            <v>IS_alqt_plus</v>
          </cell>
          <cell r="K3652" t="str">
            <v>PCOQ</v>
          </cell>
          <cell r="M3652" t="str">
            <v>M</v>
          </cell>
          <cell r="AC3652">
            <v>1</v>
          </cell>
        </row>
        <row r="3653">
          <cell r="A3653" t="str">
            <v>IS_alqt_plus</v>
          </cell>
          <cell r="K3653" t="str">
            <v>PCOQ</v>
          </cell>
          <cell r="M3653" t="str">
            <v>M</v>
          </cell>
          <cell r="AC3653">
            <v>1</v>
          </cell>
        </row>
        <row r="3654">
          <cell r="A3654" t="str">
            <v>IS_alqt_plus</v>
          </cell>
          <cell r="K3654" t="str">
            <v>PCOQ</v>
          </cell>
          <cell r="M3654" t="str">
            <v>M</v>
          </cell>
          <cell r="AC3654">
            <v>1</v>
          </cell>
        </row>
        <row r="3655">
          <cell r="A3655" t="str">
            <v>IS_alqt_plus</v>
          </cell>
          <cell r="K3655" t="str">
            <v>PCOQ</v>
          </cell>
          <cell r="M3655" t="str">
            <v>M</v>
          </cell>
          <cell r="AC3655">
            <v>1</v>
          </cell>
        </row>
        <row r="3656">
          <cell r="A3656" t="str">
            <v>IS_alqt_plus</v>
          </cell>
          <cell r="K3656" t="str">
            <v>PCOQ</v>
          </cell>
          <cell r="M3656" t="str">
            <v>M</v>
          </cell>
          <cell r="AC3656">
            <v>1</v>
          </cell>
        </row>
        <row r="3657">
          <cell r="A3657" t="str">
            <v>IS_alqt_plus</v>
          </cell>
          <cell r="K3657" t="str">
            <v>PCOQ</v>
          </cell>
          <cell r="M3657" t="str">
            <v>M</v>
          </cell>
          <cell r="AC3657">
            <v>1</v>
          </cell>
        </row>
        <row r="3658">
          <cell r="A3658" t="str">
            <v>IS_alqt_plus</v>
          </cell>
          <cell r="K3658" t="str">
            <v>PCOQ</v>
          </cell>
          <cell r="M3658" t="str">
            <v>M</v>
          </cell>
          <cell r="AC3658">
            <v>1</v>
          </cell>
        </row>
        <row r="3659">
          <cell r="A3659" t="str">
            <v>IS_alqt_plus</v>
          </cell>
          <cell r="K3659" t="str">
            <v>PCOQ</v>
          </cell>
          <cell r="M3659" t="str">
            <v>M</v>
          </cell>
          <cell r="AC3659">
            <v>1</v>
          </cell>
        </row>
        <row r="3660">
          <cell r="A3660" t="str">
            <v>IS_alqt_plus</v>
          </cell>
          <cell r="K3660" t="str">
            <v>PCOQ</v>
          </cell>
          <cell r="M3660" t="str">
            <v>M</v>
          </cell>
          <cell r="AC3660">
            <v>1</v>
          </cell>
        </row>
        <row r="3661">
          <cell r="A3661" t="str">
            <v>IS_alqt_plus</v>
          </cell>
          <cell r="K3661" t="str">
            <v>PCOQ</v>
          </cell>
          <cell r="M3661" t="str">
            <v>M</v>
          </cell>
          <cell r="AC3661">
            <v>1</v>
          </cell>
        </row>
        <row r="3662">
          <cell r="A3662" t="str">
            <v>IS_alqt_plus</v>
          </cell>
          <cell r="K3662" t="str">
            <v>PCOQ</v>
          </cell>
          <cell r="M3662" t="str">
            <v>M</v>
          </cell>
          <cell r="AC3662">
            <v>1</v>
          </cell>
        </row>
        <row r="3663">
          <cell r="A3663" t="str">
            <v>IS_alqt_plus</v>
          </cell>
          <cell r="K3663" t="str">
            <v>PCOQ</v>
          </cell>
          <cell r="M3663" t="str">
            <v>M</v>
          </cell>
          <cell r="AC3663">
            <v>1</v>
          </cell>
        </row>
        <row r="3664">
          <cell r="A3664" t="str">
            <v>IS_alqt_plus</v>
          </cell>
          <cell r="K3664" t="str">
            <v>PCOQ</v>
          </cell>
          <cell r="M3664" t="str">
            <v>M</v>
          </cell>
          <cell r="AC3664">
            <v>1</v>
          </cell>
        </row>
        <row r="3665">
          <cell r="A3665" t="str">
            <v>IS_alqt_plus</v>
          </cell>
          <cell r="K3665" t="str">
            <v>PCOQ</v>
          </cell>
          <cell r="M3665" t="str">
            <v>M</v>
          </cell>
          <cell r="AC3665">
            <v>1</v>
          </cell>
        </row>
        <row r="3666">
          <cell r="A3666" t="str">
            <v>IS_alqt_plus</v>
          </cell>
          <cell r="K3666" t="str">
            <v>PCOQ</v>
          </cell>
          <cell r="M3666" t="str">
            <v>M</v>
          </cell>
          <cell r="AC3666">
            <v>1</v>
          </cell>
        </row>
        <row r="3667">
          <cell r="A3667" t="str">
            <v>IS_alqt_plus</v>
          </cell>
          <cell r="K3667" t="str">
            <v>PCOQ</v>
          </cell>
          <cell r="M3667" t="str">
            <v>M</v>
          </cell>
          <cell r="AC3667">
            <v>1</v>
          </cell>
        </row>
        <row r="3668">
          <cell r="A3668" t="str">
            <v>IS_alqt_plus</v>
          </cell>
          <cell r="K3668" t="str">
            <v>PCOQ</v>
          </cell>
          <cell r="M3668" t="str">
            <v>M</v>
          </cell>
          <cell r="AC3668">
            <v>1</v>
          </cell>
        </row>
        <row r="3669">
          <cell r="A3669" t="str">
            <v>IS_alqt_plus</v>
          </cell>
          <cell r="K3669" t="str">
            <v>PCOQ</v>
          </cell>
          <cell r="M3669" t="str">
            <v>M</v>
          </cell>
          <cell r="AC3669">
            <v>1</v>
          </cell>
        </row>
        <row r="3670">
          <cell r="A3670" t="str">
            <v>IS_alqt_plus</v>
          </cell>
          <cell r="K3670" t="str">
            <v>VRUB</v>
          </cell>
          <cell r="M3670" t="str">
            <v>M</v>
          </cell>
          <cell r="AC3670">
            <v>2</v>
          </cell>
        </row>
        <row r="3671">
          <cell r="A3671" t="str">
            <v>IS_alqt_plus</v>
          </cell>
          <cell r="K3671" t="str">
            <v>VRUB</v>
          </cell>
          <cell r="M3671" t="str">
            <v>M</v>
          </cell>
          <cell r="AC3671">
            <v>2</v>
          </cell>
        </row>
        <row r="3672">
          <cell r="A3672" t="str">
            <v>IS_alqt_plus</v>
          </cell>
          <cell r="K3672" t="str">
            <v>VRUB</v>
          </cell>
          <cell r="M3672" t="str">
            <v>M</v>
          </cell>
          <cell r="AC3672">
            <v>2</v>
          </cell>
        </row>
        <row r="3673">
          <cell r="A3673" t="str">
            <v>IS_alqt_plus</v>
          </cell>
          <cell r="K3673" t="str">
            <v>VRUB</v>
          </cell>
          <cell r="M3673" t="str">
            <v>M</v>
          </cell>
          <cell r="AC3673">
            <v>2</v>
          </cell>
        </row>
        <row r="3674">
          <cell r="A3674" t="str">
            <v>IS_alqt_plus</v>
          </cell>
          <cell r="K3674" t="str">
            <v>VRUB</v>
          </cell>
          <cell r="M3674" t="str">
            <v>M</v>
          </cell>
          <cell r="AC3674">
            <v>2</v>
          </cell>
        </row>
        <row r="3675">
          <cell r="A3675" t="str">
            <v>IS_alqt_plus</v>
          </cell>
          <cell r="K3675" t="str">
            <v>VRUB</v>
          </cell>
          <cell r="M3675" t="str">
            <v>M</v>
          </cell>
          <cell r="AC3675">
            <v>2</v>
          </cell>
        </row>
        <row r="3676">
          <cell r="A3676" t="str">
            <v>IS_alqt_plus</v>
          </cell>
          <cell r="K3676" t="str">
            <v>PCOQ</v>
          </cell>
          <cell r="M3676" t="str">
            <v>M</v>
          </cell>
          <cell r="AC3676">
            <v>1</v>
          </cell>
        </row>
        <row r="3677">
          <cell r="A3677" t="str">
            <v>IS_alqt_plus</v>
          </cell>
          <cell r="K3677" t="str">
            <v>PCOQ</v>
          </cell>
          <cell r="M3677" t="str">
            <v>M</v>
          </cell>
          <cell r="AC3677">
            <v>0.5</v>
          </cell>
        </row>
        <row r="3678">
          <cell r="A3678" t="str">
            <v>IS_alqt_plus</v>
          </cell>
          <cell r="K3678" t="str">
            <v>PCOQ</v>
          </cell>
          <cell r="M3678" t="str">
            <v>M</v>
          </cell>
          <cell r="AC3678">
            <v>1</v>
          </cell>
        </row>
        <row r="3679">
          <cell r="A3679" t="str">
            <v>IS_alqt_plus</v>
          </cell>
          <cell r="K3679" t="str">
            <v>ERUF</v>
          </cell>
          <cell r="M3679" t="str">
            <v>F</v>
          </cell>
          <cell r="AC3679">
            <v>0.5</v>
          </cell>
        </row>
        <row r="3680">
          <cell r="A3680" t="str">
            <v>IS_alqt_plus</v>
          </cell>
          <cell r="K3680" t="str">
            <v>ERUF</v>
          </cell>
          <cell r="M3680" t="str">
            <v>F</v>
          </cell>
          <cell r="AC3680">
            <v>0.5</v>
          </cell>
        </row>
        <row r="3681">
          <cell r="A3681" t="str">
            <v>IS_alqt_plus</v>
          </cell>
          <cell r="K3681" t="str">
            <v>ERUF</v>
          </cell>
          <cell r="M3681" t="str">
            <v>F</v>
          </cell>
          <cell r="AC3681">
            <v>0.5</v>
          </cell>
        </row>
        <row r="3682">
          <cell r="A3682" t="str">
            <v>IS_alqt_plus</v>
          </cell>
          <cell r="K3682" t="str">
            <v>ERUF</v>
          </cell>
          <cell r="M3682" t="str">
            <v>F</v>
          </cell>
          <cell r="AC3682">
            <v>0.5</v>
          </cell>
        </row>
        <row r="3683">
          <cell r="A3683" t="str">
            <v>IS_alqt_minus</v>
          </cell>
          <cell r="K3683" t="str">
            <v>ERUF</v>
          </cell>
          <cell r="M3683" t="str">
            <v>F</v>
          </cell>
          <cell r="AC3683">
            <v>0.3</v>
          </cell>
        </row>
        <row r="3684">
          <cell r="A3684" t="str">
            <v>IS_alqt_plus</v>
          </cell>
          <cell r="K3684" t="str">
            <v>LCAT</v>
          </cell>
          <cell r="M3684" t="str">
            <v>F</v>
          </cell>
          <cell r="AC3684">
            <v>1</v>
          </cell>
        </row>
        <row r="3685">
          <cell r="A3685" t="str">
            <v>IS_alqt_plus</v>
          </cell>
          <cell r="K3685" t="str">
            <v>LCAT</v>
          </cell>
          <cell r="M3685" t="str">
            <v>F</v>
          </cell>
          <cell r="AC3685">
            <v>1</v>
          </cell>
        </row>
        <row r="3686">
          <cell r="A3686" t="str">
            <v>IS_alqt_plus</v>
          </cell>
          <cell r="K3686" t="str">
            <v>LCAT</v>
          </cell>
          <cell r="M3686" t="str">
            <v>F</v>
          </cell>
          <cell r="AC3686">
            <v>1</v>
          </cell>
        </row>
        <row r="3687">
          <cell r="A3687" t="str">
            <v>IS_alqt_plus</v>
          </cell>
          <cell r="K3687" t="str">
            <v>LCAT</v>
          </cell>
          <cell r="M3687" t="str">
            <v>F</v>
          </cell>
          <cell r="AC3687">
            <v>1</v>
          </cell>
        </row>
        <row r="3688">
          <cell r="A3688" t="str">
            <v>IS_alqt_plus</v>
          </cell>
          <cell r="K3688" t="str">
            <v>LCAT</v>
          </cell>
          <cell r="M3688" t="str">
            <v>F</v>
          </cell>
          <cell r="AC3688">
            <v>1</v>
          </cell>
        </row>
        <row r="3689">
          <cell r="A3689" t="str">
            <v>IS_alqt_plus</v>
          </cell>
          <cell r="K3689" t="str">
            <v>LCAT</v>
          </cell>
          <cell r="M3689" t="str">
            <v>F</v>
          </cell>
          <cell r="AC3689">
            <v>1</v>
          </cell>
        </row>
        <row r="3690">
          <cell r="A3690" t="str">
            <v>IS_alqt_plus</v>
          </cell>
          <cell r="K3690" t="str">
            <v>LCAT</v>
          </cell>
          <cell r="M3690" t="str">
            <v>F</v>
          </cell>
          <cell r="AC3690">
            <v>1</v>
          </cell>
        </row>
        <row r="3691">
          <cell r="A3691" t="str">
            <v>IS_alqt_plus</v>
          </cell>
          <cell r="K3691" t="str">
            <v>LCAT</v>
          </cell>
          <cell r="M3691" t="str">
            <v>F</v>
          </cell>
          <cell r="AC3691">
            <v>1</v>
          </cell>
        </row>
        <row r="3692">
          <cell r="A3692" t="str">
            <v>IS_alqt_plus</v>
          </cell>
          <cell r="K3692" t="str">
            <v>LCAT</v>
          </cell>
          <cell r="M3692" t="str">
            <v>F</v>
          </cell>
          <cell r="AC3692">
            <v>1</v>
          </cell>
        </row>
        <row r="3693">
          <cell r="A3693" t="str">
            <v>IS_alqt_plus</v>
          </cell>
          <cell r="K3693" t="str">
            <v>LCAT</v>
          </cell>
          <cell r="M3693" t="str">
            <v>F</v>
          </cell>
          <cell r="AC3693">
            <v>1</v>
          </cell>
        </row>
        <row r="3694">
          <cell r="A3694" t="str">
            <v>IS_alqt_plus</v>
          </cell>
          <cell r="K3694" t="str">
            <v>LCAT</v>
          </cell>
          <cell r="M3694" t="str">
            <v>F</v>
          </cell>
          <cell r="AC3694">
            <v>1</v>
          </cell>
        </row>
        <row r="3695">
          <cell r="A3695" t="str">
            <v>IS_alqt_minus</v>
          </cell>
          <cell r="K3695" t="str">
            <v>LCAT</v>
          </cell>
          <cell r="M3695" t="str">
            <v>M</v>
          </cell>
          <cell r="AC3695">
            <v>0.4</v>
          </cell>
        </row>
        <row r="3696">
          <cell r="A3696" t="str">
            <v>IS_alqt_plus</v>
          </cell>
          <cell r="K3696" t="str">
            <v>LCAT</v>
          </cell>
          <cell r="M3696" t="str">
            <v>M</v>
          </cell>
          <cell r="AC3696">
            <v>1</v>
          </cell>
        </row>
        <row r="3697">
          <cell r="A3697" t="str">
            <v>IS_alqt_plus</v>
          </cell>
          <cell r="K3697" t="str">
            <v>LCAT</v>
          </cell>
          <cell r="M3697" t="str">
            <v>M</v>
          </cell>
          <cell r="AC3697">
            <v>1</v>
          </cell>
        </row>
        <row r="3698">
          <cell r="A3698" t="str">
            <v>IS_alqt_plus</v>
          </cell>
          <cell r="K3698" t="str">
            <v>LCAT</v>
          </cell>
          <cell r="M3698" t="str">
            <v>M</v>
          </cell>
          <cell r="AC3698">
            <v>1</v>
          </cell>
        </row>
        <row r="3699">
          <cell r="A3699" t="str">
            <v>IS_alqt_plus</v>
          </cell>
          <cell r="K3699" t="str">
            <v>LCAT</v>
          </cell>
          <cell r="M3699" t="str">
            <v>M</v>
          </cell>
          <cell r="AC3699">
            <v>1</v>
          </cell>
        </row>
        <row r="3700">
          <cell r="A3700" t="str">
            <v>IS_alqt_plus</v>
          </cell>
          <cell r="K3700" t="str">
            <v>LCAT</v>
          </cell>
          <cell r="M3700" t="str">
            <v>M</v>
          </cell>
          <cell r="AC3700">
            <v>1</v>
          </cell>
        </row>
        <row r="3701">
          <cell r="A3701" t="str">
            <v>IS_alqt_plus</v>
          </cell>
          <cell r="K3701" t="str">
            <v>LCAT</v>
          </cell>
          <cell r="M3701" t="str">
            <v>M</v>
          </cell>
          <cell r="AC3701">
            <v>1</v>
          </cell>
        </row>
        <row r="3702">
          <cell r="A3702" t="str">
            <v>IS_alqt_plus</v>
          </cell>
          <cell r="K3702" t="str">
            <v>LCAT</v>
          </cell>
          <cell r="M3702" t="str">
            <v>M</v>
          </cell>
          <cell r="AC3702">
            <v>1</v>
          </cell>
        </row>
        <row r="3703">
          <cell r="A3703" t="str">
            <v>IS_alqt_plus</v>
          </cell>
          <cell r="K3703" t="str">
            <v>LCAT</v>
          </cell>
          <cell r="M3703" t="str">
            <v>M</v>
          </cell>
          <cell r="AC3703">
            <v>1</v>
          </cell>
        </row>
        <row r="3704">
          <cell r="A3704" t="str">
            <v>IS_alqt_plus</v>
          </cell>
          <cell r="K3704" t="str">
            <v>LCAT</v>
          </cell>
          <cell r="M3704" t="str">
            <v>F</v>
          </cell>
          <cell r="AC3704">
            <v>2</v>
          </cell>
        </row>
        <row r="3705">
          <cell r="A3705" t="str">
            <v>IS_alqt_plus</v>
          </cell>
          <cell r="K3705" t="str">
            <v>LCAT</v>
          </cell>
          <cell r="M3705" t="str">
            <v>F</v>
          </cell>
          <cell r="AC3705">
            <v>2</v>
          </cell>
        </row>
        <row r="3706">
          <cell r="A3706" t="str">
            <v>IS_alqt_plus</v>
          </cell>
          <cell r="K3706" t="str">
            <v>LCAT</v>
          </cell>
          <cell r="M3706" t="str">
            <v>F</v>
          </cell>
          <cell r="AC3706">
            <v>2</v>
          </cell>
        </row>
        <row r="3707">
          <cell r="A3707" t="str">
            <v>IS_alqt_plus</v>
          </cell>
          <cell r="K3707" t="str">
            <v>LCAT</v>
          </cell>
          <cell r="M3707" t="str">
            <v>F</v>
          </cell>
          <cell r="AC3707">
            <v>2</v>
          </cell>
        </row>
        <row r="3708">
          <cell r="A3708" t="str">
            <v>IS_alqt_plus</v>
          </cell>
          <cell r="K3708" t="str">
            <v>LCAT</v>
          </cell>
          <cell r="M3708" t="str">
            <v>F</v>
          </cell>
          <cell r="AC3708">
            <v>0.9</v>
          </cell>
        </row>
        <row r="3709">
          <cell r="A3709" t="str">
            <v>IS_alqt_plus</v>
          </cell>
          <cell r="K3709" t="str">
            <v>PCOQ</v>
          </cell>
          <cell r="M3709" t="str">
            <v>M</v>
          </cell>
          <cell r="AC3709">
            <v>1</v>
          </cell>
        </row>
        <row r="3710">
          <cell r="A3710" t="str">
            <v>IS_alqt_plus</v>
          </cell>
          <cell r="K3710" t="str">
            <v>PCOQ</v>
          </cell>
          <cell r="M3710" t="str">
            <v>M</v>
          </cell>
          <cell r="AC3710">
            <v>1</v>
          </cell>
        </row>
        <row r="3711">
          <cell r="A3711" t="str">
            <v>IS_alqt_plus</v>
          </cell>
          <cell r="K3711" t="str">
            <v>PCOQ</v>
          </cell>
          <cell r="M3711" t="str">
            <v>M</v>
          </cell>
          <cell r="AC3711">
            <v>1</v>
          </cell>
        </row>
        <row r="3712">
          <cell r="A3712" t="str">
            <v>IS_alqt_plus</v>
          </cell>
          <cell r="K3712" t="str">
            <v>PCOQ</v>
          </cell>
          <cell r="M3712" t="str">
            <v>M</v>
          </cell>
          <cell r="AC3712">
            <v>1</v>
          </cell>
        </row>
        <row r="3713">
          <cell r="A3713" t="str">
            <v>gone</v>
          </cell>
          <cell r="K3713" t="str">
            <v>VVV</v>
          </cell>
          <cell r="M3713" t="str">
            <v>F</v>
          </cell>
          <cell r="AC3713">
            <v>0</v>
          </cell>
        </row>
        <row r="3714">
          <cell r="A3714" t="str">
            <v>gone</v>
          </cell>
          <cell r="K3714" t="str">
            <v>VVV</v>
          </cell>
          <cell r="M3714" t="str">
            <v>F</v>
          </cell>
          <cell r="AC3714">
            <v>0</v>
          </cell>
        </row>
        <row r="3715">
          <cell r="A3715" t="str">
            <v>gone</v>
          </cell>
          <cell r="K3715" t="str">
            <v>VVV</v>
          </cell>
          <cell r="M3715" t="str">
            <v>F</v>
          </cell>
          <cell r="AC3715">
            <v>0</v>
          </cell>
        </row>
        <row r="3716">
          <cell r="A3716" t="str">
            <v>gone</v>
          </cell>
          <cell r="K3716" t="str">
            <v>VVV</v>
          </cell>
          <cell r="M3716" t="str">
            <v>F</v>
          </cell>
          <cell r="AC3716">
            <v>0</v>
          </cell>
        </row>
        <row r="3717">
          <cell r="A3717" t="str">
            <v>gone</v>
          </cell>
          <cell r="K3717" t="str">
            <v>VVV</v>
          </cell>
          <cell r="M3717" t="str">
            <v>F</v>
          </cell>
          <cell r="AC3717">
            <v>0</v>
          </cell>
        </row>
        <row r="3718">
          <cell r="A3718" t="str">
            <v>gone</v>
          </cell>
          <cell r="K3718" t="str">
            <v>VVV</v>
          </cell>
          <cell r="M3718" t="str">
            <v>F</v>
          </cell>
          <cell r="AC3718">
            <v>0</v>
          </cell>
        </row>
        <row r="3719">
          <cell r="A3719" t="str">
            <v>gone</v>
          </cell>
          <cell r="K3719" t="str">
            <v>VVV</v>
          </cell>
          <cell r="M3719" t="str">
            <v>F</v>
          </cell>
          <cell r="AC3719">
            <v>0</v>
          </cell>
        </row>
        <row r="3720">
          <cell r="A3720" t="str">
            <v>IS_alqt_plus</v>
          </cell>
          <cell r="K3720" t="str">
            <v>EMON</v>
          </cell>
          <cell r="M3720" t="str">
            <v>M</v>
          </cell>
          <cell r="AC3720">
            <v>0.5</v>
          </cell>
        </row>
        <row r="3721">
          <cell r="A3721" t="str">
            <v>IS_alqt_plus</v>
          </cell>
          <cell r="K3721" t="str">
            <v>PCOQ</v>
          </cell>
          <cell r="M3721" t="str">
            <v>M</v>
          </cell>
          <cell r="AC3721">
            <v>1.5</v>
          </cell>
        </row>
        <row r="3722">
          <cell r="A3722" t="str">
            <v>IS_alqt_plus</v>
          </cell>
          <cell r="K3722" t="str">
            <v>PCOQ</v>
          </cell>
          <cell r="M3722" t="str">
            <v>M</v>
          </cell>
          <cell r="AC3722">
            <v>1.5</v>
          </cell>
        </row>
        <row r="3723">
          <cell r="A3723" t="str">
            <v>IS_alqt_plus</v>
          </cell>
          <cell r="K3723" t="str">
            <v>LCAT</v>
          </cell>
          <cell r="M3723" t="str">
            <v>M</v>
          </cell>
          <cell r="AC3723">
            <v>1</v>
          </cell>
        </row>
        <row r="3724">
          <cell r="A3724" t="str">
            <v>IS_alqt_plus</v>
          </cell>
          <cell r="K3724" t="str">
            <v>LCAT</v>
          </cell>
          <cell r="M3724" t="str">
            <v>M</v>
          </cell>
          <cell r="AC3724">
            <v>0.5</v>
          </cell>
        </row>
        <row r="3725">
          <cell r="A3725" t="str">
            <v>IS_alqt_plus</v>
          </cell>
          <cell r="K3725" t="str">
            <v>LCAT</v>
          </cell>
          <cell r="M3725" t="str">
            <v>M</v>
          </cell>
          <cell r="AC3725">
            <v>0.5</v>
          </cell>
        </row>
        <row r="3726">
          <cell r="A3726" t="str">
            <v>IS_alqt_plus</v>
          </cell>
          <cell r="K3726" t="str">
            <v>LCAT</v>
          </cell>
          <cell r="M3726" t="str">
            <v>M</v>
          </cell>
          <cell r="AC3726">
            <v>0.5</v>
          </cell>
        </row>
        <row r="3727">
          <cell r="A3727" t="str">
            <v>IS_alqt_plus</v>
          </cell>
          <cell r="K3727" t="str">
            <v>LCAT</v>
          </cell>
          <cell r="M3727" t="str">
            <v>M</v>
          </cell>
          <cell r="AC3727">
            <v>0.5</v>
          </cell>
        </row>
        <row r="3728">
          <cell r="A3728" t="str">
            <v>IS_alqt_plus</v>
          </cell>
          <cell r="K3728" t="str">
            <v>LCAT</v>
          </cell>
          <cell r="M3728" t="str">
            <v>M</v>
          </cell>
          <cell r="AC3728">
            <v>0.5</v>
          </cell>
        </row>
        <row r="3729">
          <cell r="A3729" t="str">
            <v>IS_alqt_plus</v>
          </cell>
          <cell r="K3729" t="str">
            <v>LCAT</v>
          </cell>
          <cell r="M3729" t="str">
            <v>M</v>
          </cell>
          <cell r="AC3729">
            <v>0.5</v>
          </cell>
        </row>
        <row r="3730">
          <cell r="A3730" t="str">
            <v>IS_alqt_plus</v>
          </cell>
          <cell r="K3730" t="str">
            <v>LCAT</v>
          </cell>
          <cell r="M3730" t="str">
            <v>M</v>
          </cell>
          <cell r="AC3730">
            <v>0.5</v>
          </cell>
        </row>
        <row r="3731">
          <cell r="A3731" t="str">
            <v>IS_alqt_plus</v>
          </cell>
          <cell r="K3731" t="str">
            <v>LCAT</v>
          </cell>
          <cell r="M3731" t="str">
            <v>M</v>
          </cell>
          <cell r="AC3731">
            <v>0.5</v>
          </cell>
        </row>
        <row r="3732">
          <cell r="A3732" t="str">
            <v>IS_alqt_plus</v>
          </cell>
          <cell r="K3732" t="str">
            <v>LCAT</v>
          </cell>
          <cell r="M3732" t="str">
            <v>M</v>
          </cell>
          <cell r="AC3732">
            <v>0.5</v>
          </cell>
        </row>
        <row r="3733">
          <cell r="A3733" t="str">
            <v>IS_alqt_plus</v>
          </cell>
          <cell r="K3733" t="str">
            <v>LCAT</v>
          </cell>
          <cell r="M3733" t="str">
            <v>M</v>
          </cell>
          <cell r="AC3733">
            <v>0.5</v>
          </cell>
        </row>
        <row r="3734">
          <cell r="A3734" t="str">
            <v>IS_alqt_plus</v>
          </cell>
          <cell r="K3734" t="str">
            <v>LCAT</v>
          </cell>
          <cell r="M3734" t="str">
            <v>M</v>
          </cell>
          <cell r="AC3734">
            <v>0.5</v>
          </cell>
        </row>
        <row r="3735">
          <cell r="A3735" t="str">
            <v>IS_alqt_plus</v>
          </cell>
          <cell r="K3735" t="str">
            <v>LCAT</v>
          </cell>
          <cell r="M3735" t="str">
            <v>M</v>
          </cell>
          <cell r="AC3735">
            <v>0.5</v>
          </cell>
        </row>
        <row r="3736">
          <cell r="A3736" t="str">
            <v>IS_alqt_plus</v>
          </cell>
          <cell r="K3736" t="str">
            <v>LCAT</v>
          </cell>
          <cell r="M3736" t="str">
            <v>M</v>
          </cell>
          <cell r="AC3736">
            <v>0.5</v>
          </cell>
        </row>
        <row r="3737">
          <cell r="A3737" t="str">
            <v>IS_alqt_plus</v>
          </cell>
          <cell r="K3737" t="str">
            <v>LCAT</v>
          </cell>
          <cell r="M3737" t="str">
            <v>M</v>
          </cell>
          <cell r="AC3737">
            <v>0.5</v>
          </cell>
        </row>
        <row r="3738">
          <cell r="A3738" t="str">
            <v>IS_alqt_plus</v>
          </cell>
          <cell r="K3738" t="str">
            <v>VVV</v>
          </cell>
          <cell r="M3738" t="str">
            <v>F</v>
          </cell>
          <cell r="AC3738">
            <v>0.5</v>
          </cell>
        </row>
        <row r="3739">
          <cell r="A3739" t="str">
            <v>IS_alqt_plus</v>
          </cell>
          <cell r="K3739" t="str">
            <v>VVV</v>
          </cell>
          <cell r="M3739" t="str">
            <v>F</v>
          </cell>
          <cell r="AC3739">
            <v>0.5</v>
          </cell>
        </row>
        <row r="3740">
          <cell r="A3740" t="str">
            <v>IS_alqt_plus</v>
          </cell>
          <cell r="K3740" t="str">
            <v>VVV</v>
          </cell>
          <cell r="M3740" t="str">
            <v>F</v>
          </cell>
          <cell r="AC3740">
            <v>0.5</v>
          </cell>
        </row>
        <row r="3741">
          <cell r="A3741" t="str">
            <v>IS_alqt_plus</v>
          </cell>
          <cell r="K3741" t="str">
            <v>VVV</v>
          </cell>
          <cell r="M3741" t="str">
            <v>F</v>
          </cell>
          <cell r="AC3741">
            <v>0.5</v>
          </cell>
        </row>
        <row r="3742">
          <cell r="A3742" t="str">
            <v>IS_alqt_plus</v>
          </cell>
          <cell r="K3742" t="str">
            <v>VVV</v>
          </cell>
          <cell r="M3742" t="str">
            <v>F</v>
          </cell>
          <cell r="AC3742">
            <v>0.5</v>
          </cell>
        </row>
        <row r="3743">
          <cell r="A3743" t="str">
            <v>IS_alqt_plus</v>
          </cell>
          <cell r="K3743" t="str">
            <v>VVV</v>
          </cell>
          <cell r="M3743" t="str">
            <v>F</v>
          </cell>
          <cell r="AC3743">
            <v>0.5</v>
          </cell>
        </row>
        <row r="3744">
          <cell r="A3744" t="str">
            <v>IS_alqt_plus</v>
          </cell>
          <cell r="K3744" t="str">
            <v>VVV</v>
          </cell>
          <cell r="M3744" t="str">
            <v>F</v>
          </cell>
          <cell r="AC3744">
            <v>0.5</v>
          </cell>
        </row>
        <row r="3745">
          <cell r="A3745" t="str">
            <v>IS_alqt_plus</v>
          </cell>
          <cell r="K3745" t="str">
            <v>VVV</v>
          </cell>
          <cell r="M3745" t="str">
            <v>F</v>
          </cell>
          <cell r="AC3745">
            <v>0.5</v>
          </cell>
        </row>
        <row r="3746">
          <cell r="A3746" t="str">
            <v>IS_alqt_plus</v>
          </cell>
          <cell r="K3746" t="str">
            <v>VVV</v>
          </cell>
          <cell r="M3746" t="str">
            <v>F</v>
          </cell>
          <cell r="AC3746">
            <v>0.5</v>
          </cell>
        </row>
        <row r="3747">
          <cell r="A3747" t="str">
            <v>IS_alqt_plus</v>
          </cell>
          <cell r="K3747" t="str">
            <v>VVV</v>
          </cell>
          <cell r="M3747" t="str">
            <v>F</v>
          </cell>
          <cell r="AC3747">
            <v>0.5</v>
          </cell>
        </row>
        <row r="3748">
          <cell r="A3748" t="str">
            <v>IS_alqt_plus</v>
          </cell>
          <cell r="K3748" t="str">
            <v>VVV</v>
          </cell>
          <cell r="M3748" t="str">
            <v>F</v>
          </cell>
          <cell r="AC3748">
            <v>0.5</v>
          </cell>
        </row>
        <row r="3749">
          <cell r="A3749" t="str">
            <v>IS_alqt_plus</v>
          </cell>
          <cell r="K3749" t="str">
            <v>VVV</v>
          </cell>
          <cell r="M3749" t="str">
            <v>F</v>
          </cell>
          <cell r="AC3749">
            <v>0.5</v>
          </cell>
        </row>
        <row r="3750">
          <cell r="A3750" t="str">
            <v>IS_alqt_plus</v>
          </cell>
          <cell r="K3750" t="str">
            <v>VVV</v>
          </cell>
          <cell r="M3750" t="str">
            <v>F</v>
          </cell>
          <cell r="AC3750">
            <v>0.5</v>
          </cell>
        </row>
        <row r="3751">
          <cell r="A3751" t="str">
            <v>IS_alqt_plus</v>
          </cell>
          <cell r="K3751" t="str">
            <v>VVV</v>
          </cell>
          <cell r="M3751" t="str">
            <v>F</v>
          </cell>
          <cell r="AC3751">
            <v>0.5</v>
          </cell>
        </row>
        <row r="3752">
          <cell r="A3752" t="str">
            <v>IS_alqt_plus</v>
          </cell>
          <cell r="K3752" t="str">
            <v>VVV</v>
          </cell>
          <cell r="M3752" t="str">
            <v>F</v>
          </cell>
          <cell r="AC3752">
            <v>0.5</v>
          </cell>
        </row>
        <row r="3753">
          <cell r="A3753" t="str">
            <v>IS_alqt_plus</v>
          </cell>
          <cell r="K3753" t="str">
            <v>VVV</v>
          </cell>
          <cell r="M3753" t="str">
            <v>F</v>
          </cell>
          <cell r="AC3753">
            <v>0.5</v>
          </cell>
        </row>
        <row r="3754">
          <cell r="A3754" t="str">
            <v>IS_alqt_plus</v>
          </cell>
          <cell r="K3754" t="str">
            <v>EMON</v>
          </cell>
          <cell r="M3754" t="str">
            <v>F</v>
          </cell>
          <cell r="AC3754">
            <v>2</v>
          </cell>
        </row>
        <row r="3755">
          <cell r="A3755" t="str">
            <v>IS_alqt_plus</v>
          </cell>
          <cell r="K3755" t="str">
            <v>EMON</v>
          </cell>
          <cell r="M3755" t="str">
            <v>F</v>
          </cell>
          <cell r="AC3755">
            <v>2</v>
          </cell>
        </row>
        <row r="3756">
          <cell r="A3756" t="str">
            <v>IS_alqt_plus</v>
          </cell>
          <cell r="K3756" t="str">
            <v>EFLA</v>
          </cell>
          <cell r="M3756" t="str">
            <v>M</v>
          </cell>
          <cell r="AC3756">
            <v>0.75</v>
          </cell>
        </row>
        <row r="3757">
          <cell r="A3757" t="str">
            <v>IS_alqt_plus</v>
          </cell>
          <cell r="K3757" t="str">
            <v>EFLA</v>
          </cell>
          <cell r="M3757" t="str">
            <v>M</v>
          </cell>
          <cell r="AC3757">
            <v>1</v>
          </cell>
        </row>
        <row r="3758">
          <cell r="A3758" t="str">
            <v>IS_alqt_plus</v>
          </cell>
          <cell r="K3758" t="str">
            <v>EFLA</v>
          </cell>
          <cell r="M3758" t="str">
            <v>M</v>
          </cell>
          <cell r="AC3758">
            <v>1</v>
          </cell>
        </row>
        <row r="3759">
          <cell r="A3759" t="str">
            <v>IS_alqt_plus</v>
          </cell>
          <cell r="K3759" t="str">
            <v>EFLA</v>
          </cell>
          <cell r="M3759" t="str">
            <v>M</v>
          </cell>
          <cell r="AC3759">
            <v>1</v>
          </cell>
        </row>
        <row r="3760">
          <cell r="A3760" t="str">
            <v>IS_alqt_minus</v>
          </cell>
          <cell r="K3760" t="str">
            <v>MMUR</v>
          </cell>
          <cell r="M3760" t="str">
            <v>F</v>
          </cell>
          <cell r="AC3760">
            <v>0.2</v>
          </cell>
        </row>
        <row r="3761">
          <cell r="A3761" t="str">
            <v>IS_alqt_plus</v>
          </cell>
          <cell r="K3761" t="str">
            <v>EFLA</v>
          </cell>
          <cell r="M3761" t="str">
            <v>M</v>
          </cell>
          <cell r="AC3761">
            <v>1</v>
          </cell>
        </row>
        <row r="3762">
          <cell r="A3762" t="str">
            <v>IS_alqt_plus</v>
          </cell>
          <cell r="K3762" t="str">
            <v>EFLA</v>
          </cell>
          <cell r="M3762" t="str">
            <v>M</v>
          </cell>
          <cell r="AC3762">
            <v>1</v>
          </cell>
        </row>
        <row r="3763">
          <cell r="A3763" t="str">
            <v>IS_alqt_plus</v>
          </cell>
          <cell r="K3763" t="str">
            <v>EFLA</v>
          </cell>
          <cell r="M3763" t="str">
            <v>M</v>
          </cell>
          <cell r="AC3763">
            <v>1</v>
          </cell>
        </row>
        <row r="3764">
          <cell r="A3764" t="str">
            <v>IS_alqt_plus</v>
          </cell>
          <cell r="K3764" t="str">
            <v>EFLA</v>
          </cell>
          <cell r="M3764" t="str">
            <v>M</v>
          </cell>
          <cell r="AC3764">
            <v>1</v>
          </cell>
        </row>
        <row r="3765">
          <cell r="A3765" t="str">
            <v>IS_alqt_plus</v>
          </cell>
          <cell r="K3765" t="str">
            <v>EFLA</v>
          </cell>
          <cell r="M3765" t="str">
            <v>M</v>
          </cell>
          <cell r="AC3765">
            <v>1</v>
          </cell>
        </row>
        <row r="3766">
          <cell r="A3766" t="str">
            <v>IS_alqt_plus</v>
          </cell>
          <cell r="K3766" t="str">
            <v>EFLA</v>
          </cell>
          <cell r="M3766" t="str">
            <v>M</v>
          </cell>
          <cell r="AC3766">
            <v>1</v>
          </cell>
        </row>
        <row r="3767">
          <cell r="A3767" t="str">
            <v>IS_alqt_plus</v>
          </cell>
          <cell r="K3767" t="str">
            <v>EFLA</v>
          </cell>
          <cell r="M3767" t="str">
            <v>M</v>
          </cell>
          <cell r="AC3767">
            <v>1</v>
          </cell>
        </row>
        <row r="3768">
          <cell r="A3768" t="str">
            <v>IS_alqt_plus</v>
          </cell>
          <cell r="K3768" t="str">
            <v>EFLA</v>
          </cell>
          <cell r="M3768" t="str">
            <v>M</v>
          </cell>
          <cell r="AC3768">
            <v>0.5</v>
          </cell>
        </row>
        <row r="3769">
          <cell r="A3769" t="str">
            <v>IS_alqt_plus</v>
          </cell>
          <cell r="K3769" t="str">
            <v>EFLA</v>
          </cell>
          <cell r="M3769" t="str">
            <v>M</v>
          </cell>
          <cell r="AC3769">
            <v>0.5</v>
          </cell>
        </row>
        <row r="3770">
          <cell r="A3770" t="str">
            <v>IS_alqt_plus</v>
          </cell>
          <cell r="K3770" t="str">
            <v>EFLA</v>
          </cell>
          <cell r="M3770" t="str">
            <v>M</v>
          </cell>
          <cell r="AC3770">
            <v>0.5</v>
          </cell>
        </row>
        <row r="3771">
          <cell r="A3771" t="str">
            <v>IS_alqt_plus</v>
          </cell>
          <cell r="K3771" t="str">
            <v>EFLA</v>
          </cell>
          <cell r="M3771" t="str">
            <v>M</v>
          </cell>
          <cell r="AC3771">
            <v>0.5</v>
          </cell>
        </row>
        <row r="3772">
          <cell r="A3772" t="str">
            <v>IS_alqt_plus</v>
          </cell>
          <cell r="K3772" t="str">
            <v>EFLA</v>
          </cell>
          <cell r="M3772" t="str">
            <v>M</v>
          </cell>
          <cell r="AC3772">
            <v>0.5</v>
          </cell>
        </row>
        <row r="3773">
          <cell r="A3773" t="str">
            <v>IS_alqt_plus</v>
          </cell>
          <cell r="K3773" t="str">
            <v>EFLA</v>
          </cell>
          <cell r="M3773" t="str">
            <v>M</v>
          </cell>
          <cell r="AC3773">
            <v>0.5</v>
          </cell>
        </row>
        <row r="3774">
          <cell r="A3774" t="str">
            <v>IS_alqt_plus</v>
          </cell>
          <cell r="K3774" t="str">
            <v>EFLA</v>
          </cell>
          <cell r="M3774" t="str">
            <v>M</v>
          </cell>
          <cell r="AC3774">
            <v>0.5</v>
          </cell>
        </row>
        <row r="3775">
          <cell r="A3775" t="str">
            <v>IS_alqt_plus</v>
          </cell>
          <cell r="K3775" t="str">
            <v>EFLA</v>
          </cell>
          <cell r="M3775" t="str">
            <v>M</v>
          </cell>
          <cell r="AC3775">
            <v>0.5</v>
          </cell>
        </row>
        <row r="3776">
          <cell r="A3776" t="str">
            <v>IS_alqt_plus</v>
          </cell>
          <cell r="K3776" t="str">
            <v>EFLA</v>
          </cell>
          <cell r="M3776" t="str">
            <v>M</v>
          </cell>
          <cell r="AC3776">
            <v>0.5</v>
          </cell>
        </row>
        <row r="3777">
          <cell r="A3777" t="str">
            <v>IS_alqt_plus</v>
          </cell>
          <cell r="K3777" t="str">
            <v>EFLA</v>
          </cell>
          <cell r="M3777" t="str">
            <v>M</v>
          </cell>
          <cell r="AC3777">
            <v>0.5</v>
          </cell>
        </row>
        <row r="3778">
          <cell r="A3778" t="str">
            <v>IS_alqt_plus</v>
          </cell>
          <cell r="K3778" t="str">
            <v>EFLA</v>
          </cell>
          <cell r="M3778" t="str">
            <v>M</v>
          </cell>
          <cell r="AC3778">
            <v>0.5</v>
          </cell>
        </row>
        <row r="3779">
          <cell r="A3779" t="str">
            <v>IS_alqt_plus</v>
          </cell>
          <cell r="K3779" t="str">
            <v>EFLA</v>
          </cell>
          <cell r="M3779" t="str">
            <v>M</v>
          </cell>
          <cell r="AC3779">
            <v>0.5</v>
          </cell>
        </row>
        <row r="3780">
          <cell r="A3780" t="str">
            <v>IS_alqt_plus</v>
          </cell>
          <cell r="K3780" t="str">
            <v>EFLA</v>
          </cell>
          <cell r="M3780" t="str">
            <v>F</v>
          </cell>
          <cell r="AC3780">
            <v>0.5</v>
          </cell>
        </row>
        <row r="3781">
          <cell r="A3781" t="str">
            <v>IS_alqt_plus</v>
          </cell>
          <cell r="K3781" t="str">
            <v>EFLA</v>
          </cell>
          <cell r="M3781" t="str">
            <v>F</v>
          </cell>
          <cell r="AC3781">
            <v>0.5</v>
          </cell>
        </row>
        <row r="3782">
          <cell r="A3782" t="str">
            <v>IS_alqt_plus</v>
          </cell>
          <cell r="K3782" t="str">
            <v>EFLA</v>
          </cell>
          <cell r="M3782" t="str">
            <v>F</v>
          </cell>
          <cell r="AC3782">
            <v>0.5</v>
          </cell>
        </row>
        <row r="3783">
          <cell r="A3783" t="str">
            <v>IS_alqt_plus</v>
          </cell>
          <cell r="K3783" t="str">
            <v>EFLA</v>
          </cell>
          <cell r="M3783" t="str">
            <v>F</v>
          </cell>
          <cell r="AC3783">
            <v>0.5</v>
          </cell>
        </row>
        <row r="3784">
          <cell r="A3784" t="str">
            <v>IS_alqt_plus</v>
          </cell>
          <cell r="K3784" t="str">
            <v>EFLA</v>
          </cell>
          <cell r="M3784" t="str">
            <v>F</v>
          </cell>
          <cell r="AC3784">
            <v>0.5</v>
          </cell>
        </row>
        <row r="3785">
          <cell r="A3785" t="str">
            <v>IS_alqt_plus</v>
          </cell>
          <cell r="K3785" t="str">
            <v>EFLA</v>
          </cell>
          <cell r="M3785" t="str">
            <v>F</v>
          </cell>
          <cell r="AC3785">
            <v>0.5</v>
          </cell>
        </row>
        <row r="3786">
          <cell r="A3786" t="str">
            <v>IS_alqt_plus</v>
          </cell>
          <cell r="K3786" t="str">
            <v>EFLA</v>
          </cell>
          <cell r="M3786" t="str">
            <v>F</v>
          </cell>
          <cell r="AC3786">
            <v>0.5</v>
          </cell>
        </row>
        <row r="3787">
          <cell r="A3787" t="str">
            <v>IS_alqt_plus</v>
          </cell>
          <cell r="K3787" t="str">
            <v>EFLA</v>
          </cell>
          <cell r="M3787" t="str">
            <v>F</v>
          </cell>
          <cell r="AC3787">
            <v>0.5</v>
          </cell>
        </row>
        <row r="3788">
          <cell r="A3788" t="str">
            <v>IS_alqt_plus</v>
          </cell>
          <cell r="K3788" t="str">
            <v>EFLA</v>
          </cell>
          <cell r="M3788" t="str">
            <v>F</v>
          </cell>
          <cell r="AC3788">
            <v>0.5</v>
          </cell>
        </row>
        <row r="3789">
          <cell r="A3789" t="str">
            <v>IS_alqt_plus</v>
          </cell>
          <cell r="K3789" t="str">
            <v>EFLA</v>
          </cell>
          <cell r="M3789" t="str">
            <v>F</v>
          </cell>
          <cell r="AC3789">
            <v>0.5</v>
          </cell>
        </row>
        <row r="3790">
          <cell r="A3790" t="str">
            <v>IS_alqt_plus</v>
          </cell>
          <cell r="K3790" t="str">
            <v>EFLA</v>
          </cell>
          <cell r="M3790" t="str">
            <v>F</v>
          </cell>
          <cell r="AC3790">
            <v>1</v>
          </cell>
        </row>
        <row r="3791">
          <cell r="A3791" t="str">
            <v>IS_alqt_plus</v>
          </cell>
          <cell r="K3791" t="str">
            <v>EFLA</v>
          </cell>
          <cell r="M3791" t="str">
            <v>F</v>
          </cell>
          <cell r="AC3791">
            <v>1</v>
          </cell>
        </row>
        <row r="3792">
          <cell r="A3792" t="str">
            <v>IS_alqt_plus</v>
          </cell>
          <cell r="K3792" t="str">
            <v>EFLA</v>
          </cell>
          <cell r="M3792" t="str">
            <v>F</v>
          </cell>
          <cell r="AC3792">
            <v>1</v>
          </cell>
        </row>
        <row r="3793">
          <cell r="A3793" t="str">
            <v>IS_alqt_plus</v>
          </cell>
          <cell r="K3793" t="str">
            <v>EFLA</v>
          </cell>
          <cell r="M3793" t="str">
            <v>F</v>
          </cell>
          <cell r="AC3793">
            <v>1</v>
          </cell>
        </row>
        <row r="3794">
          <cell r="A3794" t="str">
            <v>IS_alqt_plus</v>
          </cell>
          <cell r="K3794" t="str">
            <v>EFLA</v>
          </cell>
          <cell r="M3794" t="str">
            <v>F</v>
          </cell>
          <cell r="AC3794">
            <v>1</v>
          </cell>
        </row>
        <row r="3795">
          <cell r="A3795" t="str">
            <v>IS_alqt_plus</v>
          </cell>
          <cell r="K3795" t="str">
            <v>EFLA</v>
          </cell>
          <cell r="M3795" t="str">
            <v>F</v>
          </cell>
          <cell r="AC3795">
            <v>1</v>
          </cell>
        </row>
        <row r="3796">
          <cell r="A3796" t="str">
            <v>IS_alqt_plus</v>
          </cell>
          <cell r="K3796" t="str">
            <v>EFLA</v>
          </cell>
          <cell r="M3796" t="str">
            <v>F</v>
          </cell>
          <cell r="AC3796">
            <v>1</v>
          </cell>
        </row>
        <row r="3797">
          <cell r="A3797" t="str">
            <v>IS_alqt_plus</v>
          </cell>
          <cell r="K3797" t="str">
            <v>EFLA</v>
          </cell>
          <cell r="M3797" t="str">
            <v>F</v>
          </cell>
          <cell r="AC3797">
            <v>1</v>
          </cell>
        </row>
        <row r="3798">
          <cell r="A3798" t="str">
            <v>IS_alqt_plus</v>
          </cell>
          <cell r="K3798" t="str">
            <v>EFLA</v>
          </cell>
          <cell r="M3798" t="str">
            <v>F</v>
          </cell>
          <cell r="AC3798">
            <v>1</v>
          </cell>
        </row>
        <row r="3799">
          <cell r="A3799" t="str">
            <v>IS_alqt_plus</v>
          </cell>
          <cell r="K3799" t="str">
            <v>EFLA</v>
          </cell>
          <cell r="M3799" t="str">
            <v>F</v>
          </cell>
          <cell r="AC3799">
            <v>1</v>
          </cell>
        </row>
        <row r="3800">
          <cell r="A3800" t="str">
            <v>IS_alqt_plus</v>
          </cell>
          <cell r="K3800" t="str">
            <v>EFLA</v>
          </cell>
          <cell r="M3800" t="str">
            <v>F</v>
          </cell>
          <cell r="AC3800">
            <v>2</v>
          </cell>
        </row>
        <row r="3801">
          <cell r="A3801" t="str">
            <v>IS_alqt_plus</v>
          </cell>
          <cell r="K3801" t="str">
            <v>EFLA</v>
          </cell>
          <cell r="M3801" t="str">
            <v>F</v>
          </cell>
          <cell r="AC3801">
            <v>2</v>
          </cell>
        </row>
        <row r="3802">
          <cell r="A3802" t="str">
            <v>IS_alqt_plus</v>
          </cell>
          <cell r="K3802" t="str">
            <v>EFLA</v>
          </cell>
          <cell r="M3802" t="str">
            <v>F</v>
          </cell>
          <cell r="AC3802">
            <v>2</v>
          </cell>
        </row>
        <row r="3803">
          <cell r="A3803" t="str">
            <v>IS_alqt_plus</v>
          </cell>
          <cell r="K3803" t="str">
            <v>EFLA</v>
          </cell>
          <cell r="M3803" t="str">
            <v>F</v>
          </cell>
          <cell r="AC3803">
            <v>2</v>
          </cell>
        </row>
        <row r="3804">
          <cell r="A3804" t="str">
            <v>IS_alqt_plus</v>
          </cell>
          <cell r="K3804" t="str">
            <v>EFLA</v>
          </cell>
          <cell r="M3804" t="str">
            <v>F</v>
          </cell>
          <cell r="AC3804">
            <v>2</v>
          </cell>
        </row>
        <row r="3805">
          <cell r="A3805" t="str">
            <v>IS_alqt_plus</v>
          </cell>
          <cell r="K3805" t="str">
            <v>EFLA</v>
          </cell>
          <cell r="M3805" t="str">
            <v>F</v>
          </cell>
          <cell r="AC3805">
            <v>2</v>
          </cell>
        </row>
        <row r="3806">
          <cell r="A3806" t="str">
            <v>IS_alqt_plus</v>
          </cell>
          <cell r="K3806" t="str">
            <v>EFLA</v>
          </cell>
          <cell r="M3806" t="str">
            <v>F</v>
          </cell>
          <cell r="AC3806">
            <v>2</v>
          </cell>
        </row>
        <row r="3807">
          <cell r="A3807" t="str">
            <v>IS_alqt_plus</v>
          </cell>
          <cell r="K3807" t="str">
            <v>PCOQ</v>
          </cell>
          <cell r="M3807" t="str">
            <v>M</v>
          </cell>
          <cell r="AC3807">
            <v>0.5</v>
          </cell>
        </row>
        <row r="3808">
          <cell r="A3808" t="str">
            <v>IS_alqt_plus</v>
          </cell>
          <cell r="K3808" t="str">
            <v>PCOQ</v>
          </cell>
          <cell r="M3808" t="str">
            <v>M</v>
          </cell>
          <cell r="AC3808">
            <v>0.5</v>
          </cell>
        </row>
        <row r="3809">
          <cell r="A3809" t="str">
            <v>IS_alqt_plus</v>
          </cell>
          <cell r="K3809" t="str">
            <v>PCOQ</v>
          </cell>
          <cell r="M3809" t="str">
            <v>M</v>
          </cell>
          <cell r="AC3809">
            <v>0.5</v>
          </cell>
        </row>
        <row r="3810">
          <cell r="A3810" t="str">
            <v>IS_alqt_plus</v>
          </cell>
          <cell r="K3810" t="str">
            <v>PCOQ</v>
          </cell>
          <cell r="M3810" t="str">
            <v>M</v>
          </cell>
          <cell r="AC3810">
            <v>0.5</v>
          </cell>
        </row>
        <row r="3811">
          <cell r="A3811" t="str">
            <v>IS_alqt_plus</v>
          </cell>
          <cell r="K3811" t="str">
            <v>PCOQ</v>
          </cell>
          <cell r="M3811" t="str">
            <v>M</v>
          </cell>
          <cell r="AC3811">
            <v>1</v>
          </cell>
        </row>
        <row r="3812">
          <cell r="A3812" t="str">
            <v>IS_alqt_plus</v>
          </cell>
          <cell r="K3812" t="str">
            <v>PCOQ</v>
          </cell>
          <cell r="M3812" t="str">
            <v>M</v>
          </cell>
          <cell r="AC3812">
            <v>1</v>
          </cell>
        </row>
        <row r="3813">
          <cell r="A3813" t="str">
            <v>IS_alqt_plus</v>
          </cell>
          <cell r="K3813" t="str">
            <v>PCOQ</v>
          </cell>
          <cell r="M3813" t="str">
            <v>M</v>
          </cell>
          <cell r="AC3813">
            <v>1</v>
          </cell>
        </row>
        <row r="3814">
          <cell r="A3814" t="str">
            <v>IS_alqt_plus</v>
          </cell>
          <cell r="K3814" t="str">
            <v>VRUB</v>
          </cell>
          <cell r="M3814" t="str">
            <v>M</v>
          </cell>
          <cell r="AC3814">
            <v>1</v>
          </cell>
        </row>
        <row r="3815">
          <cell r="A3815" t="str">
            <v>IS_alqt_plus</v>
          </cell>
          <cell r="K3815" t="str">
            <v>VRUB</v>
          </cell>
          <cell r="M3815" t="str">
            <v>M</v>
          </cell>
          <cell r="AC3815">
            <v>1</v>
          </cell>
        </row>
        <row r="3816">
          <cell r="A3816" t="str">
            <v>IS_alqt_plus</v>
          </cell>
          <cell r="K3816" t="str">
            <v>VRUB</v>
          </cell>
          <cell r="M3816" t="str">
            <v>M</v>
          </cell>
          <cell r="AC3816">
            <v>1</v>
          </cell>
        </row>
        <row r="3817">
          <cell r="A3817" t="str">
            <v>IS_alqt_plus</v>
          </cell>
          <cell r="K3817" t="str">
            <v>VRUB</v>
          </cell>
          <cell r="M3817" t="str">
            <v>F</v>
          </cell>
          <cell r="AC3817">
            <v>1</v>
          </cell>
        </row>
        <row r="3818">
          <cell r="A3818" t="str">
            <v>IS_alqt_plus</v>
          </cell>
          <cell r="K3818" t="str">
            <v>VRUB</v>
          </cell>
          <cell r="M3818" t="str">
            <v>F</v>
          </cell>
          <cell r="AC3818">
            <v>1</v>
          </cell>
        </row>
        <row r="3819">
          <cell r="A3819" t="str">
            <v>IS_alqt_plus</v>
          </cell>
          <cell r="K3819" t="str">
            <v>VRUB</v>
          </cell>
          <cell r="M3819" t="str">
            <v>F</v>
          </cell>
          <cell r="AC3819">
            <v>1</v>
          </cell>
        </row>
        <row r="3820">
          <cell r="A3820" t="str">
            <v>IS_alqt_plus</v>
          </cell>
          <cell r="K3820" t="str">
            <v>VRUB</v>
          </cell>
          <cell r="M3820" t="str">
            <v>F</v>
          </cell>
          <cell r="AC3820">
            <v>1</v>
          </cell>
        </row>
        <row r="3821">
          <cell r="A3821" t="str">
            <v>IS_alqt_plus</v>
          </cell>
          <cell r="K3821" t="str">
            <v>VRUB</v>
          </cell>
          <cell r="M3821" t="str">
            <v>F</v>
          </cell>
          <cell r="AC3821">
            <v>1</v>
          </cell>
        </row>
        <row r="3822">
          <cell r="A3822" t="str">
            <v>IS_alqt_plus</v>
          </cell>
          <cell r="K3822" t="str">
            <v>VRUB</v>
          </cell>
          <cell r="M3822" t="str">
            <v>F</v>
          </cell>
          <cell r="AC3822">
            <v>1</v>
          </cell>
        </row>
        <row r="3823">
          <cell r="A3823" t="str">
            <v>IS_alqt_plus</v>
          </cell>
          <cell r="K3823" t="str">
            <v>VRUB</v>
          </cell>
          <cell r="M3823" t="str">
            <v>F</v>
          </cell>
          <cell r="AC3823">
            <v>1</v>
          </cell>
        </row>
        <row r="3824">
          <cell r="A3824" t="str">
            <v>IS_alqt_plus</v>
          </cell>
          <cell r="K3824" t="str">
            <v>LCAT</v>
          </cell>
          <cell r="M3824" t="str">
            <v>F</v>
          </cell>
          <cell r="AC3824">
            <v>0.75</v>
          </cell>
        </row>
        <row r="3825">
          <cell r="A3825" t="str">
            <v>IS_alqt_minus</v>
          </cell>
          <cell r="K3825" t="str">
            <v>MMUR</v>
          </cell>
          <cell r="M3825" t="str">
            <v>F</v>
          </cell>
          <cell r="AC3825">
            <v>0.3</v>
          </cell>
        </row>
        <row r="3826">
          <cell r="A3826" t="str">
            <v>IS_alqt_plus</v>
          </cell>
          <cell r="K3826" t="str">
            <v>PCOQ</v>
          </cell>
          <cell r="M3826" t="str">
            <v>M</v>
          </cell>
          <cell r="AC3826">
            <v>0.5</v>
          </cell>
        </row>
        <row r="3827">
          <cell r="A3827" t="str">
            <v>IS_alqt_plus</v>
          </cell>
          <cell r="K3827" t="str">
            <v>PCOQ</v>
          </cell>
          <cell r="M3827" t="str">
            <v>M</v>
          </cell>
          <cell r="AC3827">
            <v>0.5</v>
          </cell>
        </row>
        <row r="3828">
          <cell r="A3828" t="str">
            <v>IS_alqt_plus</v>
          </cell>
          <cell r="K3828" t="str">
            <v>PCOQ</v>
          </cell>
          <cell r="M3828" t="str">
            <v>M</v>
          </cell>
          <cell r="AC3828">
            <v>0.5</v>
          </cell>
        </row>
        <row r="3829">
          <cell r="A3829" t="str">
            <v>IS_alqt_plus</v>
          </cell>
          <cell r="K3829" t="str">
            <v>PCOQ</v>
          </cell>
          <cell r="M3829" t="str">
            <v>M</v>
          </cell>
          <cell r="AC3829">
            <v>0.5</v>
          </cell>
        </row>
        <row r="3830">
          <cell r="A3830" t="str">
            <v>IS_alqt_plus</v>
          </cell>
          <cell r="K3830" t="str">
            <v>PCOQ</v>
          </cell>
          <cell r="M3830" t="str">
            <v>M</v>
          </cell>
          <cell r="AC3830">
            <v>0.75</v>
          </cell>
        </row>
        <row r="3831">
          <cell r="A3831" t="str">
            <v>IS_alqt_plus</v>
          </cell>
          <cell r="K3831" t="str">
            <v>PCOQ</v>
          </cell>
          <cell r="M3831" t="str">
            <v>M</v>
          </cell>
          <cell r="AC3831">
            <v>1</v>
          </cell>
        </row>
        <row r="3832">
          <cell r="A3832" t="str">
            <v>IS_alqt_plus</v>
          </cell>
          <cell r="K3832" t="str">
            <v>PCOQ</v>
          </cell>
          <cell r="M3832" t="str">
            <v>M</v>
          </cell>
          <cell r="AC3832">
            <v>1</v>
          </cell>
        </row>
        <row r="3833">
          <cell r="A3833" t="str">
            <v>IS_alqt_plus</v>
          </cell>
          <cell r="K3833" t="str">
            <v>PCOQ</v>
          </cell>
          <cell r="M3833" t="str">
            <v>M</v>
          </cell>
          <cell r="AC3833">
            <v>1</v>
          </cell>
        </row>
        <row r="3834">
          <cell r="A3834" t="str">
            <v>IS_alqt_plus</v>
          </cell>
          <cell r="K3834" t="str">
            <v>PCOQ</v>
          </cell>
          <cell r="M3834" t="str">
            <v>M</v>
          </cell>
          <cell r="AC3834">
            <v>1</v>
          </cell>
        </row>
        <row r="3835">
          <cell r="A3835" t="str">
            <v>IS_alqt_plus</v>
          </cell>
          <cell r="K3835" t="str">
            <v>PCOQ</v>
          </cell>
          <cell r="M3835" t="str">
            <v>M</v>
          </cell>
          <cell r="AC3835">
            <v>2</v>
          </cell>
        </row>
        <row r="3836">
          <cell r="A3836" t="str">
            <v>IS_alqt_plus</v>
          </cell>
          <cell r="K3836" t="str">
            <v>PCOQ</v>
          </cell>
          <cell r="M3836" t="str">
            <v>M</v>
          </cell>
          <cell r="AC3836">
            <v>2</v>
          </cell>
        </row>
        <row r="3837">
          <cell r="A3837" t="str">
            <v>IS_alqt_plus</v>
          </cell>
          <cell r="K3837" t="str">
            <v>PCOQ</v>
          </cell>
          <cell r="M3837" t="str">
            <v>M</v>
          </cell>
          <cell r="AC3837">
            <v>2</v>
          </cell>
        </row>
        <row r="3838">
          <cell r="A3838" t="str">
            <v>IS_alqt_plus</v>
          </cell>
          <cell r="K3838" t="str">
            <v>PCOQ</v>
          </cell>
          <cell r="M3838" t="str">
            <v>F</v>
          </cell>
          <cell r="AC3838">
            <v>0.5</v>
          </cell>
        </row>
        <row r="3839">
          <cell r="A3839" t="str">
            <v>IS_alqt_plus</v>
          </cell>
          <cell r="K3839" t="str">
            <v>PCOQ</v>
          </cell>
          <cell r="M3839" t="str">
            <v>F</v>
          </cell>
          <cell r="AC3839">
            <v>0.5</v>
          </cell>
        </row>
        <row r="3840">
          <cell r="A3840" t="str">
            <v>IS_alqt_plus</v>
          </cell>
          <cell r="K3840" t="str">
            <v>PCOQ</v>
          </cell>
          <cell r="M3840" t="str">
            <v>F</v>
          </cell>
          <cell r="AC3840">
            <v>0.5</v>
          </cell>
        </row>
        <row r="3841">
          <cell r="A3841" t="str">
            <v>IS_alqt_plus</v>
          </cell>
          <cell r="K3841" t="str">
            <v>PCOQ</v>
          </cell>
          <cell r="M3841" t="str">
            <v>F</v>
          </cell>
          <cell r="AC3841">
            <v>0.5</v>
          </cell>
        </row>
        <row r="3842">
          <cell r="A3842" t="str">
            <v>IS_alqt_plus</v>
          </cell>
          <cell r="K3842" t="str">
            <v>PCOQ</v>
          </cell>
          <cell r="M3842" t="str">
            <v>F</v>
          </cell>
          <cell r="AC3842">
            <v>0.5</v>
          </cell>
        </row>
        <row r="3843">
          <cell r="A3843" t="str">
            <v>IS_alqt_plus</v>
          </cell>
          <cell r="K3843" t="str">
            <v>PCOQ</v>
          </cell>
          <cell r="M3843" t="str">
            <v>F</v>
          </cell>
          <cell r="AC3843">
            <v>0.5</v>
          </cell>
        </row>
        <row r="3844">
          <cell r="A3844" t="str">
            <v>IS_alqt_plus</v>
          </cell>
          <cell r="K3844" t="str">
            <v>PCOQ</v>
          </cell>
          <cell r="M3844" t="str">
            <v>F</v>
          </cell>
          <cell r="AC3844">
            <v>0.5</v>
          </cell>
        </row>
        <row r="3845">
          <cell r="A3845" t="str">
            <v>IS_alqt_plus</v>
          </cell>
          <cell r="K3845" t="str">
            <v>PCOQ</v>
          </cell>
          <cell r="M3845" t="str">
            <v>F</v>
          </cell>
          <cell r="AC3845">
            <v>0.5</v>
          </cell>
        </row>
        <row r="3846">
          <cell r="A3846" t="str">
            <v>IS_alqt_plus</v>
          </cell>
          <cell r="K3846" t="str">
            <v>PCOQ</v>
          </cell>
          <cell r="M3846" t="str">
            <v>F</v>
          </cell>
          <cell r="AC3846">
            <v>0.5</v>
          </cell>
        </row>
        <row r="3847">
          <cell r="A3847" t="str">
            <v>IS_alqt_plus</v>
          </cell>
          <cell r="K3847" t="str">
            <v>PCOQ</v>
          </cell>
          <cell r="M3847" t="str">
            <v>F</v>
          </cell>
          <cell r="AC3847">
            <v>0.5</v>
          </cell>
        </row>
        <row r="3848">
          <cell r="A3848" t="str">
            <v>IS_alqt_plus</v>
          </cell>
          <cell r="K3848" t="str">
            <v>PCOQ</v>
          </cell>
          <cell r="M3848" t="str">
            <v>F</v>
          </cell>
          <cell r="AC3848">
            <v>0.5</v>
          </cell>
        </row>
        <row r="3849">
          <cell r="A3849" t="str">
            <v>IS_alqt_plus</v>
          </cell>
          <cell r="K3849" t="str">
            <v>PCOQ</v>
          </cell>
          <cell r="M3849" t="str">
            <v>F</v>
          </cell>
          <cell r="AC3849">
            <v>0.5</v>
          </cell>
        </row>
        <row r="3850">
          <cell r="A3850" t="str">
            <v>IS_alqt_plus</v>
          </cell>
          <cell r="K3850" t="str">
            <v>PCOQ</v>
          </cell>
          <cell r="M3850" t="str">
            <v>F</v>
          </cell>
          <cell r="AC3850">
            <v>0.5</v>
          </cell>
        </row>
        <row r="3851">
          <cell r="A3851" t="str">
            <v>IS_alqt_plus</v>
          </cell>
          <cell r="K3851" t="str">
            <v>PCOQ</v>
          </cell>
          <cell r="M3851" t="str">
            <v>F</v>
          </cell>
          <cell r="AC3851">
            <v>0.5</v>
          </cell>
        </row>
        <row r="3852">
          <cell r="A3852" t="str">
            <v>IS_alqt_plus</v>
          </cell>
          <cell r="K3852" t="str">
            <v>PCOQ</v>
          </cell>
          <cell r="M3852" t="str">
            <v>F</v>
          </cell>
          <cell r="AC3852">
            <v>0.5</v>
          </cell>
        </row>
        <row r="3853">
          <cell r="A3853" t="str">
            <v>IS_alqt_plus</v>
          </cell>
          <cell r="K3853" t="str">
            <v>PCOQ</v>
          </cell>
          <cell r="M3853" t="str">
            <v>F</v>
          </cell>
          <cell r="AC3853">
            <v>0.5</v>
          </cell>
        </row>
        <row r="3854">
          <cell r="A3854" t="str">
            <v>IS_alqt_plus</v>
          </cell>
          <cell r="K3854" t="str">
            <v>PCOQ</v>
          </cell>
          <cell r="M3854" t="str">
            <v>F</v>
          </cell>
          <cell r="AC3854">
            <v>0.5</v>
          </cell>
        </row>
        <row r="3855">
          <cell r="A3855" t="str">
            <v>IS_alqt_plus</v>
          </cell>
          <cell r="K3855" t="str">
            <v>PCOQ</v>
          </cell>
          <cell r="M3855" t="str">
            <v>F</v>
          </cell>
          <cell r="AC3855">
            <v>0.5</v>
          </cell>
        </row>
        <row r="3856">
          <cell r="A3856" t="str">
            <v>IS_alqt_plus</v>
          </cell>
          <cell r="K3856" t="str">
            <v>LCAT</v>
          </cell>
          <cell r="M3856" t="str">
            <v>F</v>
          </cell>
          <cell r="AC3856">
            <v>0.5</v>
          </cell>
        </row>
        <row r="3857">
          <cell r="A3857" t="str">
            <v>IS_alqt_plus</v>
          </cell>
          <cell r="K3857" t="str">
            <v>LCAT</v>
          </cell>
          <cell r="M3857" t="str">
            <v>F</v>
          </cell>
          <cell r="AC3857">
            <v>0.5</v>
          </cell>
        </row>
        <row r="3858">
          <cell r="A3858" t="str">
            <v>IS_alqt_plus</v>
          </cell>
          <cell r="K3858" t="str">
            <v>ERUF</v>
          </cell>
          <cell r="M3858" t="str">
            <v>M</v>
          </cell>
          <cell r="AC3858">
            <v>0.5</v>
          </cell>
        </row>
        <row r="3859">
          <cell r="A3859" t="str">
            <v>IS_alqt_plus</v>
          </cell>
          <cell r="K3859" t="str">
            <v>ERUF</v>
          </cell>
          <cell r="M3859" t="str">
            <v>M</v>
          </cell>
          <cell r="AC3859">
            <v>0.5</v>
          </cell>
        </row>
        <row r="3860">
          <cell r="A3860" t="str">
            <v>IS_alqt_plus</v>
          </cell>
          <cell r="K3860" t="str">
            <v>ERUF</v>
          </cell>
          <cell r="M3860" t="str">
            <v>M</v>
          </cell>
          <cell r="AC3860">
            <v>0.5</v>
          </cell>
        </row>
        <row r="3861">
          <cell r="A3861" t="str">
            <v>IS_alqt_plus</v>
          </cell>
          <cell r="K3861" t="str">
            <v>ERUF</v>
          </cell>
          <cell r="M3861" t="str">
            <v>M</v>
          </cell>
          <cell r="AC3861">
            <v>0.5</v>
          </cell>
        </row>
        <row r="3862">
          <cell r="A3862" t="str">
            <v>IS_alqt_plus</v>
          </cell>
          <cell r="K3862" t="str">
            <v>ERUF</v>
          </cell>
          <cell r="M3862" t="str">
            <v>M</v>
          </cell>
          <cell r="AC3862">
            <v>0.5</v>
          </cell>
        </row>
        <row r="3863">
          <cell r="A3863" t="str">
            <v>IS_alqt_plus</v>
          </cell>
          <cell r="K3863" t="str">
            <v>ERUF</v>
          </cell>
          <cell r="M3863" t="str">
            <v>M</v>
          </cell>
          <cell r="AC3863">
            <v>0.5</v>
          </cell>
        </row>
        <row r="3864">
          <cell r="A3864" t="str">
            <v>IS_alqt_plus</v>
          </cell>
          <cell r="K3864" t="str">
            <v>ERUF</v>
          </cell>
          <cell r="M3864" t="str">
            <v>M</v>
          </cell>
          <cell r="AC3864">
            <v>0.5</v>
          </cell>
        </row>
        <row r="3865">
          <cell r="A3865" t="str">
            <v>IS_alqt_plus</v>
          </cell>
          <cell r="K3865" t="str">
            <v>ERUF</v>
          </cell>
          <cell r="M3865" t="str">
            <v>M</v>
          </cell>
          <cell r="AC3865">
            <v>0.5</v>
          </cell>
        </row>
        <row r="3866">
          <cell r="A3866" t="str">
            <v>IS_alqt_plus</v>
          </cell>
          <cell r="K3866" t="str">
            <v>ERUF</v>
          </cell>
          <cell r="M3866" t="str">
            <v>M</v>
          </cell>
          <cell r="AC3866">
            <v>0.5</v>
          </cell>
        </row>
        <row r="3867">
          <cell r="A3867" t="str">
            <v>IS_alqt_plus</v>
          </cell>
          <cell r="K3867" t="str">
            <v>ERUF</v>
          </cell>
          <cell r="M3867" t="str">
            <v>M</v>
          </cell>
          <cell r="AC3867">
            <v>0.5</v>
          </cell>
        </row>
        <row r="3868">
          <cell r="A3868" t="str">
            <v>IS_alqt_plus</v>
          </cell>
          <cell r="K3868" t="str">
            <v>LCAT</v>
          </cell>
          <cell r="M3868" t="str">
            <v>F</v>
          </cell>
          <cell r="AC3868">
            <v>0.5</v>
          </cell>
        </row>
        <row r="3869">
          <cell r="A3869" t="str">
            <v>IS_alqt_plus</v>
          </cell>
          <cell r="K3869" t="str">
            <v>LCAT</v>
          </cell>
          <cell r="M3869" t="str">
            <v>F</v>
          </cell>
          <cell r="AC3869">
            <v>0.5</v>
          </cell>
        </row>
        <row r="3870">
          <cell r="A3870" t="str">
            <v>IS_alqt_plus</v>
          </cell>
          <cell r="K3870" t="str">
            <v>LCAT</v>
          </cell>
          <cell r="M3870" t="str">
            <v>F</v>
          </cell>
          <cell r="AC3870">
            <v>2</v>
          </cell>
        </row>
        <row r="3871">
          <cell r="A3871" t="str">
            <v>IS_alqt_plus</v>
          </cell>
          <cell r="K3871" t="str">
            <v>LCAT</v>
          </cell>
          <cell r="M3871" t="str">
            <v>F</v>
          </cell>
          <cell r="AC3871">
            <v>2</v>
          </cell>
        </row>
        <row r="3872">
          <cell r="A3872" t="str">
            <v>IS_alqt_plus</v>
          </cell>
          <cell r="K3872" t="str">
            <v>LCAT</v>
          </cell>
          <cell r="M3872" t="str">
            <v>F</v>
          </cell>
          <cell r="AC3872">
            <v>2</v>
          </cell>
        </row>
        <row r="3873">
          <cell r="A3873" t="str">
            <v>IS_alqt_plus</v>
          </cell>
          <cell r="K3873" t="str">
            <v>LCAT</v>
          </cell>
          <cell r="M3873" t="str">
            <v>F</v>
          </cell>
          <cell r="AC3873">
            <v>2</v>
          </cell>
        </row>
        <row r="3874">
          <cell r="A3874" t="str">
            <v>IS_alqt_plus</v>
          </cell>
          <cell r="K3874" t="str">
            <v>LCAT</v>
          </cell>
          <cell r="M3874" t="str">
            <v>F</v>
          </cell>
          <cell r="AC3874">
            <v>2</v>
          </cell>
        </row>
        <row r="3875">
          <cell r="A3875" t="str">
            <v>IS_alqt_plus</v>
          </cell>
          <cell r="K3875" t="str">
            <v>LCAT</v>
          </cell>
          <cell r="M3875" t="str">
            <v>F</v>
          </cell>
          <cell r="AC3875">
            <v>2</v>
          </cell>
        </row>
        <row r="3876">
          <cell r="A3876" t="str">
            <v>IS_alqt_plus</v>
          </cell>
          <cell r="K3876" t="str">
            <v>LCAT</v>
          </cell>
          <cell r="M3876" t="str">
            <v>F</v>
          </cell>
          <cell r="AC3876">
            <v>2</v>
          </cell>
        </row>
        <row r="3877">
          <cell r="A3877" t="str">
            <v>IS_alqt_plus</v>
          </cell>
          <cell r="K3877" t="str">
            <v>LCAT</v>
          </cell>
          <cell r="M3877" t="str">
            <v>F</v>
          </cell>
          <cell r="AC3877">
            <v>2</v>
          </cell>
        </row>
        <row r="3878">
          <cell r="A3878" t="str">
            <v>IS_alqt_plus</v>
          </cell>
          <cell r="K3878" t="str">
            <v>EFLA</v>
          </cell>
          <cell r="M3878" t="str">
            <v>M</v>
          </cell>
          <cell r="AC3878">
            <v>0.5</v>
          </cell>
        </row>
        <row r="3879">
          <cell r="A3879" t="str">
            <v>IS_alqt_plus</v>
          </cell>
          <cell r="K3879" t="str">
            <v>MMUR</v>
          </cell>
          <cell r="M3879" t="str">
            <v>F</v>
          </cell>
          <cell r="AC3879">
            <v>1</v>
          </cell>
        </row>
        <row r="3880">
          <cell r="A3880" t="str">
            <v>IS_alqt_plus</v>
          </cell>
          <cell r="K3880" t="str">
            <v>MMUR</v>
          </cell>
          <cell r="M3880" t="str">
            <v>F</v>
          </cell>
          <cell r="AC3880">
            <v>0.5</v>
          </cell>
        </row>
        <row r="3881">
          <cell r="A3881" t="str">
            <v>IS_alqt_plus</v>
          </cell>
          <cell r="K3881" t="str">
            <v>LCAT</v>
          </cell>
          <cell r="M3881" t="str">
            <v>F</v>
          </cell>
          <cell r="AC3881">
            <v>2</v>
          </cell>
        </row>
        <row r="3882">
          <cell r="A3882" t="str">
            <v>IS_alqt_plus</v>
          </cell>
          <cell r="K3882" t="str">
            <v>LCAT</v>
          </cell>
          <cell r="M3882" t="str">
            <v>F</v>
          </cell>
          <cell r="AC3882">
            <v>2</v>
          </cell>
        </row>
        <row r="3883">
          <cell r="A3883" t="str">
            <v>IS_alqt_plus</v>
          </cell>
          <cell r="K3883" t="str">
            <v>LCAT</v>
          </cell>
          <cell r="M3883" t="str">
            <v>F</v>
          </cell>
          <cell r="AC3883">
            <v>2</v>
          </cell>
        </row>
        <row r="3884">
          <cell r="A3884" t="str">
            <v>IS_alqt_plus</v>
          </cell>
          <cell r="K3884" t="str">
            <v>LCAT</v>
          </cell>
          <cell r="M3884" t="str">
            <v>F</v>
          </cell>
          <cell r="AC3884">
            <v>1.25</v>
          </cell>
        </row>
        <row r="3885">
          <cell r="A3885" t="str">
            <v>IS_alqt_plus</v>
          </cell>
          <cell r="K3885" t="str">
            <v>EFLA</v>
          </cell>
          <cell r="M3885" t="str">
            <v>F</v>
          </cell>
          <cell r="AC3885">
            <v>1.5</v>
          </cell>
        </row>
        <row r="3886">
          <cell r="A3886" t="str">
            <v>gone</v>
          </cell>
          <cell r="K3886" t="str">
            <v>EFLA</v>
          </cell>
          <cell r="M3886" t="str">
            <v>F</v>
          </cell>
          <cell r="AC3886">
            <v>0</v>
          </cell>
        </row>
        <row r="3887">
          <cell r="A3887" t="str">
            <v>gone</v>
          </cell>
          <cell r="K3887" t="str">
            <v>EMON</v>
          </cell>
          <cell r="M3887" t="str">
            <v>M</v>
          </cell>
          <cell r="AC3887">
            <v>0</v>
          </cell>
        </row>
        <row r="3888">
          <cell r="A3888" t="str">
            <v>gone</v>
          </cell>
          <cell r="K3888" t="str">
            <v>EMON</v>
          </cell>
          <cell r="M3888" t="str">
            <v>M</v>
          </cell>
          <cell r="AC3888">
            <v>0</v>
          </cell>
        </row>
        <row r="3889">
          <cell r="A3889" t="str">
            <v>gone</v>
          </cell>
          <cell r="K3889" t="str">
            <v>EMON</v>
          </cell>
          <cell r="M3889" t="str">
            <v>M</v>
          </cell>
          <cell r="AC3889">
            <v>0</v>
          </cell>
        </row>
        <row r="3890">
          <cell r="A3890" t="str">
            <v>gone</v>
          </cell>
          <cell r="K3890" t="str">
            <v>EMON</v>
          </cell>
          <cell r="M3890" t="str">
            <v>M</v>
          </cell>
          <cell r="AC3890">
            <v>0</v>
          </cell>
        </row>
        <row r="3891">
          <cell r="A3891" t="str">
            <v>gone</v>
          </cell>
          <cell r="K3891" t="str">
            <v>EMON</v>
          </cell>
          <cell r="M3891" t="str">
            <v>M</v>
          </cell>
          <cell r="AC3891">
            <v>0</v>
          </cell>
        </row>
        <row r="3892">
          <cell r="A3892" t="str">
            <v>gone</v>
          </cell>
          <cell r="K3892" t="str">
            <v>EMON</v>
          </cell>
          <cell r="M3892" t="str">
            <v>M</v>
          </cell>
          <cell r="AC3892">
            <v>0</v>
          </cell>
        </row>
        <row r="3893">
          <cell r="A3893" t="str">
            <v>gone</v>
          </cell>
          <cell r="K3893" t="str">
            <v>EMON</v>
          </cell>
          <cell r="M3893" t="str">
            <v>M</v>
          </cell>
          <cell r="AC3893">
            <v>0</v>
          </cell>
        </row>
        <row r="3894">
          <cell r="A3894" t="str">
            <v>gone</v>
          </cell>
          <cell r="K3894" t="str">
            <v>EMON</v>
          </cell>
          <cell r="M3894" t="str">
            <v>M</v>
          </cell>
          <cell r="AC3894">
            <v>0</v>
          </cell>
        </row>
        <row r="3895">
          <cell r="A3895" t="str">
            <v>gone</v>
          </cell>
          <cell r="K3895" t="str">
            <v>EMON</v>
          </cell>
          <cell r="M3895" t="str">
            <v>M</v>
          </cell>
          <cell r="AC3895">
            <v>0</v>
          </cell>
        </row>
        <row r="3896">
          <cell r="A3896" t="str">
            <v>gone</v>
          </cell>
          <cell r="K3896" t="str">
            <v>EFLA</v>
          </cell>
          <cell r="M3896" t="str">
            <v>F</v>
          </cell>
          <cell r="AC3896">
            <v>0</v>
          </cell>
        </row>
        <row r="3897">
          <cell r="A3897" t="str">
            <v>gone</v>
          </cell>
          <cell r="K3897" t="str">
            <v>EFLA</v>
          </cell>
          <cell r="M3897" t="str">
            <v>F</v>
          </cell>
          <cell r="AC3897">
            <v>0</v>
          </cell>
        </row>
        <row r="3898">
          <cell r="A3898" t="str">
            <v>gone</v>
          </cell>
          <cell r="K3898" t="str">
            <v>EFLA</v>
          </cell>
          <cell r="M3898" t="str">
            <v>F</v>
          </cell>
          <cell r="AC3898">
            <v>0</v>
          </cell>
        </row>
        <row r="3899">
          <cell r="A3899" t="str">
            <v>IS_alqt_plus</v>
          </cell>
          <cell r="K3899" t="str">
            <v>VVV</v>
          </cell>
          <cell r="M3899" t="str">
            <v>F</v>
          </cell>
          <cell r="AC3899">
            <v>2</v>
          </cell>
        </row>
        <row r="3900">
          <cell r="A3900" t="str">
            <v>IS_alqt_plus</v>
          </cell>
          <cell r="K3900" t="str">
            <v>VVV</v>
          </cell>
          <cell r="M3900" t="str">
            <v>F</v>
          </cell>
          <cell r="AC3900">
            <v>2</v>
          </cell>
        </row>
        <row r="3901">
          <cell r="A3901" t="str">
            <v>IS_alqt_plus</v>
          </cell>
          <cell r="K3901" t="str">
            <v>VVV</v>
          </cell>
          <cell r="M3901" t="str">
            <v>F</v>
          </cell>
          <cell r="AC3901">
            <v>2</v>
          </cell>
        </row>
        <row r="3902">
          <cell r="A3902" t="str">
            <v>IS_alqt_plus</v>
          </cell>
          <cell r="K3902" t="str">
            <v>LCAT</v>
          </cell>
          <cell r="M3902" t="str">
            <v>F</v>
          </cell>
          <cell r="AC3902">
            <v>1</v>
          </cell>
        </row>
        <row r="3903">
          <cell r="A3903" t="str">
            <v>IS_alqt_plus</v>
          </cell>
          <cell r="K3903" t="str">
            <v>LCAT</v>
          </cell>
          <cell r="M3903" t="str">
            <v>F</v>
          </cell>
          <cell r="AC3903">
            <v>1</v>
          </cell>
        </row>
        <row r="3904">
          <cell r="A3904" t="str">
            <v>IS_alqt_plus</v>
          </cell>
          <cell r="K3904" t="str">
            <v>LCAT</v>
          </cell>
          <cell r="M3904" t="str">
            <v>F</v>
          </cell>
          <cell r="AC3904">
            <v>1</v>
          </cell>
        </row>
        <row r="3905">
          <cell r="A3905" t="str">
            <v>gone</v>
          </cell>
          <cell r="K3905" t="str">
            <v>EFLA</v>
          </cell>
          <cell r="M3905" t="str">
            <v>F</v>
          </cell>
          <cell r="AC3905">
            <v>0</v>
          </cell>
        </row>
        <row r="3906">
          <cell r="A3906" t="str">
            <v>gone</v>
          </cell>
          <cell r="K3906" t="str">
            <v>EFLA</v>
          </cell>
          <cell r="M3906" t="str">
            <v>F</v>
          </cell>
          <cell r="AC3906">
            <v>0</v>
          </cell>
        </row>
        <row r="3907">
          <cell r="A3907" t="str">
            <v>gone</v>
          </cell>
          <cell r="K3907" t="str">
            <v>EFLA</v>
          </cell>
          <cell r="M3907" t="str">
            <v>F</v>
          </cell>
          <cell r="AC3907">
            <v>0</v>
          </cell>
        </row>
        <row r="3908">
          <cell r="A3908" t="str">
            <v>IS_alqt_plus</v>
          </cell>
          <cell r="K3908" t="str">
            <v>LCAT</v>
          </cell>
          <cell r="M3908" t="str">
            <v>M</v>
          </cell>
          <cell r="AC3908">
            <v>1.4</v>
          </cell>
        </row>
        <row r="3909">
          <cell r="A3909" t="str">
            <v>IS_alqt_plus</v>
          </cell>
          <cell r="K3909" t="str">
            <v>LCAT</v>
          </cell>
          <cell r="M3909" t="str">
            <v>M</v>
          </cell>
          <cell r="AC3909">
            <v>2</v>
          </cell>
        </row>
        <row r="3910">
          <cell r="A3910" t="str">
            <v>IS_alqt_plus</v>
          </cell>
          <cell r="K3910" t="str">
            <v>ECOR</v>
          </cell>
          <cell r="M3910" t="str">
            <v>M</v>
          </cell>
          <cell r="AC3910">
            <v>1</v>
          </cell>
        </row>
        <row r="3911">
          <cell r="A3911" t="str">
            <v>IS_alqt_plus</v>
          </cell>
          <cell r="K3911" t="str">
            <v>ECOR</v>
          </cell>
          <cell r="M3911" t="str">
            <v>M</v>
          </cell>
          <cell r="AC3911">
            <v>1</v>
          </cell>
        </row>
        <row r="3912">
          <cell r="A3912" t="str">
            <v>IS_alqt_plus</v>
          </cell>
          <cell r="K3912" t="str">
            <v>ECOR</v>
          </cell>
          <cell r="M3912" t="str">
            <v>M</v>
          </cell>
          <cell r="AC3912">
            <v>0.5</v>
          </cell>
        </row>
        <row r="3913">
          <cell r="A3913" t="str">
            <v>IS_alqt_plus</v>
          </cell>
          <cell r="K3913" t="str">
            <v>ECOR</v>
          </cell>
          <cell r="M3913" t="str">
            <v>M</v>
          </cell>
          <cell r="AC3913">
            <v>0.5</v>
          </cell>
        </row>
        <row r="3914">
          <cell r="A3914" t="str">
            <v>IS_alqt_plus</v>
          </cell>
          <cell r="K3914" t="str">
            <v>ECOR</v>
          </cell>
          <cell r="M3914" t="str">
            <v>M</v>
          </cell>
          <cell r="AC3914">
            <v>0.5</v>
          </cell>
        </row>
        <row r="3915">
          <cell r="A3915" t="str">
            <v>IS_alqt_minus</v>
          </cell>
          <cell r="K3915" t="str">
            <v>ECOR</v>
          </cell>
          <cell r="M3915" t="str">
            <v>M</v>
          </cell>
          <cell r="AC3915">
            <v>0.4</v>
          </cell>
        </row>
        <row r="3916">
          <cell r="A3916" t="str">
            <v>IS_alqt_plus</v>
          </cell>
          <cell r="K3916" t="str">
            <v>ECOR</v>
          </cell>
          <cell r="M3916" t="str">
            <v>M</v>
          </cell>
          <cell r="AC3916">
            <v>1</v>
          </cell>
        </row>
        <row r="3917">
          <cell r="A3917" t="str">
            <v>IS_alqt_plus</v>
          </cell>
          <cell r="K3917" t="str">
            <v>ECOR</v>
          </cell>
          <cell r="M3917" t="str">
            <v>M</v>
          </cell>
          <cell r="AC3917">
            <v>1</v>
          </cell>
        </row>
        <row r="3918">
          <cell r="A3918" t="str">
            <v>IS_alqt_plus</v>
          </cell>
          <cell r="K3918" t="str">
            <v>ECOR</v>
          </cell>
          <cell r="M3918" t="str">
            <v>M</v>
          </cell>
          <cell r="AC3918">
            <v>1</v>
          </cell>
        </row>
        <row r="3919">
          <cell r="A3919" t="str">
            <v>IS_alqt_plus</v>
          </cell>
          <cell r="K3919" t="str">
            <v>EFLA</v>
          </cell>
          <cell r="M3919" t="str">
            <v>M</v>
          </cell>
          <cell r="AC3919">
            <v>1</v>
          </cell>
        </row>
        <row r="3920">
          <cell r="A3920" t="str">
            <v>gone</v>
          </cell>
          <cell r="K3920" t="str">
            <v>EFLA</v>
          </cell>
          <cell r="M3920" t="str">
            <v>M</v>
          </cell>
          <cell r="AC3920">
            <v>0</v>
          </cell>
        </row>
        <row r="3921">
          <cell r="A3921" t="str">
            <v>gone</v>
          </cell>
          <cell r="K3921" t="str">
            <v>EFLA</v>
          </cell>
          <cell r="M3921" t="str">
            <v>M</v>
          </cell>
          <cell r="AC3921">
            <v>0</v>
          </cell>
        </row>
        <row r="3922">
          <cell r="A3922" t="str">
            <v>gone</v>
          </cell>
          <cell r="K3922" t="str">
            <v>EFLA</v>
          </cell>
          <cell r="M3922" t="str">
            <v>M</v>
          </cell>
          <cell r="AC3922">
            <v>0</v>
          </cell>
        </row>
        <row r="3923">
          <cell r="A3923" t="str">
            <v>gone</v>
          </cell>
          <cell r="K3923" t="str">
            <v>EFLA</v>
          </cell>
          <cell r="M3923" t="str">
            <v>M</v>
          </cell>
          <cell r="AC3923">
            <v>0</v>
          </cell>
        </row>
        <row r="3924">
          <cell r="A3924" t="str">
            <v>gone</v>
          </cell>
          <cell r="K3924" t="str">
            <v>EFLA</v>
          </cell>
          <cell r="M3924" t="str">
            <v>M</v>
          </cell>
          <cell r="AC3924">
            <v>0</v>
          </cell>
        </row>
        <row r="3925">
          <cell r="A3925" t="str">
            <v>gone</v>
          </cell>
          <cell r="K3925" t="str">
            <v>EFLA</v>
          </cell>
          <cell r="M3925" t="str">
            <v>M</v>
          </cell>
          <cell r="AC3925">
            <v>0</v>
          </cell>
        </row>
        <row r="3926">
          <cell r="A3926" t="str">
            <v>gone</v>
          </cell>
          <cell r="K3926" t="str">
            <v>EFLA</v>
          </cell>
          <cell r="M3926" t="str">
            <v>M</v>
          </cell>
          <cell r="AC3926">
            <v>0</v>
          </cell>
        </row>
        <row r="3927">
          <cell r="A3927" t="str">
            <v>gone</v>
          </cell>
          <cell r="K3927" t="str">
            <v>EFLA</v>
          </cell>
          <cell r="M3927" t="str">
            <v>M</v>
          </cell>
          <cell r="AC3927">
            <v>0</v>
          </cell>
        </row>
        <row r="3928">
          <cell r="A3928" t="str">
            <v>gone</v>
          </cell>
          <cell r="K3928" t="str">
            <v>EFLA</v>
          </cell>
          <cell r="M3928" t="str">
            <v>M</v>
          </cell>
          <cell r="AC3928">
            <v>0</v>
          </cell>
        </row>
        <row r="3929">
          <cell r="A3929" t="str">
            <v>gone</v>
          </cell>
          <cell r="K3929" t="str">
            <v>EFLA</v>
          </cell>
          <cell r="M3929" t="str">
            <v>M</v>
          </cell>
          <cell r="AC3929">
            <v>0</v>
          </cell>
        </row>
        <row r="3930">
          <cell r="A3930" t="str">
            <v>gone</v>
          </cell>
          <cell r="K3930" t="str">
            <v>EFLA</v>
          </cell>
          <cell r="M3930" t="str">
            <v>M</v>
          </cell>
          <cell r="AC3930">
            <v>0</v>
          </cell>
        </row>
        <row r="3931">
          <cell r="A3931" t="str">
            <v>gone</v>
          </cell>
          <cell r="K3931" t="str">
            <v>EFLA</v>
          </cell>
          <cell r="M3931" t="str">
            <v>M</v>
          </cell>
          <cell r="AC3931">
            <v>0</v>
          </cell>
        </row>
        <row r="3932">
          <cell r="A3932" t="str">
            <v>gone</v>
          </cell>
          <cell r="K3932" t="str">
            <v>EFLA</v>
          </cell>
          <cell r="M3932" t="str">
            <v>M</v>
          </cell>
          <cell r="AC3932">
            <v>0</v>
          </cell>
        </row>
        <row r="3933">
          <cell r="A3933" t="str">
            <v>gone</v>
          </cell>
          <cell r="K3933" t="str">
            <v>EFLA</v>
          </cell>
          <cell r="M3933" t="str">
            <v>M</v>
          </cell>
          <cell r="AC3933">
            <v>0</v>
          </cell>
        </row>
        <row r="3934">
          <cell r="A3934" t="str">
            <v>IS_alqt_plus</v>
          </cell>
          <cell r="K3934" t="str">
            <v>LCAT</v>
          </cell>
          <cell r="M3934" t="str">
            <v>F</v>
          </cell>
          <cell r="AC3934">
            <v>1</v>
          </cell>
        </row>
        <row r="3935">
          <cell r="A3935" t="str">
            <v>IS_alqt_plus</v>
          </cell>
          <cell r="K3935" t="str">
            <v>LCAT</v>
          </cell>
          <cell r="M3935" t="str">
            <v>F</v>
          </cell>
          <cell r="AC3935">
            <v>1</v>
          </cell>
        </row>
        <row r="3936">
          <cell r="A3936" t="str">
            <v>IS_alqt_plus</v>
          </cell>
          <cell r="K3936" t="str">
            <v>LCAT</v>
          </cell>
          <cell r="M3936" t="str">
            <v>F</v>
          </cell>
          <cell r="AC3936">
            <v>1</v>
          </cell>
        </row>
        <row r="3937">
          <cell r="A3937" t="str">
            <v>IS_alqt_plus</v>
          </cell>
          <cell r="K3937" t="str">
            <v>LCAT</v>
          </cell>
          <cell r="M3937" t="str">
            <v>F</v>
          </cell>
          <cell r="AC3937">
            <v>1</v>
          </cell>
        </row>
        <row r="3938">
          <cell r="A3938" t="str">
            <v>IS_alqt_plus</v>
          </cell>
          <cell r="K3938" t="str">
            <v>LCAT</v>
          </cell>
          <cell r="M3938" t="str">
            <v>F</v>
          </cell>
          <cell r="AC3938">
            <v>1</v>
          </cell>
        </row>
        <row r="3939">
          <cell r="A3939" t="str">
            <v>IS_alqt_plus</v>
          </cell>
          <cell r="K3939" t="str">
            <v>LCAT</v>
          </cell>
          <cell r="M3939" t="str">
            <v>F</v>
          </cell>
          <cell r="AC3939">
            <v>1</v>
          </cell>
        </row>
        <row r="3940">
          <cell r="A3940" t="str">
            <v>IS_alqt_plus</v>
          </cell>
          <cell r="K3940" t="str">
            <v>LCAT</v>
          </cell>
          <cell r="M3940" t="str">
            <v>F</v>
          </cell>
          <cell r="AC3940">
            <v>0.5</v>
          </cell>
        </row>
        <row r="3941">
          <cell r="A3941" t="str">
            <v>IS_alqt_plus</v>
          </cell>
          <cell r="K3941" t="str">
            <v>LCAT</v>
          </cell>
          <cell r="M3941" t="str">
            <v>F</v>
          </cell>
          <cell r="AC3941">
            <v>0.5</v>
          </cell>
        </row>
        <row r="3942">
          <cell r="A3942" t="str">
            <v>IS_alqt_plus</v>
          </cell>
          <cell r="K3942" t="str">
            <v>LCAT</v>
          </cell>
          <cell r="M3942" t="str">
            <v>F</v>
          </cell>
          <cell r="AC3942">
            <v>0.5</v>
          </cell>
        </row>
        <row r="3943">
          <cell r="A3943" t="str">
            <v>IS_alqt_plus</v>
          </cell>
          <cell r="K3943" t="str">
            <v>LCAT</v>
          </cell>
          <cell r="M3943" t="str">
            <v>F</v>
          </cell>
          <cell r="AC3943">
            <v>0.5</v>
          </cell>
        </row>
        <row r="3944">
          <cell r="A3944" t="str">
            <v>IS_alqt_plus</v>
          </cell>
          <cell r="K3944" t="str">
            <v>LCAT</v>
          </cell>
          <cell r="M3944" t="str">
            <v>F</v>
          </cell>
          <cell r="AC3944">
            <v>0.5</v>
          </cell>
        </row>
        <row r="3945">
          <cell r="A3945" t="str">
            <v>IS_alqt_plus</v>
          </cell>
          <cell r="K3945" t="str">
            <v>LCAT</v>
          </cell>
          <cell r="M3945" t="str">
            <v>F</v>
          </cell>
          <cell r="AC3945">
            <v>0.5</v>
          </cell>
        </row>
        <row r="3946">
          <cell r="A3946" t="str">
            <v>IS_alqt_plus</v>
          </cell>
          <cell r="K3946" t="str">
            <v>LCAT</v>
          </cell>
          <cell r="M3946" t="str">
            <v>F</v>
          </cell>
          <cell r="AC3946">
            <v>0.5</v>
          </cell>
        </row>
        <row r="3947">
          <cell r="A3947" t="str">
            <v>IS_alqt_plus</v>
          </cell>
          <cell r="K3947" t="str">
            <v>LCAT</v>
          </cell>
          <cell r="M3947" t="str">
            <v>F</v>
          </cell>
          <cell r="AC3947">
            <v>0.5</v>
          </cell>
        </row>
        <row r="3948">
          <cell r="A3948" t="str">
            <v>IS_alqt_plus</v>
          </cell>
          <cell r="K3948" t="str">
            <v>LCAT</v>
          </cell>
          <cell r="M3948" t="str">
            <v>F</v>
          </cell>
          <cell r="AC3948">
            <v>0.5</v>
          </cell>
        </row>
        <row r="3949">
          <cell r="A3949" t="str">
            <v>IS_alqt_plus</v>
          </cell>
          <cell r="K3949" t="str">
            <v>LCAT</v>
          </cell>
          <cell r="M3949" t="str">
            <v>F</v>
          </cell>
          <cell r="AC3949">
            <v>0.5</v>
          </cell>
        </row>
        <row r="3950">
          <cell r="A3950" t="str">
            <v>IS_alqt_plus</v>
          </cell>
          <cell r="K3950" t="str">
            <v>LCAT</v>
          </cell>
          <cell r="M3950" t="str">
            <v>F</v>
          </cell>
          <cell r="AC3950">
            <v>0.5</v>
          </cell>
        </row>
        <row r="3951">
          <cell r="A3951" t="str">
            <v>IS_alqt_plus</v>
          </cell>
          <cell r="K3951" t="str">
            <v>VRUB</v>
          </cell>
          <cell r="M3951" t="str">
            <v>M</v>
          </cell>
          <cell r="AC3951">
            <v>2</v>
          </cell>
        </row>
        <row r="3952">
          <cell r="A3952" t="str">
            <v>IS_alqt_plus</v>
          </cell>
          <cell r="K3952" t="str">
            <v>VRUB</v>
          </cell>
          <cell r="M3952" t="str">
            <v>M</v>
          </cell>
          <cell r="AC3952">
            <v>2</v>
          </cell>
        </row>
        <row r="3953">
          <cell r="A3953" t="str">
            <v>IS_alqt_plus</v>
          </cell>
          <cell r="K3953" t="str">
            <v>VRUB</v>
          </cell>
          <cell r="M3953" t="str">
            <v>M</v>
          </cell>
          <cell r="AC3953">
            <v>2</v>
          </cell>
        </row>
        <row r="3954">
          <cell r="A3954" t="str">
            <v>IS_alqt_plus</v>
          </cell>
          <cell r="K3954" t="str">
            <v>VRUB</v>
          </cell>
          <cell r="M3954" t="str">
            <v>M</v>
          </cell>
          <cell r="AC3954">
            <v>1</v>
          </cell>
        </row>
        <row r="3955">
          <cell r="A3955" t="str">
            <v>IS_alqt_plus</v>
          </cell>
          <cell r="K3955" t="str">
            <v>VRUB</v>
          </cell>
          <cell r="M3955" t="str">
            <v>M</v>
          </cell>
          <cell r="AC3955">
            <v>1</v>
          </cell>
        </row>
        <row r="3956">
          <cell r="A3956" t="str">
            <v>IS_alqt_plus</v>
          </cell>
          <cell r="K3956" t="str">
            <v>VRUB</v>
          </cell>
          <cell r="M3956" t="str">
            <v>M</v>
          </cell>
          <cell r="AC3956">
            <v>1</v>
          </cell>
        </row>
        <row r="3957">
          <cell r="A3957" t="str">
            <v>IS_alqt_plus</v>
          </cell>
          <cell r="K3957" t="str">
            <v>VRUB</v>
          </cell>
          <cell r="M3957" t="str">
            <v>M</v>
          </cell>
          <cell r="AC3957">
            <v>1</v>
          </cell>
        </row>
        <row r="3958">
          <cell r="A3958" t="str">
            <v>IS_alqt_plus</v>
          </cell>
          <cell r="K3958" t="str">
            <v>VRUB</v>
          </cell>
          <cell r="M3958" t="str">
            <v>M</v>
          </cell>
          <cell r="AC3958">
            <v>1</v>
          </cell>
        </row>
        <row r="3959">
          <cell r="A3959" t="str">
            <v>IS_alqt_plus</v>
          </cell>
          <cell r="K3959" t="str">
            <v>CMED</v>
          </cell>
          <cell r="M3959" t="str">
            <v>F</v>
          </cell>
          <cell r="AC3959">
            <v>0.5</v>
          </cell>
        </row>
        <row r="3960">
          <cell r="A3960" t="str">
            <v>IS_alqt_plus</v>
          </cell>
          <cell r="K3960" t="str">
            <v>CMED</v>
          </cell>
          <cell r="M3960" t="str">
            <v>F</v>
          </cell>
          <cell r="AC3960">
            <v>0.75</v>
          </cell>
        </row>
        <row r="3961">
          <cell r="A3961" t="str">
            <v>IS_alqt_plus</v>
          </cell>
          <cell r="K3961" t="str">
            <v>MMUR</v>
          </cell>
          <cell r="M3961" t="str">
            <v>M</v>
          </cell>
          <cell r="AC3961">
            <v>0.5</v>
          </cell>
        </row>
        <row r="3962">
          <cell r="A3962" t="str">
            <v>IS_alqt_plus</v>
          </cell>
          <cell r="K3962" t="str">
            <v>PCOQ</v>
          </cell>
          <cell r="M3962" t="str">
            <v>F</v>
          </cell>
          <cell r="AC3962">
            <v>2</v>
          </cell>
        </row>
        <row r="3963">
          <cell r="A3963" t="str">
            <v>IS_alqt_plus</v>
          </cell>
          <cell r="K3963" t="str">
            <v>PCOQ</v>
          </cell>
          <cell r="M3963" t="str">
            <v>F</v>
          </cell>
          <cell r="AC3963">
            <v>1</v>
          </cell>
        </row>
        <row r="3964">
          <cell r="A3964" t="str">
            <v>IS_alqt_plus</v>
          </cell>
          <cell r="K3964" t="str">
            <v>PCOQ</v>
          </cell>
          <cell r="M3964" t="str">
            <v>F</v>
          </cell>
          <cell r="AC3964">
            <v>1</v>
          </cell>
        </row>
        <row r="3965">
          <cell r="A3965" t="str">
            <v>IS_alqt_plus</v>
          </cell>
          <cell r="K3965" t="str">
            <v>PCOQ</v>
          </cell>
          <cell r="M3965" t="str">
            <v>F</v>
          </cell>
          <cell r="AC3965">
            <v>1</v>
          </cell>
        </row>
        <row r="3966">
          <cell r="A3966" t="str">
            <v>IS_alqt_plus</v>
          </cell>
          <cell r="K3966" t="str">
            <v>PCOQ</v>
          </cell>
          <cell r="M3966" t="str">
            <v>F</v>
          </cell>
          <cell r="AC3966">
            <v>0.5</v>
          </cell>
        </row>
        <row r="3967">
          <cell r="A3967" t="str">
            <v>IS_alqt_plus</v>
          </cell>
          <cell r="K3967" t="str">
            <v>PCOQ</v>
          </cell>
          <cell r="M3967" t="str">
            <v>F</v>
          </cell>
          <cell r="AC3967">
            <v>0.5</v>
          </cell>
        </row>
        <row r="3968">
          <cell r="A3968" t="str">
            <v>IS_alqt_plus</v>
          </cell>
          <cell r="K3968" t="str">
            <v>PCOQ</v>
          </cell>
          <cell r="M3968" t="str">
            <v>F</v>
          </cell>
          <cell r="AC3968">
            <v>0.5</v>
          </cell>
        </row>
        <row r="3969">
          <cell r="A3969" t="str">
            <v>IS_alqt_plus</v>
          </cell>
          <cell r="K3969" t="str">
            <v>PCOQ</v>
          </cell>
          <cell r="M3969" t="str">
            <v>F</v>
          </cell>
          <cell r="AC3969">
            <v>0.5</v>
          </cell>
        </row>
        <row r="3970">
          <cell r="A3970" t="str">
            <v>IS_alqt_plus</v>
          </cell>
          <cell r="K3970" t="str">
            <v>PCOQ</v>
          </cell>
          <cell r="M3970" t="str">
            <v>F</v>
          </cell>
          <cell r="AC3970">
            <v>0.5</v>
          </cell>
        </row>
        <row r="3971">
          <cell r="A3971" t="str">
            <v>IS_alqt_plus</v>
          </cell>
          <cell r="K3971" t="str">
            <v>PCOQ</v>
          </cell>
          <cell r="M3971" t="str">
            <v>F</v>
          </cell>
          <cell r="AC3971">
            <v>0.5</v>
          </cell>
        </row>
        <row r="3972">
          <cell r="A3972" t="str">
            <v>IS_alqt_plus</v>
          </cell>
          <cell r="K3972" t="str">
            <v>PCOQ</v>
          </cell>
          <cell r="M3972" t="str">
            <v>F</v>
          </cell>
          <cell r="AC3972">
            <v>0.5</v>
          </cell>
        </row>
        <row r="3973">
          <cell r="A3973" t="str">
            <v>IS_alqt_plus</v>
          </cell>
          <cell r="K3973" t="str">
            <v>PCOQ</v>
          </cell>
          <cell r="M3973" t="str">
            <v>F</v>
          </cell>
          <cell r="AC3973">
            <v>0.5</v>
          </cell>
        </row>
        <row r="3974">
          <cell r="A3974" t="str">
            <v>IS_alqt_plus</v>
          </cell>
          <cell r="K3974" t="str">
            <v>PCOQ</v>
          </cell>
          <cell r="M3974" t="str">
            <v>F</v>
          </cell>
          <cell r="AC3974">
            <v>0.5</v>
          </cell>
        </row>
        <row r="3975">
          <cell r="A3975" t="str">
            <v>IS_alqt_plus</v>
          </cell>
          <cell r="K3975" t="str">
            <v>PCOQ</v>
          </cell>
          <cell r="M3975" t="str">
            <v>F</v>
          </cell>
          <cell r="AC3975">
            <v>0.5</v>
          </cell>
        </row>
        <row r="3976">
          <cell r="A3976" t="str">
            <v>IS_alqt_plus</v>
          </cell>
          <cell r="K3976" t="str">
            <v>PCOQ</v>
          </cell>
          <cell r="M3976" t="str">
            <v>F</v>
          </cell>
          <cell r="AC3976">
            <v>0.5</v>
          </cell>
        </row>
        <row r="3977">
          <cell r="A3977" t="str">
            <v>IS_alqt_plus</v>
          </cell>
          <cell r="K3977" t="str">
            <v>PCOQ</v>
          </cell>
          <cell r="M3977" t="str">
            <v>F</v>
          </cell>
          <cell r="AC3977">
            <v>0.5</v>
          </cell>
        </row>
        <row r="3978">
          <cell r="A3978" t="str">
            <v>IS_alqt_plus</v>
          </cell>
          <cell r="K3978" t="str">
            <v>EMON</v>
          </cell>
          <cell r="M3978" t="str">
            <v>M</v>
          </cell>
          <cell r="AC3978">
            <v>2</v>
          </cell>
        </row>
        <row r="3979">
          <cell r="A3979" t="str">
            <v>IS_alqt_plus</v>
          </cell>
          <cell r="K3979" t="str">
            <v>EFLA</v>
          </cell>
          <cell r="M3979" t="str">
            <v>F</v>
          </cell>
          <cell r="AC3979">
            <v>0.5</v>
          </cell>
        </row>
        <row r="3980">
          <cell r="A3980" t="str">
            <v>IS_alqt_plus</v>
          </cell>
          <cell r="K3980" t="str">
            <v>EFLA</v>
          </cell>
          <cell r="M3980" t="str">
            <v>F</v>
          </cell>
          <cell r="AC3980">
            <v>0.5</v>
          </cell>
        </row>
        <row r="3981">
          <cell r="A3981" t="str">
            <v>IS_alqt_plus</v>
          </cell>
          <cell r="K3981" t="str">
            <v>EFLA</v>
          </cell>
          <cell r="M3981" t="str">
            <v>F</v>
          </cell>
          <cell r="AC3981">
            <v>1</v>
          </cell>
        </row>
        <row r="3982">
          <cell r="A3982" t="str">
            <v>IS_alqt_plus</v>
          </cell>
          <cell r="K3982" t="str">
            <v>EFLA</v>
          </cell>
          <cell r="M3982" t="str">
            <v>F</v>
          </cell>
          <cell r="AC3982">
            <v>1</v>
          </cell>
        </row>
        <row r="3983">
          <cell r="A3983" t="str">
            <v>IS_alqt_plus</v>
          </cell>
          <cell r="K3983" t="str">
            <v>EFLA</v>
          </cell>
          <cell r="M3983" t="str">
            <v>F</v>
          </cell>
          <cell r="AC3983">
            <v>2</v>
          </cell>
        </row>
        <row r="3984">
          <cell r="A3984" t="str">
            <v>IS_alqt_plus</v>
          </cell>
          <cell r="K3984" t="str">
            <v>EFLA</v>
          </cell>
          <cell r="M3984" t="str">
            <v>F</v>
          </cell>
          <cell r="AC3984">
            <v>2</v>
          </cell>
        </row>
        <row r="3985">
          <cell r="A3985" t="str">
            <v>IS_alqt_plus</v>
          </cell>
          <cell r="K3985" t="str">
            <v>EFLA</v>
          </cell>
          <cell r="M3985" t="str">
            <v>F</v>
          </cell>
          <cell r="AC3985">
            <v>2</v>
          </cell>
        </row>
        <row r="3986">
          <cell r="A3986" t="str">
            <v>IS_alqt_plus</v>
          </cell>
          <cell r="K3986" t="str">
            <v>EFLA</v>
          </cell>
          <cell r="M3986" t="str">
            <v>F</v>
          </cell>
          <cell r="AC3986">
            <v>2</v>
          </cell>
        </row>
        <row r="3987">
          <cell r="A3987" t="str">
            <v>IS_alqt_plus</v>
          </cell>
          <cell r="K3987" t="str">
            <v>LCAT</v>
          </cell>
          <cell r="M3987" t="str">
            <v>F</v>
          </cell>
          <cell r="AC3987">
            <v>2</v>
          </cell>
        </row>
        <row r="3988">
          <cell r="A3988" t="str">
            <v>IS_alqt_plus</v>
          </cell>
          <cell r="K3988" t="str">
            <v>LCAT</v>
          </cell>
          <cell r="M3988" t="str">
            <v>F</v>
          </cell>
          <cell r="AC3988">
            <v>2</v>
          </cell>
        </row>
        <row r="3989">
          <cell r="A3989" t="str">
            <v>IS_alqt_plus</v>
          </cell>
          <cell r="K3989" t="str">
            <v>LCAT</v>
          </cell>
          <cell r="M3989" t="str">
            <v>F</v>
          </cell>
          <cell r="AC3989">
            <v>2</v>
          </cell>
        </row>
        <row r="3990">
          <cell r="A3990" t="str">
            <v>IS_alqt_plus</v>
          </cell>
          <cell r="K3990" t="str">
            <v>LCAT</v>
          </cell>
          <cell r="M3990" t="str">
            <v>F</v>
          </cell>
          <cell r="AC3990">
            <v>2</v>
          </cell>
        </row>
        <row r="3991">
          <cell r="A3991" t="str">
            <v>IS_alqt_plus</v>
          </cell>
          <cell r="K3991" t="str">
            <v>LCAT</v>
          </cell>
          <cell r="M3991" t="str">
            <v>F</v>
          </cell>
          <cell r="AC3991">
            <v>2</v>
          </cell>
        </row>
        <row r="3992">
          <cell r="A3992" t="str">
            <v>IS_alqt_plus</v>
          </cell>
          <cell r="K3992" t="str">
            <v>LCAT</v>
          </cell>
          <cell r="M3992" t="str">
            <v>F</v>
          </cell>
          <cell r="AC3992">
            <v>2</v>
          </cell>
        </row>
        <row r="3993">
          <cell r="A3993" t="str">
            <v>IS_alqt_plus</v>
          </cell>
          <cell r="K3993" t="str">
            <v>LCAT</v>
          </cell>
          <cell r="M3993" t="str">
            <v>F</v>
          </cell>
          <cell r="AC3993">
            <v>2</v>
          </cell>
        </row>
        <row r="3994">
          <cell r="A3994" t="str">
            <v>IS_alqt_plus</v>
          </cell>
          <cell r="K3994" t="str">
            <v>VRUB</v>
          </cell>
          <cell r="M3994" t="str">
            <v>F</v>
          </cell>
          <cell r="AC3994">
            <v>1</v>
          </cell>
        </row>
        <row r="3995">
          <cell r="A3995" t="str">
            <v>IS_alqt_minus</v>
          </cell>
          <cell r="K3995" t="str">
            <v>VRUB</v>
          </cell>
          <cell r="M3995" t="str">
            <v>F</v>
          </cell>
          <cell r="AC3995">
            <v>0.4</v>
          </cell>
        </row>
        <row r="3996">
          <cell r="A3996" t="str">
            <v>IS_alqt_plus</v>
          </cell>
          <cell r="K3996" t="str">
            <v>MMUR</v>
          </cell>
          <cell r="M3996" t="str">
            <v>M</v>
          </cell>
          <cell r="AC3996">
            <v>0.8</v>
          </cell>
        </row>
        <row r="3997">
          <cell r="A3997" t="str">
            <v>IS_alqt_plus</v>
          </cell>
          <cell r="K3997" t="str">
            <v>GMOH</v>
          </cell>
          <cell r="M3997" t="str">
            <v>F</v>
          </cell>
          <cell r="AC3997">
            <v>0.5</v>
          </cell>
        </row>
        <row r="3998">
          <cell r="A3998" t="str">
            <v>IS_alqt_plus</v>
          </cell>
          <cell r="K3998" t="str">
            <v>VVV</v>
          </cell>
          <cell r="M3998" t="str">
            <v>F</v>
          </cell>
          <cell r="AC3998">
            <v>0.5</v>
          </cell>
        </row>
        <row r="3999">
          <cell r="A3999" t="str">
            <v>IS_alqt_plus</v>
          </cell>
          <cell r="K3999" t="str">
            <v>VVV</v>
          </cell>
          <cell r="M3999" t="str">
            <v>F</v>
          </cell>
          <cell r="AC3999">
            <v>0.5</v>
          </cell>
        </row>
        <row r="4000">
          <cell r="A4000" t="str">
            <v>IS_alqt_plus</v>
          </cell>
          <cell r="K4000" t="str">
            <v>VVV</v>
          </cell>
          <cell r="M4000" t="str">
            <v>F</v>
          </cell>
          <cell r="AC4000">
            <v>0.5</v>
          </cell>
        </row>
        <row r="4001">
          <cell r="A4001" t="str">
            <v>IS_alqt_plus</v>
          </cell>
          <cell r="K4001" t="str">
            <v>VVV</v>
          </cell>
          <cell r="M4001" t="str">
            <v>F</v>
          </cell>
          <cell r="AC4001">
            <v>0.5</v>
          </cell>
        </row>
        <row r="4002">
          <cell r="A4002" t="str">
            <v>IS_alqt_plus</v>
          </cell>
          <cell r="K4002" t="str">
            <v>VVV</v>
          </cell>
          <cell r="M4002" t="str">
            <v>F</v>
          </cell>
          <cell r="AC4002">
            <v>0.5</v>
          </cell>
        </row>
        <row r="4003">
          <cell r="A4003" t="str">
            <v>IS_alqt_plus</v>
          </cell>
          <cell r="K4003" t="str">
            <v>VVV</v>
          </cell>
          <cell r="M4003" t="str">
            <v>F</v>
          </cell>
          <cell r="AC4003">
            <v>0.5</v>
          </cell>
        </row>
        <row r="4004">
          <cell r="A4004" t="str">
            <v>IS_alqt_plus</v>
          </cell>
          <cell r="K4004" t="str">
            <v>VVV</v>
          </cell>
          <cell r="M4004" t="str">
            <v>F</v>
          </cell>
          <cell r="AC4004">
            <v>0.5</v>
          </cell>
        </row>
        <row r="4005">
          <cell r="A4005" t="str">
            <v>IS_alqt_plus</v>
          </cell>
          <cell r="K4005" t="str">
            <v>VVV</v>
          </cell>
          <cell r="M4005" t="str">
            <v>F</v>
          </cell>
          <cell r="AC4005">
            <v>0.5</v>
          </cell>
        </row>
        <row r="4006">
          <cell r="A4006" t="str">
            <v>IS_alqt_plus</v>
          </cell>
          <cell r="K4006" t="str">
            <v>VVV</v>
          </cell>
          <cell r="M4006" t="str">
            <v>F</v>
          </cell>
          <cell r="AC4006">
            <v>0.5</v>
          </cell>
        </row>
        <row r="4007">
          <cell r="A4007" t="str">
            <v>IS_alqt_plus</v>
          </cell>
          <cell r="K4007" t="str">
            <v>VVV</v>
          </cell>
          <cell r="M4007" t="str">
            <v>F</v>
          </cell>
          <cell r="AC4007">
            <v>0.5</v>
          </cell>
        </row>
        <row r="4008">
          <cell r="A4008" t="str">
            <v>IS_alqt_plus</v>
          </cell>
          <cell r="K4008" t="str">
            <v>VVV</v>
          </cell>
          <cell r="M4008" t="str">
            <v>F</v>
          </cell>
          <cell r="AC4008">
            <v>0.5</v>
          </cell>
        </row>
        <row r="4009">
          <cell r="A4009" t="str">
            <v>IS_alqt_plus</v>
          </cell>
          <cell r="K4009" t="str">
            <v>VVV</v>
          </cell>
          <cell r="M4009" t="str">
            <v>F</v>
          </cell>
          <cell r="AC4009">
            <v>0.5</v>
          </cell>
        </row>
        <row r="4010">
          <cell r="A4010" t="str">
            <v>IS_alqt_plus</v>
          </cell>
          <cell r="K4010" t="str">
            <v>DMAD</v>
          </cell>
          <cell r="M4010" t="str">
            <v>F</v>
          </cell>
          <cell r="AC4010">
            <v>0.5</v>
          </cell>
        </row>
        <row r="4011">
          <cell r="A4011" t="str">
            <v>IS_alqt_plus</v>
          </cell>
          <cell r="K4011" t="str">
            <v>DMAD</v>
          </cell>
          <cell r="M4011" t="str">
            <v>F</v>
          </cell>
          <cell r="AC4011">
            <v>0.5</v>
          </cell>
        </row>
        <row r="4012">
          <cell r="A4012" t="str">
            <v>IS_alqt_plus</v>
          </cell>
          <cell r="K4012" t="str">
            <v>PCOQ</v>
          </cell>
          <cell r="M4012" t="str">
            <v>M</v>
          </cell>
          <cell r="AC4012">
            <v>0.5</v>
          </cell>
        </row>
        <row r="4013">
          <cell r="A4013" t="str">
            <v>IS_alqt_plus</v>
          </cell>
          <cell r="K4013" t="str">
            <v>PCOQ</v>
          </cell>
          <cell r="M4013" t="str">
            <v>M</v>
          </cell>
          <cell r="AC4013">
            <v>0.5</v>
          </cell>
        </row>
        <row r="4014">
          <cell r="A4014" t="str">
            <v>IS_alqt_plus</v>
          </cell>
          <cell r="K4014" t="str">
            <v>PCOQ</v>
          </cell>
          <cell r="M4014" t="str">
            <v>M</v>
          </cell>
          <cell r="AC4014">
            <v>0.5</v>
          </cell>
        </row>
        <row r="4015">
          <cell r="A4015" t="str">
            <v>IS_alqt_plus</v>
          </cell>
          <cell r="K4015" t="str">
            <v>PCOQ</v>
          </cell>
          <cell r="M4015" t="str">
            <v>M</v>
          </cell>
          <cell r="AC4015">
            <v>0.5</v>
          </cell>
        </row>
        <row r="4016">
          <cell r="A4016" t="str">
            <v>IS_alqt_plus</v>
          </cell>
          <cell r="K4016" t="str">
            <v>PCOQ</v>
          </cell>
          <cell r="M4016" t="str">
            <v>M</v>
          </cell>
          <cell r="AC4016">
            <v>0.5</v>
          </cell>
        </row>
        <row r="4017">
          <cell r="A4017" t="str">
            <v>unk</v>
          </cell>
          <cell r="K4017" t="str">
            <v>VVV</v>
          </cell>
          <cell r="M4017" t="str">
            <v>F</v>
          </cell>
          <cell r="AC4017">
            <v>1</v>
          </cell>
        </row>
        <row r="4018">
          <cell r="A4018" t="str">
            <v>unk</v>
          </cell>
          <cell r="K4018" t="str">
            <v>VVV</v>
          </cell>
          <cell r="M4018" t="str">
            <v>F</v>
          </cell>
          <cell r="AC4018">
            <v>0.5</v>
          </cell>
        </row>
        <row r="4019">
          <cell r="A4019" t="str">
            <v>unk</v>
          </cell>
          <cell r="K4019" t="str">
            <v>VVV</v>
          </cell>
          <cell r="M4019" t="str">
            <v>F</v>
          </cell>
          <cell r="AC4019">
            <v>0.5</v>
          </cell>
        </row>
        <row r="4020">
          <cell r="A4020" t="str">
            <v>unk</v>
          </cell>
          <cell r="K4020" t="str">
            <v>VVV</v>
          </cell>
          <cell r="M4020" t="str">
            <v>F</v>
          </cell>
          <cell r="AC4020">
            <v>0.5</v>
          </cell>
        </row>
        <row r="4021">
          <cell r="A4021" t="str">
            <v>unk</v>
          </cell>
          <cell r="K4021" t="str">
            <v>VVV</v>
          </cell>
          <cell r="M4021" t="str">
            <v>F</v>
          </cell>
          <cell r="AC4021">
            <v>0.5</v>
          </cell>
        </row>
        <row r="4022">
          <cell r="A4022" t="str">
            <v>unk</v>
          </cell>
          <cell r="K4022" t="str">
            <v>VVV</v>
          </cell>
          <cell r="M4022" t="str">
            <v>F</v>
          </cell>
          <cell r="AC4022">
            <v>0.5</v>
          </cell>
        </row>
        <row r="4023">
          <cell r="A4023" t="str">
            <v>IS_alqt_minus</v>
          </cell>
          <cell r="K4023" t="str">
            <v>MMUR</v>
          </cell>
          <cell r="M4023" t="str">
            <v>F</v>
          </cell>
          <cell r="AC4023">
            <v>0.1</v>
          </cell>
        </row>
        <row r="4024">
          <cell r="A4024" t="str">
            <v>IS_alqt_plus</v>
          </cell>
          <cell r="K4024" t="str">
            <v>DMAD</v>
          </cell>
          <cell r="M4024" t="str">
            <v>F</v>
          </cell>
          <cell r="AC4024">
            <v>0.5</v>
          </cell>
        </row>
        <row r="4025">
          <cell r="A4025" t="str">
            <v>IS_alqt_plus</v>
          </cell>
          <cell r="K4025" t="str">
            <v>DMAD</v>
          </cell>
          <cell r="M4025" t="str">
            <v>F</v>
          </cell>
          <cell r="AC4025">
            <v>0.5</v>
          </cell>
        </row>
        <row r="4026">
          <cell r="A4026" t="str">
            <v>IS_alqt_plus</v>
          </cell>
          <cell r="K4026" t="str">
            <v>DMAD</v>
          </cell>
          <cell r="M4026" t="str">
            <v>F</v>
          </cell>
          <cell r="AC4026">
            <v>0.5</v>
          </cell>
        </row>
        <row r="4027">
          <cell r="A4027" t="str">
            <v>IS_alqt_plus</v>
          </cell>
          <cell r="K4027" t="str">
            <v>DMAD</v>
          </cell>
          <cell r="M4027" t="str">
            <v>F</v>
          </cell>
          <cell r="AC4027">
            <v>0.5</v>
          </cell>
        </row>
        <row r="4028">
          <cell r="A4028" t="str">
            <v>IS_alqt_plus</v>
          </cell>
          <cell r="K4028" t="str">
            <v>DMAD</v>
          </cell>
          <cell r="M4028" t="str">
            <v>F</v>
          </cell>
          <cell r="AC4028">
            <v>0.5</v>
          </cell>
        </row>
        <row r="4029">
          <cell r="A4029" t="str">
            <v>IS_alqt_plus</v>
          </cell>
          <cell r="K4029" t="str">
            <v>DMAD</v>
          </cell>
          <cell r="M4029" t="str">
            <v>F</v>
          </cell>
          <cell r="AC4029">
            <v>1</v>
          </cell>
        </row>
        <row r="4030">
          <cell r="A4030" t="str">
            <v>IS_alqt_plus</v>
          </cell>
          <cell r="K4030" t="str">
            <v>DMAD</v>
          </cell>
          <cell r="M4030" t="str">
            <v>F</v>
          </cell>
          <cell r="AC4030">
            <v>1</v>
          </cell>
        </row>
        <row r="4031">
          <cell r="A4031" t="str">
            <v>IS_alqt_plus</v>
          </cell>
          <cell r="K4031" t="str">
            <v>DMAD</v>
          </cell>
          <cell r="M4031" t="str">
            <v>F</v>
          </cell>
          <cell r="AC4031">
            <v>1.3</v>
          </cell>
        </row>
        <row r="4032">
          <cell r="A4032" t="str">
            <v>IS_alqt_minus</v>
          </cell>
          <cell r="K4032" t="str">
            <v>MMUR</v>
          </cell>
          <cell r="M4032" t="str">
            <v>F</v>
          </cell>
          <cell r="AC4032">
            <v>0.2</v>
          </cell>
        </row>
        <row r="4033">
          <cell r="A4033" t="str">
            <v>IS_alqt_minus</v>
          </cell>
          <cell r="K4033" t="str">
            <v>MMUR</v>
          </cell>
          <cell r="M4033" t="str">
            <v>F</v>
          </cell>
          <cell r="AC4033">
            <v>0.35</v>
          </cell>
        </row>
        <row r="4034">
          <cell r="A4034" t="str">
            <v>IS_alqt_plus</v>
          </cell>
          <cell r="K4034" t="str">
            <v>PCOQ</v>
          </cell>
          <cell r="M4034" t="str">
            <v>M</v>
          </cell>
          <cell r="AC4034">
            <v>1</v>
          </cell>
        </row>
        <row r="4035">
          <cell r="A4035" t="str">
            <v>IS_alqt_plus</v>
          </cell>
          <cell r="K4035" t="str">
            <v>PCOQ</v>
          </cell>
          <cell r="M4035" t="str">
            <v>M</v>
          </cell>
          <cell r="AC4035">
            <v>1</v>
          </cell>
        </row>
        <row r="4036">
          <cell r="A4036" t="str">
            <v>IS_alqt_plus</v>
          </cell>
          <cell r="K4036" t="str">
            <v>PCOQ</v>
          </cell>
          <cell r="M4036" t="str">
            <v>M</v>
          </cell>
          <cell r="AC4036">
            <v>1</v>
          </cell>
        </row>
        <row r="4037">
          <cell r="A4037" t="str">
            <v>IS_alqt_plus</v>
          </cell>
          <cell r="K4037" t="str">
            <v>PCOQ</v>
          </cell>
          <cell r="M4037" t="str">
            <v>M</v>
          </cell>
          <cell r="AC4037">
            <v>1</v>
          </cell>
        </row>
        <row r="4038">
          <cell r="A4038" t="str">
            <v>IS_alqt_plus</v>
          </cell>
          <cell r="K4038" t="str">
            <v>PCOQ</v>
          </cell>
          <cell r="M4038" t="str">
            <v>M</v>
          </cell>
          <cell r="AC4038">
            <v>1</v>
          </cell>
        </row>
        <row r="4039">
          <cell r="A4039" t="str">
            <v>IS_alqt_plus</v>
          </cell>
          <cell r="K4039" t="str">
            <v>PCOQ</v>
          </cell>
          <cell r="M4039" t="str">
            <v>M</v>
          </cell>
          <cell r="AC4039">
            <v>1</v>
          </cell>
        </row>
        <row r="4040">
          <cell r="A4040" t="str">
            <v>IS_alqt_plus</v>
          </cell>
          <cell r="K4040" t="str">
            <v>PCOQ</v>
          </cell>
          <cell r="M4040" t="str">
            <v>M</v>
          </cell>
          <cell r="AC4040">
            <v>1</v>
          </cell>
        </row>
        <row r="4041">
          <cell r="A4041" t="str">
            <v>IS_alqt_plus</v>
          </cell>
          <cell r="K4041" t="str">
            <v>PCOQ</v>
          </cell>
          <cell r="M4041" t="str">
            <v>M</v>
          </cell>
          <cell r="AC4041">
            <v>1</v>
          </cell>
        </row>
        <row r="4042">
          <cell r="A4042" t="str">
            <v>IS_alqt_plus</v>
          </cell>
          <cell r="K4042" t="str">
            <v>PCOQ</v>
          </cell>
          <cell r="M4042" t="str">
            <v>M</v>
          </cell>
          <cell r="AC4042">
            <v>1</v>
          </cell>
        </row>
        <row r="4043">
          <cell r="A4043" t="str">
            <v>IS_alqt_plus</v>
          </cell>
          <cell r="K4043" t="str">
            <v>PCOQ</v>
          </cell>
          <cell r="M4043" t="str">
            <v>M</v>
          </cell>
          <cell r="AC4043">
            <v>1</v>
          </cell>
        </row>
        <row r="4044">
          <cell r="A4044" t="str">
            <v>IS_alqt_plus</v>
          </cell>
          <cell r="K4044" t="str">
            <v>PCOQ</v>
          </cell>
          <cell r="M4044" t="str">
            <v>M</v>
          </cell>
          <cell r="AC4044">
            <v>1</v>
          </cell>
        </row>
        <row r="4045">
          <cell r="A4045" t="str">
            <v>IS_alqt_plus</v>
          </cell>
          <cell r="K4045" t="str">
            <v>EFLA</v>
          </cell>
          <cell r="M4045" t="str">
            <v>F</v>
          </cell>
          <cell r="AC4045">
            <v>2</v>
          </cell>
        </row>
        <row r="4046">
          <cell r="A4046" t="str">
            <v>IS_alqt_plus</v>
          </cell>
          <cell r="K4046" t="str">
            <v>EFLA</v>
          </cell>
          <cell r="M4046" t="str">
            <v>F</v>
          </cell>
          <cell r="AC4046">
            <v>2</v>
          </cell>
        </row>
        <row r="4047">
          <cell r="A4047" t="str">
            <v>IS_alqt_plus</v>
          </cell>
          <cell r="K4047" t="str">
            <v>EFLA</v>
          </cell>
          <cell r="M4047" t="str">
            <v>F</v>
          </cell>
          <cell r="AC4047">
            <v>2</v>
          </cell>
        </row>
        <row r="4048">
          <cell r="A4048" t="str">
            <v>IS_alqt_plus</v>
          </cell>
          <cell r="K4048" t="str">
            <v>EFLA</v>
          </cell>
          <cell r="M4048" t="str">
            <v>F</v>
          </cell>
          <cell r="AC4048">
            <v>2</v>
          </cell>
        </row>
        <row r="4049">
          <cell r="A4049" t="str">
            <v>IS_alqt_plus</v>
          </cell>
          <cell r="K4049" t="str">
            <v>EFLA</v>
          </cell>
          <cell r="M4049" t="str">
            <v>F</v>
          </cell>
          <cell r="AC4049">
            <v>1.6</v>
          </cell>
        </row>
        <row r="4050">
          <cell r="A4050" t="str">
            <v>IS_alqt_plus</v>
          </cell>
          <cell r="K4050" t="str">
            <v>MMUR</v>
          </cell>
          <cell r="M4050" t="str">
            <v>F</v>
          </cell>
          <cell r="AC4050">
            <v>0.5</v>
          </cell>
        </row>
        <row r="4051">
          <cell r="A4051" t="str">
            <v>IS_alqt_plus</v>
          </cell>
          <cell r="K4051" t="str">
            <v>DMAD</v>
          </cell>
          <cell r="M4051" t="str">
            <v>F</v>
          </cell>
          <cell r="AC4051">
            <v>0.5</v>
          </cell>
        </row>
        <row r="4052">
          <cell r="A4052" t="str">
            <v>IS_alqt_plus</v>
          </cell>
          <cell r="K4052" t="str">
            <v>DMAD</v>
          </cell>
          <cell r="M4052" t="str">
            <v>F</v>
          </cell>
          <cell r="AC4052">
            <v>0.5</v>
          </cell>
        </row>
        <row r="4053">
          <cell r="A4053" t="str">
            <v>IS_alqt_plus</v>
          </cell>
          <cell r="K4053" t="str">
            <v>DMAD</v>
          </cell>
          <cell r="M4053" t="str">
            <v>F</v>
          </cell>
          <cell r="AC4053">
            <v>1</v>
          </cell>
        </row>
        <row r="4054">
          <cell r="A4054" t="str">
            <v>IS_alqt_plus</v>
          </cell>
          <cell r="K4054" t="str">
            <v>DMAD</v>
          </cell>
          <cell r="M4054" t="str">
            <v>F</v>
          </cell>
          <cell r="AC4054">
            <v>0.5</v>
          </cell>
        </row>
        <row r="4055">
          <cell r="A4055" t="str">
            <v>IS_alqt_plus</v>
          </cell>
          <cell r="K4055" t="str">
            <v>DMAD</v>
          </cell>
          <cell r="M4055" t="str">
            <v>F</v>
          </cell>
          <cell r="AC4055">
            <v>0.5</v>
          </cell>
        </row>
        <row r="4056">
          <cell r="A4056" t="str">
            <v>IS_alqt_plus</v>
          </cell>
          <cell r="K4056" t="str">
            <v>DMAD</v>
          </cell>
          <cell r="M4056" t="str">
            <v>F</v>
          </cell>
          <cell r="AC4056">
            <v>0.5</v>
          </cell>
        </row>
        <row r="4057">
          <cell r="A4057" t="str">
            <v>IS_alqt_plus</v>
          </cell>
          <cell r="K4057" t="str">
            <v>DMAD</v>
          </cell>
          <cell r="M4057" t="str">
            <v>F</v>
          </cell>
          <cell r="AC4057">
            <v>0.5</v>
          </cell>
        </row>
        <row r="4058">
          <cell r="A4058" t="str">
            <v>IS_alqt_plus</v>
          </cell>
          <cell r="K4058" t="str">
            <v>DMAD</v>
          </cell>
          <cell r="M4058" t="str">
            <v>F</v>
          </cell>
          <cell r="AC4058">
            <v>0.5</v>
          </cell>
        </row>
        <row r="4059">
          <cell r="A4059" t="str">
            <v>IS_alqt_plus</v>
          </cell>
          <cell r="K4059" t="str">
            <v>DMAD</v>
          </cell>
          <cell r="M4059" t="str">
            <v>F</v>
          </cell>
          <cell r="AC4059">
            <v>0.5</v>
          </cell>
        </row>
        <row r="4060">
          <cell r="A4060" t="str">
            <v>IS_alqt_plus</v>
          </cell>
          <cell r="K4060" t="str">
            <v>DMAD</v>
          </cell>
          <cell r="M4060" t="str">
            <v>F</v>
          </cell>
          <cell r="AC4060">
            <v>0.5</v>
          </cell>
        </row>
        <row r="4061">
          <cell r="A4061" t="str">
            <v>IS_alqt_plus</v>
          </cell>
          <cell r="K4061" t="str">
            <v>DMAD</v>
          </cell>
          <cell r="M4061" t="str">
            <v>F</v>
          </cell>
          <cell r="AC4061">
            <v>0.5</v>
          </cell>
        </row>
        <row r="4062">
          <cell r="A4062" t="str">
            <v>IS_alqt_plus</v>
          </cell>
          <cell r="K4062" t="str">
            <v>DMAD</v>
          </cell>
          <cell r="M4062" t="str">
            <v>F</v>
          </cell>
          <cell r="AC4062">
            <v>0.5</v>
          </cell>
        </row>
        <row r="4063">
          <cell r="A4063" t="str">
            <v>IS_alqt_plus</v>
          </cell>
          <cell r="K4063" t="str">
            <v>CMED</v>
          </cell>
          <cell r="M4063" t="str">
            <v>F</v>
          </cell>
          <cell r="AC4063">
            <v>0.6</v>
          </cell>
        </row>
        <row r="4064">
          <cell r="A4064" t="str">
            <v>IS_alqt_plus</v>
          </cell>
          <cell r="K4064" t="str">
            <v>CMED</v>
          </cell>
          <cell r="M4064" t="str">
            <v>F</v>
          </cell>
          <cell r="AC4064">
            <v>0.6</v>
          </cell>
        </row>
        <row r="4065">
          <cell r="A4065" t="str">
            <v>IS_alqt_plus</v>
          </cell>
          <cell r="K4065" t="str">
            <v>CMED</v>
          </cell>
          <cell r="M4065" t="str">
            <v>F</v>
          </cell>
          <cell r="AC4065">
            <v>0.6</v>
          </cell>
        </row>
        <row r="4066">
          <cell r="A4066" t="str">
            <v>IS_alqt_plus</v>
          </cell>
          <cell r="K4066" t="str">
            <v>VVV</v>
          </cell>
          <cell r="M4066" t="str">
            <v>F</v>
          </cell>
          <cell r="AC4066">
            <v>0.5</v>
          </cell>
        </row>
        <row r="4067">
          <cell r="A4067" t="str">
            <v>IS_alqt_plus</v>
          </cell>
          <cell r="K4067" t="str">
            <v>VVV</v>
          </cell>
          <cell r="M4067" t="str">
            <v>F</v>
          </cell>
          <cell r="AC4067">
            <v>0.5</v>
          </cell>
        </row>
        <row r="4068">
          <cell r="A4068" t="str">
            <v>IS_alqt_plus</v>
          </cell>
          <cell r="K4068" t="str">
            <v>VVV</v>
          </cell>
          <cell r="M4068" t="str">
            <v>F</v>
          </cell>
          <cell r="AC4068">
            <v>0.5</v>
          </cell>
        </row>
        <row r="4069">
          <cell r="A4069" t="str">
            <v>IS_alqt_plus</v>
          </cell>
          <cell r="K4069" t="str">
            <v>VVV</v>
          </cell>
          <cell r="M4069" t="str">
            <v>F</v>
          </cell>
          <cell r="AC4069">
            <v>0.5</v>
          </cell>
        </row>
        <row r="4070">
          <cell r="A4070" t="str">
            <v>IS_alqt_plus</v>
          </cell>
          <cell r="K4070" t="str">
            <v>VVV</v>
          </cell>
          <cell r="M4070" t="str">
            <v>F</v>
          </cell>
          <cell r="AC4070">
            <v>0.5</v>
          </cell>
        </row>
        <row r="4071">
          <cell r="A4071" t="str">
            <v>IS_alqt_plus</v>
          </cell>
          <cell r="K4071" t="str">
            <v>PCOQ</v>
          </cell>
          <cell r="M4071" t="str">
            <v>M</v>
          </cell>
          <cell r="AC4071">
            <v>0.5</v>
          </cell>
        </row>
        <row r="4072">
          <cell r="A4072" t="str">
            <v>IS_alqt_plus</v>
          </cell>
          <cell r="K4072" t="str">
            <v>PCOQ</v>
          </cell>
          <cell r="M4072" t="str">
            <v>M</v>
          </cell>
          <cell r="AC4072">
            <v>0.5</v>
          </cell>
        </row>
        <row r="4073">
          <cell r="A4073" t="str">
            <v>IS_alqt_plus</v>
          </cell>
          <cell r="K4073" t="str">
            <v>PCOQ</v>
          </cell>
          <cell r="M4073" t="str">
            <v>M</v>
          </cell>
          <cell r="AC4073">
            <v>0.5</v>
          </cell>
        </row>
        <row r="4074">
          <cell r="A4074" t="str">
            <v>IS_alqt_plus</v>
          </cell>
          <cell r="K4074" t="str">
            <v>PCOQ</v>
          </cell>
          <cell r="M4074" t="str">
            <v>M</v>
          </cell>
          <cell r="AC4074">
            <v>0.5</v>
          </cell>
        </row>
        <row r="4075">
          <cell r="A4075" t="str">
            <v>IS_alqt_plus</v>
          </cell>
          <cell r="K4075" t="str">
            <v>PCOQ</v>
          </cell>
          <cell r="M4075" t="str">
            <v>M</v>
          </cell>
          <cell r="AC4075">
            <v>0.5</v>
          </cell>
        </row>
        <row r="4076">
          <cell r="A4076" t="str">
            <v>IS_alqt_plus</v>
          </cell>
          <cell r="K4076" t="str">
            <v>PCOQ</v>
          </cell>
          <cell r="M4076" t="str">
            <v>M</v>
          </cell>
          <cell r="AC4076">
            <v>1</v>
          </cell>
        </row>
        <row r="4077">
          <cell r="A4077" t="str">
            <v>IS_alqt_plus</v>
          </cell>
          <cell r="K4077" t="str">
            <v>PCOQ</v>
          </cell>
          <cell r="M4077" t="str">
            <v>M</v>
          </cell>
          <cell r="AC4077">
            <v>0.8</v>
          </cell>
        </row>
        <row r="4078">
          <cell r="A4078" t="str">
            <v>IS_alqt_plus</v>
          </cell>
          <cell r="K4078" t="str">
            <v>PCOQ</v>
          </cell>
          <cell r="M4078" t="str">
            <v>M</v>
          </cell>
          <cell r="AC4078">
            <v>0.5</v>
          </cell>
        </row>
        <row r="4079">
          <cell r="A4079" t="str">
            <v>IS_alqt_plus</v>
          </cell>
          <cell r="K4079" t="str">
            <v>VVV</v>
          </cell>
          <cell r="M4079" t="str">
            <v>F</v>
          </cell>
          <cell r="AC4079">
            <v>0.5</v>
          </cell>
        </row>
        <row r="4080">
          <cell r="A4080" t="str">
            <v>IS_alqt_plus</v>
          </cell>
          <cell r="K4080" t="str">
            <v>VVV</v>
          </cell>
          <cell r="M4080" t="str">
            <v>F</v>
          </cell>
          <cell r="AC4080">
            <v>0.5</v>
          </cell>
        </row>
        <row r="4081">
          <cell r="A4081" t="str">
            <v>IS_alqt_plus</v>
          </cell>
          <cell r="K4081" t="str">
            <v>VVV</v>
          </cell>
          <cell r="M4081" t="str">
            <v>F</v>
          </cell>
          <cell r="AC4081">
            <v>0.5</v>
          </cell>
        </row>
        <row r="4082">
          <cell r="A4082" t="str">
            <v>IS_alqt_plus</v>
          </cell>
          <cell r="K4082" t="str">
            <v>VVV</v>
          </cell>
          <cell r="M4082" t="str">
            <v>F</v>
          </cell>
          <cell r="AC4082">
            <v>1</v>
          </cell>
        </row>
        <row r="4083">
          <cell r="A4083" t="str">
            <v>IS_alqt_plus</v>
          </cell>
          <cell r="K4083" t="str">
            <v>VVV</v>
          </cell>
          <cell r="M4083" t="str">
            <v>F</v>
          </cell>
          <cell r="AC4083">
            <v>1</v>
          </cell>
        </row>
        <row r="4084">
          <cell r="A4084" t="str">
            <v>IS_alqt_plus</v>
          </cell>
          <cell r="K4084" t="str">
            <v>VVV</v>
          </cell>
          <cell r="M4084" t="str">
            <v>F</v>
          </cell>
          <cell r="AC4084">
            <v>1</v>
          </cell>
        </row>
        <row r="4085">
          <cell r="A4085" t="str">
            <v>IS_alqt_plus</v>
          </cell>
          <cell r="K4085" t="str">
            <v>VVV</v>
          </cell>
          <cell r="M4085" t="str">
            <v>F</v>
          </cell>
          <cell r="AC4085">
            <v>1</v>
          </cell>
        </row>
        <row r="4086">
          <cell r="A4086" t="str">
            <v>IS_alqt_plus</v>
          </cell>
          <cell r="K4086" t="str">
            <v>VVV</v>
          </cell>
          <cell r="M4086" t="str">
            <v>F</v>
          </cell>
          <cell r="AC4086">
            <v>1</v>
          </cell>
        </row>
        <row r="4087">
          <cell r="A4087" t="str">
            <v>IS_alqt_plus</v>
          </cell>
          <cell r="K4087" t="str">
            <v>VVV</v>
          </cell>
          <cell r="M4087" t="str">
            <v>F</v>
          </cell>
          <cell r="AC4087">
            <v>1</v>
          </cell>
        </row>
        <row r="4088">
          <cell r="A4088" t="str">
            <v>IS_alqt_plus</v>
          </cell>
          <cell r="K4088" t="str">
            <v>VVV</v>
          </cell>
          <cell r="M4088" t="str">
            <v>F</v>
          </cell>
          <cell r="AC4088">
            <v>1</v>
          </cell>
        </row>
        <row r="4089">
          <cell r="A4089" t="str">
            <v>IS_alqt_plus</v>
          </cell>
          <cell r="K4089" t="str">
            <v>VVV</v>
          </cell>
          <cell r="M4089" t="str">
            <v>F</v>
          </cell>
          <cell r="AC4089">
            <v>1</v>
          </cell>
        </row>
        <row r="4090">
          <cell r="A4090" t="str">
            <v>IS_alqt_plus</v>
          </cell>
          <cell r="K4090" t="str">
            <v>VVV</v>
          </cell>
          <cell r="M4090" t="str">
            <v>F</v>
          </cell>
          <cell r="AC4090">
            <v>1</v>
          </cell>
        </row>
        <row r="4091">
          <cell r="A4091" t="str">
            <v>IS_alqt_plus</v>
          </cell>
          <cell r="K4091" t="str">
            <v>VVV</v>
          </cell>
          <cell r="M4091" t="str">
            <v>F</v>
          </cell>
          <cell r="AC4091">
            <v>1</v>
          </cell>
        </row>
        <row r="4092">
          <cell r="A4092" t="str">
            <v>IS_alqt_minus</v>
          </cell>
          <cell r="K4092" t="str">
            <v>MMUR</v>
          </cell>
          <cell r="M4092" t="str">
            <v>M</v>
          </cell>
          <cell r="AC4092">
            <v>0.2</v>
          </cell>
        </row>
        <row r="4093">
          <cell r="A4093" t="str">
            <v>IS_alqt_plus</v>
          </cell>
          <cell r="K4093" t="str">
            <v>DMAD</v>
          </cell>
          <cell r="M4093" t="str">
            <v>F</v>
          </cell>
          <cell r="AC4093">
            <v>0.5</v>
          </cell>
        </row>
        <row r="4094">
          <cell r="A4094" t="str">
            <v>IS_alqt_plus</v>
          </cell>
          <cell r="K4094" t="str">
            <v>DMAD</v>
          </cell>
          <cell r="M4094" t="str">
            <v>F</v>
          </cell>
          <cell r="AC4094">
            <v>0.5</v>
          </cell>
        </row>
        <row r="4095">
          <cell r="A4095" t="str">
            <v>IS_alqt_plus</v>
          </cell>
          <cell r="K4095" t="str">
            <v>DMAD</v>
          </cell>
          <cell r="M4095" t="str">
            <v>F</v>
          </cell>
          <cell r="AC4095">
            <v>0.5</v>
          </cell>
        </row>
        <row r="4096">
          <cell r="A4096" t="str">
            <v>IS_alqt_plus</v>
          </cell>
          <cell r="K4096" t="str">
            <v>DMAD</v>
          </cell>
          <cell r="M4096" t="str">
            <v>F</v>
          </cell>
          <cell r="AC4096">
            <v>0.5</v>
          </cell>
        </row>
        <row r="4097">
          <cell r="A4097" t="str">
            <v>IS_alqt_plus</v>
          </cell>
          <cell r="K4097" t="str">
            <v>DMAD</v>
          </cell>
          <cell r="M4097" t="str">
            <v>F</v>
          </cell>
          <cell r="AC4097">
            <v>0.5</v>
          </cell>
        </row>
        <row r="4098">
          <cell r="A4098" t="str">
            <v>IS_alqt_plus</v>
          </cell>
          <cell r="K4098" t="str">
            <v>DMAD</v>
          </cell>
          <cell r="M4098" t="str">
            <v>F</v>
          </cell>
          <cell r="AC4098">
            <v>0.5</v>
          </cell>
        </row>
        <row r="4099">
          <cell r="A4099" t="str">
            <v>IS_alqt_plus</v>
          </cell>
          <cell r="K4099" t="str">
            <v>DMAD</v>
          </cell>
          <cell r="M4099" t="str">
            <v>F</v>
          </cell>
          <cell r="AC4099">
            <v>0.5</v>
          </cell>
        </row>
        <row r="4100">
          <cell r="A4100" t="str">
            <v>IS_alqt_plus</v>
          </cell>
          <cell r="K4100" t="str">
            <v>DMAD</v>
          </cell>
          <cell r="M4100" t="str">
            <v>F</v>
          </cell>
          <cell r="AC4100">
            <v>0.5</v>
          </cell>
        </row>
        <row r="4101">
          <cell r="A4101" t="str">
            <v>IS_alqt_plus</v>
          </cell>
          <cell r="K4101" t="str">
            <v>DMAD</v>
          </cell>
          <cell r="M4101" t="str">
            <v>F</v>
          </cell>
          <cell r="AC4101">
            <v>0.5</v>
          </cell>
        </row>
        <row r="4102">
          <cell r="A4102" t="str">
            <v>IS_alqt_plus</v>
          </cell>
          <cell r="K4102" t="str">
            <v>DMAD</v>
          </cell>
          <cell r="M4102" t="str">
            <v>F</v>
          </cell>
          <cell r="AC4102">
            <v>0.5</v>
          </cell>
        </row>
        <row r="4103">
          <cell r="A4103" t="str">
            <v>IS_alqt_plus</v>
          </cell>
          <cell r="K4103" t="str">
            <v>DMAD</v>
          </cell>
          <cell r="M4103" t="str">
            <v>F</v>
          </cell>
          <cell r="AC4103">
            <v>1</v>
          </cell>
        </row>
        <row r="4104">
          <cell r="A4104" t="str">
            <v>IS_alqt_plus</v>
          </cell>
          <cell r="K4104" t="str">
            <v>DMAD</v>
          </cell>
          <cell r="M4104" t="str">
            <v>F</v>
          </cell>
          <cell r="AC4104">
            <v>1</v>
          </cell>
        </row>
        <row r="4105">
          <cell r="A4105" t="str">
            <v>IS_alqt_plus</v>
          </cell>
          <cell r="K4105" t="str">
            <v>DMAD</v>
          </cell>
          <cell r="M4105" t="str">
            <v>F</v>
          </cell>
          <cell r="AC4105">
            <v>1</v>
          </cell>
        </row>
        <row r="4106">
          <cell r="A4106" t="str">
            <v>IS_alqt_plus</v>
          </cell>
          <cell r="K4106" t="str">
            <v>DMAD</v>
          </cell>
          <cell r="M4106" t="str">
            <v>F</v>
          </cell>
          <cell r="AC4106">
            <v>1</v>
          </cell>
        </row>
        <row r="4107">
          <cell r="A4107" t="str">
            <v>IS_alqt_plus</v>
          </cell>
          <cell r="K4107" t="str">
            <v>DMAD</v>
          </cell>
          <cell r="M4107" t="str">
            <v>F</v>
          </cell>
          <cell r="AC4107">
            <v>1</v>
          </cell>
        </row>
        <row r="4108">
          <cell r="A4108" t="str">
            <v>IS_alqt_plus</v>
          </cell>
          <cell r="K4108" t="str">
            <v>DMAD</v>
          </cell>
          <cell r="M4108" t="str">
            <v>F</v>
          </cell>
          <cell r="AC4108">
            <v>1</v>
          </cell>
        </row>
        <row r="4109">
          <cell r="A4109" t="str">
            <v>IS_alqt_plus</v>
          </cell>
          <cell r="K4109" t="str">
            <v>EFLA</v>
          </cell>
          <cell r="M4109" t="str">
            <v>M</v>
          </cell>
          <cell r="AC4109">
            <v>1</v>
          </cell>
        </row>
        <row r="4110">
          <cell r="A4110" t="str">
            <v>IS_alqt_plus</v>
          </cell>
          <cell r="K4110" t="str">
            <v>EFLA</v>
          </cell>
          <cell r="M4110" t="str">
            <v>M</v>
          </cell>
          <cell r="AC4110">
            <v>1</v>
          </cell>
        </row>
        <row r="4111">
          <cell r="A4111" t="str">
            <v>IS_alqt_plus</v>
          </cell>
          <cell r="K4111" t="str">
            <v>EFLA</v>
          </cell>
          <cell r="M4111" t="str">
            <v>M</v>
          </cell>
          <cell r="AC4111">
            <v>0.5</v>
          </cell>
        </row>
        <row r="4112">
          <cell r="A4112" t="str">
            <v>IS_alqt_minus</v>
          </cell>
          <cell r="K4112" t="str">
            <v>EFLA</v>
          </cell>
          <cell r="M4112" t="str">
            <v>F</v>
          </cell>
          <cell r="AC4112">
            <v>0.2</v>
          </cell>
        </row>
        <row r="4113">
          <cell r="A4113" t="str">
            <v>IS_alqt_minus</v>
          </cell>
          <cell r="K4113" t="str">
            <v>EFLA</v>
          </cell>
          <cell r="M4113" t="str">
            <v>F</v>
          </cell>
          <cell r="AC4113">
            <v>0.2</v>
          </cell>
        </row>
        <row r="4114">
          <cell r="A4114" t="str">
            <v>IS_alqt_minus</v>
          </cell>
          <cell r="K4114" t="str">
            <v>EFLA</v>
          </cell>
          <cell r="M4114" t="str">
            <v>F</v>
          </cell>
          <cell r="AC4114">
            <v>0.2</v>
          </cell>
        </row>
        <row r="4115">
          <cell r="A4115" t="str">
            <v>IS_alqt_minus</v>
          </cell>
          <cell r="K4115" t="str">
            <v>EFLA</v>
          </cell>
          <cell r="M4115" t="str">
            <v>F</v>
          </cell>
          <cell r="AC4115">
            <v>0.2</v>
          </cell>
        </row>
        <row r="4116">
          <cell r="A4116" t="str">
            <v>IS_alqt_minus</v>
          </cell>
          <cell r="K4116" t="str">
            <v>EFLA</v>
          </cell>
          <cell r="M4116" t="str">
            <v>F</v>
          </cell>
          <cell r="AC4116">
            <v>0.2</v>
          </cell>
        </row>
        <row r="4117">
          <cell r="A4117" t="str">
            <v>IS_alqt_plus</v>
          </cell>
          <cell r="K4117" t="str">
            <v>EFLA</v>
          </cell>
          <cell r="M4117" t="str">
            <v>F</v>
          </cell>
          <cell r="AC4117">
            <v>0.5</v>
          </cell>
        </row>
        <row r="4118">
          <cell r="A4118" t="str">
            <v>IS_alqt_plus</v>
          </cell>
          <cell r="K4118" t="str">
            <v>EFLA</v>
          </cell>
          <cell r="M4118" t="str">
            <v>F</v>
          </cell>
          <cell r="AC4118">
            <v>0.5</v>
          </cell>
        </row>
        <row r="4119">
          <cell r="A4119" t="str">
            <v>IS_alqt_plus</v>
          </cell>
          <cell r="K4119" t="str">
            <v>EFLA</v>
          </cell>
          <cell r="M4119" t="str">
            <v>F</v>
          </cell>
          <cell r="AC4119">
            <v>0.5</v>
          </cell>
        </row>
        <row r="4120">
          <cell r="A4120" t="str">
            <v>IS_alqt_plus</v>
          </cell>
          <cell r="K4120" t="str">
            <v>EFLA</v>
          </cell>
          <cell r="M4120" t="str">
            <v>F</v>
          </cell>
          <cell r="AC4120">
            <v>0.5</v>
          </cell>
        </row>
        <row r="4121">
          <cell r="A4121" t="str">
            <v>IS_alqt_plus</v>
          </cell>
          <cell r="K4121" t="str">
            <v>EFLA</v>
          </cell>
          <cell r="M4121" t="str">
            <v>F</v>
          </cell>
          <cell r="AC4121">
            <v>0.5</v>
          </cell>
        </row>
        <row r="4122">
          <cell r="A4122" t="str">
            <v>IS_alqt_plus</v>
          </cell>
          <cell r="K4122" t="str">
            <v>EFLA</v>
          </cell>
          <cell r="M4122" t="str">
            <v>F</v>
          </cell>
          <cell r="AC4122">
            <v>1</v>
          </cell>
        </row>
        <row r="4123">
          <cell r="A4123" t="str">
            <v>IS_alqt_plus</v>
          </cell>
          <cell r="K4123" t="str">
            <v>EFLA</v>
          </cell>
          <cell r="M4123" t="str">
            <v>F</v>
          </cell>
          <cell r="AC4123">
            <v>1</v>
          </cell>
        </row>
        <row r="4124">
          <cell r="A4124" t="str">
            <v>IS_alqt_plus</v>
          </cell>
          <cell r="K4124" t="str">
            <v>EFLA</v>
          </cell>
          <cell r="M4124" t="str">
            <v>F</v>
          </cell>
          <cell r="AC4124">
            <v>1</v>
          </cell>
        </row>
        <row r="4125">
          <cell r="A4125" t="str">
            <v>IS_alqt_plus</v>
          </cell>
          <cell r="K4125" t="str">
            <v>EFLA</v>
          </cell>
          <cell r="M4125" t="str">
            <v>F</v>
          </cell>
          <cell r="AC4125">
            <v>1</v>
          </cell>
        </row>
        <row r="4126">
          <cell r="A4126" t="str">
            <v>IS_alqt_plus</v>
          </cell>
          <cell r="K4126" t="str">
            <v>EFLA</v>
          </cell>
          <cell r="M4126" t="str">
            <v>F</v>
          </cell>
          <cell r="AC4126">
            <v>1</v>
          </cell>
        </row>
        <row r="4127">
          <cell r="A4127" t="str">
            <v>IS_alqt_plus</v>
          </cell>
          <cell r="K4127" t="str">
            <v>EFLA</v>
          </cell>
          <cell r="M4127" t="str">
            <v>F</v>
          </cell>
          <cell r="AC4127">
            <v>2</v>
          </cell>
        </row>
        <row r="4128">
          <cell r="A4128" t="str">
            <v>IS_alqt_plus</v>
          </cell>
          <cell r="K4128" t="str">
            <v>EFLA</v>
          </cell>
          <cell r="M4128" t="str">
            <v>F</v>
          </cell>
          <cell r="AC4128">
            <v>2</v>
          </cell>
        </row>
        <row r="4129">
          <cell r="A4129" t="str">
            <v>IS_alqt_plus</v>
          </cell>
          <cell r="K4129" t="str">
            <v>EFLA</v>
          </cell>
          <cell r="M4129" t="str">
            <v>F</v>
          </cell>
          <cell r="AC4129">
            <v>2</v>
          </cell>
        </row>
        <row r="4130">
          <cell r="A4130" t="str">
            <v>IS_alqt_minus</v>
          </cell>
          <cell r="K4130" t="str">
            <v>LCAT</v>
          </cell>
          <cell r="M4130" t="str">
            <v>F</v>
          </cell>
          <cell r="AC4130">
            <v>0.2</v>
          </cell>
        </row>
        <row r="4131">
          <cell r="A4131" t="str">
            <v>IS_alqt_minus</v>
          </cell>
          <cell r="K4131" t="str">
            <v>LCAT</v>
          </cell>
          <cell r="M4131" t="str">
            <v>F</v>
          </cell>
          <cell r="AC4131">
            <v>0.2</v>
          </cell>
        </row>
        <row r="4132">
          <cell r="A4132" t="str">
            <v>IS_alqt_minus</v>
          </cell>
          <cell r="K4132" t="str">
            <v>LCAT</v>
          </cell>
          <cell r="M4132" t="str">
            <v>F</v>
          </cell>
          <cell r="AC4132">
            <v>0.2</v>
          </cell>
        </row>
        <row r="4133">
          <cell r="A4133" t="str">
            <v>IS_alqt_minus</v>
          </cell>
          <cell r="K4133" t="str">
            <v>LCAT</v>
          </cell>
          <cell r="M4133" t="str">
            <v>F</v>
          </cell>
          <cell r="AC4133">
            <v>0.2</v>
          </cell>
        </row>
        <row r="4134">
          <cell r="A4134" t="str">
            <v>IS_alqt_minus</v>
          </cell>
          <cell r="K4134" t="str">
            <v>LCAT</v>
          </cell>
          <cell r="M4134" t="str">
            <v>F</v>
          </cell>
          <cell r="AC4134">
            <v>0.2</v>
          </cell>
        </row>
        <row r="4135">
          <cell r="A4135" t="str">
            <v>IS_alqt_minus</v>
          </cell>
          <cell r="K4135" t="str">
            <v>LCAT</v>
          </cell>
          <cell r="M4135" t="str">
            <v>F</v>
          </cell>
          <cell r="AC4135">
            <v>0.2</v>
          </cell>
        </row>
        <row r="4136">
          <cell r="A4136" t="str">
            <v>IS_alqt_minus</v>
          </cell>
          <cell r="K4136" t="str">
            <v>LCAT</v>
          </cell>
          <cell r="M4136" t="str">
            <v>F</v>
          </cell>
          <cell r="AC4136">
            <v>0.2</v>
          </cell>
        </row>
        <row r="4137">
          <cell r="A4137" t="str">
            <v>IS_alqt_minus</v>
          </cell>
          <cell r="K4137" t="str">
            <v>EMON</v>
          </cell>
          <cell r="M4137" t="str">
            <v>F</v>
          </cell>
          <cell r="AC4137">
            <v>0.2</v>
          </cell>
        </row>
        <row r="4138">
          <cell r="A4138" t="str">
            <v>IS_alqt_minus</v>
          </cell>
          <cell r="K4138" t="str">
            <v>EMON</v>
          </cell>
          <cell r="M4138" t="str">
            <v>F</v>
          </cell>
          <cell r="AC4138">
            <v>0.2</v>
          </cell>
        </row>
        <row r="4139">
          <cell r="A4139" t="str">
            <v>IS_alqt_minus</v>
          </cell>
          <cell r="K4139" t="str">
            <v>EMON</v>
          </cell>
          <cell r="M4139" t="str">
            <v>F</v>
          </cell>
          <cell r="AC4139">
            <v>0.2</v>
          </cell>
        </row>
        <row r="4140">
          <cell r="A4140" t="str">
            <v>IS_alqt_minus</v>
          </cell>
          <cell r="K4140" t="str">
            <v>EMON</v>
          </cell>
          <cell r="M4140" t="str">
            <v>F</v>
          </cell>
          <cell r="AC4140">
            <v>0.2</v>
          </cell>
        </row>
        <row r="4141">
          <cell r="A4141" t="str">
            <v>IS_alqt_minus</v>
          </cell>
          <cell r="K4141" t="str">
            <v>EMON</v>
          </cell>
          <cell r="M4141" t="str">
            <v>F</v>
          </cell>
          <cell r="AC4141">
            <v>0.2</v>
          </cell>
        </row>
        <row r="4142">
          <cell r="A4142" t="str">
            <v>IS_alqt_minus</v>
          </cell>
          <cell r="K4142" t="str">
            <v>EMON</v>
          </cell>
          <cell r="M4142" t="str">
            <v>F</v>
          </cell>
          <cell r="AC4142">
            <v>0.2</v>
          </cell>
        </row>
        <row r="4143">
          <cell r="A4143" t="str">
            <v>IS_alqt_minus</v>
          </cell>
          <cell r="K4143" t="str">
            <v>EMON</v>
          </cell>
          <cell r="M4143" t="str">
            <v>F</v>
          </cell>
          <cell r="AC4143">
            <v>0.2</v>
          </cell>
        </row>
        <row r="4144">
          <cell r="A4144" t="str">
            <v>IS_alqt_minus</v>
          </cell>
          <cell r="K4144" t="str">
            <v>MMUR</v>
          </cell>
          <cell r="M4144" t="str">
            <v>F</v>
          </cell>
          <cell r="AC4144">
            <v>0.2</v>
          </cell>
        </row>
        <row r="4145">
          <cell r="A4145" t="str">
            <v>IS_alqt_minus</v>
          </cell>
          <cell r="K4145" t="str">
            <v>MMUR</v>
          </cell>
          <cell r="M4145" t="str">
            <v>F</v>
          </cell>
          <cell r="AC4145">
            <v>0.2</v>
          </cell>
        </row>
        <row r="4146">
          <cell r="A4146" t="str">
            <v>IS_alqt_minus</v>
          </cell>
          <cell r="K4146" t="str">
            <v>PCOQ</v>
          </cell>
          <cell r="M4146" t="str">
            <v>M</v>
          </cell>
          <cell r="AC4146">
            <v>0.5</v>
          </cell>
        </row>
        <row r="4147">
          <cell r="A4147" t="str">
            <v>IS_alqt_minus</v>
          </cell>
          <cell r="K4147" t="str">
            <v>PCOQ</v>
          </cell>
          <cell r="M4147" t="str">
            <v>M</v>
          </cell>
          <cell r="AC4147">
            <v>0.5</v>
          </cell>
        </row>
        <row r="4148">
          <cell r="A4148" t="str">
            <v>IS_alqt_plus</v>
          </cell>
          <cell r="K4148" t="str">
            <v>PCOQ</v>
          </cell>
          <cell r="M4148" t="str">
            <v>M</v>
          </cell>
          <cell r="AC4148">
            <v>0.5</v>
          </cell>
        </row>
        <row r="4149">
          <cell r="A4149" t="str">
            <v>IS_alqt_plus</v>
          </cell>
          <cell r="K4149" t="str">
            <v>PCOQ</v>
          </cell>
          <cell r="M4149" t="str">
            <v>M</v>
          </cell>
          <cell r="AC4149">
            <v>0.5</v>
          </cell>
        </row>
        <row r="4150">
          <cell r="A4150" t="str">
            <v>IS_alqt_plus</v>
          </cell>
          <cell r="K4150" t="str">
            <v>PCOQ</v>
          </cell>
          <cell r="M4150" t="str">
            <v>M</v>
          </cell>
          <cell r="AC4150">
            <v>0.5</v>
          </cell>
        </row>
        <row r="4151">
          <cell r="A4151" t="str">
            <v>IS_alqt_plus</v>
          </cell>
          <cell r="K4151" t="str">
            <v>PCOQ</v>
          </cell>
          <cell r="M4151" t="str">
            <v>M</v>
          </cell>
          <cell r="AC4151">
            <v>0.5</v>
          </cell>
        </row>
        <row r="4152">
          <cell r="A4152" t="str">
            <v>IS_alqt_plus</v>
          </cell>
          <cell r="K4152" t="str">
            <v>PCOQ</v>
          </cell>
          <cell r="M4152" t="str">
            <v>M</v>
          </cell>
          <cell r="AC4152">
            <v>0.5</v>
          </cell>
        </row>
        <row r="4153">
          <cell r="A4153" t="str">
            <v>IS_alqt_plus</v>
          </cell>
          <cell r="K4153" t="str">
            <v>PCOQ</v>
          </cell>
          <cell r="M4153" t="str">
            <v>M</v>
          </cell>
          <cell r="AC4153">
            <v>0.5</v>
          </cell>
        </row>
        <row r="4154">
          <cell r="A4154" t="str">
            <v>IS_alqt_plus</v>
          </cell>
          <cell r="K4154" t="str">
            <v>PCOQ</v>
          </cell>
          <cell r="M4154" t="str">
            <v>M</v>
          </cell>
          <cell r="AC4154">
            <v>1</v>
          </cell>
        </row>
        <row r="4155">
          <cell r="A4155" t="str">
            <v>IS_alqt_plus</v>
          </cell>
          <cell r="K4155" t="str">
            <v>PCOQ</v>
          </cell>
          <cell r="M4155" t="str">
            <v>M</v>
          </cell>
          <cell r="AC4155">
            <v>1</v>
          </cell>
        </row>
        <row r="4156">
          <cell r="A4156" t="str">
            <v>IS_alqt_plus</v>
          </cell>
          <cell r="K4156" t="str">
            <v>PCOQ</v>
          </cell>
          <cell r="M4156" t="str">
            <v>M</v>
          </cell>
          <cell r="AC4156">
            <v>1</v>
          </cell>
        </row>
        <row r="4157">
          <cell r="A4157" t="str">
            <v>IS_alqt_minus</v>
          </cell>
          <cell r="K4157" t="str">
            <v>PCOQ</v>
          </cell>
          <cell r="M4157" t="str">
            <v>M</v>
          </cell>
          <cell r="AC4157">
            <v>0.2</v>
          </cell>
        </row>
        <row r="4158">
          <cell r="A4158" t="str">
            <v>IS_alqt_minus</v>
          </cell>
          <cell r="K4158" t="str">
            <v>PCOQ</v>
          </cell>
          <cell r="M4158" t="str">
            <v>M</v>
          </cell>
          <cell r="AC4158">
            <v>0.2</v>
          </cell>
        </row>
        <row r="4159">
          <cell r="A4159" t="str">
            <v>IS_alqt_minus</v>
          </cell>
          <cell r="K4159" t="str">
            <v>PCOQ</v>
          </cell>
          <cell r="M4159" t="str">
            <v>M</v>
          </cell>
          <cell r="AC4159">
            <v>0.2</v>
          </cell>
        </row>
        <row r="4160">
          <cell r="A4160" t="str">
            <v>IS_alqt_minus</v>
          </cell>
          <cell r="K4160" t="str">
            <v>PCOQ</v>
          </cell>
          <cell r="M4160" t="str">
            <v>M</v>
          </cell>
          <cell r="AC4160">
            <v>0.2</v>
          </cell>
        </row>
        <row r="4161">
          <cell r="A4161" t="str">
            <v>IS_alqt_minus</v>
          </cell>
          <cell r="K4161" t="str">
            <v>PCOQ</v>
          </cell>
          <cell r="M4161" t="str">
            <v>M</v>
          </cell>
          <cell r="AC4161">
            <v>0.2</v>
          </cell>
        </row>
        <row r="4162">
          <cell r="A4162" t="str">
            <v>IS_alqt_plus</v>
          </cell>
          <cell r="K4162" t="str">
            <v>VVV</v>
          </cell>
          <cell r="M4162" t="str">
            <v>F</v>
          </cell>
          <cell r="AC4162">
            <v>0.5</v>
          </cell>
        </row>
        <row r="4163">
          <cell r="A4163" t="str">
            <v>IS_alqt_minus</v>
          </cell>
          <cell r="K4163" t="str">
            <v>VVV</v>
          </cell>
          <cell r="M4163" t="str">
            <v>F</v>
          </cell>
          <cell r="AC4163">
            <v>0.2</v>
          </cell>
        </row>
        <row r="4164">
          <cell r="A4164" t="str">
            <v>IS_alqt_minus</v>
          </cell>
          <cell r="K4164" t="str">
            <v>EFLA</v>
          </cell>
          <cell r="M4164" t="str">
            <v>M</v>
          </cell>
          <cell r="AC4164">
            <v>0.2</v>
          </cell>
        </row>
        <row r="4165">
          <cell r="A4165" t="str">
            <v>IS_alqt_minus</v>
          </cell>
          <cell r="K4165" t="str">
            <v>EFLA</v>
          </cell>
          <cell r="M4165" t="str">
            <v>M</v>
          </cell>
          <cell r="AC4165">
            <v>0.2</v>
          </cell>
        </row>
        <row r="4166">
          <cell r="A4166" t="str">
            <v>IS_alqt_minus</v>
          </cell>
          <cell r="K4166" t="str">
            <v>EFLA</v>
          </cell>
          <cell r="M4166" t="str">
            <v>M</v>
          </cell>
          <cell r="AC4166">
            <v>0.2</v>
          </cell>
        </row>
        <row r="4167">
          <cell r="A4167" t="str">
            <v>IS_alqt_minus</v>
          </cell>
          <cell r="K4167" t="str">
            <v>EFLA</v>
          </cell>
          <cell r="M4167" t="str">
            <v>M</v>
          </cell>
          <cell r="AC4167">
            <v>0.2</v>
          </cell>
        </row>
        <row r="4168">
          <cell r="A4168" t="str">
            <v>IS_alqt_minus</v>
          </cell>
          <cell r="K4168" t="str">
            <v>EFLA</v>
          </cell>
          <cell r="M4168" t="str">
            <v>M</v>
          </cell>
          <cell r="AC4168">
            <v>0.2</v>
          </cell>
        </row>
        <row r="4169">
          <cell r="A4169" t="str">
            <v>IS_alqt_plus</v>
          </cell>
          <cell r="K4169" t="str">
            <v>EFLA</v>
          </cell>
          <cell r="M4169" t="str">
            <v>M</v>
          </cell>
          <cell r="AC4169">
            <v>0.5</v>
          </cell>
        </row>
        <row r="4170">
          <cell r="A4170" t="str">
            <v>IS_alqt_plus</v>
          </cell>
          <cell r="K4170" t="str">
            <v>EFLA</v>
          </cell>
          <cell r="M4170" t="str">
            <v>M</v>
          </cell>
          <cell r="AC4170">
            <v>0.5</v>
          </cell>
        </row>
        <row r="4171">
          <cell r="A4171" t="str">
            <v>IS_alqt_plus</v>
          </cell>
          <cell r="K4171" t="str">
            <v>EFLA</v>
          </cell>
          <cell r="M4171" t="str">
            <v>M</v>
          </cell>
          <cell r="AC4171">
            <v>0.5</v>
          </cell>
        </row>
        <row r="4172">
          <cell r="A4172" t="str">
            <v>IS_alqt_plus</v>
          </cell>
          <cell r="K4172" t="str">
            <v>PCOQ</v>
          </cell>
          <cell r="M4172" t="str">
            <v>M</v>
          </cell>
          <cell r="AC4172">
            <v>0.5</v>
          </cell>
        </row>
        <row r="4173">
          <cell r="A4173" t="str">
            <v>IS_alqt_plus</v>
          </cell>
          <cell r="K4173" t="str">
            <v>PCOQ</v>
          </cell>
          <cell r="M4173" t="str">
            <v>M</v>
          </cell>
          <cell r="AC4173">
            <v>0.5</v>
          </cell>
        </row>
        <row r="4174">
          <cell r="A4174" t="str">
            <v>IS_alqt_plus</v>
          </cell>
          <cell r="K4174" t="str">
            <v>PCOQ</v>
          </cell>
          <cell r="M4174" t="str">
            <v>M</v>
          </cell>
          <cell r="AC4174">
            <v>0.5</v>
          </cell>
        </row>
        <row r="4175">
          <cell r="A4175" t="str">
            <v>gone</v>
          </cell>
          <cell r="K4175" t="str">
            <v>PCOQ</v>
          </cell>
          <cell r="M4175" t="str">
            <v>M</v>
          </cell>
          <cell r="AC4175">
            <v>0.5</v>
          </cell>
        </row>
        <row r="4176">
          <cell r="A4176" t="str">
            <v>gone</v>
          </cell>
          <cell r="K4176" t="str">
            <v>PCOQ</v>
          </cell>
          <cell r="M4176" t="str">
            <v>M</v>
          </cell>
          <cell r="AC4176">
            <v>0.5</v>
          </cell>
        </row>
        <row r="4177">
          <cell r="A4177" t="str">
            <v>IS_alqt_plus</v>
          </cell>
          <cell r="K4177" t="str">
            <v>PCOQ</v>
          </cell>
          <cell r="M4177" t="str">
            <v>M</v>
          </cell>
          <cell r="AC4177">
            <v>0.5</v>
          </cell>
        </row>
        <row r="4178">
          <cell r="A4178" t="str">
            <v>IS_alqt_plus</v>
          </cell>
          <cell r="K4178" t="str">
            <v>PCOQ</v>
          </cell>
          <cell r="M4178" t="str">
            <v>M</v>
          </cell>
          <cell r="AC4178">
            <v>0.5</v>
          </cell>
        </row>
        <row r="4179">
          <cell r="A4179" t="str">
            <v>IS_alqt_plus</v>
          </cell>
          <cell r="K4179" t="str">
            <v>PCOQ</v>
          </cell>
          <cell r="M4179" t="str">
            <v>M</v>
          </cell>
          <cell r="AC4179">
            <v>0.5</v>
          </cell>
        </row>
        <row r="4180">
          <cell r="A4180" t="str">
            <v>IS_alqt_plus</v>
          </cell>
          <cell r="K4180" t="str">
            <v>PCOQ</v>
          </cell>
          <cell r="M4180" t="str">
            <v>M</v>
          </cell>
          <cell r="AC4180">
            <v>0.5</v>
          </cell>
        </row>
        <row r="4181">
          <cell r="A4181" t="str">
            <v>IS_alqt_plus</v>
          </cell>
          <cell r="K4181" t="str">
            <v>PCOQ</v>
          </cell>
          <cell r="M4181" t="str">
            <v>M</v>
          </cell>
          <cell r="AC4181">
            <v>0.5</v>
          </cell>
        </row>
        <row r="4182">
          <cell r="A4182" t="str">
            <v>IS_alqt_plus</v>
          </cell>
          <cell r="K4182" t="str">
            <v>PCOQ</v>
          </cell>
          <cell r="M4182" t="str">
            <v>M</v>
          </cell>
          <cell r="AC4182">
            <v>0.5</v>
          </cell>
        </row>
        <row r="4183">
          <cell r="A4183" t="str">
            <v>IS_alqt_plus</v>
          </cell>
          <cell r="K4183" t="str">
            <v>PCOQ</v>
          </cell>
          <cell r="M4183" t="str">
            <v>M</v>
          </cell>
          <cell r="AC4183">
            <v>0.5</v>
          </cell>
        </row>
        <row r="4184">
          <cell r="A4184" t="str">
            <v>IS_alqt_plus</v>
          </cell>
          <cell r="K4184" t="str">
            <v>VVV</v>
          </cell>
          <cell r="M4184" t="str">
            <v>M</v>
          </cell>
          <cell r="AC4184">
            <v>0.5</v>
          </cell>
        </row>
        <row r="4185">
          <cell r="A4185" t="str">
            <v>IS_alqt_plus</v>
          </cell>
          <cell r="K4185" t="str">
            <v>VVV</v>
          </cell>
          <cell r="M4185" t="str">
            <v>M</v>
          </cell>
          <cell r="AC4185">
            <v>0.5</v>
          </cell>
        </row>
        <row r="4186">
          <cell r="A4186" t="str">
            <v>gone</v>
          </cell>
          <cell r="K4186" t="str">
            <v>VVV</v>
          </cell>
          <cell r="M4186" t="str">
            <v>M</v>
          </cell>
          <cell r="AC4186">
            <v>0.5</v>
          </cell>
        </row>
        <row r="4187">
          <cell r="A4187" t="str">
            <v>gone</v>
          </cell>
          <cell r="K4187" t="str">
            <v>VVV</v>
          </cell>
          <cell r="M4187" t="str">
            <v>M</v>
          </cell>
          <cell r="AC4187">
            <v>0.5</v>
          </cell>
        </row>
        <row r="4188">
          <cell r="A4188" t="str">
            <v>IS_alqt_plus</v>
          </cell>
          <cell r="K4188" t="str">
            <v>VVV</v>
          </cell>
          <cell r="M4188" t="str">
            <v>M</v>
          </cell>
          <cell r="AC4188">
            <v>1</v>
          </cell>
        </row>
        <row r="4189">
          <cell r="A4189" t="str">
            <v>IS_alqt_plus</v>
          </cell>
          <cell r="K4189" t="str">
            <v>EFLA</v>
          </cell>
          <cell r="M4189" t="str">
            <v>F</v>
          </cell>
          <cell r="AC4189">
            <v>0.5</v>
          </cell>
        </row>
        <row r="4190">
          <cell r="A4190" t="str">
            <v>IS_alqt_plus</v>
          </cell>
          <cell r="K4190" t="str">
            <v>EFLA</v>
          </cell>
          <cell r="M4190" t="str">
            <v>F</v>
          </cell>
          <cell r="AC4190">
            <v>0.5</v>
          </cell>
        </row>
        <row r="4191">
          <cell r="A4191" t="str">
            <v>IS_alqt_plus</v>
          </cell>
          <cell r="K4191" t="str">
            <v>EFLA</v>
          </cell>
          <cell r="M4191" t="str">
            <v>F</v>
          </cell>
          <cell r="AC4191">
            <v>0.5</v>
          </cell>
        </row>
        <row r="4192">
          <cell r="A4192" t="str">
            <v>IS_alqt_plus</v>
          </cell>
          <cell r="K4192" t="str">
            <v>VRUB</v>
          </cell>
          <cell r="M4192" t="str">
            <v>M</v>
          </cell>
          <cell r="AC4192">
            <v>0.5</v>
          </cell>
        </row>
        <row r="4193">
          <cell r="A4193" t="str">
            <v>IS_alqt_plus</v>
          </cell>
          <cell r="K4193" t="str">
            <v>PCOQ</v>
          </cell>
          <cell r="M4193" t="str">
            <v>F</v>
          </cell>
          <cell r="AC4193">
            <v>0.5</v>
          </cell>
        </row>
        <row r="4194">
          <cell r="A4194" t="str">
            <v>IS_alqt_plus</v>
          </cell>
          <cell r="K4194" t="str">
            <v>PCOQ</v>
          </cell>
          <cell r="M4194" t="str">
            <v>F</v>
          </cell>
          <cell r="AC4194">
            <v>0.5</v>
          </cell>
        </row>
        <row r="4195">
          <cell r="A4195" t="str">
            <v>IS_alqt_plus</v>
          </cell>
          <cell r="K4195" t="str">
            <v>PCOQ</v>
          </cell>
          <cell r="M4195" t="str">
            <v>F</v>
          </cell>
          <cell r="AC4195">
            <v>0.5</v>
          </cell>
        </row>
        <row r="4196">
          <cell r="A4196" t="str">
            <v>IS_alqt_plus</v>
          </cell>
          <cell r="K4196" t="str">
            <v>CMED</v>
          </cell>
          <cell r="M4196" t="str">
            <v>M</v>
          </cell>
          <cell r="AC4196">
            <v>0.5</v>
          </cell>
        </row>
        <row r="4197">
          <cell r="A4197" t="str">
            <v>IS_alqt_plus</v>
          </cell>
          <cell r="K4197" t="str">
            <v>CMED</v>
          </cell>
          <cell r="M4197" t="str">
            <v>M</v>
          </cell>
          <cell r="AC4197">
            <v>0.5</v>
          </cell>
        </row>
        <row r="4198">
          <cell r="A4198" t="str">
            <v>IS_alqt_plus</v>
          </cell>
          <cell r="K4198" t="str">
            <v>VVV</v>
          </cell>
          <cell r="M4198" t="str">
            <v>M</v>
          </cell>
          <cell r="AC4198">
            <v>0.5</v>
          </cell>
        </row>
        <row r="4199">
          <cell r="A4199" t="str">
            <v>IS_alqt_plus</v>
          </cell>
          <cell r="K4199" t="str">
            <v>VVV</v>
          </cell>
          <cell r="M4199" t="str">
            <v>M</v>
          </cell>
          <cell r="AC4199">
            <v>0.5</v>
          </cell>
        </row>
        <row r="4200">
          <cell r="A4200" t="str">
            <v>IS_alqt_plus</v>
          </cell>
          <cell r="K4200" t="str">
            <v>VVV</v>
          </cell>
          <cell r="M4200" t="str">
            <v>M</v>
          </cell>
          <cell r="AC4200">
            <v>0.5</v>
          </cell>
        </row>
        <row r="4201">
          <cell r="A4201" t="str">
            <v>IS_alqt_plus</v>
          </cell>
          <cell r="K4201" t="str">
            <v>VVV</v>
          </cell>
          <cell r="M4201" t="str">
            <v>M</v>
          </cell>
          <cell r="AC4201">
            <v>1</v>
          </cell>
        </row>
        <row r="4202">
          <cell r="A4202" t="str">
            <v>IS_alqt_plus</v>
          </cell>
          <cell r="K4202" t="str">
            <v>VVV</v>
          </cell>
          <cell r="M4202" t="str">
            <v>M</v>
          </cell>
          <cell r="AC4202">
            <v>1</v>
          </cell>
        </row>
        <row r="4203">
          <cell r="A4203" t="str">
            <v>IS_alqt_plus</v>
          </cell>
          <cell r="K4203" t="str">
            <v>VVV</v>
          </cell>
          <cell r="M4203" t="str">
            <v>M</v>
          </cell>
          <cell r="AC4203">
            <v>1</v>
          </cell>
        </row>
        <row r="4204">
          <cell r="A4204" t="str">
            <v>IS_alqt_plus</v>
          </cell>
          <cell r="K4204" t="str">
            <v>DMAD</v>
          </cell>
          <cell r="M4204" t="str">
            <v>F</v>
          </cell>
          <cell r="AC4204">
            <v>0.5</v>
          </cell>
        </row>
        <row r="4205">
          <cell r="A4205" t="str">
            <v>IS_alqt_plus</v>
          </cell>
          <cell r="K4205" t="str">
            <v>DMAD</v>
          </cell>
          <cell r="M4205" t="str">
            <v>F</v>
          </cell>
          <cell r="AC4205">
            <v>0.5</v>
          </cell>
        </row>
        <row r="4206">
          <cell r="A4206" t="str">
            <v>IS_alqt_plus</v>
          </cell>
          <cell r="K4206" t="str">
            <v>DMAD</v>
          </cell>
          <cell r="M4206" t="str">
            <v>F</v>
          </cell>
          <cell r="AC4206">
            <v>0.5</v>
          </cell>
        </row>
        <row r="4207">
          <cell r="A4207" t="str">
            <v>IS_alqt_plus</v>
          </cell>
          <cell r="K4207" t="str">
            <v>DMAD</v>
          </cell>
          <cell r="M4207" t="str">
            <v>F</v>
          </cell>
          <cell r="AC4207">
            <v>0.5</v>
          </cell>
        </row>
        <row r="4208">
          <cell r="A4208" t="str">
            <v>IS_alqt_plus</v>
          </cell>
          <cell r="K4208" t="str">
            <v>DMAD</v>
          </cell>
          <cell r="M4208" t="str">
            <v>F</v>
          </cell>
          <cell r="AC4208">
            <v>0.5</v>
          </cell>
        </row>
        <row r="4209">
          <cell r="A4209" t="str">
            <v>IS_alqt_plus</v>
          </cell>
          <cell r="K4209" t="str">
            <v>DMAD</v>
          </cell>
          <cell r="M4209" t="str">
            <v>F</v>
          </cell>
          <cell r="AC4209">
            <v>0.5</v>
          </cell>
        </row>
        <row r="4210">
          <cell r="A4210" t="str">
            <v>IS_alqt_plus</v>
          </cell>
          <cell r="K4210" t="str">
            <v>DMAD</v>
          </cell>
          <cell r="M4210" t="str">
            <v>F</v>
          </cell>
          <cell r="AC4210">
            <v>0.5</v>
          </cell>
        </row>
        <row r="4211">
          <cell r="A4211" t="str">
            <v>IS_alqt_plus</v>
          </cell>
          <cell r="K4211" t="str">
            <v>DMAD</v>
          </cell>
          <cell r="M4211" t="str">
            <v>F</v>
          </cell>
          <cell r="AC4211">
            <v>0.5</v>
          </cell>
        </row>
        <row r="4212">
          <cell r="A4212" t="str">
            <v>IS_alqt_plus</v>
          </cell>
          <cell r="K4212" t="str">
            <v>MMUR</v>
          </cell>
          <cell r="M4212" t="str">
            <v>F</v>
          </cell>
          <cell r="AC4212">
            <v>0.5</v>
          </cell>
        </row>
        <row r="4213">
          <cell r="A4213" t="str">
            <v>IS_alqt_plus</v>
          </cell>
          <cell r="K4213" t="str">
            <v>MMUR</v>
          </cell>
          <cell r="M4213" t="str">
            <v>F</v>
          </cell>
          <cell r="AC4213">
            <v>0.5</v>
          </cell>
        </row>
        <row r="4214">
          <cell r="A4214" t="str">
            <v>IS_alqt_plus</v>
          </cell>
          <cell r="K4214" t="str">
            <v>MMUR</v>
          </cell>
          <cell r="M4214" t="str">
            <v>F</v>
          </cell>
          <cell r="AC4214">
            <v>0.5</v>
          </cell>
        </row>
        <row r="4215">
          <cell r="A4215" t="str">
            <v>IS_alqt_plus</v>
          </cell>
          <cell r="K4215" t="str">
            <v>EFLA</v>
          </cell>
          <cell r="M4215" t="str">
            <v>M</v>
          </cell>
          <cell r="AC4215">
            <v>0.5</v>
          </cell>
        </row>
        <row r="4216">
          <cell r="A4216" t="str">
            <v>IS_alqt_plus</v>
          </cell>
          <cell r="K4216" t="str">
            <v>EFLA</v>
          </cell>
          <cell r="M4216" t="str">
            <v>M</v>
          </cell>
          <cell r="AC4216">
            <v>0.5</v>
          </cell>
        </row>
        <row r="4217">
          <cell r="A4217" t="str">
            <v>IS_alqt_plus</v>
          </cell>
          <cell r="K4217" t="str">
            <v>EFLA</v>
          </cell>
          <cell r="M4217" t="str">
            <v>M</v>
          </cell>
          <cell r="AC4217">
            <v>0.5</v>
          </cell>
        </row>
        <row r="4218">
          <cell r="A4218" t="str">
            <v>IS_alqt_plus</v>
          </cell>
          <cell r="K4218" t="str">
            <v>EFLA</v>
          </cell>
          <cell r="M4218" t="str">
            <v>M</v>
          </cell>
          <cell r="AC4218">
            <v>0.5</v>
          </cell>
        </row>
        <row r="4219">
          <cell r="A4219" t="str">
            <v>IS_alqt_plus</v>
          </cell>
          <cell r="K4219" t="str">
            <v>PCOQ</v>
          </cell>
          <cell r="M4219" t="str">
            <v>F</v>
          </cell>
          <cell r="AC4219">
            <v>0.5</v>
          </cell>
        </row>
        <row r="4220">
          <cell r="A4220" t="str">
            <v>IS_alqt_plus</v>
          </cell>
          <cell r="K4220" t="str">
            <v>PCOQ</v>
          </cell>
          <cell r="M4220" t="str">
            <v>F</v>
          </cell>
          <cell r="AC4220">
            <v>0.5</v>
          </cell>
        </row>
        <row r="4221">
          <cell r="A4221" t="str">
            <v>IS_alqt_plus</v>
          </cell>
          <cell r="K4221" t="str">
            <v>PCOQ</v>
          </cell>
          <cell r="M4221" t="str">
            <v>F</v>
          </cell>
          <cell r="AC4221">
            <v>0.5</v>
          </cell>
        </row>
        <row r="4222">
          <cell r="A4222" t="str">
            <v>IS_alqt_plus</v>
          </cell>
          <cell r="K4222" t="str">
            <v>PCOQ</v>
          </cell>
          <cell r="M4222" t="str">
            <v>F</v>
          </cell>
          <cell r="AC4222">
            <v>0.5</v>
          </cell>
        </row>
        <row r="4223">
          <cell r="A4223" t="str">
            <v>IS_alqt_plus</v>
          </cell>
          <cell r="K4223" t="str">
            <v>PCOQ</v>
          </cell>
          <cell r="M4223" t="str">
            <v>M</v>
          </cell>
          <cell r="AC4223">
            <v>0.5</v>
          </cell>
        </row>
        <row r="4224">
          <cell r="A4224" t="str">
            <v>IS_alqt_plus</v>
          </cell>
          <cell r="K4224" t="str">
            <v>LCAT</v>
          </cell>
          <cell r="M4224" t="str">
            <v>M</v>
          </cell>
          <cell r="AC4224">
            <v>0.5</v>
          </cell>
        </row>
        <row r="4225">
          <cell r="A4225" t="str">
            <v>IS_alqt_plus</v>
          </cell>
          <cell r="K4225" t="str">
            <v>LCAT</v>
          </cell>
          <cell r="M4225" t="str">
            <v>M</v>
          </cell>
          <cell r="AC4225">
            <v>0.5</v>
          </cell>
        </row>
        <row r="4226">
          <cell r="A4226" t="str">
            <v>IS_alqt_plus</v>
          </cell>
          <cell r="K4226" t="str">
            <v>LCAT</v>
          </cell>
          <cell r="M4226" t="str">
            <v>M</v>
          </cell>
          <cell r="AC4226">
            <v>0.5</v>
          </cell>
        </row>
        <row r="4227">
          <cell r="A4227" t="str">
            <v>IS_alqt_plus</v>
          </cell>
          <cell r="K4227" t="str">
            <v>LCAT</v>
          </cell>
          <cell r="M4227" t="str">
            <v>M</v>
          </cell>
          <cell r="AC4227">
            <v>0.5</v>
          </cell>
        </row>
        <row r="4228">
          <cell r="A4228" t="str">
            <v>IS_alqt_plus</v>
          </cell>
          <cell r="K4228" t="str">
            <v>LCAT</v>
          </cell>
          <cell r="M4228" t="str">
            <v>M</v>
          </cell>
          <cell r="AC4228">
            <v>0.5</v>
          </cell>
        </row>
        <row r="4229">
          <cell r="A4229" t="str">
            <v>IS_alqt_plus</v>
          </cell>
          <cell r="K4229" t="str">
            <v>LCAT</v>
          </cell>
          <cell r="M4229" t="str">
            <v>M</v>
          </cell>
          <cell r="AC4229">
            <v>0.5</v>
          </cell>
        </row>
        <row r="4230">
          <cell r="A4230" t="str">
            <v>IS_alqt_plus</v>
          </cell>
          <cell r="K4230" t="str">
            <v>LCAT</v>
          </cell>
          <cell r="M4230" t="str">
            <v>M</v>
          </cell>
          <cell r="AC4230">
            <v>0.5</v>
          </cell>
        </row>
        <row r="4231">
          <cell r="A4231" t="str">
            <v>IS_alqt_plus</v>
          </cell>
          <cell r="K4231" t="str">
            <v>EFLA</v>
          </cell>
          <cell r="M4231" t="str">
            <v>F</v>
          </cell>
          <cell r="AC4231">
            <v>0.5</v>
          </cell>
        </row>
        <row r="4232">
          <cell r="A4232" t="str">
            <v>IS_alqt_plus</v>
          </cell>
          <cell r="K4232" t="str">
            <v>EFLA</v>
          </cell>
          <cell r="M4232" t="str">
            <v>F</v>
          </cell>
          <cell r="AC4232">
            <v>0.5</v>
          </cell>
        </row>
        <row r="4233">
          <cell r="A4233" t="str">
            <v>IS_alqt_plus</v>
          </cell>
          <cell r="K4233" t="str">
            <v>EFLA</v>
          </cell>
          <cell r="M4233" t="str">
            <v>F</v>
          </cell>
          <cell r="AC4233">
            <v>0.5</v>
          </cell>
        </row>
        <row r="4234">
          <cell r="A4234" t="str">
            <v>IS_alqt_plus</v>
          </cell>
          <cell r="K4234" t="str">
            <v>EFLA</v>
          </cell>
          <cell r="M4234" t="str">
            <v>F</v>
          </cell>
          <cell r="AC4234">
            <v>0.5</v>
          </cell>
        </row>
        <row r="4235">
          <cell r="A4235" t="str">
            <v>IS_alqt_plus</v>
          </cell>
          <cell r="K4235" t="str">
            <v>EFLA</v>
          </cell>
          <cell r="M4235" t="str">
            <v>F</v>
          </cell>
          <cell r="AC4235">
            <v>0.5</v>
          </cell>
        </row>
        <row r="4236">
          <cell r="A4236" t="str">
            <v>IS_alqt_plus</v>
          </cell>
          <cell r="K4236" t="str">
            <v>EFLA</v>
          </cell>
          <cell r="M4236" t="str">
            <v>F</v>
          </cell>
          <cell r="AC4236">
            <v>0.5</v>
          </cell>
        </row>
        <row r="4237">
          <cell r="A4237" t="str">
            <v>IS_alqt_plus</v>
          </cell>
          <cell r="K4237" t="str">
            <v>CMED</v>
          </cell>
          <cell r="M4237" t="str">
            <v>M</v>
          </cell>
          <cell r="AC4237">
            <v>0.5</v>
          </cell>
        </row>
        <row r="4238">
          <cell r="A4238" t="str">
            <v>IS_alqt_plus</v>
          </cell>
          <cell r="K4238" t="str">
            <v>PCOQ</v>
          </cell>
          <cell r="M4238" t="str">
            <v>M</v>
          </cell>
          <cell r="AC4238">
            <v>0.5</v>
          </cell>
        </row>
        <row r="4239">
          <cell r="A4239" t="str">
            <v>IS_alqt_plus</v>
          </cell>
          <cell r="K4239" t="str">
            <v>PCOQ</v>
          </cell>
          <cell r="M4239" t="str">
            <v>M</v>
          </cell>
          <cell r="AC4239">
            <v>0.5</v>
          </cell>
        </row>
        <row r="4240">
          <cell r="A4240" t="str">
            <v>IS_alqt_plus</v>
          </cell>
          <cell r="K4240" t="str">
            <v>PCOQ</v>
          </cell>
          <cell r="M4240" t="str">
            <v>M</v>
          </cell>
          <cell r="AC4240">
            <v>0.5</v>
          </cell>
        </row>
        <row r="4241">
          <cell r="A4241" t="str">
            <v>IS_alqt_plus</v>
          </cell>
          <cell r="K4241" t="str">
            <v>PCOQ</v>
          </cell>
          <cell r="M4241" t="str">
            <v>M</v>
          </cell>
          <cell r="AC4241">
            <v>0.5</v>
          </cell>
        </row>
        <row r="4242">
          <cell r="A4242" t="str">
            <v>IS_alqt_plus</v>
          </cell>
          <cell r="K4242" t="str">
            <v>PCOQ</v>
          </cell>
          <cell r="M4242" t="str">
            <v>F</v>
          </cell>
          <cell r="AC4242">
            <v>0.5</v>
          </cell>
        </row>
        <row r="4243">
          <cell r="A4243" t="str">
            <v>IS_alqt_plus</v>
          </cell>
          <cell r="K4243" t="str">
            <v>PCOQ</v>
          </cell>
          <cell r="M4243" t="str">
            <v>F</v>
          </cell>
          <cell r="AC4243">
            <v>0.5</v>
          </cell>
        </row>
        <row r="4244">
          <cell r="A4244" t="str">
            <v>IS_alqt_plus</v>
          </cell>
          <cell r="K4244" t="str">
            <v>PCOQ</v>
          </cell>
          <cell r="M4244" t="str">
            <v>F</v>
          </cell>
          <cell r="AC4244">
            <v>0.5</v>
          </cell>
        </row>
        <row r="4245">
          <cell r="A4245" t="str">
            <v>IS_alqt_plus</v>
          </cell>
          <cell r="K4245" t="str">
            <v>PCOQ</v>
          </cell>
          <cell r="M4245" t="str">
            <v>F</v>
          </cell>
          <cell r="AC4245">
            <v>0.5</v>
          </cell>
        </row>
        <row r="4246">
          <cell r="A4246" t="str">
            <v>IS_alqt_plus</v>
          </cell>
          <cell r="K4246" t="str">
            <v>PCOQ</v>
          </cell>
          <cell r="M4246" t="str">
            <v>M</v>
          </cell>
          <cell r="AC4246">
            <v>0.5</v>
          </cell>
        </row>
        <row r="4247">
          <cell r="A4247" t="str">
            <v>IS_alqt_plus</v>
          </cell>
          <cell r="K4247" t="str">
            <v>PCOQ</v>
          </cell>
          <cell r="M4247" t="str">
            <v>M</v>
          </cell>
          <cell r="AC4247">
            <v>0.5</v>
          </cell>
        </row>
        <row r="4248">
          <cell r="A4248" t="str">
            <v>IS_alqt_plus</v>
          </cell>
          <cell r="K4248" t="str">
            <v>PCOQ</v>
          </cell>
          <cell r="M4248" t="str">
            <v>M</v>
          </cell>
          <cell r="AC4248">
            <v>0.5</v>
          </cell>
        </row>
        <row r="4249">
          <cell r="A4249" t="str">
            <v>IS_alqt_plus</v>
          </cell>
          <cell r="K4249" t="str">
            <v>PCOQ</v>
          </cell>
          <cell r="M4249" t="str">
            <v>M</v>
          </cell>
          <cell r="AC4249">
            <v>0.5</v>
          </cell>
        </row>
        <row r="4250">
          <cell r="A4250" t="str">
            <v>IS_alqt_plus</v>
          </cell>
          <cell r="K4250" t="str">
            <v>VVV</v>
          </cell>
          <cell r="M4250" t="str">
            <v>F</v>
          </cell>
          <cell r="AC4250">
            <v>1.5</v>
          </cell>
        </row>
        <row r="4251">
          <cell r="A4251" t="str">
            <v>IS_alqt_plus</v>
          </cell>
          <cell r="K4251" t="str">
            <v>VVV</v>
          </cell>
          <cell r="M4251" t="str">
            <v>F</v>
          </cell>
          <cell r="AC4251">
            <v>1.5</v>
          </cell>
        </row>
        <row r="4252">
          <cell r="A4252" t="str">
            <v>IS_alqt_plus</v>
          </cell>
          <cell r="K4252" t="str">
            <v>VVV</v>
          </cell>
          <cell r="M4252" t="str">
            <v>F</v>
          </cell>
          <cell r="AC4252">
            <v>1</v>
          </cell>
        </row>
        <row r="4253">
          <cell r="A4253" t="str">
            <v>IS_alqt_plus</v>
          </cell>
          <cell r="K4253" t="str">
            <v>VVV</v>
          </cell>
          <cell r="M4253" t="str">
            <v>F</v>
          </cell>
          <cell r="AC4253">
            <v>1</v>
          </cell>
        </row>
        <row r="4254">
          <cell r="A4254" t="str">
            <v>IS_alqt_plus</v>
          </cell>
          <cell r="K4254" t="str">
            <v>VVV</v>
          </cell>
          <cell r="M4254" t="str">
            <v>F</v>
          </cell>
          <cell r="AC4254">
            <v>1</v>
          </cell>
        </row>
        <row r="4255">
          <cell r="A4255" t="str">
            <v>IS_alqt_plus</v>
          </cell>
          <cell r="K4255" t="str">
            <v>VVV</v>
          </cell>
          <cell r="M4255" t="str">
            <v>F</v>
          </cell>
          <cell r="AC4255">
            <v>1</v>
          </cell>
        </row>
        <row r="4256">
          <cell r="A4256" t="str">
            <v>IS_alqt_plus</v>
          </cell>
          <cell r="K4256" t="str">
            <v>VVV</v>
          </cell>
          <cell r="M4256" t="str">
            <v>F</v>
          </cell>
          <cell r="AC4256">
            <v>1</v>
          </cell>
        </row>
        <row r="4257">
          <cell r="A4257" t="str">
            <v>IS_alqt_plus</v>
          </cell>
          <cell r="K4257" t="str">
            <v>LCAT</v>
          </cell>
          <cell r="M4257" t="str">
            <v>F</v>
          </cell>
          <cell r="AC4257">
            <v>1</v>
          </cell>
        </row>
        <row r="4258">
          <cell r="A4258" t="str">
            <v>IS_alqt_plus</v>
          </cell>
          <cell r="K4258" t="str">
            <v>LCAT</v>
          </cell>
          <cell r="M4258" t="str">
            <v>F</v>
          </cell>
          <cell r="AC4258">
            <v>1</v>
          </cell>
        </row>
        <row r="4259">
          <cell r="A4259" t="str">
            <v>IS_alqt_plus</v>
          </cell>
          <cell r="K4259" t="str">
            <v>LCAT</v>
          </cell>
          <cell r="M4259" t="str">
            <v>F</v>
          </cell>
          <cell r="AC4259">
            <v>1</v>
          </cell>
        </row>
        <row r="4260">
          <cell r="A4260" t="str">
            <v>IS_alqt_plus</v>
          </cell>
          <cell r="K4260" t="str">
            <v>LCAT</v>
          </cell>
          <cell r="M4260" t="str">
            <v>F</v>
          </cell>
          <cell r="AC4260">
            <v>1</v>
          </cell>
        </row>
        <row r="4261">
          <cell r="A4261" t="str">
            <v>IS_alqt_plus</v>
          </cell>
          <cell r="K4261" t="str">
            <v>LCAT</v>
          </cell>
          <cell r="M4261" t="str">
            <v>F</v>
          </cell>
          <cell r="AC4261">
            <v>1</v>
          </cell>
        </row>
        <row r="4262">
          <cell r="A4262" t="str">
            <v>IS_alqt_plus</v>
          </cell>
          <cell r="K4262" t="str">
            <v>PCOQ</v>
          </cell>
          <cell r="M4262" t="str">
            <v>M</v>
          </cell>
          <cell r="AC4262">
            <v>1.25</v>
          </cell>
        </row>
        <row r="4263">
          <cell r="A4263" t="str">
            <v>IS_alqt_plus</v>
          </cell>
          <cell r="K4263" t="str">
            <v>VVV</v>
          </cell>
          <cell r="M4263" t="str">
            <v>F</v>
          </cell>
          <cell r="AC4263">
            <v>1</v>
          </cell>
        </row>
        <row r="4264">
          <cell r="A4264" t="str">
            <v>IS_alqt_plus</v>
          </cell>
          <cell r="K4264" t="str">
            <v>VVV</v>
          </cell>
          <cell r="M4264" t="str">
            <v>F</v>
          </cell>
          <cell r="AC4264">
            <v>1</v>
          </cell>
        </row>
        <row r="4265">
          <cell r="A4265" t="str">
            <v>IS_alqt_plus</v>
          </cell>
          <cell r="K4265" t="str">
            <v>VVV</v>
          </cell>
          <cell r="M4265" t="str">
            <v>F</v>
          </cell>
          <cell r="AC4265">
            <v>1</v>
          </cell>
        </row>
        <row r="4266">
          <cell r="A4266" t="str">
            <v>IS_alqt_plus</v>
          </cell>
          <cell r="K4266" t="str">
            <v>VVV</v>
          </cell>
          <cell r="M4266" t="str">
            <v>F</v>
          </cell>
          <cell r="AC4266">
            <v>1</v>
          </cell>
        </row>
        <row r="4267">
          <cell r="A4267" t="str">
            <v>IS_alqt_plus</v>
          </cell>
          <cell r="K4267" t="str">
            <v>VVV</v>
          </cell>
          <cell r="M4267" t="str">
            <v>F</v>
          </cell>
          <cell r="AC4267">
            <v>1</v>
          </cell>
        </row>
        <row r="4268">
          <cell r="A4268" t="str">
            <v>IS_alqt_plus</v>
          </cell>
          <cell r="K4268" t="str">
            <v>VVV</v>
          </cell>
          <cell r="M4268" t="str">
            <v>F</v>
          </cell>
          <cell r="AC4268">
            <v>1</v>
          </cell>
        </row>
        <row r="4269">
          <cell r="A4269" t="str">
            <v>IS_alqt_plus</v>
          </cell>
          <cell r="K4269" t="str">
            <v>CMED</v>
          </cell>
          <cell r="M4269" t="str">
            <v>M</v>
          </cell>
          <cell r="AC4269">
            <v>0.8</v>
          </cell>
        </row>
        <row r="4270">
          <cell r="A4270" t="str">
            <v>IS_alqt_plus</v>
          </cell>
          <cell r="K4270" t="str">
            <v>CMED</v>
          </cell>
          <cell r="M4270" t="str">
            <v>F</v>
          </cell>
          <cell r="AC4270">
            <v>1</v>
          </cell>
        </row>
        <row r="4271">
          <cell r="A4271" t="str">
            <v>IS_alqt_plus</v>
          </cell>
          <cell r="K4271" t="str">
            <v>CMED</v>
          </cell>
          <cell r="M4271" t="str">
            <v>F</v>
          </cell>
          <cell r="AC4271">
            <v>1</v>
          </cell>
        </row>
        <row r="4272">
          <cell r="A4272" t="str">
            <v>IS_alqt_plus</v>
          </cell>
          <cell r="K4272" t="str">
            <v>CMED</v>
          </cell>
          <cell r="M4272" t="str">
            <v>F</v>
          </cell>
          <cell r="AC4272">
            <v>1</v>
          </cell>
        </row>
        <row r="4273">
          <cell r="A4273" t="str">
            <v>IS_alqt_plus</v>
          </cell>
          <cell r="K4273" t="str">
            <v>CMED</v>
          </cell>
          <cell r="M4273" t="str">
            <v>F</v>
          </cell>
          <cell r="AC4273">
            <v>1</v>
          </cell>
        </row>
        <row r="4274">
          <cell r="A4274" t="str">
            <v>IS_alqt_plus</v>
          </cell>
          <cell r="K4274" t="str">
            <v>ECOR</v>
          </cell>
          <cell r="M4274" t="str">
            <v>F</v>
          </cell>
          <cell r="AC4274">
            <v>1</v>
          </cell>
        </row>
        <row r="4275">
          <cell r="A4275" t="str">
            <v>IS_alqt_plus</v>
          </cell>
          <cell r="K4275" t="str">
            <v>ECOR</v>
          </cell>
          <cell r="M4275" t="str">
            <v>F</v>
          </cell>
          <cell r="AC4275">
            <v>1</v>
          </cell>
        </row>
        <row r="4276">
          <cell r="A4276" t="str">
            <v>IS_alqt_plus</v>
          </cell>
          <cell r="K4276" t="str">
            <v>ECOR</v>
          </cell>
          <cell r="M4276" t="str">
            <v>F</v>
          </cell>
          <cell r="AC4276">
            <v>1.5</v>
          </cell>
        </row>
        <row r="4277">
          <cell r="A4277" t="str">
            <v>IS_alqt_plus</v>
          </cell>
          <cell r="K4277" t="str">
            <v>ECOR</v>
          </cell>
          <cell r="M4277" t="str">
            <v>F</v>
          </cell>
          <cell r="AC4277">
            <v>1</v>
          </cell>
        </row>
        <row r="4278">
          <cell r="A4278" t="str">
            <v>IS_alqt_plus</v>
          </cell>
          <cell r="K4278" t="str">
            <v>ECOR</v>
          </cell>
          <cell r="M4278" t="str">
            <v>F</v>
          </cell>
          <cell r="AC4278">
            <v>1</v>
          </cell>
        </row>
        <row r="4279">
          <cell r="A4279" t="str">
            <v>IS_alqt_plus</v>
          </cell>
          <cell r="K4279" t="str">
            <v>EMON</v>
          </cell>
          <cell r="M4279" t="str">
            <v>F</v>
          </cell>
          <cell r="AC4279">
            <v>1.8</v>
          </cell>
        </row>
        <row r="4280">
          <cell r="A4280" t="str">
            <v>IS_alqt_plus</v>
          </cell>
          <cell r="K4280" t="str">
            <v>EMON</v>
          </cell>
          <cell r="M4280" t="str">
            <v>F</v>
          </cell>
          <cell r="AC4280">
            <v>1.8</v>
          </cell>
        </row>
        <row r="4281">
          <cell r="A4281" t="str">
            <v>IS_alqt_plus</v>
          </cell>
          <cell r="K4281" t="str">
            <v>EFLA</v>
          </cell>
          <cell r="M4281" t="str">
            <v>F</v>
          </cell>
          <cell r="AC4281">
            <v>1</v>
          </cell>
        </row>
        <row r="4282">
          <cell r="A4282" t="str">
            <v>IS_alqt_plus</v>
          </cell>
          <cell r="K4282" t="str">
            <v>EFLA</v>
          </cell>
          <cell r="M4282" t="str">
            <v>F</v>
          </cell>
          <cell r="AC4282">
            <v>1</v>
          </cell>
        </row>
        <row r="4283">
          <cell r="A4283" t="str">
            <v>IS_alqt_plus</v>
          </cell>
          <cell r="K4283" t="str">
            <v>EFLA</v>
          </cell>
          <cell r="M4283" t="str">
            <v>F</v>
          </cell>
          <cell r="AC4283">
            <v>1</v>
          </cell>
        </row>
        <row r="4284">
          <cell r="A4284" t="str">
            <v>IS_alqt_plus</v>
          </cell>
          <cell r="K4284" t="str">
            <v>EFLA</v>
          </cell>
          <cell r="M4284" t="str">
            <v>F</v>
          </cell>
          <cell r="AC4284">
            <v>1</v>
          </cell>
        </row>
        <row r="4285">
          <cell r="A4285" t="str">
            <v>IS_alqt_plus</v>
          </cell>
          <cell r="K4285" t="str">
            <v>EFLA</v>
          </cell>
          <cell r="M4285" t="str">
            <v>F</v>
          </cell>
          <cell r="AC4285">
            <v>1</v>
          </cell>
        </row>
        <row r="4286">
          <cell r="A4286" t="str">
            <v>IS_alqt_plus</v>
          </cell>
          <cell r="K4286" t="str">
            <v>EFLA</v>
          </cell>
          <cell r="M4286" t="str">
            <v>F</v>
          </cell>
          <cell r="AC4286">
            <v>1</v>
          </cell>
        </row>
        <row r="4287">
          <cell r="A4287" t="str">
            <v>IS_alqt_plus</v>
          </cell>
          <cell r="K4287" t="str">
            <v>EFLA</v>
          </cell>
          <cell r="M4287" t="str">
            <v>F</v>
          </cell>
          <cell r="AC4287">
            <v>1</v>
          </cell>
        </row>
        <row r="4288">
          <cell r="A4288" t="str">
            <v>IS_alqt_plus</v>
          </cell>
          <cell r="K4288" t="str">
            <v>EFLA</v>
          </cell>
          <cell r="M4288" t="str">
            <v>F</v>
          </cell>
          <cell r="AC4288">
            <v>1</v>
          </cell>
        </row>
        <row r="4289">
          <cell r="A4289" t="str">
            <v>IS_alqt_plus</v>
          </cell>
          <cell r="K4289" t="str">
            <v>EFLA</v>
          </cell>
          <cell r="M4289" t="str">
            <v>F</v>
          </cell>
          <cell r="AC4289">
            <v>1</v>
          </cell>
        </row>
        <row r="4290">
          <cell r="A4290" t="str">
            <v>IS_alqt_plus</v>
          </cell>
          <cell r="K4290" t="str">
            <v>EFLA</v>
          </cell>
          <cell r="M4290" t="str">
            <v>F</v>
          </cell>
          <cell r="AC4290">
            <v>1</v>
          </cell>
        </row>
        <row r="4291">
          <cell r="A4291" t="str">
            <v>IS_alqt_plus</v>
          </cell>
          <cell r="K4291" t="str">
            <v>EFLA</v>
          </cell>
          <cell r="M4291" t="str">
            <v>F</v>
          </cell>
          <cell r="AC4291">
            <v>1</v>
          </cell>
        </row>
        <row r="4292">
          <cell r="A4292" t="str">
            <v>IS_alqt_plus</v>
          </cell>
          <cell r="K4292" t="str">
            <v>EFLA</v>
          </cell>
          <cell r="M4292" t="str">
            <v>F</v>
          </cell>
          <cell r="AC4292">
            <v>1</v>
          </cell>
        </row>
        <row r="4293">
          <cell r="A4293" t="str">
            <v>IS_alqt_plus</v>
          </cell>
          <cell r="K4293" t="str">
            <v>EFLA</v>
          </cell>
          <cell r="M4293" t="str">
            <v>F</v>
          </cell>
          <cell r="AC4293">
            <v>1</v>
          </cell>
        </row>
        <row r="4294">
          <cell r="A4294" t="str">
            <v>IS_alqt_plus</v>
          </cell>
          <cell r="K4294" t="str">
            <v>CMED</v>
          </cell>
          <cell r="M4294" t="str">
            <v>M</v>
          </cell>
          <cell r="AC4294">
            <v>1.8</v>
          </cell>
        </row>
        <row r="4295">
          <cell r="A4295" t="str">
            <v>IS_alqt_plus</v>
          </cell>
          <cell r="K4295" t="str">
            <v>EFLA</v>
          </cell>
          <cell r="M4295" t="str">
            <v>F</v>
          </cell>
          <cell r="AC4295">
            <v>1</v>
          </cell>
        </row>
        <row r="4296">
          <cell r="A4296" t="str">
            <v>IS_alqt_plus</v>
          </cell>
          <cell r="K4296" t="str">
            <v>EFLA</v>
          </cell>
          <cell r="M4296" t="str">
            <v>F</v>
          </cell>
          <cell r="AC4296">
            <v>1</v>
          </cell>
        </row>
        <row r="4297">
          <cell r="A4297" t="str">
            <v>IS_alqt_plus</v>
          </cell>
          <cell r="K4297" t="str">
            <v>EFLA</v>
          </cell>
          <cell r="M4297" t="str">
            <v>F</v>
          </cell>
          <cell r="AC4297">
            <v>1</v>
          </cell>
        </row>
        <row r="4298">
          <cell r="A4298" t="str">
            <v>IS_alqt_plus</v>
          </cell>
          <cell r="K4298" t="str">
            <v>EFLA</v>
          </cell>
          <cell r="M4298" t="str">
            <v>F</v>
          </cell>
          <cell r="AC4298">
            <v>1</v>
          </cell>
        </row>
        <row r="4299">
          <cell r="A4299" t="str">
            <v>IS_alqt_plus</v>
          </cell>
          <cell r="K4299" t="str">
            <v>EFLA</v>
          </cell>
          <cell r="M4299" t="str">
            <v>F</v>
          </cell>
          <cell r="AC4299">
            <v>1</v>
          </cell>
        </row>
        <row r="4300">
          <cell r="A4300" t="str">
            <v>IS_alqt_plus</v>
          </cell>
          <cell r="K4300" t="str">
            <v>EFLA</v>
          </cell>
          <cell r="M4300" t="str">
            <v>F</v>
          </cell>
          <cell r="AC4300">
            <v>1</v>
          </cell>
        </row>
        <row r="4301">
          <cell r="A4301" t="str">
            <v>IS_alqt_plus</v>
          </cell>
          <cell r="K4301" t="str">
            <v>EFLA</v>
          </cell>
          <cell r="M4301" t="str">
            <v>F</v>
          </cell>
          <cell r="AC4301">
            <v>1</v>
          </cell>
        </row>
        <row r="4302">
          <cell r="A4302" t="str">
            <v>IS_alqt_plus</v>
          </cell>
          <cell r="K4302" t="str">
            <v>EFLA</v>
          </cell>
          <cell r="M4302" t="str">
            <v>F</v>
          </cell>
          <cell r="AC4302">
            <v>1</v>
          </cell>
        </row>
        <row r="4303">
          <cell r="A4303" t="str">
            <v>IS_alqt_plus</v>
          </cell>
          <cell r="K4303" t="str">
            <v>EFLA</v>
          </cell>
          <cell r="M4303" t="str">
            <v>F</v>
          </cell>
          <cell r="AC4303">
            <v>1</v>
          </cell>
        </row>
        <row r="4304">
          <cell r="A4304" t="str">
            <v>IS_alqt_plus</v>
          </cell>
          <cell r="K4304" t="str">
            <v>EFLA</v>
          </cell>
          <cell r="M4304" t="str">
            <v>F</v>
          </cell>
          <cell r="AC4304">
            <v>1</v>
          </cell>
        </row>
        <row r="4305">
          <cell r="A4305" t="str">
            <v>IS_alqt_plus</v>
          </cell>
          <cell r="K4305" t="str">
            <v>EFLA</v>
          </cell>
          <cell r="M4305" t="str">
            <v>F</v>
          </cell>
          <cell r="AC4305">
            <v>1</v>
          </cell>
        </row>
        <row r="4306">
          <cell r="A4306" t="str">
            <v>IS_alqt_plus</v>
          </cell>
          <cell r="K4306" t="str">
            <v>EFLA</v>
          </cell>
          <cell r="M4306" t="str">
            <v>F</v>
          </cell>
          <cell r="AC4306">
            <v>1</v>
          </cell>
        </row>
        <row r="4307">
          <cell r="A4307" t="str">
            <v>IS_alqt_plus</v>
          </cell>
          <cell r="K4307" t="str">
            <v>EFLA</v>
          </cell>
          <cell r="M4307" t="str">
            <v>F</v>
          </cell>
          <cell r="AC4307">
            <v>1</v>
          </cell>
        </row>
        <row r="4308">
          <cell r="A4308" t="str">
            <v>IS_alqt_plus</v>
          </cell>
          <cell r="K4308" t="str">
            <v>VVV</v>
          </cell>
          <cell r="M4308" t="str">
            <v>F</v>
          </cell>
          <cell r="AC4308">
            <v>1</v>
          </cell>
        </row>
        <row r="4309">
          <cell r="A4309" t="str">
            <v>IS_alqt_plus</v>
          </cell>
          <cell r="K4309" t="str">
            <v>VVV</v>
          </cell>
          <cell r="M4309" t="str">
            <v>F</v>
          </cell>
          <cell r="AC4309">
            <v>1</v>
          </cell>
        </row>
        <row r="4310">
          <cell r="A4310" t="str">
            <v>IS_alqt_plus</v>
          </cell>
          <cell r="K4310" t="str">
            <v>VVV</v>
          </cell>
          <cell r="M4310" t="str">
            <v>F</v>
          </cell>
          <cell r="AC4310">
            <v>1</v>
          </cell>
        </row>
        <row r="4311">
          <cell r="A4311" t="str">
            <v>IS_alqt_plus</v>
          </cell>
          <cell r="K4311" t="str">
            <v>VVV</v>
          </cell>
          <cell r="M4311" t="str">
            <v>F</v>
          </cell>
          <cell r="AC4311">
            <v>1</v>
          </cell>
        </row>
        <row r="4312">
          <cell r="A4312" t="str">
            <v>IS_alqt_plus</v>
          </cell>
          <cell r="K4312" t="str">
            <v>VVV</v>
          </cell>
          <cell r="M4312" t="str">
            <v>F</v>
          </cell>
          <cell r="AC4312">
            <v>1</v>
          </cell>
        </row>
        <row r="4313">
          <cell r="A4313" t="str">
            <v>IS_alqt_plus</v>
          </cell>
          <cell r="K4313" t="str">
            <v>EFLA</v>
          </cell>
          <cell r="M4313" t="str">
            <v>F</v>
          </cell>
          <cell r="AC4313">
            <v>1</v>
          </cell>
        </row>
        <row r="4314">
          <cell r="A4314" t="str">
            <v>IS_alqt_plus</v>
          </cell>
          <cell r="K4314" t="str">
            <v>EFLA</v>
          </cell>
          <cell r="M4314" t="str">
            <v>F</v>
          </cell>
          <cell r="AC4314">
            <v>1</v>
          </cell>
        </row>
        <row r="4315">
          <cell r="A4315" t="str">
            <v>IS_alqt_plus</v>
          </cell>
          <cell r="K4315" t="str">
            <v>EFLA</v>
          </cell>
          <cell r="M4315" t="str">
            <v>F</v>
          </cell>
          <cell r="AC4315">
            <v>1</v>
          </cell>
        </row>
        <row r="4316">
          <cell r="A4316" t="str">
            <v>IS_alqt_plus</v>
          </cell>
          <cell r="K4316" t="str">
            <v>EFLA</v>
          </cell>
          <cell r="M4316" t="str">
            <v>F</v>
          </cell>
          <cell r="AC4316">
            <v>1</v>
          </cell>
        </row>
        <row r="4317">
          <cell r="A4317" t="str">
            <v>IS_alqt_plus</v>
          </cell>
          <cell r="K4317" t="str">
            <v>EFLA</v>
          </cell>
          <cell r="M4317" t="str">
            <v>F</v>
          </cell>
          <cell r="AC4317">
            <v>1</v>
          </cell>
        </row>
        <row r="4318">
          <cell r="A4318" t="str">
            <v>IS_alqt_plus</v>
          </cell>
          <cell r="K4318" t="str">
            <v>EFLA</v>
          </cell>
          <cell r="M4318" t="str">
            <v>F</v>
          </cell>
          <cell r="AC4318">
            <v>1</v>
          </cell>
        </row>
        <row r="4319">
          <cell r="A4319" t="str">
            <v>IS_alqt_plus</v>
          </cell>
          <cell r="K4319" t="str">
            <v>EFLA</v>
          </cell>
          <cell r="M4319" t="str">
            <v>F</v>
          </cell>
          <cell r="AC4319">
            <v>1</v>
          </cell>
        </row>
        <row r="4320">
          <cell r="A4320" t="str">
            <v>IS_alqt_plus</v>
          </cell>
          <cell r="K4320" t="str">
            <v>PCOQ</v>
          </cell>
          <cell r="M4320" t="str">
            <v>M</v>
          </cell>
          <cell r="AC4320">
            <v>0.5</v>
          </cell>
        </row>
        <row r="4321">
          <cell r="A4321" t="str">
            <v>IS_alqt_minus</v>
          </cell>
          <cell r="K4321" t="str">
            <v>CMED</v>
          </cell>
          <cell r="M4321" t="str">
            <v>M</v>
          </cell>
          <cell r="AC4321">
            <v>0.12</v>
          </cell>
        </row>
        <row r="4322">
          <cell r="A4322" t="str">
            <v>IS_alqt_minus</v>
          </cell>
          <cell r="K4322" t="str">
            <v>CMED</v>
          </cell>
          <cell r="M4322" t="str">
            <v>M</v>
          </cell>
          <cell r="AC4322">
            <v>0.17499999999999999</v>
          </cell>
        </row>
        <row r="4323">
          <cell r="A4323" t="str">
            <v>IS_alqt_plus</v>
          </cell>
          <cell r="K4323" t="str">
            <v>MMUR</v>
          </cell>
          <cell r="M4323" t="str">
            <v>F</v>
          </cell>
          <cell r="AC4323">
            <v>0.5</v>
          </cell>
        </row>
        <row r="4324">
          <cell r="A4324" t="str">
            <v>IS_alqt_plus</v>
          </cell>
          <cell r="K4324" t="str">
            <v>MMUR</v>
          </cell>
          <cell r="M4324" t="str">
            <v>F</v>
          </cell>
          <cell r="AC4324">
            <v>0.5</v>
          </cell>
        </row>
        <row r="4325">
          <cell r="A4325" t="str">
            <v xml:space="preserve"> IS_alqt_minus</v>
          </cell>
          <cell r="K4325" t="str">
            <v>MMUR</v>
          </cell>
          <cell r="M4325" t="str">
            <v>F</v>
          </cell>
          <cell r="AC4325">
            <v>0.2</v>
          </cell>
        </row>
        <row r="4326">
          <cell r="A4326" t="str">
            <v xml:space="preserve"> IS_alqt_minus</v>
          </cell>
          <cell r="K4326" t="str">
            <v>MMUR</v>
          </cell>
          <cell r="M4326" t="str">
            <v>F</v>
          </cell>
          <cell r="AC4326">
            <v>0.2</v>
          </cell>
        </row>
        <row r="4327">
          <cell r="A4327" t="str">
            <v xml:space="preserve"> IS_alqt_minus</v>
          </cell>
          <cell r="K4327" t="str">
            <v>MMUR</v>
          </cell>
          <cell r="M4327" t="str">
            <v>F</v>
          </cell>
          <cell r="AC4327">
            <v>0.2</v>
          </cell>
        </row>
        <row r="4328">
          <cell r="A4328" t="str">
            <v>IS_alqt_plus</v>
          </cell>
          <cell r="K4328" t="str">
            <v>PCOQ</v>
          </cell>
          <cell r="M4328" t="str">
            <v>M</v>
          </cell>
          <cell r="AC4328">
            <v>0.2</v>
          </cell>
        </row>
        <row r="4329">
          <cell r="A4329" t="str">
            <v>IS_alqt_plus</v>
          </cell>
          <cell r="K4329" t="str">
            <v>PCOQ</v>
          </cell>
          <cell r="M4329" t="str">
            <v>M</v>
          </cell>
          <cell r="AC4329">
            <v>0.2</v>
          </cell>
        </row>
        <row r="4330">
          <cell r="A4330" t="str">
            <v>IS_alqt_plus</v>
          </cell>
          <cell r="K4330" t="str">
            <v>PCOQ</v>
          </cell>
          <cell r="M4330" t="str">
            <v>M</v>
          </cell>
          <cell r="AC4330">
            <v>0.2</v>
          </cell>
        </row>
        <row r="4331">
          <cell r="A4331" t="str">
            <v>IS_alqt_plus</v>
          </cell>
          <cell r="K4331" t="str">
            <v>PCOQ</v>
          </cell>
          <cell r="M4331" t="str">
            <v>M</v>
          </cell>
          <cell r="AC4331">
            <v>0.5</v>
          </cell>
        </row>
        <row r="4332">
          <cell r="A4332" t="str">
            <v>IS_alqt_plus</v>
          </cell>
          <cell r="K4332" t="str">
            <v>PCOQ</v>
          </cell>
          <cell r="M4332" t="str">
            <v>M</v>
          </cell>
          <cell r="AC4332">
            <v>0.5</v>
          </cell>
        </row>
        <row r="4333">
          <cell r="A4333" t="str">
            <v>IS_alqt_plus</v>
          </cell>
          <cell r="K4333" t="str">
            <v>PCOQ</v>
          </cell>
          <cell r="M4333" t="str">
            <v>M</v>
          </cell>
          <cell r="AC4333">
            <v>0.5</v>
          </cell>
        </row>
        <row r="4334">
          <cell r="A4334" t="str">
            <v>IS_alqt_plus</v>
          </cell>
          <cell r="K4334" t="str">
            <v>PCOQ</v>
          </cell>
          <cell r="M4334" t="str">
            <v>M</v>
          </cell>
          <cell r="AC4334">
            <v>0.5</v>
          </cell>
        </row>
        <row r="4335">
          <cell r="A4335" t="str">
            <v>IS_alqt_plus</v>
          </cell>
          <cell r="K4335" t="str">
            <v>PCOQ</v>
          </cell>
          <cell r="M4335" t="str">
            <v>M</v>
          </cell>
          <cell r="AC4335">
            <v>1</v>
          </cell>
        </row>
        <row r="4336">
          <cell r="A4336" t="str">
            <v>IS_alqt_plus</v>
          </cell>
          <cell r="K4336" t="str">
            <v>PCOQ</v>
          </cell>
          <cell r="M4336" t="str">
            <v>M</v>
          </cell>
          <cell r="AC4336">
            <v>1</v>
          </cell>
        </row>
        <row r="4337">
          <cell r="A4337" t="str">
            <v>IS_alqt_plus</v>
          </cell>
          <cell r="K4337" t="str">
            <v>PCOQ</v>
          </cell>
          <cell r="M4337" t="str">
            <v>M</v>
          </cell>
          <cell r="AC4337">
            <v>1</v>
          </cell>
        </row>
        <row r="4338">
          <cell r="A4338" t="str">
            <v>IS_alqt_plus</v>
          </cell>
          <cell r="K4338" t="str">
            <v>PCOQ</v>
          </cell>
          <cell r="M4338" t="str">
            <v>M</v>
          </cell>
          <cell r="AC4338">
            <v>1</v>
          </cell>
        </row>
        <row r="4339">
          <cell r="A4339" t="str">
            <v>IS_alqt_minus</v>
          </cell>
          <cell r="K4339" t="str">
            <v>PCOQ</v>
          </cell>
          <cell r="M4339" t="str">
            <v>F</v>
          </cell>
          <cell r="AC4339">
            <v>0.2</v>
          </cell>
        </row>
        <row r="4340">
          <cell r="A4340" t="str">
            <v>IS_alqt_minus</v>
          </cell>
          <cell r="K4340" t="str">
            <v>PCOQ</v>
          </cell>
          <cell r="M4340" t="str">
            <v>F</v>
          </cell>
          <cell r="AC4340">
            <v>0.2</v>
          </cell>
        </row>
        <row r="4341">
          <cell r="A4341" t="str">
            <v>IS_alqt_plus</v>
          </cell>
          <cell r="K4341" t="str">
            <v>PCOQ</v>
          </cell>
          <cell r="M4341" t="str">
            <v>F</v>
          </cell>
          <cell r="AC4341">
            <v>0.5</v>
          </cell>
        </row>
        <row r="4342">
          <cell r="A4342" t="str">
            <v>IS_alqt_plus</v>
          </cell>
          <cell r="K4342" t="str">
            <v>PCOQ</v>
          </cell>
          <cell r="M4342" t="str">
            <v>F</v>
          </cell>
          <cell r="AC4342">
            <v>0.5</v>
          </cell>
        </row>
        <row r="4343">
          <cell r="A4343" t="str">
            <v>IS_alqt_plus</v>
          </cell>
          <cell r="K4343" t="str">
            <v>PCOQ</v>
          </cell>
          <cell r="M4343" t="str">
            <v>F</v>
          </cell>
          <cell r="AC4343">
            <v>0.5</v>
          </cell>
        </row>
        <row r="4344">
          <cell r="A4344" t="str">
            <v>IS_alqt_plus</v>
          </cell>
          <cell r="K4344" t="str">
            <v>PCOQ</v>
          </cell>
          <cell r="M4344" t="str">
            <v>F</v>
          </cell>
          <cell r="AC4344">
            <v>0.5</v>
          </cell>
        </row>
        <row r="4345">
          <cell r="A4345" t="str">
            <v>IS_alqt_plus</v>
          </cell>
          <cell r="K4345" t="str">
            <v>PCOQ</v>
          </cell>
          <cell r="M4345" t="str">
            <v>F</v>
          </cell>
          <cell r="AC4345">
            <v>0.5</v>
          </cell>
        </row>
        <row r="4346">
          <cell r="A4346" t="str">
            <v>IS_alqt_plus</v>
          </cell>
          <cell r="K4346" t="str">
            <v>PCOQ</v>
          </cell>
          <cell r="M4346" t="str">
            <v>F</v>
          </cell>
          <cell r="AC4346">
            <v>0.5</v>
          </cell>
        </row>
        <row r="4347">
          <cell r="A4347" t="str">
            <v>IS_alqt_plus</v>
          </cell>
          <cell r="K4347" t="str">
            <v>PCOQ</v>
          </cell>
          <cell r="M4347" t="str">
            <v>F</v>
          </cell>
          <cell r="AC4347">
            <v>1</v>
          </cell>
        </row>
        <row r="4348">
          <cell r="A4348" t="str">
            <v>IS_alqt_plus</v>
          </cell>
          <cell r="K4348" t="str">
            <v>PCOQ</v>
          </cell>
          <cell r="M4348" t="str">
            <v>F</v>
          </cell>
          <cell r="AC4348">
            <v>1</v>
          </cell>
        </row>
        <row r="4349">
          <cell r="A4349" t="str">
            <v>IS_alqt_plus</v>
          </cell>
          <cell r="K4349" t="str">
            <v>PCOQ</v>
          </cell>
          <cell r="M4349" t="str">
            <v>F</v>
          </cell>
          <cell r="AC4349">
            <v>1</v>
          </cell>
        </row>
        <row r="4350">
          <cell r="A4350" t="str">
            <v>IS_alqt_plus</v>
          </cell>
          <cell r="K4350" t="str">
            <v>PCOQ</v>
          </cell>
          <cell r="M4350" t="str">
            <v>F</v>
          </cell>
          <cell r="AC4350">
            <v>1</v>
          </cell>
        </row>
        <row r="4351">
          <cell r="A4351" t="str">
            <v>IS_alqt_plus</v>
          </cell>
          <cell r="K4351" t="str">
            <v>PCOQ</v>
          </cell>
          <cell r="M4351" t="str">
            <v>F</v>
          </cell>
          <cell r="AC4351">
            <v>2</v>
          </cell>
        </row>
        <row r="4352">
          <cell r="A4352" t="str">
            <v>IS_alqt_plus</v>
          </cell>
          <cell r="K4352" t="str">
            <v>PCOQ</v>
          </cell>
          <cell r="M4352" t="str">
            <v>F</v>
          </cell>
          <cell r="AC4352">
            <v>2</v>
          </cell>
        </row>
        <row r="4353">
          <cell r="A4353" t="str">
            <v>IS_alqt_plus</v>
          </cell>
          <cell r="K4353" t="str">
            <v>PCOQ</v>
          </cell>
          <cell r="M4353" t="str">
            <v>F</v>
          </cell>
          <cell r="AC4353">
            <v>2</v>
          </cell>
        </row>
        <row r="4354">
          <cell r="A4354" t="str">
            <v>IS_alqt_plus</v>
          </cell>
          <cell r="K4354" t="str">
            <v>PCOQ</v>
          </cell>
          <cell r="M4354" t="str">
            <v>F</v>
          </cell>
          <cell r="AC4354">
            <v>2</v>
          </cell>
        </row>
        <row r="4355">
          <cell r="A4355" t="str">
            <v>IS_alqt_minus</v>
          </cell>
          <cell r="K4355" t="str">
            <v>EFLA</v>
          </cell>
          <cell r="M4355" t="str">
            <v>M</v>
          </cell>
          <cell r="AC4355">
            <v>0.2</v>
          </cell>
        </row>
        <row r="4356">
          <cell r="A4356" t="str">
            <v>IS_alqt_minus</v>
          </cell>
          <cell r="K4356" t="str">
            <v>EFLA</v>
          </cell>
          <cell r="M4356" t="str">
            <v>M</v>
          </cell>
          <cell r="AC4356">
            <v>0.2</v>
          </cell>
        </row>
        <row r="4357">
          <cell r="A4357" t="str">
            <v>IS_alqt_minus</v>
          </cell>
          <cell r="K4357" t="str">
            <v>EFLA</v>
          </cell>
          <cell r="M4357" t="str">
            <v>M</v>
          </cell>
          <cell r="AC4357">
            <v>0.2</v>
          </cell>
        </row>
        <row r="4358">
          <cell r="A4358" t="str">
            <v>IS_alqt_minus</v>
          </cell>
          <cell r="K4358" t="str">
            <v>EFLA</v>
          </cell>
          <cell r="M4358" t="str">
            <v>M</v>
          </cell>
          <cell r="AC4358">
            <v>0.2</v>
          </cell>
        </row>
        <row r="4359">
          <cell r="A4359" t="str">
            <v>IS_alqt_minus</v>
          </cell>
          <cell r="K4359" t="str">
            <v>EFLA</v>
          </cell>
          <cell r="M4359" t="str">
            <v>M</v>
          </cell>
          <cell r="AC4359">
            <v>0.2</v>
          </cell>
        </row>
        <row r="4360">
          <cell r="A4360" t="str">
            <v>IS_alqt_plus</v>
          </cell>
          <cell r="K4360" t="str">
            <v>EFLA</v>
          </cell>
          <cell r="M4360" t="str">
            <v>M</v>
          </cell>
          <cell r="AC4360">
            <v>0.4</v>
          </cell>
        </row>
        <row r="4361">
          <cell r="A4361" t="str">
            <v>IS_alqt_plus</v>
          </cell>
          <cell r="K4361" t="str">
            <v>EFLA</v>
          </cell>
          <cell r="M4361" t="str">
            <v>M</v>
          </cell>
          <cell r="AC4361">
            <v>0.4</v>
          </cell>
        </row>
        <row r="4362">
          <cell r="A4362" t="str">
            <v>IS_alqt_plus</v>
          </cell>
          <cell r="K4362" t="str">
            <v>EFLA</v>
          </cell>
          <cell r="M4362" t="str">
            <v>M</v>
          </cell>
          <cell r="AC4362">
            <v>0.4</v>
          </cell>
        </row>
        <row r="4363">
          <cell r="A4363" t="str">
            <v>IS_alqt_plus</v>
          </cell>
          <cell r="K4363" t="str">
            <v>EFLA</v>
          </cell>
          <cell r="M4363" t="str">
            <v>M</v>
          </cell>
          <cell r="AC4363">
            <v>0.4</v>
          </cell>
        </row>
        <row r="4364">
          <cell r="A4364" t="str">
            <v>IS_alqt_plus</v>
          </cell>
          <cell r="K4364" t="str">
            <v>EFLA</v>
          </cell>
          <cell r="M4364" t="str">
            <v>M</v>
          </cell>
          <cell r="AC4364">
            <v>0.4</v>
          </cell>
        </row>
        <row r="4365">
          <cell r="A4365" t="str">
            <v>IS_alqt_plus</v>
          </cell>
          <cell r="K4365" t="str">
            <v>EFLA</v>
          </cell>
          <cell r="M4365" t="str">
            <v>M</v>
          </cell>
          <cell r="AC4365">
            <v>0.4</v>
          </cell>
        </row>
        <row r="4366">
          <cell r="A4366" t="str">
            <v>IS_alqt_plus</v>
          </cell>
          <cell r="K4366" t="str">
            <v>EFLA</v>
          </cell>
          <cell r="M4366" t="str">
            <v>M</v>
          </cell>
          <cell r="AC4366">
            <v>0.8</v>
          </cell>
        </row>
        <row r="4367">
          <cell r="A4367" t="str">
            <v>IS_alqt_plus</v>
          </cell>
          <cell r="K4367" t="str">
            <v>EFLA</v>
          </cell>
          <cell r="M4367" t="str">
            <v>M</v>
          </cell>
          <cell r="AC4367">
            <v>0.8</v>
          </cell>
        </row>
        <row r="4368">
          <cell r="A4368" t="str">
            <v>IS_alqt_plus</v>
          </cell>
          <cell r="K4368" t="str">
            <v>EFLA</v>
          </cell>
          <cell r="M4368" t="str">
            <v>M</v>
          </cell>
          <cell r="AC4368">
            <v>0.8</v>
          </cell>
        </row>
        <row r="4369">
          <cell r="A4369" t="str">
            <v>IS_alqt_plus</v>
          </cell>
          <cell r="K4369" t="str">
            <v>EFLA</v>
          </cell>
          <cell r="M4369" t="str">
            <v>M</v>
          </cell>
          <cell r="AC4369">
            <v>0.8</v>
          </cell>
        </row>
        <row r="4370">
          <cell r="A4370" t="str">
            <v>IS_alqt_plus</v>
          </cell>
          <cell r="K4370" t="str">
            <v>EFLA</v>
          </cell>
          <cell r="M4370" t="str">
            <v>M</v>
          </cell>
          <cell r="AC4370">
            <v>0.8</v>
          </cell>
        </row>
        <row r="4371">
          <cell r="A4371" t="str">
            <v>IS_alqt_plus</v>
          </cell>
          <cell r="K4371" t="str">
            <v>EFLA</v>
          </cell>
          <cell r="M4371" t="str">
            <v>M</v>
          </cell>
          <cell r="AC4371">
            <v>1</v>
          </cell>
        </row>
        <row r="4372">
          <cell r="A4372" t="str">
            <v>IS_alqt_plus</v>
          </cell>
          <cell r="K4372" t="str">
            <v>EFLA</v>
          </cell>
          <cell r="M4372" t="str">
            <v>M</v>
          </cell>
          <cell r="AC4372">
            <v>1</v>
          </cell>
        </row>
        <row r="4373">
          <cell r="A4373" t="str">
            <v>IS_alqt_plus</v>
          </cell>
          <cell r="K4373" t="str">
            <v>EFLA</v>
          </cell>
          <cell r="M4373" t="str">
            <v>M</v>
          </cell>
          <cell r="AC4373">
            <v>1</v>
          </cell>
        </row>
        <row r="4374">
          <cell r="A4374" t="str">
            <v>IS_alqt_plus</v>
          </cell>
          <cell r="K4374" t="str">
            <v>EFLA</v>
          </cell>
          <cell r="M4374" t="str">
            <v>M</v>
          </cell>
          <cell r="AC4374">
            <v>1</v>
          </cell>
        </row>
        <row r="4375">
          <cell r="A4375" t="str">
            <v>IS_alqt_plus</v>
          </cell>
          <cell r="K4375" t="str">
            <v>EFLA</v>
          </cell>
          <cell r="M4375" t="str">
            <v>M</v>
          </cell>
          <cell r="AC4375">
            <v>1</v>
          </cell>
        </row>
        <row r="4376">
          <cell r="A4376" t="str">
            <v>IS_alqt_plus</v>
          </cell>
          <cell r="K4376" t="str">
            <v>EFLA</v>
          </cell>
          <cell r="M4376" t="str">
            <v>M</v>
          </cell>
          <cell r="AC4376">
            <v>1</v>
          </cell>
        </row>
        <row r="4377">
          <cell r="A4377" t="str">
            <v>IS_alqt_minus</v>
          </cell>
          <cell r="K4377" t="str">
            <v>MMUR</v>
          </cell>
          <cell r="M4377" t="str">
            <v>M</v>
          </cell>
          <cell r="AC4377">
            <v>0.2</v>
          </cell>
        </row>
        <row r="4378">
          <cell r="A4378" t="str">
            <v>IS_alqt_minus</v>
          </cell>
          <cell r="K4378" t="str">
            <v>CMED</v>
          </cell>
          <cell r="M4378" t="str">
            <v>M</v>
          </cell>
          <cell r="AC4378">
            <v>0.2</v>
          </cell>
        </row>
        <row r="4379">
          <cell r="A4379" t="str">
            <v>IS_alqt_minus</v>
          </cell>
          <cell r="K4379" t="str">
            <v>CMED</v>
          </cell>
          <cell r="M4379" t="str">
            <v>M</v>
          </cell>
          <cell r="AC4379">
            <v>0.2</v>
          </cell>
        </row>
        <row r="4380">
          <cell r="A4380" t="str">
            <v>IS_alqt_plus</v>
          </cell>
          <cell r="K4380" t="str">
            <v>PCOQ</v>
          </cell>
          <cell r="M4380" t="str">
            <v>M</v>
          </cell>
          <cell r="AC4380">
            <v>0.5</v>
          </cell>
        </row>
        <row r="4381">
          <cell r="A4381" t="str">
            <v>IS_alqt_minus</v>
          </cell>
          <cell r="K4381" t="str">
            <v>PCOQ</v>
          </cell>
          <cell r="M4381" t="str">
            <v>M</v>
          </cell>
          <cell r="AC4381">
            <v>0.25</v>
          </cell>
        </row>
        <row r="4382">
          <cell r="A4382" t="str">
            <v>IS_alqt_minus</v>
          </cell>
          <cell r="K4382" t="str">
            <v>PCOQ</v>
          </cell>
          <cell r="M4382" t="str">
            <v>M</v>
          </cell>
          <cell r="AC4382">
            <v>0.25</v>
          </cell>
        </row>
        <row r="4383">
          <cell r="A4383" t="str">
            <v>IS_alqt_minus</v>
          </cell>
          <cell r="K4383" t="str">
            <v>PCOQ</v>
          </cell>
          <cell r="M4383" t="str">
            <v>M</v>
          </cell>
          <cell r="AC4383">
            <v>0.1</v>
          </cell>
        </row>
        <row r="4384">
          <cell r="A4384" t="str">
            <v>IS_alqt_minus</v>
          </cell>
          <cell r="K4384" t="str">
            <v>CMED</v>
          </cell>
          <cell r="M4384" t="str">
            <v>M</v>
          </cell>
          <cell r="AC4384">
            <v>0.25</v>
          </cell>
        </row>
        <row r="4385">
          <cell r="A4385" t="str">
            <v>IS_alqt_minus</v>
          </cell>
          <cell r="K4385" t="str">
            <v>MMUR</v>
          </cell>
          <cell r="M4385" t="str">
            <v>F</v>
          </cell>
          <cell r="AC4385">
            <v>0.25</v>
          </cell>
        </row>
        <row r="4386">
          <cell r="A4386" t="str">
            <v>IS_alqt_minus</v>
          </cell>
          <cell r="K4386" t="str">
            <v>MMUR</v>
          </cell>
          <cell r="M4386" t="str">
            <v>F</v>
          </cell>
          <cell r="AC4386">
            <v>0.25</v>
          </cell>
        </row>
        <row r="4387">
          <cell r="A4387" t="str">
            <v>IS_alqt_minus</v>
          </cell>
          <cell r="K4387" t="str">
            <v>MMUR</v>
          </cell>
          <cell r="M4387" t="str">
            <v>F</v>
          </cell>
          <cell r="AC4387">
            <v>0.25</v>
          </cell>
        </row>
        <row r="4388">
          <cell r="A4388" t="str">
            <v>IS_alqt_minus</v>
          </cell>
          <cell r="K4388" t="str">
            <v>MMUR</v>
          </cell>
          <cell r="M4388" t="str">
            <v>F</v>
          </cell>
          <cell r="AC4388">
            <v>0.25</v>
          </cell>
        </row>
        <row r="4389">
          <cell r="A4389" t="str">
            <v>IS_alqt_minus</v>
          </cell>
          <cell r="K4389" t="str">
            <v>MMUR</v>
          </cell>
          <cell r="M4389" t="str">
            <v>F</v>
          </cell>
          <cell r="AC4389">
            <v>0.25</v>
          </cell>
        </row>
        <row r="4390">
          <cell r="A4390" t="str">
            <v>IS_alqt_minus</v>
          </cell>
          <cell r="K4390" t="str">
            <v>MMUR</v>
          </cell>
          <cell r="M4390" t="str">
            <v>F</v>
          </cell>
          <cell r="AC4390">
            <v>0.2</v>
          </cell>
        </row>
        <row r="4391">
          <cell r="A4391" t="str">
            <v>IS_alqt_minus</v>
          </cell>
          <cell r="K4391" t="str">
            <v>MMUR</v>
          </cell>
          <cell r="M4391" t="str">
            <v>F</v>
          </cell>
          <cell r="AC4391">
            <v>0.2</v>
          </cell>
        </row>
        <row r="4392">
          <cell r="A4392" t="str">
            <v>IS_alqt_minus</v>
          </cell>
          <cell r="K4392" t="str">
            <v>ECOR</v>
          </cell>
          <cell r="M4392" t="str">
            <v>M</v>
          </cell>
          <cell r="AC4392">
            <v>0.2</v>
          </cell>
        </row>
        <row r="4393">
          <cell r="A4393" t="str">
            <v>IS_alqt_minus</v>
          </cell>
          <cell r="K4393" t="str">
            <v>ECOR</v>
          </cell>
          <cell r="M4393" t="str">
            <v>M</v>
          </cell>
          <cell r="AC4393">
            <v>0.2</v>
          </cell>
        </row>
        <row r="4394">
          <cell r="A4394" t="str">
            <v>IS_alqt_minus</v>
          </cell>
          <cell r="K4394" t="str">
            <v>ECOR</v>
          </cell>
          <cell r="M4394" t="str">
            <v>M</v>
          </cell>
          <cell r="AC4394">
            <v>0.2</v>
          </cell>
        </row>
        <row r="4395">
          <cell r="A4395" t="str">
            <v>IS_alqt_minus</v>
          </cell>
          <cell r="K4395" t="str">
            <v>ECOR</v>
          </cell>
          <cell r="M4395" t="str">
            <v>M</v>
          </cell>
          <cell r="AC4395">
            <v>0.2</v>
          </cell>
        </row>
        <row r="4396">
          <cell r="A4396" t="str">
            <v>IS_alqt_minus</v>
          </cell>
          <cell r="K4396" t="str">
            <v>ECOR</v>
          </cell>
          <cell r="M4396" t="str">
            <v>M</v>
          </cell>
          <cell r="AC4396">
            <v>0.2</v>
          </cell>
        </row>
        <row r="4397">
          <cell r="A4397" t="str">
            <v>IS_alqt_minus</v>
          </cell>
          <cell r="K4397" t="str">
            <v>ECOR</v>
          </cell>
          <cell r="M4397" t="str">
            <v>M</v>
          </cell>
          <cell r="AC4397">
            <v>0.2</v>
          </cell>
        </row>
        <row r="4398">
          <cell r="A4398" t="str">
            <v>IS_alqt_plus</v>
          </cell>
          <cell r="K4398" t="str">
            <v>ECOR</v>
          </cell>
          <cell r="M4398" t="str">
            <v>M</v>
          </cell>
          <cell r="AC4398">
            <v>0.5</v>
          </cell>
        </row>
        <row r="4399">
          <cell r="A4399" t="str">
            <v>IS_alqt_plus</v>
          </cell>
          <cell r="K4399" t="str">
            <v>ECOR</v>
          </cell>
          <cell r="M4399" t="str">
            <v>M</v>
          </cell>
          <cell r="AC4399">
            <v>0.5</v>
          </cell>
        </row>
        <row r="4400">
          <cell r="A4400" t="str">
            <v>IS_alqt_plus</v>
          </cell>
          <cell r="K4400" t="str">
            <v>ECOR</v>
          </cell>
          <cell r="M4400" t="str">
            <v>M</v>
          </cell>
          <cell r="AC4400">
            <v>0.5</v>
          </cell>
        </row>
        <row r="4401">
          <cell r="A4401" t="str">
            <v>IS_alqt_plus</v>
          </cell>
          <cell r="K4401" t="str">
            <v>ECOR</v>
          </cell>
          <cell r="M4401" t="str">
            <v>M</v>
          </cell>
          <cell r="AC4401">
            <v>0.5</v>
          </cell>
        </row>
        <row r="4402">
          <cell r="A4402" t="str">
            <v>IS_alqt_plus</v>
          </cell>
          <cell r="K4402" t="str">
            <v>EMON</v>
          </cell>
          <cell r="M4402" t="str">
            <v>M</v>
          </cell>
          <cell r="AC4402">
            <v>0.5</v>
          </cell>
        </row>
        <row r="4403">
          <cell r="A4403" t="str">
            <v>IS_alqt_plus</v>
          </cell>
          <cell r="K4403" t="str">
            <v>EMON</v>
          </cell>
          <cell r="M4403" t="str">
            <v>M</v>
          </cell>
          <cell r="AC4403">
            <v>0.5</v>
          </cell>
        </row>
        <row r="4404">
          <cell r="A4404" t="str">
            <v>IS_alqt_plus</v>
          </cell>
          <cell r="K4404" t="str">
            <v>EMON</v>
          </cell>
          <cell r="M4404" t="str">
            <v>M</v>
          </cell>
          <cell r="AC4404">
            <v>0.5</v>
          </cell>
        </row>
        <row r="4405">
          <cell r="A4405" t="str">
            <v>IS_alqt_plus</v>
          </cell>
          <cell r="K4405" t="str">
            <v>EMON</v>
          </cell>
          <cell r="M4405" t="str">
            <v>M</v>
          </cell>
          <cell r="AC4405">
            <v>0.5</v>
          </cell>
        </row>
        <row r="4406">
          <cell r="A4406" t="str">
            <v>IS_alqt_plus</v>
          </cell>
          <cell r="K4406" t="str">
            <v>EMON</v>
          </cell>
          <cell r="M4406" t="str">
            <v>M</v>
          </cell>
          <cell r="AC4406">
            <v>0.5</v>
          </cell>
        </row>
        <row r="4407">
          <cell r="A4407" t="str">
            <v>IS_alqt_plus</v>
          </cell>
          <cell r="K4407" t="str">
            <v>EMON</v>
          </cell>
          <cell r="M4407" t="str">
            <v>F</v>
          </cell>
          <cell r="AC4407">
            <v>0.5</v>
          </cell>
        </row>
        <row r="4408">
          <cell r="A4408" t="str">
            <v>IS_alqt_plus</v>
          </cell>
          <cell r="K4408" t="str">
            <v>EMON</v>
          </cell>
          <cell r="M4408" t="str">
            <v>F</v>
          </cell>
          <cell r="AC4408">
            <v>0.5</v>
          </cell>
        </row>
        <row r="4409">
          <cell r="A4409" t="str">
            <v>IS_alqt_plus</v>
          </cell>
          <cell r="K4409" t="str">
            <v>EMON</v>
          </cell>
          <cell r="M4409" t="str">
            <v>F</v>
          </cell>
          <cell r="AC4409">
            <v>0.5</v>
          </cell>
        </row>
        <row r="4410">
          <cell r="A4410" t="str">
            <v>IS_alqt_plus</v>
          </cell>
          <cell r="K4410" t="str">
            <v>EMON</v>
          </cell>
          <cell r="M4410" t="str">
            <v>F</v>
          </cell>
          <cell r="AC4410">
            <v>0.5</v>
          </cell>
        </row>
        <row r="4411">
          <cell r="A4411" t="str">
            <v>IS_alqt_plus</v>
          </cell>
          <cell r="K4411" t="str">
            <v>EMON</v>
          </cell>
          <cell r="M4411" t="str">
            <v>F</v>
          </cell>
          <cell r="AC4411">
            <v>0.5</v>
          </cell>
        </row>
        <row r="4412">
          <cell r="A4412" t="str">
            <v>IS_alqt_minus</v>
          </cell>
          <cell r="K4412" t="str">
            <v>EMON</v>
          </cell>
          <cell r="M4412" t="str">
            <v>M</v>
          </cell>
          <cell r="AC4412">
            <v>0.2</v>
          </cell>
        </row>
        <row r="4413">
          <cell r="A4413" t="str">
            <v>IS_alqt_minus</v>
          </cell>
          <cell r="K4413" t="str">
            <v>EMON</v>
          </cell>
          <cell r="M4413" t="str">
            <v>M</v>
          </cell>
          <cell r="AC4413">
            <v>0.4</v>
          </cell>
        </row>
        <row r="4414">
          <cell r="A4414" t="str">
            <v>IS_alqt_minus</v>
          </cell>
          <cell r="K4414" t="str">
            <v>EMON</v>
          </cell>
          <cell r="M4414" t="str">
            <v>F</v>
          </cell>
          <cell r="AC4414">
            <v>0.2</v>
          </cell>
        </row>
        <row r="4415">
          <cell r="A4415" t="str">
            <v>IS_alqt_minus</v>
          </cell>
          <cell r="K4415" t="str">
            <v>EMON</v>
          </cell>
          <cell r="M4415" t="str">
            <v>F</v>
          </cell>
          <cell r="AC4415">
            <v>0.2</v>
          </cell>
        </row>
        <row r="4416">
          <cell r="A4416" t="str">
            <v>IS_alqt_minus</v>
          </cell>
          <cell r="K4416" t="str">
            <v>EMON</v>
          </cell>
          <cell r="M4416" t="str">
            <v>F</v>
          </cell>
          <cell r="AC4416">
            <v>0.2</v>
          </cell>
        </row>
        <row r="4417">
          <cell r="A4417" t="str">
            <v>IS_alqt_minus</v>
          </cell>
          <cell r="K4417" t="str">
            <v>EMON</v>
          </cell>
          <cell r="M4417" t="str">
            <v>F</v>
          </cell>
          <cell r="AC4417">
            <v>0.2</v>
          </cell>
        </row>
        <row r="4418">
          <cell r="A4418" t="str">
            <v>IS_alqt_minus</v>
          </cell>
          <cell r="K4418" t="str">
            <v>EMON</v>
          </cell>
          <cell r="M4418" t="str">
            <v>F</v>
          </cell>
          <cell r="AC4418">
            <v>0.2</v>
          </cell>
        </row>
        <row r="4419">
          <cell r="A4419" t="str">
            <v>IS_alqt_minus</v>
          </cell>
          <cell r="K4419" t="str">
            <v>EMON</v>
          </cell>
          <cell r="M4419" t="str">
            <v>F</v>
          </cell>
          <cell r="AC4419">
            <v>0.2</v>
          </cell>
        </row>
        <row r="4420">
          <cell r="A4420" t="str">
            <v>IS_alqt_minus</v>
          </cell>
          <cell r="K4420" t="str">
            <v>EMON</v>
          </cell>
          <cell r="M4420" t="str">
            <v>F</v>
          </cell>
          <cell r="AC4420">
            <v>0.2</v>
          </cell>
        </row>
        <row r="4421">
          <cell r="A4421" t="str">
            <v>IS_alqt_minus</v>
          </cell>
          <cell r="K4421" t="str">
            <v>EMON</v>
          </cell>
          <cell r="M4421" t="str">
            <v>F</v>
          </cell>
          <cell r="AC4421">
            <v>0.2</v>
          </cell>
        </row>
        <row r="4422">
          <cell r="A4422" t="str">
            <v>IS_alqt_minus</v>
          </cell>
          <cell r="K4422" t="str">
            <v>EMON</v>
          </cell>
          <cell r="M4422" t="str">
            <v>F</v>
          </cell>
          <cell r="AC4422">
            <v>0.2</v>
          </cell>
        </row>
        <row r="4423">
          <cell r="A4423" t="str">
            <v>IS_alqt_minus</v>
          </cell>
          <cell r="K4423" t="str">
            <v>EMON</v>
          </cell>
          <cell r="M4423" t="str">
            <v>F</v>
          </cell>
          <cell r="AC4423">
            <v>0.2</v>
          </cell>
        </row>
        <row r="4424">
          <cell r="A4424" t="str">
            <v>IS_alqt_minus</v>
          </cell>
          <cell r="K4424" t="str">
            <v>PCOQ</v>
          </cell>
          <cell r="M4424" t="str">
            <v>M</v>
          </cell>
          <cell r="AC4424">
            <v>0.2</v>
          </cell>
        </row>
        <row r="4425">
          <cell r="A4425" t="str">
            <v>IS_alqt_minus</v>
          </cell>
          <cell r="K4425" t="str">
            <v>PCOQ</v>
          </cell>
          <cell r="M4425" t="str">
            <v>M</v>
          </cell>
          <cell r="AC4425">
            <v>0.2</v>
          </cell>
        </row>
        <row r="4426">
          <cell r="A4426" t="str">
            <v>IS_alqt_minus</v>
          </cell>
          <cell r="K4426" t="str">
            <v>PCOQ</v>
          </cell>
          <cell r="M4426" t="str">
            <v>M</v>
          </cell>
          <cell r="AC4426">
            <v>0.2</v>
          </cell>
        </row>
        <row r="4427">
          <cell r="A4427" t="str">
            <v>IS_alqt_minus</v>
          </cell>
          <cell r="K4427" t="str">
            <v>PCOQ</v>
          </cell>
          <cell r="M4427" t="str">
            <v>M</v>
          </cell>
          <cell r="AC4427">
            <v>0.2</v>
          </cell>
        </row>
        <row r="4428">
          <cell r="A4428" t="str">
            <v>IS_alqt_minus</v>
          </cell>
          <cell r="K4428" t="str">
            <v>PCOQ</v>
          </cell>
          <cell r="M4428" t="str">
            <v>M</v>
          </cell>
          <cell r="AC4428">
            <v>0.2</v>
          </cell>
        </row>
        <row r="4429">
          <cell r="A4429" t="str">
            <v>IS_alqt_minus</v>
          </cell>
          <cell r="K4429" t="str">
            <v>PCOQ</v>
          </cell>
          <cell r="M4429" t="str">
            <v>M</v>
          </cell>
          <cell r="AC4429">
            <v>0.2</v>
          </cell>
        </row>
        <row r="4430">
          <cell r="A4430" t="str">
            <v>IS_alqt_minus</v>
          </cell>
          <cell r="K4430" t="str">
            <v>PCOQ</v>
          </cell>
          <cell r="M4430" t="str">
            <v>M</v>
          </cell>
          <cell r="AC4430">
            <v>0.2</v>
          </cell>
        </row>
        <row r="4431">
          <cell r="A4431" t="str">
            <v>IS_alqt_plus</v>
          </cell>
          <cell r="K4431" t="str">
            <v>PCOQ</v>
          </cell>
          <cell r="M4431" t="str">
            <v>M</v>
          </cell>
          <cell r="AC4431">
            <v>1</v>
          </cell>
        </row>
        <row r="4432">
          <cell r="A4432" t="str">
            <v>IS_alqt_minus</v>
          </cell>
          <cell r="K4432" t="str">
            <v>PCOQ</v>
          </cell>
          <cell r="M4432" t="str">
            <v>M</v>
          </cell>
          <cell r="AC4432">
            <v>0.2</v>
          </cell>
        </row>
        <row r="4433">
          <cell r="A4433" t="str">
            <v>IS_alqt_minus</v>
          </cell>
          <cell r="K4433" t="str">
            <v>PCOQ</v>
          </cell>
          <cell r="M4433" t="str">
            <v>M</v>
          </cell>
          <cell r="AC4433">
            <v>0.2</v>
          </cell>
        </row>
        <row r="4434">
          <cell r="A4434" t="str">
            <v>IS_alqt_minus</v>
          </cell>
          <cell r="K4434" t="str">
            <v>PCOQ</v>
          </cell>
          <cell r="M4434" t="str">
            <v>M</v>
          </cell>
          <cell r="AC4434">
            <v>0.2</v>
          </cell>
        </row>
        <row r="4435">
          <cell r="A4435" t="str">
            <v>IS_alqt_minus</v>
          </cell>
          <cell r="K4435" t="str">
            <v>PCOQ</v>
          </cell>
          <cell r="M4435" t="str">
            <v>M</v>
          </cell>
          <cell r="AC4435">
            <v>0.2</v>
          </cell>
        </row>
        <row r="4436">
          <cell r="A4436" t="str">
            <v>IS_alqt_minus</v>
          </cell>
          <cell r="K4436" t="str">
            <v>PCOQ</v>
          </cell>
          <cell r="M4436" t="str">
            <v>M</v>
          </cell>
          <cell r="AC4436">
            <v>0.2</v>
          </cell>
        </row>
        <row r="4437">
          <cell r="A4437" t="str">
            <v>IS_alqt_minus</v>
          </cell>
          <cell r="K4437" t="str">
            <v>PCOQ</v>
          </cell>
          <cell r="M4437" t="str">
            <v>M</v>
          </cell>
          <cell r="AC4437">
            <v>0.2</v>
          </cell>
        </row>
        <row r="4438">
          <cell r="A4438" t="str">
            <v>IS_alqt_minus</v>
          </cell>
          <cell r="K4438" t="str">
            <v>PCOQ</v>
          </cell>
          <cell r="M4438" t="str">
            <v>M</v>
          </cell>
          <cell r="AC4438">
            <v>0.2</v>
          </cell>
        </row>
        <row r="4439">
          <cell r="A4439" t="str">
            <v>IS_alqt_minus</v>
          </cell>
          <cell r="K4439" t="str">
            <v>PCOQ</v>
          </cell>
          <cell r="M4439" t="str">
            <v>M</v>
          </cell>
          <cell r="AC4439">
            <v>0.2</v>
          </cell>
        </row>
        <row r="4440">
          <cell r="A4440" t="str">
            <v>IS_alqt_plus</v>
          </cell>
          <cell r="K4440" t="str">
            <v>DMAD</v>
          </cell>
          <cell r="M4440" t="str">
            <v>F</v>
          </cell>
          <cell r="AC4440">
            <v>1</v>
          </cell>
        </row>
        <row r="4441">
          <cell r="A4441" t="str">
            <v>IS_alqt_minus</v>
          </cell>
          <cell r="K4441" t="str">
            <v>DMAD</v>
          </cell>
          <cell r="M4441" t="str">
            <v>F</v>
          </cell>
          <cell r="AC4441">
            <v>0.2</v>
          </cell>
        </row>
        <row r="4442">
          <cell r="A4442" t="str">
            <v>IS_alqt_minus</v>
          </cell>
          <cell r="K4442" t="str">
            <v>DMAD</v>
          </cell>
          <cell r="M4442" t="str">
            <v>F</v>
          </cell>
          <cell r="AC4442">
            <v>0.2</v>
          </cell>
        </row>
        <row r="4443">
          <cell r="A4443" t="str">
            <v>IS_alqt_minus</v>
          </cell>
          <cell r="K4443" t="str">
            <v>DMAD</v>
          </cell>
          <cell r="M4443" t="str">
            <v>F</v>
          </cell>
          <cell r="AC4443">
            <v>0.2</v>
          </cell>
        </row>
        <row r="4444">
          <cell r="A4444" t="str">
            <v>IS_alqt_minus</v>
          </cell>
          <cell r="K4444" t="str">
            <v>DMAD</v>
          </cell>
          <cell r="M4444" t="str">
            <v>F</v>
          </cell>
          <cell r="AC4444">
            <v>0.2</v>
          </cell>
        </row>
        <row r="4445">
          <cell r="A4445" t="str">
            <v>IS_alqt_minus</v>
          </cell>
          <cell r="K4445" t="str">
            <v>DMAD</v>
          </cell>
          <cell r="M4445" t="str">
            <v>F</v>
          </cell>
          <cell r="AC4445">
            <v>0.2</v>
          </cell>
        </row>
        <row r="4446">
          <cell r="A4446" t="str">
            <v>IS_alqt_minus</v>
          </cell>
          <cell r="K4446" t="str">
            <v>CMED</v>
          </cell>
          <cell r="M4446" t="str">
            <v>M</v>
          </cell>
          <cell r="AC4446">
            <v>0.2</v>
          </cell>
        </row>
        <row r="4447">
          <cell r="A4447" t="str">
            <v>IS_alqt_minus</v>
          </cell>
          <cell r="K4447" t="str">
            <v>CMED</v>
          </cell>
          <cell r="M4447" t="str">
            <v>M</v>
          </cell>
          <cell r="AC4447">
            <v>0.2</v>
          </cell>
        </row>
        <row r="4448">
          <cell r="A4448" t="str">
            <v>IS_alqt_minus</v>
          </cell>
          <cell r="K4448" t="str">
            <v>CMED</v>
          </cell>
          <cell r="M4448" t="str">
            <v>M</v>
          </cell>
          <cell r="AC4448">
            <v>0.2</v>
          </cell>
        </row>
        <row r="4449">
          <cell r="A4449" t="str">
            <v>IS_alqt_minus</v>
          </cell>
          <cell r="K4449" t="str">
            <v>MMUR</v>
          </cell>
          <cell r="M4449" t="str">
            <v>F</v>
          </cell>
          <cell r="AC4449">
            <v>0.2</v>
          </cell>
        </row>
        <row r="4450">
          <cell r="A4450" t="str">
            <v>IS_alqt_minus</v>
          </cell>
          <cell r="K4450" t="str">
            <v>MMUR</v>
          </cell>
          <cell r="M4450" t="str">
            <v>F</v>
          </cell>
          <cell r="AC4450">
            <v>0.2</v>
          </cell>
        </row>
        <row r="4451">
          <cell r="A4451" t="str">
            <v>IS_alqt_minus</v>
          </cell>
          <cell r="K4451" t="str">
            <v>MMUR</v>
          </cell>
          <cell r="M4451" t="str">
            <v>F</v>
          </cell>
          <cell r="AC4451">
            <v>0.2</v>
          </cell>
        </row>
        <row r="4452">
          <cell r="A4452" t="str">
            <v>IS_alqt_minus</v>
          </cell>
          <cell r="K4452" t="str">
            <v>MMUR</v>
          </cell>
          <cell r="M4452" t="str">
            <v>F</v>
          </cell>
          <cell r="AC4452">
            <v>0.2</v>
          </cell>
        </row>
        <row r="4453">
          <cell r="A4453" t="str">
            <v>IS_alqt_minus</v>
          </cell>
          <cell r="K4453" t="str">
            <v>MMUR</v>
          </cell>
          <cell r="M4453" t="str">
            <v>F</v>
          </cell>
          <cell r="AC4453">
            <v>0.2</v>
          </cell>
        </row>
        <row r="4454">
          <cell r="A4454" t="str">
            <v>IS_alqt_minus</v>
          </cell>
          <cell r="K4454" t="str">
            <v>MMUR</v>
          </cell>
          <cell r="M4454" t="str">
            <v>F</v>
          </cell>
          <cell r="AC4454">
            <v>0.2</v>
          </cell>
        </row>
        <row r="4455">
          <cell r="A4455" t="str">
            <v>IS_alqt_minus</v>
          </cell>
          <cell r="K4455" t="str">
            <v>MMUR</v>
          </cell>
          <cell r="M4455" t="str">
            <v>F</v>
          </cell>
          <cell r="AC4455">
            <v>0.2</v>
          </cell>
        </row>
        <row r="4456">
          <cell r="A4456" t="str">
            <v>IS_alqt_minus</v>
          </cell>
          <cell r="K4456" t="str">
            <v>MMUR</v>
          </cell>
          <cell r="M4456" t="str">
            <v>F</v>
          </cell>
          <cell r="AC4456">
            <v>0.2</v>
          </cell>
        </row>
        <row r="4457">
          <cell r="A4457" t="str">
            <v>IS_alqt_minus</v>
          </cell>
          <cell r="K4457" t="str">
            <v>MMUR</v>
          </cell>
          <cell r="M4457" t="str">
            <v>F</v>
          </cell>
          <cell r="AC4457">
            <v>0.2</v>
          </cell>
        </row>
        <row r="4458">
          <cell r="A4458" t="str">
            <v>IS_alqt_minus</v>
          </cell>
          <cell r="K4458" t="str">
            <v>DMAD</v>
          </cell>
          <cell r="M4458" t="str">
            <v>F</v>
          </cell>
          <cell r="AC4458">
            <v>0.2</v>
          </cell>
        </row>
        <row r="4459">
          <cell r="A4459" t="str">
            <v>IS_alqt_minus</v>
          </cell>
          <cell r="K4459" t="str">
            <v>DMAD</v>
          </cell>
          <cell r="M4459" t="str">
            <v>F</v>
          </cell>
          <cell r="AC4459">
            <v>0.2</v>
          </cell>
        </row>
        <row r="4460">
          <cell r="A4460" t="str">
            <v>IS_alqt_minus</v>
          </cell>
          <cell r="K4460" t="str">
            <v>DMAD</v>
          </cell>
          <cell r="M4460" t="str">
            <v>F</v>
          </cell>
          <cell r="AC4460">
            <v>0.2</v>
          </cell>
        </row>
        <row r="4461">
          <cell r="A4461" t="str">
            <v>IS_alqt_minus</v>
          </cell>
          <cell r="K4461" t="str">
            <v>MMUR</v>
          </cell>
          <cell r="M4461" t="str">
            <v>M</v>
          </cell>
          <cell r="AC4461">
            <v>0.2</v>
          </cell>
        </row>
        <row r="4462">
          <cell r="A4462" t="str">
            <v>IS_alqt_plus</v>
          </cell>
          <cell r="K4462" t="str">
            <v>EFLA</v>
          </cell>
          <cell r="M4462" t="str">
            <v>F</v>
          </cell>
          <cell r="AC4462">
            <v>0.6</v>
          </cell>
        </row>
        <row r="4463">
          <cell r="A4463" t="str">
            <v>IS_alqt_plus</v>
          </cell>
          <cell r="K4463" t="str">
            <v>EFLA</v>
          </cell>
          <cell r="M4463" t="str">
            <v>F</v>
          </cell>
          <cell r="AC4463">
            <v>0.6</v>
          </cell>
        </row>
        <row r="4464">
          <cell r="A4464" t="str">
            <v>IS_alqt_minus</v>
          </cell>
          <cell r="K4464" t="str">
            <v>EFLA</v>
          </cell>
          <cell r="M4464" t="str">
            <v>F</v>
          </cell>
          <cell r="AC4464">
            <v>0.4</v>
          </cell>
        </row>
        <row r="4465">
          <cell r="A4465" t="str">
            <v>IS_alqt_minus</v>
          </cell>
          <cell r="K4465" t="str">
            <v>EFLA</v>
          </cell>
          <cell r="M4465" t="str">
            <v>F</v>
          </cell>
          <cell r="AC4465">
            <v>0.4</v>
          </cell>
        </row>
        <row r="4466">
          <cell r="A4466" t="str">
            <v>IS_alqt_minus</v>
          </cell>
          <cell r="K4466" t="str">
            <v>MMUR</v>
          </cell>
          <cell r="M4466" t="str">
            <v>M</v>
          </cell>
          <cell r="AC4466">
            <v>0.2</v>
          </cell>
        </row>
        <row r="4467">
          <cell r="A4467" t="str">
            <v>IS_alqt_minus</v>
          </cell>
          <cell r="K4467" t="str">
            <v>MMUR</v>
          </cell>
          <cell r="M4467" t="str">
            <v>F</v>
          </cell>
          <cell r="AC4467">
            <v>0.2</v>
          </cell>
        </row>
        <row r="4468">
          <cell r="A4468" t="str">
            <v>IS_alqt_plus</v>
          </cell>
          <cell r="K4468" t="str">
            <v>MMUR</v>
          </cell>
          <cell r="M4468" t="str">
            <v>F</v>
          </cell>
          <cell r="AC4468">
            <v>0.5</v>
          </cell>
        </row>
        <row r="4469">
          <cell r="A4469" t="str">
            <v>IS_alqt_plus</v>
          </cell>
          <cell r="K4469" t="str">
            <v>MMUR</v>
          </cell>
          <cell r="M4469" t="str">
            <v>F</v>
          </cell>
          <cell r="AC4469">
            <v>0.5</v>
          </cell>
        </row>
        <row r="4470">
          <cell r="A4470" t="str">
            <v>IS_alqt_plus</v>
          </cell>
          <cell r="K4470" t="str">
            <v>MMUR</v>
          </cell>
          <cell r="M4470" t="str">
            <v>F</v>
          </cell>
          <cell r="AC4470">
            <v>0.5</v>
          </cell>
        </row>
        <row r="4471">
          <cell r="A4471" t="str">
            <v>IS_alqt_minus</v>
          </cell>
          <cell r="K4471" t="str">
            <v>MMUR</v>
          </cell>
          <cell r="M4471" t="str">
            <v>F</v>
          </cell>
          <cell r="AC4471">
            <v>0.2</v>
          </cell>
        </row>
        <row r="4472">
          <cell r="A4472" t="str">
            <v>IS_alqt_minus</v>
          </cell>
          <cell r="K4472" t="str">
            <v>MMUR</v>
          </cell>
          <cell r="M4472" t="str">
            <v>F</v>
          </cell>
          <cell r="AC4472">
            <v>0.2</v>
          </cell>
        </row>
        <row r="4473">
          <cell r="A4473" t="str">
            <v>IS_alqt_minus</v>
          </cell>
          <cell r="K4473" t="str">
            <v>MMUR</v>
          </cell>
          <cell r="M4473" t="str">
            <v>M</v>
          </cell>
          <cell r="AC4473">
            <v>0.2</v>
          </cell>
        </row>
        <row r="4474">
          <cell r="A4474" t="str">
            <v>IS_alqt_minus</v>
          </cell>
          <cell r="K4474" t="str">
            <v>EFLA</v>
          </cell>
          <cell r="M4474" t="str">
            <v>M</v>
          </cell>
          <cell r="AC4474">
            <v>0.2</v>
          </cell>
        </row>
        <row r="4475">
          <cell r="A4475" t="str">
            <v>IS_alqt_minus</v>
          </cell>
          <cell r="K4475" t="str">
            <v>EFLA</v>
          </cell>
          <cell r="M4475" t="str">
            <v>M</v>
          </cell>
          <cell r="AC4475">
            <v>0.2</v>
          </cell>
        </row>
        <row r="4476">
          <cell r="A4476" t="str">
            <v>IS_alqt_plus</v>
          </cell>
          <cell r="K4476" t="str">
            <v>MMUR</v>
          </cell>
          <cell r="M4476" t="str">
            <v>F</v>
          </cell>
          <cell r="AC4476">
            <v>0.21</v>
          </cell>
        </row>
        <row r="4477">
          <cell r="A4477" t="str">
            <v>IS_alqt_minus</v>
          </cell>
          <cell r="K4477" t="str">
            <v>CMED</v>
          </cell>
          <cell r="M4477" t="str">
            <v>M</v>
          </cell>
          <cell r="AC4477">
            <v>0.2</v>
          </cell>
        </row>
        <row r="4478">
          <cell r="A4478" t="str">
            <v>IS_alqt_minus</v>
          </cell>
          <cell r="K4478" t="str">
            <v>CMED</v>
          </cell>
          <cell r="M4478" t="str">
            <v>M</v>
          </cell>
          <cell r="AC4478">
            <v>0.2</v>
          </cell>
        </row>
        <row r="4479">
          <cell r="A4479" t="str">
            <v>IS_alqt_minus</v>
          </cell>
          <cell r="K4479" t="str">
            <v>CMED</v>
          </cell>
          <cell r="M4479" t="str">
            <v>M</v>
          </cell>
          <cell r="AC4479">
            <v>0.3</v>
          </cell>
        </row>
        <row r="4480">
          <cell r="A4480" t="str">
            <v>IS_alqt_minus</v>
          </cell>
          <cell r="K4480" t="str">
            <v>CMED</v>
          </cell>
          <cell r="M4480" t="str">
            <v>M</v>
          </cell>
          <cell r="AC4480">
            <v>0.4</v>
          </cell>
        </row>
        <row r="4481">
          <cell r="A4481" t="str">
            <v>IS_alqt_minus</v>
          </cell>
          <cell r="K4481" t="str">
            <v>CMED</v>
          </cell>
          <cell r="M4481" t="str">
            <v>M</v>
          </cell>
          <cell r="AC4481">
            <v>0.2</v>
          </cell>
        </row>
        <row r="4482">
          <cell r="A4482" t="str">
            <v>IS_alqt_minus</v>
          </cell>
          <cell r="K4482" t="str">
            <v>CMED</v>
          </cell>
          <cell r="M4482" t="str">
            <v>M</v>
          </cell>
          <cell r="AC4482">
            <v>0.2</v>
          </cell>
        </row>
        <row r="4483">
          <cell r="A4483" t="str">
            <v>IS_alqt_minus</v>
          </cell>
          <cell r="K4483" t="str">
            <v>CMED</v>
          </cell>
          <cell r="M4483" t="str">
            <v>M</v>
          </cell>
          <cell r="AC4483">
            <v>0.4</v>
          </cell>
        </row>
        <row r="4484">
          <cell r="A4484" t="str">
            <v>IS_alqt_minus</v>
          </cell>
          <cell r="K4484" t="str">
            <v>CMED</v>
          </cell>
          <cell r="M4484" t="str">
            <v>M</v>
          </cell>
          <cell r="AC4484">
            <v>0.2</v>
          </cell>
        </row>
        <row r="4485">
          <cell r="A4485" t="str">
            <v>IS_alqt_minus</v>
          </cell>
          <cell r="K4485" t="str">
            <v>CMED</v>
          </cell>
          <cell r="M4485" t="str">
            <v>M</v>
          </cell>
          <cell r="AC4485">
            <v>0.2</v>
          </cell>
        </row>
        <row r="4486">
          <cell r="A4486" t="str">
            <v>IS_alqt_minus</v>
          </cell>
          <cell r="K4486" t="str">
            <v>CMED</v>
          </cell>
          <cell r="M4486" t="str">
            <v>M</v>
          </cell>
          <cell r="AC4486">
            <v>0.2</v>
          </cell>
        </row>
        <row r="4487">
          <cell r="A4487" t="str">
            <v>IS_alqt_minus</v>
          </cell>
          <cell r="K4487" t="str">
            <v>CMED</v>
          </cell>
          <cell r="M4487" t="str">
            <v>M</v>
          </cell>
          <cell r="AC4487">
            <v>0.4</v>
          </cell>
        </row>
        <row r="4488">
          <cell r="A4488" t="str">
            <v>IS_alqt_minus</v>
          </cell>
          <cell r="K4488" t="str">
            <v>MMUR</v>
          </cell>
          <cell r="M4488" t="str">
            <v>M</v>
          </cell>
          <cell r="AC4488">
            <v>0.125</v>
          </cell>
        </row>
        <row r="4489">
          <cell r="A4489" t="str">
            <v>IS_alqt_minus</v>
          </cell>
          <cell r="K4489" t="str">
            <v>MMUR</v>
          </cell>
          <cell r="M4489" t="str">
            <v>M</v>
          </cell>
          <cell r="AC4489">
            <v>0.32</v>
          </cell>
        </row>
        <row r="4490">
          <cell r="A4490" t="str">
            <v>IS_alqt_minus</v>
          </cell>
          <cell r="K4490" t="str">
            <v>CMED</v>
          </cell>
          <cell r="M4490" t="str">
            <v>M</v>
          </cell>
          <cell r="AC4490">
            <v>0.2</v>
          </cell>
        </row>
        <row r="4491">
          <cell r="A4491" t="str">
            <v>IS_alqt_minus</v>
          </cell>
          <cell r="K4491" t="str">
            <v>CMED</v>
          </cell>
          <cell r="M4491" t="str">
            <v>M</v>
          </cell>
          <cell r="AC4491">
            <v>0.2</v>
          </cell>
        </row>
        <row r="4492">
          <cell r="A4492" t="str">
            <v>IS_alqt_minus</v>
          </cell>
          <cell r="K4492" t="str">
            <v>CMED</v>
          </cell>
          <cell r="M4492" t="str">
            <v>M</v>
          </cell>
          <cell r="AC4492">
            <v>0.2</v>
          </cell>
        </row>
        <row r="4493">
          <cell r="A4493" t="str">
            <v>IS_alqt_minus</v>
          </cell>
          <cell r="K4493" t="str">
            <v>CMED</v>
          </cell>
          <cell r="M4493" t="str">
            <v>M</v>
          </cell>
          <cell r="AC4493">
            <v>0.2</v>
          </cell>
        </row>
        <row r="4494">
          <cell r="A4494" t="str">
            <v>IS_alqt_minus</v>
          </cell>
          <cell r="K4494" t="str">
            <v>CMED</v>
          </cell>
          <cell r="M4494" t="str">
            <v>M</v>
          </cell>
          <cell r="AC4494">
            <v>0.2</v>
          </cell>
        </row>
        <row r="4495">
          <cell r="A4495" t="str">
            <v>IS_alqt_minus</v>
          </cell>
          <cell r="K4495" t="str">
            <v>CMED</v>
          </cell>
          <cell r="M4495" t="str">
            <v>M</v>
          </cell>
          <cell r="AC4495">
            <v>0.32500000000000001</v>
          </cell>
        </row>
        <row r="4496">
          <cell r="A4496" t="str">
            <v>IS_alqt_minus</v>
          </cell>
          <cell r="K4496" t="str">
            <v>CMED</v>
          </cell>
          <cell r="M4496" t="str">
            <v>M</v>
          </cell>
          <cell r="AC4496">
            <v>0.31</v>
          </cell>
        </row>
        <row r="4497">
          <cell r="A4497" t="str">
            <v>IS_alqt_minus</v>
          </cell>
          <cell r="K4497" t="str">
            <v>CMED</v>
          </cell>
          <cell r="M4497" t="str">
            <v>M</v>
          </cell>
          <cell r="AC4497">
            <v>0.35</v>
          </cell>
        </row>
        <row r="4498">
          <cell r="A4498" t="str">
            <v>IS_alqt_minus</v>
          </cell>
          <cell r="K4498" t="str">
            <v>MMUR</v>
          </cell>
          <cell r="M4498" t="str">
            <v>F</v>
          </cell>
          <cell r="AC4498">
            <v>0.2</v>
          </cell>
        </row>
        <row r="4499">
          <cell r="A4499" t="str">
            <v>IS_alqt_minus</v>
          </cell>
          <cell r="K4499" t="str">
            <v>MMUR</v>
          </cell>
          <cell r="M4499" t="str">
            <v>F</v>
          </cell>
          <cell r="AC4499">
            <v>0.2</v>
          </cell>
        </row>
        <row r="4500">
          <cell r="A4500" t="str">
            <v>IS_alqt_minus</v>
          </cell>
          <cell r="K4500" t="str">
            <v>MMUR</v>
          </cell>
          <cell r="M4500" t="str">
            <v>F</v>
          </cell>
          <cell r="AC4500">
            <v>0.3</v>
          </cell>
        </row>
        <row r="4501">
          <cell r="A4501" t="str">
            <v>IS_alqt_minus</v>
          </cell>
          <cell r="K4501" t="str">
            <v>MMUR</v>
          </cell>
          <cell r="M4501" t="str">
            <v>F</v>
          </cell>
          <cell r="AC4501">
            <v>0.2</v>
          </cell>
        </row>
        <row r="4502">
          <cell r="A4502" t="str">
            <v>IS_alqt_minus</v>
          </cell>
          <cell r="K4502" t="str">
            <v>MMUR</v>
          </cell>
          <cell r="M4502" t="str">
            <v>F</v>
          </cell>
          <cell r="AC4502">
            <v>0.2</v>
          </cell>
        </row>
        <row r="4503">
          <cell r="A4503" t="str">
            <v>IS_alqt_minus</v>
          </cell>
          <cell r="K4503" t="str">
            <v>MMUR</v>
          </cell>
          <cell r="M4503" t="str">
            <v>F</v>
          </cell>
          <cell r="AC4503">
            <v>0.15</v>
          </cell>
        </row>
        <row r="4504">
          <cell r="A4504" t="str">
            <v>IS_alqt_minus</v>
          </cell>
          <cell r="K4504" t="str">
            <v>MMUR</v>
          </cell>
          <cell r="M4504" t="str">
            <v>F</v>
          </cell>
          <cell r="AC4504">
            <v>0.4</v>
          </cell>
        </row>
        <row r="4505">
          <cell r="A4505" t="str">
            <v>IS_alqt_minus</v>
          </cell>
          <cell r="K4505" t="str">
            <v>MMUR</v>
          </cell>
          <cell r="M4505" t="str">
            <v>F</v>
          </cell>
          <cell r="AC4505">
            <v>0.18</v>
          </cell>
        </row>
        <row r="4506">
          <cell r="A4506" t="str">
            <v>IS_alqt_minus</v>
          </cell>
          <cell r="K4506" t="str">
            <v>MMUR</v>
          </cell>
          <cell r="M4506" t="str">
            <v>F</v>
          </cell>
          <cell r="AC4506">
            <v>0.2</v>
          </cell>
        </row>
        <row r="4507">
          <cell r="A4507" t="str">
            <v>IS_alqt_minus</v>
          </cell>
          <cell r="K4507" t="str">
            <v>MMUR</v>
          </cell>
          <cell r="M4507" t="str">
            <v>F</v>
          </cell>
          <cell r="AC4507">
            <v>0.2</v>
          </cell>
        </row>
        <row r="4508">
          <cell r="A4508" t="str">
            <v>IS_alqt_minus</v>
          </cell>
          <cell r="K4508" t="str">
            <v>MMUR</v>
          </cell>
          <cell r="M4508" t="str">
            <v>F</v>
          </cell>
          <cell r="AC4508">
            <v>0.11</v>
          </cell>
        </row>
        <row r="4509">
          <cell r="A4509" t="str">
            <v>IS_alqt_plus</v>
          </cell>
          <cell r="K4509" t="str">
            <v>DMAD</v>
          </cell>
          <cell r="M4509" t="str">
            <v>F</v>
          </cell>
          <cell r="AC4509">
            <v>0.7</v>
          </cell>
        </row>
        <row r="4510">
          <cell r="A4510" t="str">
            <v>IS_alqt_plus</v>
          </cell>
          <cell r="K4510" t="str">
            <v>DMAD</v>
          </cell>
          <cell r="M4510" t="str">
            <v>M</v>
          </cell>
          <cell r="AC4510">
            <v>1</v>
          </cell>
        </row>
        <row r="4511">
          <cell r="A4511" t="str">
            <v>IS_alqt_minus</v>
          </cell>
          <cell r="K4511" t="str">
            <v>DMAD</v>
          </cell>
          <cell r="M4511" t="str">
            <v>M</v>
          </cell>
          <cell r="AC4511">
            <v>0.4</v>
          </cell>
        </row>
        <row r="4512">
          <cell r="A4512" t="str">
            <v>IS_alqt_minus</v>
          </cell>
          <cell r="K4512" t="str">
            <v>PCOQ</v>
          </cell>
          <cell r="M4512" t="str">
            <v>M</v>
          </cell>
          <cell r="AC4512">
            <v>0.2</v>
          </cell>
        </row>
        <row r="4513">
          <cell r="A4513" t="str">
            <v>IS_alqt_minus</v>
          </cell>
          <cell r="K4513" t="str">
            <v>PCOQ</v>
          </cell>
          <cell r="M4513" t="str">
            <v>M</v>
          </cell>
          <cell r="AC4513">
            <v>0.4</v>
          </cell>
        </row>
        <row r="4514">
          <cell r="A4514" t="str">
            <v>IS_alqt_plus</v>
          </cell>
          <cell r="K4514" t="str">
            <v>PCOQ</v>
          </cell>
          <cell r="M4514" t="str">
            <v>M</v>
          </cell>
          <cell r="AC4514">
            <v>0.6</v>
          </cell>
        </row>
        <row r="4515">
          <cell r="A4515" t="str">
            <v>IS_alqt_plus</v>
          </cell>
          <cell r="K4515" t="str">
            <v>PCOQ</v>
          </cell>
          <cell r="M4515" t="str">
            <v>M</v>
          </cell>
          <cell r="AC4515">
            <v>0.6</v>
          </cell>
        </row>
        <row r="4516">
          <cell r="A4516" t="str">
            <v>IS_alqt_plus</v>
          </cell>
          <cell r="K4516" t="str">
            <v>PCOQ</v>
          </cell>
          <cell r="M4516" t="str">
            <v>M</v>
          </cell>
          <cell r="AC4516">
            <v>0.8</v>
          </cell>
        </row>
        <row r="4517">
          <cell r="A4517" t="str">
            <v>IS_alqt_plus</v>
          </cell>
          <cell r="K4517" t="str">
            <v>PCOQ</v>
          </cell>
          <cell r="M4517" t="str">
            <v>M</v>
          </cell>
          <cell r="AC4517">
            <v>1</v>
          </cell>
        </row>
        <row r="4518">
          <cell r="A4518" t="str">
            <v>IS_alqt_plus</v>
          </cell>
          <cell r="K4518" t="str">
            <v>PCOQ</v>
          </cell>
          <cell r="M4518" t="str">
            <v>M</v>
          </cell>
          <cell r="AC4518">
            <v>1</v>
          </cell>
        </row>
        <row r="4519">
          <cell r="A4519" t="str">
            <v>IS_alqt_minus</v>
          </cell>
          <cell r="K4519" t="str">
            <v>PCOQ</v>
          </cell>
          <cell r="M4519" t="str">
            <v>F</v>
          </cell>
          <cell r="AC4519">
            <v>0.2</v>
          </cell>
        </row>
        <row r="4520">
          <cell r="A4520" t="str">
            <v>IS_alqt_minus</v>
          </cell>
          <cell r="K4520" t="str">
            <v>PCOQ</v>
          </cell>
          <cell r="M4520" t="str">
            <v>F</v>
          </cell>
          <cell r="AC4520">
            <v>0.4</v>
          </cell>
        </row>
        <row r="4521">
          <cell r="A4521" t="str">
            <v>IS_alqt_minus</v>
          </cell>
          <cell r="K4521" t="str">
            <v>PCOQ</v>
          </cell>
          <cell r="M4521" t="str">
            <v>F</v>
          </cell>
          <cell r="AC4521">
            <v>0.4</v>
          </cell>
        </row>
        <row r="4522">
          <cell r="A4522" t="str">
            <v>IS_alqt_minus</v>
          </cell>
          <cell r="K4522" t="str">
            <v>PCOQ</v>
          </cell>
          <cell r="M4522" t="str">
            <v>F</v>
          </cell>
          <cell r="AC4522">
            <v>0.4</v>
          </cell>
        </row>
        <row r="4523">
          <cell r="A4523" t="str">
            <v>IS_alqt_plus</v>
          </cell>
          <cell r="K4523" t="str">
            <v>PCOQ</v>
          </cell>
          <cell r="M4523" t="str">
            <v>F</v>
          </cell>
          <cell r="AC4523">
            <v>0.8</v>
          </cell>
        </row>
        <row r="4524">
          <cell r="A4524" t="str">
            <v>IS_alqt_plus</v>
          </cell>
          <cell r="K4524" t="str">
            <v>PCOQ</v>
          </cell>
          <cell r="M4524" t="str">
            <v>F</v>
          </cell>
          <cell r="AC4524">
            <v>1</v>
          </cell>
        </row>
        <row r="4525">
          <cell r="A4525" t="str">
            <v>IS_alqt_plus</v>
          </cell>
          <cell r="K4525" t="str">
            <v>PCOQ</v>
          </cell>
          <cell r="M4525" t="str">
            <v>F</v>
          </cell>
          <cell r="AC4525">
            <v>1</v>
          </cell>
        </row>
        <row r="4526">
          <cell r="A4526" t="str">
            <v>IS_alqt_plus</v>
          </cell>
          <cell r="K4526" t="str">
            <v>PCOQ</v>
          </cell>
          <cell r="M4526" t="str">
            <v>F</v>
          </cell>
          <cell r="AC4526">
            <v>1</v>
          </cell>
        </row>
        <row r="4527">
          <cell r="A4527" t="str">
            <v>IS_alqt_minus</v>
          </cell>
          <cell r="K4527" t="str">
            <v>MMUR</v>
          </cell>
          <cell r="M4527" t="str">
            <v>M</v>
          </cell>
          <cell r="AC4527">
            <v>0.4</v>
          </cell>
        </row>
        <row r="4528">
          <cell r="A4528" t="str">
            <v>IS_alqt_minus</v>
          </cell>
          <cell r="K4528" t="str">
            <v>MMUR</v>
          </cell>
          <cell r="M4528" t="str">
            <v>M</v>
          </cell>
          <cell r="AC4528">
            <v>0.05</v>
          </cell>
        </row>
        <row r="4529">
          <cell r="A4529" t="str">
            <v>IS_alqt_minus</v>
          </cell>
          <cell r="K4529" t="str">
            <v>PCOQ</v>
          </cell>
          <cell r="M4529" t="str">
            <v>M</v>
          </cell>
          <cell r="AC4529">
            <v>0.2</v>
          </cell>
        </row>
        <row r="4530">
          <cell r="A4530" t="str">
            <v>IS_alqt_minus</v>
          </cell>
          <cell r="K4530" t="str">
            <v>PCOQ</v>
          </cell>
          <cell r="M4530" t="str">
            <v>M</v>
          </cell>
          <cell r="AC4530">
            <v>0.2</v>
          </cell>
        </row>
        <row r="4531">
          <cell r="A4531" t="str">
            <v>IS_alqt_minus</v>
          </cell>
          <cell r="K4531" t="str">
            <v>PCOQ</v>
          </cell>
          <cell r="M4531" t="str">
            <v>M</v>
          </cell>
          <cell r="AC4531">
            <v>0.4</v>
          </cell>
        </row>
        <row r="4532">
          <cell r="A4532" t="str">
            <v>IS_alqt_plus</v>
          </cell>
          <cell r="K4532" t="str">
            <v>PCOQ</v>
          </cell>
          <cell r="M4532" t="str">
            <v>M</v>
          </cell>
          <cell r="AC4532">
            <v>0.6</v>
          </cell>
        </row>
        <row r="4533">
          <cell r="A4533" t="str">
            <v>IS_alqt_minus</v>
          </cell>
          <cell r="K4533" t="str">
            <v>DMAD</v>
          </cell>
          <cell r="M4533" t="str">
            <v>M</v>
          </cell>
          <cell r="AC4533">
            <v>0.2</v>
          </cell>
        </row>
        <row r="4534">
          <cell r="A4534" t="str">
            <v>IS_alqt_minus</v>
          </cell>
          <cell r="K4534" t="str">
            <v>DMAD</v>
          </cell>
          <cell r="M4534" t="str">
            <v>M</v>
          </cell>
          <cell r="AC4534">
            <v>0.4</v>
          </cell>
        </row>
        <row r="4535">
          <cell r="A4535" t="str">
            <v>IS_alqt_minus</v>
          </cell>
          <cell r="K4535" t="str">
            <v>DMAD</v>
          </cell>
          <cell r="M4535" t="str">
            <v>M</v>
          </cell>
          <cell r="AC4535">
            <v>0.4</v>
          </cell>
        </row>
        <row r="4536">
          <cell r="A4536" t="str">
            <v>IS_alqt_plus</v>
          </cell>
          <cell r="K4536" t="str">
            <v>DMAD</v>
          </cell>
          <cell r="M4536" t="str">
            <v>M</v>
          </cell>
          <cell r="AC4536">
            <v>0.6</v>
          </cell>
        </row>
        <row r="4537">
          <cell r="A4537" t="str">
            <v>IS_alqt_minus</v>
          </cell>
          <cell r="K4537" t="str">
            <v>MMUR</v>
          </cell>
          <cell r="M4537" t="str">
            <v>F</v>
          </cell>
          <cell r="AC4537">
            <v>0.2</v>
          </cell>
        </row>
        <row r="4538">
          <cell r="A4538" t="str">
            <v>IS_alqt_minus</v>
          </cell>
          <cell r="K4538" t="str">
            <v>MMUR</v>
          </cell>
          <cell r="M4538" t="str">
            <v>F</v>
          </cell>
          <cell r="AC4538">
            <v>0.2</v>
          </cell>
        </row>
        <row r="4539">
          <cell r="A4539" t="str">
            <v>IS_alqt_minus</v>
          </cell>
          <cell r="K4539" t="str">
            <v>MMUR</v>
          </cell>
          <cell r="M4539" t="str">
            <v>F</v>
          </cell>
          <cell r="AC4539">
            <v>0.2</v>
          </cell>
        </row>
        <row r="4540">
          <cell r="A4540" t="str">
            <v>IS_alqt_minus</v>
          </cell>
          <cell r="K4540" t="str">
            <v>MMUR</v>
          </cell>
          <cell r="M4540" t="str">
            <v>F</v>
          </cell>
          <cell r="AC4540">
            <v>0.4</v>
          </cell>
        </row>
        <row r="4541">
          <cell r="A4541" t="str">
            <v>IS_alqt_minus</v>
          </cell>
          <cell r="K4541" t="str">
            <v>CMED</v>
          </cell>
          <cell r="M4541" t="str">
            <v>M</v>
          </cell>
          <cell r="AC4541">
            <v>0.1</v>
          </cell>
        </row>
        <row r="4542">
          <cell r="A4542" t="str">
            <v>IS_alqt_minus</v>
          </cell>
          <cell r="K4542" t="str">
            <v>CMED</v>
          </cell>
          <cell r="M4542" t="str">
            <v>M</v>
          </cell>
          <cell r="AC4542">
            <v>0.2</v>
          </cell>
        </row>
        <row r="4543">
          <cell r="A4543" t="str">
            <v>IS_alqt_minus</v>
          </cell>
          <cell r="K4543" t="str">
            <v>CMED</v>
          </cell>
          <cell r="M4543" t="str">
            <v>M</v>
          </cell>
          <cell r="AC4543">
            <v>0.26</v>
          </cell>
        </row>
        <row r="4544">
          <cell r="A4544" t="str">
            <v>IS_alqt_minus</v>
          </cell>
          <cell r="K4544" t="str">
            <v>MMUR</v>
          </cell>
          <cell r="M4544" t="str">
            <v>M</v>
          </cell>
          <cell r="AC4544">
            <v>0.3</v>
          </cell>
        </row>
        <row r="4545">
          <cell r="A4545" t="str">
            <v>IS_alqt_minus</v>
          </cell>
          <cell r="K4545" t="str">
            <v>MMUR</v>
          </cell>
          <cell r="M4545" t="str">
            <v>M</v>
          </cell>
          <cell r="AC4545">
            <v>0.3</v>
          </cell>
        </row>
        <row r="4546">
          <cell r="A4546" t="str">
            <v>IS_alqt_minus</v>
          </cell>
          <cell r="K4546" t="str">
            <v>MMUR</v>
          </cell>
          <cell r="M4546" t="str">
            <v>M</v>
          </cell>
          <cell r="AC4546">
            <v>0.2</v>
          </cell>
        </row>
        <row r="4547">
          <cell r="A4547" t="str">
            <v>IS_alqt_minus</v>
          </cell>
          <cell r="K4547" t="str">
            <v>MMUR</v>
          </cell>
          <cell r="M4547" t="str">
            <v>M</v>
          </cell>
          <cell r="AC4547">
            <v>0.2</v>
          </cell>
        </row>
        <row r="4548">
          <cell r="A4548" t="str">
            <v>IS_alqt_minus</v>
          </cell>
          <cell r="K4548" t="str">
            <v>VVV</v>
          </cell>
          <cell r="M4548" t="str">
            <v>F</v>
          </cell>
          <cell r="AC4548">
            <v>0.2</v>
          </cell>
        </row>
        <row r="4549">
          <cell r="A4549" t="str">
            <v>IS_alqt_minus</v>
          </cell>
          <cell r="K4549" t="str">
            <v>VVV</v>
          </cell>
          <cell r="M4549" t="str">
            <v>F</v>
          </cell>
          <cell r="AC4549">
            <v>0.4</v>
          </cell>
        </row>
        <row r="4550">
          <cell r="A4550" t="str">
            <v>IS_alqt_minus</v>
          </cell>
          <cell r="K4550" t="str">
            <v>VVV</v>
          </cell>
          <cell r="M4550" t="str">
            <v>F</v>
          </cell>
          <cell r="AC4550">
            <v>0.4</v>
          </cell>
        </row>
        <row r="4551">
          <cell r="A4551" t="str">
            <v>IS_alqt_minus</v>
          </cell>
          <cell r="K4551" t="str">
            <v>VVV</v>
          </cell>
          <cell r="M4551" t="str">
            <v>F</v>
          </cell>
          <cell r="AC4551">
            <v>0.4</v>
          </cell>
        </row>
        <row r="4552">
          <cell r="A4552" t="str">
            <v>IS_alqt_plus</v>
          </cell>
          <cell r="K4552" t="str">
            <v>VVV</v>
          </cell>
          <cell r="M4552" t="str">
            <v>F</v>
          </cell>
          <cell r="AC4552">
            <v>0.6</v>
          </cell>
        </row>
        <row r="4553">
          <cell r="A4553" t="str">
            <v>IS_alqt_plus</v>
          </cell>
          <cell r="K4553" t="str">
            <v>VVV</v>
          </cell>
          <cell r="M4553" t="str">
            <v>F</v>
          </cell>
          <cell r="AC4553">
            <v>0.6</v>
          </cell>
        </row>
        <row r="4554">
          <cell r="A4554" t="str">
            <v>IS_alqt_minus</v>
          </cell>
          <cell r="K4554" t="str">
            <v>DMAD</v>
          </cell>
          <cell r="M4554" t="str">
            <v>M</v>
          </cell>
          <cell r="AC4554">
            <v>0.2</v>
          </cell>
        </row>
        <row r="4555">
          <cell r="A4555" t="str">
            <v>IS_alqt_minus</v>
          </cell>
          <cell r="K4555" t="str">
            <v>DMAD</v>
          </cell>
          <cell r="M4555" t="str">
            <v>M</v>
          </cell>
          <cell r="AC4555">
            <v>0.2</v>
          </cell>
        </row>
        <row r="4556">
          <cell r="A4556" t="str">
            <v>IS_alqt_minus</v>
          </cell>
          <cell r="K4556" t="str">
            <v>DMAD</v>
          </cell>
          <cell r="M4556" t="str">
            <v>M</v>
          </cell>
          <cell r="AC4556">
            <v>0.4</v>
          </cell>
        </row>
        <row r="4557">
          <cell r="A4557" t="str">
            <v>IS_alqt_plus</v>
          </cell>
          <cell r="K4557" t="str">
            <v>DMAD</v>
          </cell>
          <cell r="M4557" t="str">
            <v>M</v>
          </cell>
          <cell r="AC4557">
            <v>0.6</v>
          </cell>
        </row>
        <row r="4558">
          <cell r="A4558" t="str">
            <v>IS_alqt_plus</v>
          </cell>
          <cell r="K4558" t="str">
            <v>DMAD</v>
          </cell>
          <cell r="M4558" t="str">
            <v>M</v>
          </cell>
          <cell r="AC4558">
            <v>0.8</v>
          </cell>
        </row>
        <row r="4559">
          <cell r="A4559" t="str">
            <v>IS_alqt_plus</v>
          </cell>
          <cell r="K4559" t="str">
            <v>EFLA</v>
          </cell>
          <cell r="M4559" t="str">
            <v>F</v>
          </cell>
          <cell r="AC4559">
            <v>1</v>
          </cell>
        </row>
        <row r="4560">
          <cell r="A4560" t="str">
            <v>IS_alqt_plus</v>
          </cell>
          <cell r="K4560" t="str">
            <v>EFLA</v>
          </cell>
          <cell r="M4560" t="str">
            <v>F</v>
          </cell>
          <cell r="AC4560">
            <v>1</v>
          </cell>
        </row>
        <row r="4561">
          <cell r="A4561" t="str">
            <v>IS_alqt_plus</v>
          </cell>
          <cell r="K4561" t="str">
            <v>EFLA</v>
          </cell>
          <cell r="M4561" t="str">
            <v>F</v>
          </cell>
          <cell r="AC4561">
            <v>1</v>
          </cell>
        </row>
        <row r="4562">
          <cell r="A4562" t="str">
            <v>IS_alqt_plus</v>
          </cell>
          <cell r="K4562" t="str">
            <v>EFLA</v>
          </cell>
          <cell r="M4562" t="str">
            <v>F</v>
          </cell>
          <cell r="AC4562">
            <v>1</v>
          </cell>
        </row>
        <row r="4563">
          <cell r="A4563" t="str">
            <v>IS_alqt_plus</v>
          </cell>
          <cell r="K4563" t="str">
            <v>EFLA</v>
          </cell>
          <cell r="M4563" t="str">
            <v>F</v>
          </cell>
          <cell r="AC4563">
            <v>1</v>
          </cell>
        </row>
        <row r="4564">
          <cell r="A4564" t="str">
            <v>IS_alqt_plus</v>
          </cell>
          <cell r="K4564" t="str">
            <v>EFLA</v>
          </cell>
          <cell r="M4564" t="str">
            <v>F</v>
          </cell>
          <cell r="AC4564">
            <v>1</v>
          </cell>
        </row>
        <row r="4565">
          <cell r="A4565" t="str">
            <v>IS_alqt_plus</v>
          </cell>
          <cell r="K4565" t="str">
            <v>EFLA</v>
          </cell>
          <cell r="M4565" t="str">
            <v>F</v>
          </cell>
          <cell r="AC4565">
            <v>1</v>
          </cell>
        </row>
        <row r="4566">
          <cell r="A4566" t="str">
            <v>IS_alqt_plus</v>
          </cell>
          <cell r="K4566" t="str">
            <v>EFLA</v>
          </cell>
          <cell r="M4566" t="str">
            <v>F</v>
          </cell>
          <cell r="AC4566">
            <v>0.6</v>
          </cell>
        </row>
        <row r="4567">
          <cell r="A4567" t="str">
            <v>IS_alqt_plus</v>
          </cell>
          <cell r="K4567" t="str">
            <v>EFLA</v>
          </cell>
          <cell r="M4567" t="str">
            <v>F</v>
          </cell>
          <cell r="AC4567">
            <v>0.6</v>
          </cell>
        </row>
        <row r="4568">
          <cell r="A4568" t="str">
            <v>IS_alqt_plus</v>
          </cell>
          <cell r="K4568" t="str">
            <v>EFLA</v>
          </cell>
          <cell r="M4568" t="str">
            <v>F</v>
          </cell>
          <cell r="AC4568">
            <v>0.6</v>
          </cell>
        </row>
        <row r="4569">
          <cell r="A4569" t="str">
            <v>IS_alqt_plus</v>
          </cell>
          <cell r="K4569" t="str">
            <v>EFLA</v>
          </cell>
          <cell r="M4569" t="str">
            <v>F</v>
          </cell>
          <cell r="AC4569">
            <v>0.6</v>
          </cell>
        </row>
        <row r="4570">
          <cell r="A4570" t="str">
            <v>IS_alqt_plus</v>
          </cell>
          <cell r="K4570" t="str">
            <v>EFLA</v>
          </cell>
          <cell r="M4570" t="str">
            <v>F</v>
          </cell>
          <cell r="AC4570">
            <v>0.6</v>
          </cell>
        </row>
        <row r="4571">
          <cell r="A4571" t="str">
            <v>IS_alqt_plus</v>
          </cell>
          <cell r="K4571" t="str">
            <v>EFLA</v>
          </cell>
          <cell r="M4571" t="str">
            <v>F</v>
          </cell>
          <cell r="AC4571">
            <v>0.6</v>
          </cell>
        </row>
        <row r="4572">
          <cell r="A4572" t="str">
            <v>IS_alqt_plus</v>
          </cell>
          <cell r="K4572" t="str">
            <v>EFLA</v>
          </cell>
          <cell r="M4572" t="str">
            <v>F</v>
          </cell>
          <cell r="AC4572">
            <v>0.6</v>
          </cell>
        </row>
        <row r="4573">
          <cell r="A4573" t="str">
            <v>IS_alqt_plus</v>
          </cell>
          <cell r="K4573" t="str">
            <v>EFLA</v>
          </cell>
          <cell r="M4573" t="str">
            <v>F</v>
          </cell>
          <cell r="AC4573">
            <v>2</v>
          </cell>
        </row>
        <row r="4574">
          <cell r="A4574" t="str">
            <v>IS_alqt_plus</v>
          </cell>
          <cell r="K4574" t="str">
            <v>EFLA</v>
          </cell>
          <cell r="M4574" t="str">
            <v>F</v>
          </cell>
          <cell r="AC4574">
            <v>2</v>
          </cell>
        </row>
        <row r="4575">
          <cell r="A4575" t="str">
            <v>IS_alqt_plus</v>
          </cell>
          <cell r="K4575" t="str">
            <v>EFLA</v>
          </cell>
          <cell r="M4575" t="str">
            <v>F</v>
          </cell>
          <cell r="AC4575">
            <v>2</v>
          </cell>
        </row>
        <row r="4576">
          <cell r="A4576" t="str">
            <v>IS_alqt_minus</v>
          </cell>
          <cell r="K4576" t="str">
            <v>MMUR</v>
          </cell>
          <cell r="M4576" t="str">
            <v>F</v>
          </cell>
          <cell r="AC4576">
            <v>0.25</v>
          </cell>
        </row>
        <row r="4577">
          <cell r="A4577" t="str">
            <v>IS_alqt_plus</v>
          </cell>
          <cell r="K4577" t="str">
            <v>PCOQ</v>
          </cell>
          <cell r="M4577" t="str">
            <v>F</v>
          </cell>
          <cell r="AC4577">
            <v>1</v>
          </cell>
        </row>
        <row r="4578">
          <cell r="A4578" t="str">
            <v>IS_alqt_plus</v>
          </cell>
          <cell r="K4578" t="str">
            <v>PCOQ</v>
          </cell>
          <cell r="M4578" t="str">
            <v>F</v>
          </cell>
          <cell r="AC4578">
            <v>0.8</v>
          </cell>
        </row>
        <row r="4579">
          <cell r="A4579" t="str">
            <v>IS_alqt_plus</v>
          </cell>
          <cell r="K4579" t="str">
            <v>PCOQ</v>
          </cell>
          <cell r="M4579" t="str">
            <v>F</v>
          </cell>
          <cell r="AC4579">
            <v>0.6</v>
          </cell>
        </row>
        <row r="4580">
          <cell r="A4580" t="str">
            <v>IS_alqt_plus</v>
          </cell>
          <cell r="K4580" t="str">
            <v>PCOQ</v>
          </cell>
          <cell r="M4580" t="str">
            <v>F</v>
          </cell>
          <cell r="AC4580">
            <v>0.6</v>
          </cell>
        </row>
        <row r="4581">
          <cell r="A4581" t="str">
            <v>IS_alqt_plus</v>
          </cell>
          <cell r="K4581" t="str">
            <v>PCOQ</v>
          </cell>
          <cell r="M4581" t="str">
            <v>F</v>
          </cell>
          <cell r="AC4581">
            <v>0.6</v>
          </cell>
        </row>
        <row r="4582">
          <cell r="A4582" t="str">
            <v>IS_alqt_minus</v>
          </cell>
          <cell r="K4582" t="str">
            <v>PCOQ</v>
          </cell>
          <cell r="M4582" t="str">
            <v>F</v>
          </cell>
          <cell r="AC4582">
            <v>0.4</v>
          </cell>
        </row>
        <row r="4583">
          <cell r="A4583" t="str">
            <v>IS_alqt_minus</v>
          </cell>
          <cell r="K4583" t="str">
            <v>PCOQ</v>
          </cell>
          <cell r="M4583" t="str">
            <v>F</v>
          </cell>
          <cell r="AC4583">
            <v>0.4</v>
          </cell>
        </row>
        <row r="4584">
          <cell r="A4584" t="str">
            <v>IS_alqt_minus</v>
          </cell>
          <cell r="K4584" t="str">
            <v>PCOQ</v>
          </cell>
          <cell r="M4584" t="str">
            <v>F</v>
          </cell>
          <cell r="AC4584">
            <v>0.4</v>
          </cell>
        </row>
        <row r="4585">
          <cell r="A4585" t="str">
            <v>IS_alqt_minus</v>
          </cell>
          <cell r="K4585" t="str">
            <v>MMUR</v>
          </cell>
          <cell r="M4585" t="str">
            <v>F</v>
          </cell>
          <cell r="AC4585">
            <v>0.1</v>
          </cell>
        </row>
        <row r="4586">
          <cell r="A4586" t="str">
            <v>IS_alqt_minus</v>
          </cell>
          <cell r="K4586" t="str">
            <v>DMAD</v>
          </cell>
          <cell r="M4586" t="str">
            <v>F</v>
          </cell>
          <cell r="AC4586">
            <v>0.2</v>
          </cell>
        </row>
        <row r="4587">
          <cell r="A4587" t="str">
            <v>IS_alqt_minus</v>
          </cell>
          <cell r="K4587" t="str">
            <v>DMAD</v>
          </cell>
          <cell r="M4587" t="str">
            <v>F</v>
          </cell>
          <cell r="AC4587">
            <v>0.2</v>
          </cell>
        </row>
        <row r="4588">
          <cell r="A4588" t="str">
            <v>IS_alqt_minus</v>
          </cell>
          <cell r="K4588" t="str">
            <v>DMAD</v>
          </cell>
          <cell r="M4588" t="str">
            <v>F</v>
          </cell>
          <cell r="AC4588">
            <v>0.2</v>
          </cell>
        </row>
        <row r="4589">
          <cell r="A4589" t="str">
            <v>IS_alqt_minus</v>
          </cell>
          <cell r="K4589" t="str">
            <v>DMAD</v>
          </cell>
          <cell r="M4589" t="str">
            <v>F</v>
          </cell>
          <cell r="AC4589">
            <v>0.2</v>
          </cell>
        </row>
        <row r="4590">
          <cell r="A4590" t="str">
            <v>IS_alqt_minus</v>
          </cell>
          <cell r="K4590" t="str">
            <v>DMAD</v>
          </cell>
          <cell r="M4590" t="str">
            <v>F</v>
          </cell>
          <cell r="AC4590">
            <v>0.2</v>
          </cell>
        </row>
        <row r="4591">
          <cell r="A4591" t="str">
            <v>IS_alqt_minus</v>
          </cell>
          <cell r="K4591" t="str">
            <v>DMAD</v>
          </cell>
          <cell r="M4591" t="str">
            <v>F</v>
          </cell>
          <cell r="AC4591">
            <v>0.2</v>
          </cell>
        </row>
        <row r="4592">
          <cell r="A4592" t="str">
            <v>IS_alqt_plus</v>
          </cell>
          <cell r="K4592" t="str">
            <v>DMAD</v>
          </cell>
          <cell r="M4592" t="str">
            <v>F</v>
          </cell>
          <cell r="AC4592">
            <v>0.5</v>
          </cell>
        </row>
        <row r="4593">
          <cell r="A4593" t="str">
            <v>IS_alqt_plus</v>
          </cell>
          <cell r="K4593" t="str">
            <v>DMAD</v>
          </cell>
          <cell r="M4593" t="str">
            <v>F</v>
          </cell>
          <cell r="AC4593">
            <v>0.5</v>
          </cell>
        </row>
        <row r="4594">
          <cell r="A4594" t="str">
            <v>IS_alqt_plus</v>
          </cell>
          <cell r="K4594" t="str">
            <v>DMAD</v>
          </cell>
          <cell r="M4594" t="str">
            <v>F</v>
          </cell>
          <cell r="AC4594">
            <v>0.5</v>
          </cell>
        </row>
        <row r="4595">
          <cell r="A4595" t="str">
            <v>IS_alqt_plus</v>
          </cell>
          <cell r="K4595" t="str">
            <v>DMAD</v>
          </cell>
          <cell r="M4595" t="str">
            <v>F</v>
          </cell>
          <cell r="AC4595">
            <v>0.5</v>
          </cell>
        </row>
        <row r="4596">
          <cell r="A4596" t="str">
            <v>IS_alqt_plus</v>
          </cell>
          <cell r="K4596" t="str">
            <v>DMAD</v>
          </cell>
          <cell r="M4596" t="str">
            <v>F</v>
          </cell>
          <cell r="AC4596">
            <v>0.5</v>
          </cell>
        </row>
        <row r="4597">
          <cell r="A4597" t="str">
            <v>IS_alqt_plus</v>
          </cell>
          <cell r="K4597" t="str">
            <v>DMAD</v>
          </cell>
          <cell r="M4597" t="str">
            <v>F</v>
          </cell>
          <cell r="AC4597">
            <v>0.5</v>
          </cell>
        </row>
        <row r="4598">
          <cell r="A4598" t="str">
            <v>IS_alqt_plus</v>
          </cell>
          <cell r="K4598" t="str">
            <v>DMAD</v>
          </cell>
          <cell r="M4598" t="str">
            <v>F</v>
          </cell>
          <cell r="AC4598">
            <v>0.5</v>
          </cell>
        </row>
        <row r="4599">
          <cell r="A4599" t="str">
            <v>IS_alqt_plus</v>
          </cell>
          <cell r="K4599" t="str">
            <v>DMAD</v>
          </cell>
          <cell r="M4599" t="str">
            <v>F</v>
          </cell>
          <cell r="AC4599">
            <v>0.5</v>
          </cell>
        </row>
        <row r="4600">
          <cell r="A4600" t="str">
            <v>IS_alqt_plus</v>
          </cell>
          <cell r="K4600" t="str">
            <v>DMAD</v>
          </cell>
          <cell r="M4600" t="str">
            <v>F</v>
          </cell>
          <cell r="AC4600">
            <v>1</v>
          </cell>
        </row>
        <row r="4601">
          <cell r="A4601" t="str">
            <v>IS_alqt_plus</v>
          </cell>
          <cell r="K4601" t="str">
            <v>DMAD</v>
          </cell>
          <cell r="M4601" t="str">
            <v>F</v>
          </cell>
          <cell r="AC4601">
            <v>1</v>
          </cell>
        </row>
        <row r="4602">
          <cell r="A4602" t="str">
            <v>IS_alqt_plus</v>
          </cell>
          <cell r="K4602" t="str">
            <v>DMAD</v>
          </cell>
          <cell r="M4602" t="str">
            <v>F</v>
          </cell>
          <cell r="AC4602">
            <v>1</v>
          </cell>
        </row>
        <row r="4603">
          <cell r="A4603" t="str">
            <v>IS_alqt_plus</v>
          </cell>
          <cell r="K4603" t="str">
            <v>DMAD</v>
          </cell>
          <cell r="M4603" t="str">
            <v>F</v>
          </cell>
          <cell r="AC4603">
            <v>1</v>
          </cell>
        </row>
        <row r="4604">
          <cell r="A4604" t="str">
            <v>IS_alqt_plus</v>
          </cell>
          <cell r="K4604" t="str">
            <v>EFLA</v>
          </cell>
          <cell r="M4604" t="str">
            <v>F</v>
          </cell>
          <cell r="AC4604">
            <v>1</v>
          </cell>
        </row>
        <row r="4605">
          <cell r="A4605" t="str">
            <v>IS_alqt_plus</v>
          </cell>
          <cell r="K4605" t="str">
            <v>EFLA</v>
          </cell>
          <cell r="M4605" t="str">
            <v>F</v>
          </cell>
          <cell r="AC4605">
            <v>1</v>
          </cell>
        </row>
        <row r="4606">
          <cell r="A4606" t="str">
            <v>IS_alqt_plus</v>
          </cell>
          <cell r="K4606" t="str">
            <v>EFLA</v>
          </cell>
          <cell r="M4606" t="str">
            <v>F</v>
          </cell>
          <cell r="AC4606">
            <v>1</v>
          </cell>
        </row>
        <row r="4607">
          <cell r="A4607" t="str">
            <v>IS_alqt_plus</v>
          </cell>
          <cell r="K4607" t="str">
            <v>EFLA</v>
          </cell>
          <cell r="M4607" t="str">
            <v>F</v>
          </cell>
          <cell r="AC4607">
            <v>0.5</v>
          </cell>
        </row>
        <row r="4608">
          <cell r="A4608" t="str">
            <v>IS_alqt_plus</v>
          </cell>
          <cell r="K4608" t="str">
            <v>EFLA</v>
          </cell>
          <cell r="M4608" t="str">
            <v>F</v>
          </cell>
          <cell r="AC4608">
            <v>0.5</v>
          </cell>
        </row>
        <row r="4609">
          <cell r="A4609" t="str">
            <v>IS_alqt_plus</v>
          </cell>
          <cell r="K4609" t="str">
            <v>EFLA</v>
          </cell>
          <cell r="M4609" t="str">
            <v>F</v>
          </cell>
          <cell r="AC4609">
            <v>0.5</v>
          </cell>
        </row>
        <row r="4610">
          <cell r="A4610" t="str">
            <v>IS_alqt_plus</v>
          </cell>
          <cell r="K4610" t="str">
            <v>EFLA</v>
          </cell>
          <cell r="M4610" t="str">
            <v>F</v>
          </cell>
          <cell r="AC4610">
            <v>0.5</v>
          </cell>
        </row>
        <row r="4611">
          <cell r="A4611" t="str">
            <v>IS_alqt_plus</v>
          </cell>
          <cell r="K4611" t="str">
            <v>EFLA</v>
          </cell>
          <cell r="M4611" t="str">
            <v>F</v>
          </cell>
          <cell r="AC4611">
            <v>0.5</v>
          </cell>
        </row>
        <row r="4612">
          <cell r="A4612" t="str">
            <v>IS_alqt_plus</v>
          </cell>
          <cell r="K4612" t="str">
            <v>EFLA</v>
          </cell>
          <cell r="M4612" t="str">
            <v>F</v>
          </cell>
          <cell r="AC4612">
            <v>0.5</v>
          </cell>
        </row>
        <row r="4613">
          <cell r="A4613" t="str">
            <v>IS_alqt_minus</v>
          </cell>
          <cell r="K4613" t="str">
            <v>EFLA</v>
          </cell>
          <cell r="M4613" t="str">
            <v>F</v>
          </cell>
          <cell r="AC4613">
            <v>0.2</v>
          </cell>
        </row>
        <row r="4614">
          <cell r="A4614" t="str">
            <v>IS_alqt_minus</v>
          </cell>
          <cell r="K4614" t="str">
            <v>EFLA</v>
          </cell>
          <cell r="M4614" t="str">
            <v>F</v>
          </cell>
          <cell r="AC4614">
            <v>0.2</v>
          </cell>
        </row>
        <row r="4615">
          <cell r="A4615" t="str">
            <v>IS_alqt_minus</v>
          </cell>
          <cell r="K4615" t="str">
            <v>EFLA</v>
          </cell>
          <cell r="M4615" t="str">
            <v>F</v>
          </cell>
          <cell r="AC4615">
            <v>0.2</v>
          </cell>
        </row>
        <row r="4616">
          <cell r="A4616" t="str">
            <v>IS_alqt_minus</v>
          </cell>
          <cell r="K4616" t="str">
            <v>EFLA</v>
          </cell>
          <cell r="M4616" t="str">
            <v>F</v>
          </cell>
          <cell r="AC4616">
            <v>0.2</v>
          </cell>
        </row>
        <row r="4617">
          <cell r="A4617" t="str">
            <v>IS_alqt_minus</v>
          </cell>
          <cell r="K4617" t="str">
            <v>EFLA</v>
          </cell>
          <cell r="M4617" t="str">
            <v>F</v>
          </cell>
          <cell r="AC4617">
            <v>0.2</v>
          </cell>
        </row>
        <row r="4618">
          <cell r="A4618" t="str">
            <v>IS_alqt_minus</v>
          </cell>
          <cell r="K4618" t="str">
            <v>EFLA</v>
          </cell>
          <cell r="M4618" t="str">
            <v>F</v>
          </cell>
          <cell r="AC4618">
            <v>0.2</v>
          </cell>
        </row>
        <row r="4619">
          <cell r="A4619" t="str">
            <v>IS_alqt_minus</v>
          </cell>
          <cell r="K4619" t="str">
            <v>EFLA</v>
          </cell>
          <cell r="M4619" t="str">
            <v>F</v>
          </cell>
          <cell r="AC4619">
            <v>0.2</v>
          </cell>
        </row>
        <row r="4620">
          <cell r="A4620" t="str">
            <v>IS_alqt_plus</v>
          </cell>
          <cell r="K4620" t="str">
            <v>EFLA</v>
          </cell>
          <cell r="M4620" t="str">
            <v>F</v>
          </cell>
          <cell r="AC4620">
            <v>0.6</v>
          </cell>
        </row>
        <row r="4621">
          <cell r="A4621" t="str">
            <v>IS_alqt_plus</v>
          </cell>
          <cell r="K4621" t="str">
            <v>EFLA</v>
          </cell>
          <cell r="M4621" t="str">
            <v>F</v>
          </cell>
          <cell r="AC4621">
            <v>0.6</v>
          </cell>
        </row>
        <row r="4622">
          <cell r="A4622" t="str">
            <v>IS_alqt_plus</v>
          </cell>
          <cell r="K4622" t="str">
            <v>EFLA</v>
          </cell>
          <cell r="M4622" t="str">
            <v>F</v>
          </cell>
          <cell r="AC4622">
            <v>1</v>
          </cell>
        </row>
        <row r="4623">
          <cell r="A4623" t="str">
            <v>IS_alqt_plus</v>
          </cell>
          <cell r="K4623" t="str">
            <v>EFLA</v>
          </cell>
          <cell r="M4623" t="str">
            <v>F</v>
          </cell>
          <cell r="AC4623">
            <v>1</v>
          </cell>
        </row>
        <row r="4624">
          <cell r="A4624" t="str">
            <v>IS_alqt_plus</v>
          </cell>
          <cell r="K4624" t="str">
            <v>EFLA</v>
          </cell>
          <cell r="M4624" t="str">
            <v>F</v>
          </cell>
          <cell r="AC4624">
            <v>1</v>
          </cell>
        </row>
        <row r="4625">
          <cell r="A4625" t="str">
            <v>IS_alqt_minus</v>
          </cell>
          <cell r="K4625" t="str">
            <v>CMED</v>
          </cell>
          <cell r="M4625" t="str">
            <v>M</v>
          </cell>
          <cell r="AC4625">
            <v>0.25</v>
          </cell>
        </row>
        <row r="4626">
          <cell r="A4626" t="str">
            <v>IS_alqt_minus</v>
          </cell>
          <cell r="K4626" t="str">
            <v>CMED</v>
          </cell>
          <cell r="M4626" t="str">
            <v>M</v>
          </cell>
          <cell r="AC4626">
            <v>0.25</v>
          </cell>
        </row>
        <row r="4627">
          <cell r="A4627" t="str">
            <v>IS_alqt_plus</v>
          </cell>
          <cell r="K4627" t="str">
            <v>EFLA</v>
          </cell>
          <cell r="M4627" t="str">
            <v>F</v>
          </cell>
          <cell r="AC4627">
            <v>2</v>
          </cell>
        </row>
        <row r="4628">
          <cell r="A4628" t="str">
            <v>IS_alqt_plus</v>
          </cell>
          <cell r="K4628" t="str">
            <v>EFLA</v>
          </cell>
          <cell r="M4628" t="str">
            <v>F</v>
          </cell>
          <cell r="AC4628">
            <v>2</v>
          </cell>
        </row>
        <row r="4629">
          <cell r="A4629" t="str">
            <v>IS_alqt_plus</v>
          </cell>
          <cell r="K4629" t="str">
            <v>EFLA</v>
          </cell>
          <cell r="M4629" t="str">
            <v>F</v>
          </cell>
          <cell r="AC4629">
            <v>2</v>
          </cell>
        </row>
        <row r="4630">
          <cell r="A4630" t="str">
            <v>IS_alqt_plus</v>
          </cell>
          <cell r="K4630" t="str">
            <v>EFLA</v>
          </cell>
          <cell r="M4630" t="str">
            <v>F</v>
          </cell>
          <cell r="AC4630">
            <v>2</v>
          </cell>
        </row>
        <row r="4631">
          <cell r="A4631" t="str">
            <v>IS_alqt_plus</v>
          </cell>
          <cell r="K4631" t="str">
            <v>EFLA</v>
          </cell>
          <cell r="M4631" t="str">
            <v>F</v>
          </cell>
          <cell r="AC4631">
            <v>2</v>
          </cell>
        </row>
        <row r="4632">
          <cell r="A4632" t="str">
            <v>IS_alqt_plus</v>
          </cell>
          <cell r="K4632" t="str">
            <v>EFLA</v>
          </cell>
          <cell r="M4632" t="str">
            <v>F</v>
          </cell>
          <cell r="AC4632">
            <v>1</v>
          </cell>
        </row>
        <row r="4633">
          <cell r="A4633" t="str">
            <v>IS_alqt_plus</v>
          </cell>
          <cell r="K4633" t="str">
            <v>EFLA</v>
          </cell>
          <cell r="M4633" t="str">
            <v>F</v>
          </cell>
          <cell r="AC4633">
            <v>1</v>
          </cell>
        </row>
        <row r="4634">
          <cell r="A4634" t="str">
            <v>IS_alqt_plus</v>
          </cell>
          <cell r="K4634" t="str">
            <v>EFLA</v>
          </cell>
          <cell r="M4634" t="str">
            <v>F</v>
          </cell>
          <cell r="AC4634">
            <v>1</v>
          </cell>
        </row>
        <row r="4635">
          <cell r="A4635" t="str">
            <v>IS_alqt_plus</v>
          </cell>
          <cell r="K4635" t="str">
            <v>EFLA</v>
          </cell>
          <cell r="M4635" t="str">
            <v>F</v>
          </cell>
          <cell r="AC4635">
            <v>1</v>
          </cell>
        </row>
        <row r="4636">
          <cell r="A4636" t="str">
            <v>IS_alqt_plus</v>
          </cell>
          <cell r="K4636" t="str">
            <v>EFLA</v>
          </cell>
          <cell r="M4636" t="str">
            <v>F</v>
          </cell>
          <cell r="AC4636">
            <v>1</v>
          </cell>
        </row>
        <row r="4637">
          <cell r="A4637" t="str">
            <v>IS_alqt_plus</v>
          </cell>
          <cell r="K4637" t="str">
            <v>EFLA</v>
          </cell>
          <cell r="M4637" t="str">
            <v>F</v>
          </cell>
          <cell r="AC4637">
            <v>1</v>
          </cell>
        </row>
        <row r="4638">
          <cell r="A4638" t="str">
            <v>IS_alqt_plus</v>
          </cell>
          <cell r="K4638" t="str">
            <v>EFLA</v>
          </cell>
          <cell r="M4638" t="str">
            <v>F</v>
          </cell>
          <cell r="AC4638">
            <v>1</v>
          </cell>
        </row>
        <row r="4639">
          <cell r="A4639" t="str">
            <v>IS_alqt_plus</v>
          </cell>
          <cell r="K4639" t="str">
            <v>EFLA</v>
          </cell>
          <cell r="M4639" t="str">
            <v>F</v>
          </cell>
          <cell r="AC4639">
            <v>1</v>
          </cell>
        </row>
        <row r="4640">
          <cell r="A4640" t="str">
            <v>IS_alqt_plus</v>
          </cell>
          <cell r="K4640" t="str">
            <v>EFLA</v>
          </cell>
          <cell r="M4640" t="str">
            <v>F</v>
          </cell>
          <cell r="AC4640">
            <v>1</v>
          </cell>
        </row>
        <row r="4641">
          <cell r="A4641" t="str">
            <v>IS_alqt_plus</v>
          </cell>
          <cell r="K4641" t="str">
            <v>EFLA</v>
          </cell>
          <cell r="M4641" t="str">
            <v>F</v>
          </cell>
          <cell r="AC4641">
            <v>0.8</v>
          </cell>
        </row>
        <row r="4642">
          <cell r="A4642" t="str">
            <v>IS_alqt_plus</v>
          </cell>
          <cell r="K4642" t="str">
            <v>EFLA</v>
          </cell>
          <cell r="M4642" t="str">
            <v>F</v>
          </cell>
          <cell r="AC4642">
            <v>0.8</v>
          </cell>
        </row>
        <row r="4643">
          <cell r="A4643" t="str">
            <v>IS_alqt_plus</v>
          </cell>
          <cell r="K4643" t="str">
            <v>EFLA</v>
          </cell>
          <cell r="M4643" t="str">
            <v>F</v>
          </cell>
          <cell r="AC4643">
            <v>0.8</v>
          </cell>
        </row>
        <row r="4644">
          <cell r="A4644" t="str">
            <v>IS_alqt_plus</v>
          </cell>
          <cell r="K4644" t="str">
            <v>EFLA</v>
          </cell>
          <cell r="M4644" t="str">
            <v>F</v>
          </cell>
          <cell r="AC4644">
            <v>0.8</v>
          </cell>
        </row>
        <row r="4645">
          <cell r="A4645" t="str">
            <v>IS_alqt_plus</v>
          </cell>
          <cell r="K4645" t="str">
            <v>EFLA</v>
          </cell>
          <cell r="M4645" t="str">
            <v>F</v>
          </cell>
          <cell r="AC4645">
            <v>0.8</v>
          </cell>
        </row>
        <row r="4646">
          <cell r="A4646" t="str">
            <v>IS_alqt_plus</v>
          </cell>
          <cell r="K4646" t="str">
            <v>EFLA</v>
          </cell>
          <cell r="M4646" t="str">
            <v>F</v>
          </cell>
          <cell r="AC4646">
            <v>0.8</v>
          </cell>
        </row>
        <row r="4647">
          <cell r="A4647" t="str">
            <v>IS_alqt_plus</v>
          </cell>
          <cell r="K4647" t="str">
            <v>EFLA</v>
          </cell>
          <cell r="M4647" t="str">
            <v>F</v>
          </cell>
          <cell r="AC4647">
            <v>0.6</v>
          </cell>
        </row>
        <row r="4648">
          <cell r="A4648" t="str">
            <v>IS_alqt_plus</v>
          </cell>
          <cell r="K4648" t="str">
            <v>EFLA</v>
          </cell>
          <cell r="M4648" t="str">
            <v>F</v>
          </cell>
          <cell r="AC4648">
            <v>0.6</v>
          </cell>
        </row>
        <row r="4649">
          <cell r="A4649" t="str">
            <v>IS_alqt_plus</v>
          </cell>
          <cell r="K4649" t="str">
            <v>EFLA</v>
          </cell>
          <cell r="M4649" t="str">
            <v>F</v>
          </cell>
          <cell r="AC4649">
            <v>0.6</v>
          </cell>
        </row>
        <row r="4650">
          <cell r="A4650" t="str">
            <v>IS_alqt_plus</v>
          </cell>
          <cell r="K4650" t="str">
            <v>EFLA</v>
          </cell>
          <cell r="M4650" t="str">
            <v>F</v>
          </cell>
          <cell r="AC4650">
            <v>0.6</v>
          </cell>
        </row>
        <row r="4651">
          <cell r="A4651" t="str">
            <v>IS_alqt_plus</v>
          </cell>
          <cell r="K4651" t="str">
            <v>EFLA</v>
          </cell>
          <cell r="M4651" t="str">
            <v>F</v>
          </cell>
          <cell r="AC4651">
            <v>0.6</v>
          </cell>
        </row>
        <row r="4652">
          <cell r="A4652" t="str">
            <v>IS_alqt_plus</v>
          </cell>
          <cell r="K4652" t="str">
            <v>EFLA</v>
          </cell>
          <cell r="M4652" t="str">
            <v>F</v>
          </cell>
          <cell r="AC4652">
            <v>0.6</v>
          </cell>
        </row>
        <row r="4653">
          <cell r="A4653" t="str">
            <v>IS_alqt_plus</v>
          </cell>
          <cell r="K4653" t="str">
            <v>EFLA</v>
          </cell>
          <cell r="M4653" t="str">
            <v>F</v>
          </cell>
          <cell r="AC4653">
            <v>0.6</v>
          </cell>
        </row>
        <row r="4654">
          <cell r="A4654" t="str">
            <v>IS_alqt_plus</v>
          </cell>
          <cell r="K4654" t="str">
            <v>EFLA</v>
          </cell>
          <cell r="M4654" t="str">
            <v>F</v>
          </cell>
          <cell r="AC4654">
            <v>0.4</v>
          </cell>
        </row>
        <row r="4655">
          <cell r="A4655" t="str">
            <v>IS_alqt_minus</v>
          </cell>
          <cell r="K4655" t="str">
            <v>EFLA</v>
          </cell>
          <cell r="M4655" t="str">
            <v>F</v>
          </cell>
          <cell r="AC4655">
            <v>0.4</v>
          </cell>
        </row>
        <row r="4656">
          <cell r="A4656" t="str">
            <v>IS_alqt_minus</v>
          </cell>
          <cell r="K4656" t="str">
            <v>EFLA</v>
          </cell>
          <cell r="M4656" t="str">
            <v>F</v>
          </cell>
          <cell r="AC4656">
            <v>0.4</v>
          </cell>
        </row>
        <row r="4657">
          <cell r="A4657" t="str">
            <v>IS_alqt_minus</v>
          </cell>
          <cell r="K4657" t="str">
            <v>EFLA</v>
          </cell>
          <cell r="M4657" t="str">
            <v>F</v>
          </cell>
          <cell r="AC4657">
            <v>0.4</v>
          </cell>
        </row>
        <row r="4658">
          <cell r="A4658" t="str">
            <v>IS_alqt_minus</v>
          </cell>
          <cell r="K4658" t="str">
            <v>EFLA</v>
          </cell>
          <cell r="M4658" t="str">
            <v>F</v>
          </cell>
          <cell r="AC4658">
            <v>0.4</v>
          </cell>
        </row>
        <row r="4659">
          <cell r="A4659" t="str">
            <v>IS_alqt_minus</v>
          </cell>
          <cell r="K4659" t="str">
            <v>EFLA</v>
          </cell>
          <cell r="M4659" t="str">
            <v>F</v>
          </cell>
          <cell r="AC4659">
            <v>0.4</v>
          </cell>
        </row>
        <row r="4660">
          <cell r="A4660" t="str">
            <v>IS_alqt_minus</v>
          </cell>
          <cell r="K4660" t="str">
            <v>EFLA</v>
          </cell>
          <cell r="M4660" t="str">
            <v>F</v>
          </cell>
          <cell r="AC4660">
            <v>0.4</v>
          </cell>
        </row>
        <row r="4661">
          <cell r="A4661" t="str">
            <v>IS_alqt_minus</v>
          </cell>
          <cell r="K4661" t="str">
            <v>EFLA</v>
          </cell>
          <cell r="M4661" t="str">
            <v>F</v>
          </cell>
          <cell r="AC4661">
            <v>0.4</v>
          </cell>
        </row>
        <row r="4662">
          <cell r="A4662" t="str">
            <v>IS_alqt_minus</v>
          </cell>
          <cell r="K4662" t="str">
            <v>EFLA</v>
          </cell>
          <cell r="M4662" t="str">
            <v>F</v>
          </cell>
          <cell r="AC4662">
            <v>0.2</v>
          </cell>
        </row>
        <row r="4663">
          <cell r="A4663" t="str">
            <v>IS_alqt_minus</v>
          </cell>
          <cell r="K4663" t="str">
            <v>EFLA</v>
          </cell>
          <cell r="M4663" t="str">
            <v>F</v>
          </cell>
          <cell r="AC4663">
            <v>0.2</v>
          </cell>
        </row>
        <row r="4664">
          <cell r="A4664" t="str">
            <v>IS_alqt_minus</v>
          </cell>
          <cell r="K4664" t="str">
            <v>EFLA</v>
          </cell>
          <cell r="M4664" t="str">
            <v>F</v>
          </cell>
          <cell r="AC4664">
            <v>0.2</v>
          </cell>
        </row>
        <row r="4665">
          <cell r="A4665" t="str">
            <v>IS_alqt_minus</v>
          </cell>
          <cell r="K4665" t="str">
            <v>EFLA</v>
          </cell>
          <cell r="M4665" t="str">
            <v>F</v>
          </cell>
          <cell r="AC4665">
            <v>0.2</v>
          </cell>
        </row>
        <row r="4666">
          <cell r="A4666" t="str">
            <v>IS_alqt_minus</v>
          </cell>
          <cell r="K4666" t="str">
            <v>EMON</v>
          </cell>
          <cell r="M4666" t="str">
            <v>F</v>
          </cell>
          <cell r="AC4666">
            <v>0.45</v>
          </cell>
        </row>
        <row r="4667">
          <cell r="A4667" t="str">
            <v>IS_alqt_plus</v>
          </cell>
          <cell r="K4667" t="str">
            <v>EMON</v>
          </cell>
          <cell r="M4667" t="str">
            <v>F</v>
          </cell>
          <cell r="AC4667">
            <v>0.6</v>
          </cell>
        </row>
        <row r="4668">
          <cell r="A4668" t="str">
            <v>IS_alqt_plus</v>
          </cell>
          <cell r="K4668" t="str">
            <v>EMON</v>
          </cell>
          <cell r="M4668" t="str">
            <v>F</v>
          </cell>
          <cell r="AC4668">
            <v>0.6</v>
          </cell>
        </row>
        <row r="4669">
          <cell r="A4669" t="str">
            <v>IS_alqt_plus</v>
          </cell>
          <cell r="K4669" t="str">
            <v>EMON</v>
          </cell>
          <cell r="M4669" t="str">
            <v>F</v>
          </cell>
          <cell r="AC4669">
            <v>0.6</v>
          </cell>
        </row>
        <row r="4670">
          <cell r="A4670" t="str">
            <v>IS_alqt_plus</v>
          </cell>
          <cell r="K4670" t="str">
            <v>EMON</v>
          </cell>
          <cell r="M4670" t="str">
            <v>F</v>
          </cell>
          <cell r="AC4670">
            <v>0.8</v>
          </cell>
        </row>
        <row r="4671">
          <cell r="A4671" t="str">
            <v>IS_alqt_plus</v>
          </cell>
          <cell r="K4671" t="str">
            <v>EMON</v>
          </cell>
          <cell r="M4671" t="str">
            <v>F</v>
          </cell>
          <cell r="AC4671">
            <v>1</v>
          </cell>
        </row>
        <row r="4672">
          <cell r="A4672" t="str">
            <v>IS_alqt_minus</v>
          </cell>
          <cell r="K4672" t="str">
            <v>CMED</v>
          </cell>
          <cell r="M4672" t="str">
            <v>M</v>
          </cell>
          <cell r="AC4672">
            <v>0.11</v>
          </cell>
        </row>
        <row r="4673">
          <cell r="A4673" t="str">
            <v>IS_alqt_minus</v>
          </cell>
          <cell r="K4673" t="str">
            <v>CMED</v>
          </cell>
          <cell r="M4673" t="str">
            <v>M</v>
          </cell>
          <cell r="AC4673">
            <v>0.11</v>
          </cell>
        </row>
        <row r="4674">
          <cell r="A4674" t="str">
            <v>IS_alqt_minus</v>
          </cell>
          <cell r="K4674" t="str">
            <v>CMED</v>
          </cell>
          <cell r="M4674" t="str">
            <v>M</v>
          </cell>
          <cell r="AC4674">
            <v>0.12</v>
          </cell>
        </row>
        <row r="4675">
          <cell r="A4675" t="str">
            <v>IS_alqt_minus</v>
          </cell>
          <cell r="K4675" t="str">
            <v>CMED</v>
          </cell>
          <cell r="M4675" t="str">
            <v>M</v>
          </cell>
          <cell r="AC4675">
            <v>0.375</v>
          </cell>
        </row>
        <row r="4676">
          <cell r="A4676" t="str">
            <v>IS_alqt_minus</v>
          </cell>
          <cell r="K4676" t="str">
            <v>CMED</v>
          </cell>
          <cell r="M4676" t="str">
            <v>M</v>
          </cell>
          <cell r="AC4676">
            <v>0.4</v>
          </cell>
        </row>
        <row r="4677">
          <cell r="A4677" t="str">
            <v>IS_alqt_minus</v>
          </cell>
          <cell r="K4677" t="str">
            <v>ECOR</v>
          </cell>
          <cell r="M4677" t="str">
            <v>F</v>
          </cell>
          <cell r="AC4677">
            <v>0.2</v>
          </cell>
        </row>
        <row r="4678">
          <cell r="A4678" t="str">
            <v>IS_alqt_minus</v>
          </cell>
          <cell r="K4678" t="str">
            <v>ECOR</v>
          </cell>
          <cell r="M4678" t="str">
            <v>F</v>
          </cell>
          <cell r="AC4678">
            <v>0.4</v>
          </cell>
        </row>
        <row r="4679">
          <cell r="A4679" t="str">
            <v>IS_alqt_minus</v>
          </cell>
          <cell r="K4679" t="str">
            <v>ECOR</v>
          </cell>
          <cell r="M4679" t="str">
            <v>F</v>
          </cell>
          <cell r="AC4679">
            <v>0.4</v>
          </cell>
        </row>
        <row r="4680">
          <cell r="A4680" t="str">
            <v>IS_alqt_plus</v>
          </cell>
          <cell r="K4680" t="str">
            <v>ECOR</v>
          </cell>
          <cell r="M4680" t="str">
            <v>F</v>
          </cell>
          <cell r="AC4680">
            <v>0.6</v>
          </cell>
        </row>
        <row r="4681">
          <cell r="A4681" t="str">
            <v>IS_alqt_minus</v>
          </cell>
          <cell r="K4681" t="str">
            <v>MMUR</v>
          </cell>
          <cell r="M4681" t="str">
            <v>F</v>
          </cell>
          <cell r="AC4681">
            <v>0.2</v>
          </cell>
        </row>
        <row r="4682">
          <cell r="A4682" t="str">
            <v>IS_alqt_minus</v>
          </cell>
          <cell r="K4682" t="str">
            <v>MMUR</v>
          </cell>
          <cell r="M4682" t="str">
            <v>F</v>
          </cell>
          <cell r="AC4682">
            <v>0.2</v>
          </cell>
        </row>
        <row r="4683">
          <cell r="A4683" t="str">
            <v>IS_alqt_minus</v>
          </cell>
          <cell r="K4683" t="str">
            <v>EFLA</v>
          </cell>
          <cell r="M4683" t="str">
            <v>F</v>
          </cell>
          <cell r="AC4683">
            <v>0.2</v>
          </cell>
        </row>
        <row r="4684">
          <cell r="A4684" t="str">
            <v>IS_alqt_plus</v>
          </cell>
          <cell r="K4684" t="str">
            <v>EFLA</v>
          </cell>
          <cell r="M4684" t="str">
            <v>F</v>
          </cell>
          <cell r="AC4684">
            <v>0.6</v>
          </cell>
        </row>
        <row r="4685">
          <cell r="A4685" t="str">
            <v>IS_alqt_plus</v>
          </cell>
          <cell r="K4685" t="str">
            <v>EFLA</v>
          </cell>
          <cell r="M4685" t="str">
            <v>F</v>
          </cell>
          <cell r="AC4685">
            <v>0.8</v>
          </cell>
        </row>
        <row r="4686">
          <cell r="A4686" t="str">
            <v>IS_alqt_plus</v>
          </cell>
          <cell r="K4686" t="str">
            <v>EFLA</v>
          </cell>
          <cell r="M4686" t="str">
            <v>F</v>
          </cell>
          <cell r="AC4686">
            <v>1</v>
          </cell>
        </row>
        <row r="4687">
          <cell r="A4687" t="str">
            <v>IS_alqt_plus</v>
          </cell>
          <cell r="K4687" t="str">
            <v>EFLA</v>
          </cell>
          <cell r="M4687" t="str">
            <v>F</v>
          </cell>
          <cell r="AC4687">
            <v>1</v>
          </cell>
        </row>
        <row r="4688">
          <cell r="A4688" t="str">
            <v>IS_alqt_plus</v>
          </cell>
          <cell r="K4688" t="str">
            <v>EFLA</v>
          </cell>
          <cell r="M4688" t="str">
            <v>F</v>
          </cell>
          <cell r="AC4688">
            <v>1</v>
          </cell>
        </row>
        <row r="4689">
          <cell r="A4689" t="str">
            <v>IS_alqt_plus</v>
          </cell>
          <cell r="K4689" t="str">
            <v>PCOQ</v>
          </cell>
          <cell r="M4689" t="str">
            <v>F</v>
          </cell>
          <cell r="AC4689">
            <v>0.6</v>
          </cell>
        </row>
        <row r="4690">
          <cell r="A4690" t="str">
            <v>IS_alqt_plus</v>
          </cell>
          <cell r="K4690" t="str">
            <v>PCOQ</v>
          </cell>
          <cell r="M4690" t="str">
            <v>F</v>
          </cell>
          <cell r="AC4690">
            <v>0.6</v>
          </cell>
        </row>
        <row r="4691">
          <cell r="A4691" t="str">
            <v>IS_alqt_plus</v>
          </cell>
          <cell r="K4691" t="str">
            <v>PCOQ</v>
          </cell>
          <cell r="M4691" t="str">
            <v>F</v>
          </cell>
          <cell r="AC4691">
            <v>0.6</v>
          </cell>
        </row>
        <row r="4692">
          <cell r="A4692" t="str">
            <v>IS_alqt_plus</v>
          </cell>
          <cell r="K4692" t="str">
            <v>PCOQ</v>
          </cell>
          <cell r="M4692" t="str">
            <v>F</v>
          </cell>
          <cell r="AC4692">
            <v>0.6</v>
          </cell>
        </row>
        <row r="4693">
          <cell r="A4693" t="str">
            <v>IS_alqt_plus</v>
          </cell>
          <cell r="K4693" t="str">
            <v>PCOQ</v>
          </cell>
          <cell r="M4693" t="str">
            <v>F</v>
          </cell>
          <cell r="AC4693">
            <v>0.6</v>
          </cell>
        </row>
        <row r="4694">
          <cell r="A4694" t="str">
            <v>IS_alqt_plus</v>
          </cell>
          <cell r="K4694" t="str">
            <v>PCOQ</v>
          </cell>
          <cell r="M4694" t="str">
            <v>F</v>
          </cell>
          <cell r="AC4694">
            <v>0.6</v>
          </cell>
        </row>
        <row r="4695">
          <cell r="A4695" t="str">
            <v>IS_alqt_plus</v>
          </cell>
          <cell r="K4695" t="str">
            <v>PCOQ</v>
          </cell>
          <cell r="M4695" t="str">
            <v>F</v>
          </cell>
          <cell r="AC4695">
            <v>0.6</v>
          </cell>
        </row>
        <row r="4696">
          <cell r="A4696" t="str">
            <v>IS_alqt_plus</v>
          </cell>
          <cell r="K4696" t="str">
            <v>PCOQ</v>
          </cell>
          <cell r="M4696" t="str">
            <v>F</v>
          </cell>
          <cell r="AC4696">
            <v>0.6</v>
          </cell>
        </row>
        <row r="4697">
          <cell r="A4697" t="str">
            <v>IS_alqt_plus</v>
          </cell>
          <cell r="K4697" t="str">
            <v>PCOQ</v>
          </cell>
          <cell r="M4697" t="str">
            <v>F</v>
          </cell>
          <cell r="AC4697">
            <v>0.6</v>
          </cell>
        </row>
        <row r="4698">
          <cell r="A4698" t="str">
            <v>IS_alqt_plus</v>
          </cell>
          <cell r="K4698" t="str">
            <v>PCOQ</v>
          </cell>
          <cell r="M4698" t="str">
            <v>F</v>
          </cell>
          <cell r="AC4698">
            <v>0.6</v>
          </cell>
        </row>
        <row r="4699">
          <cell r="A4699" t="str">
            <v>IS_alqt_minus</v>
          </cell>
          <cell r="K4699" t="str">
            <v>PCOQ</v>
          </cell>
          <cell r="M4699" t="str">
            <v>F</v>
          </cell>
          <cell r="AC4699">
            <v>0.4</v>
          </cell>
        </row>
        <row r="4700">
          <cell r="A4700" t="str">
            <v>IS_alqt_minus</v>
          </cell>
          <cell r="K4700" t="str">
            <v>PCOQ</v>
          </cell>
          <cell r="M4700" t="str">
            <v>F</v>
          </cell>
          <cell r="AC4700">
            <v>0.4</v>
          </cell>
        </row>
        <row r="4701">
          <cell r="A4701" t="str">
            <v>IS_alqt_minus</v>
          </cell>
          <cell r="K4701" t="str">
            <v>PCOQ</v>
          </cell>
          <cell r="M4701" t="str">
            <v>F</v>
          </cell>
          <cell r="AC4701">
            <v>0.4</v>
          </cell>
        </row>
        <row r="4702">
          <cell r="A4702" t="str">
            <v>IS_alqt_minus</v>
          </cell>
          <cell r="K4702" t="str">
            <v>PCOQ</v>
          </cell>
          <cell r="M4702" t="str">
            <v>F</v>
          </cell>
          <cell r="AC4702">
            <v>0.4</v>
          </cell>
        </row>
        <row r="4703">
          <cell r="A4703" t="str">
            <v>IS_alqt_minus</v>
          </cell>
          <cell r="K4703" t="str">
            <v>PCOQ</v>
          </cell>
          <cell r="M4703" t="str">
            <v>F</v>
          </cell>
          <cell r="AC4703">
            <v>0.4</v>
          </cell>
        </row>
        <row r="4704">
          <cell r="A4704" t="str">
            <v>IS_alqt_minus</v>
          </cell>
          <cell r="K4704" t="str">
            <v>PCOQ</v>
          </cell>
          <cell r="M4704" t="str">
            <v>F</v>
          </cell>
          <cell r="AC4704">
            <v>0.4</v>
          </cell>
        </row>
        <row r="4705">
          <cell r="A4705" t="str">
            <v>IS_alqt_minus</v>
          </cell>
          <cell r="K4705" t="str">
            <v>PCOQ</v>
          </cell>
          <cell r="M4705" t="str">
            <v>F</v>
          </cell>
          <cell r="AC4705">
            <v>0.4</v>
          </cell>
        </row>
        <row r="4706">
          <cell r="A4706" t="str">
            <v>IS_alqt_minus</v>
          </cell>
          <cell r="K4706" t="str">
            <v>PCOQ</v>
          </cell>
          <cell r="M4706" t="str">
            <v>F</v>
          </cell>
          <cell r="AC4706">
            <v>0.4</v>
          </cell>
        </row>
        <row r="4707">
          <cell r="A4707" t="str">
            <v>IS_alqt_minus</v>
          </cell>
          <cell r="K4707" t="str">
            <v>PCOQ</v>
          </cell>
          <cell r="M4707" t="str">
            <v>F</v>
          </cell>
          <cell r="AC4707">
            <v>0.2</v>
          </cell>
        </row>
        <row r="4708">
          <cell r="A4708" t="str">
            <v>IS_alqt_minus</v>
          </cell>
          <cell r="K4708" t="str">
            <v>PCOQ</v>
          </cell>
          <cell r="M4708" t="str">
            <v>F</v>
          </cell>
          <cell r="AC4708">
            <v>0.2</v>
          </cell>
        </row>
        <row r="4709">
          <cell r="A4709" t="str">
            <v>IS_alqt_minus</v>
          </cell>
          <cell r="K4709" t="str">
            <v>PCOQ</v>
          </cell>
          <cell r="M4709" t="str">
            <v>F</v>
          </cell>
          <cell r="AC4709">
            <v>0.2</v>
          </cell>
        </row>
        <row r="4710">
          <cell r="A4710" t="str">
            <v>IS_alqt_minus</v>
          </cell>
          <cell r="K4710" t="str">
            <v>PCOQ</v>
          </cell>
          <cell r="M4710" t="str">
            <v>F</v>
          </cell>
          <cell r="AC4710">
            <v>0.2</v>
          </cell>
        </row>
        <row r="4711">
          <cell r="A4711" t="str">
            <v>IS_alqt_minus</v>
          </cell>
          <cell r="K4711" t="str">
            <v>PCOQ</v>
          </cell>
          <cell r="M4711" t="str">
            <v>F</v>
          </cell>
          <cell r="AC4711">
            <v>0.2</v>
          </cell>
        </row>
        <row r="4712">
          <cell r="A4712" t="str">
            <v>IS_alqt_minus</v>
          </cell>
          <cell r="K4712" t="str">
            <v>PCOQ</v>
          </cell>
          <cell r="M4712" t="str">
            <v>F</v>
          </cell>
          <cell r="AC4712">
            <v>0.2</v>
          </cell>
        </row>
        <row r="4713">
          <cell r="A4713" t="str">
            <v>IS_alqt_minus</v>
          </cell>
          <cell r="K4713" t="str">
            <v>ECOL</v>
          </cell>
          <cell r="M4713" t="str">
            <v>f</v>
          </cell>
          <cell r="AC4713">
            <v>0.2</v>
          </cell>
        </row>
        <row r="4714">
          <cell r="A4714" t="str">
            <v>IS_alqt_minus</v>
          </cell>
          <cell r="K4714" t="str">
            <v>ECOL</v>
          </cell>
          <cell r="M4714" t="str">
            <v>f</v>
          </cell>
          <cell r="AC4714">
            <v>0.2</v>
          </cell>
        </row>
        <row r="4715">
          <cell r="A4715" t="str">
            <v>IS_alqt_minus</v>
          </cell>
          <cell r="K4715" t="str">
            <v>ECOL</v>
          </cell>
          <cell r="M4715" t="str">
            <v>f</v>
          </cell>
          <cell r="AC4715">
            <v>0.4</v>
          </cell>
        </row>
        <row r="4716">
          <cell r="A4716" t="str">
            <v>IS_alqt_minus</v>
          </cell>
          <cell r="K4716" t="str">
            <v>ECOL</v>
          </cell>
          <cell r="M4716" t="str">
            <v>f</v>
          </cell>
          <cell r="AC4716">
            <v>0.4</v>
          </cell>
        </row>
        <row r="4717">
          <cell r="A4717" t="str">
            <v>IS_alqt_plus</v>
          </cell>
          <cell r="K4717" t="str">
            <v>ECOL</v>
          </cell>
          <cell r="M4717" t="str">
            <v>f</v>
          </cell>
          <cell r="AC4717">
            <v>0.6</v>
          </cell>
        </row>
        <row r="4718">
          <cell r="A4718" t="str">
            <v>IS_alqt_plus</v>
          </cell>
          <cell r="K4718" t="str">
            <v>ECOL</v>
          </cell>
          <cell r="M4718" t="str">
            <v>f</v>
          </cell>
          <cell r="AC4718">
            <v>0.6</v>
          </cell>
        </row>
        <row r="4719">
          <cell r="A4719" t="str">
            <v>IS_alqt_plus</v>
          </cell>
          <cell r="K4719" t="str">
            <v>ECOL</v>
          </cell>
          <cell r="M4719" t="str">
            <v>f</v>
          </cell>
          <cell r="AC4719">
            <v>0.9</v>
          </cell>
        </row>
        <row r="4720">
          <cell r="A4720" t="str">
            <v>IS_alqt_plus</v>
          </cell>
          <cell r="K4720" t="str">
            <v>PCOQ</v>
          </cell>
          <cell r="M4720" t="str">
            <v>F</v>
          </cell>
          <cell r="AC4720">
            <v>0.8</v>
          </cell>
        </row>
        <row r="4721">
          <cell r="A4721" t="str">
            <v>IS_alqt_plus</v>
          </cell>
          <cell r="K4721" t="str">
            <v>PCOQ</v>
          </cell>
          <cell r="M4721" t="str">
            <v>F</v>
          </cell>
          <cell r="AC4721">
            <v>0.8</v>
          </cell>
        </row>
        <row r="4722">
          <cell r="A4722" t="str">
            <v>IS_alqt_plus</v>
          </cell>
          <cell r="K4722" t="str">
            <v>PCOQ</v>
          </cell>
          <cell r="M4722" t="str">
            <v>F</v>
          </cell>
          <cell r="AC4722">
            <v>0.8</v>
          </cell>
        </row>
        <row r="4723">
          <cell r="A4723" t="str">
            <v>IS_alqt_plus</v>
          </cell>
          <cell r="K4723" t="str">
            <v>PCOQ</v>
          </cell>
          <cell r="M4723" t="str">
            <v>F</v>
          </cell>
          <cell r="AC4723">
            <v>0.8</v>
          </cell>
        </row>
        <row r="4724">
          <cell r="A4724" t="str">
            <v>IS_alqt_plus</v>
          </cell>
          <cell r="K4724" t="str">
            <v>PCOQ</v>
          </cell>
          <cell r="M4724" t="str">
            <v>F</v>
          </cell>
          <cell r="AC4724">
            <v>0.8</v>
          </cell>
        </row>
        <row r="4725">
          <cell r="A4725" t="str">
            <v>IS_alqt_plus</v>
          </cell>
          <cell r="K4725" t="str">
            <v>PCOQ</v>
          </cell>
          <cell r="M4725" t="str">
            <v>F</v>
          </cell>
          <cell r="AC4725">
            <v>0.8</v>
          </cell>
        </row>
        <row r="4726">
          <cell r="A4726" t="str">
            <v>IS_alqt_plus</v>
          </cell>
          <cell r="K4726" t="str">
            <v>PCOQ</v>
          </cell>
          <cell r="M4726" t="str">
            <v>F</v>
          </cell>
          <cell r="AC4726">
            <v>0.8</v>
          </cell>
        </row>
        <row r="4727">
          <cell r="A4727" t="str">
            <v>IS_alqt_minus</v>
          </cell>
          <cell r="K4727" t="str">
            <v>PCOQ</v>
          </cell>
          <cell r="M4727" t="str">
            <v>F</v>
          </cell>
          <cell r="AC4727">
            <v>0.4</v>
          </cell>
        </row>
        <row r="4728">
          <cell r="A4728" t="str">
            <v>IS_alqt_minus</v>
          </cell>
          <cell r="K4728" t="str">
            <v>PCOQ</v>
          </cell>
          <cell r="M4728" t="str">
            <v>F</v>
          </cell>
          <cell r="AC4728">
            <v>0.4</v>
          </cell>
        </row>
        <row r="4729">
          <cell r="A4729" t="str">
            <v>IS_alqt_minus</v>
          </cell>
          <cell r="K4729" t="str">
            <v>PCOQ</v>
          </cell>
          <cell r="M4729" t="str">
            <v>F</v>
          </cell>
          <cell r="AC4729">
            <v>0.4</v>
          </cell>
        </row>
        <row r="4730">
          <cell r="A4730" t="str">
            <v>IS_alqt_minus</v>
          </cell>
          <cell r="K4730" t="str">
            <v>PCOQ</v>
          </cell>
          <cell r="M4730" t="str">
            <v>F</v>
          </cell>
          <cell r="AC4730">
            <v>0.4</v>
          </cell>
        </row>
        <row r="4731">
          <cell r="A4731" t="str">
            <v>IS_alqt_minus</v>
          </cell>
          <cell r="K4731" t="str">
            <v>PCOQ</v>
          </cell>
          <cell r="M4731" t="str">
            <v>F</v>
          </cell>
          <cell r="AC4731">
            <v>0.2</v>
          </cell>
        </row>
        <row r="4732">
          <cell r="A4732" t="str">
            <v>IS_alqt_minus</v>
          </cell>
          <cell r="K4732" t="str">
            <v>PCOQ</v>
          </cell>
          <cell r="M4732" t="str">
            <v>F</v>
          </cell>
          <cell r="AC4732">
            <v>0.2</v>
          </cell>
        </row>
        <row r="4733">
          <cell r="A4733" t="str">
            <v>IS_alqt_minus</v>
          </cell>
          <cell r="K4733" t="str">
            <v>PCOQ</v>
          </cell>
          <cell r="M4733" t="str">
            <v>F</v>
          </cell>
          <cell r="AC4733">
            <v>0.2</v>
          </cell>
        </row>
        <row r="4734">
          <cell r="A4734" t="str">
            <v>IS_alqt_minus</v>
          </cell>
          <cell r="K4734" t="str">
            <v>PCOQ</v>
          </cell>
          <cell r="M4734" t="str">
            <v>F</v>
          </cell>
          <cell r="AC4734">
            <v>0.2</v>
          </cell>
        </row>
        <row r="4735">
          <cell r="A4735" t="str">
            <v>IS_alqt_minus</v>
          </cell>
          <cell r="K4735" t="str">
            <v>PCOQ</v>
          </cell>
          <cell r="M4735" t="str">
            <v>F</v>
          </cell>
          <cell r="AC4735">
            <v>0.2</v>
          </cell>
        </row>
        <row r="4736">
          <cell r="A4736" t="str">
            <v>IS_alqt_minus</v>
          </cell>
          <cell r="K4736" t="str">
            <v>PCOQ</v>
          </cell>
          <cell r="M4736" t="str">
            <v>F</v>
          </cell>
          <cell r="AC4736">
            <v>0.2</v>
          </cell>
        </row>
        <row r="4737">
          <cell r="A4737" t="str">
            <v>IS_alqt_minus</v>
          </cell>
          <cell r="K4737" t="str">
            <v>PCOQ</v>
          </cell>
          <cell r="M4737" t="str">
            <v>F</v>
          </cell>
          <cell r="AC4737">
            <v>0.4</v>
          </cell>
        </row>
        <row r="4738">
          <cell r="A4738" t="str">
            <v>IS_alqt_minus</v>
          </cell>
          <cell r="K4738" t="str">
            <v>PCOQ</v>
          </cell>
          <cell r="M4738" t="str">
            <v>F</v>
          </cell>
          <cell r="AC4738">
            <v>0.4</v>
          </cell>
        </row>
        <row r="4739">
          <cell r="A4739" t="str">
            <v>IS_alqt_plus</v>
          </cell>
          <cell r="K4739" t="str">
            <v>PCOQ</v>
          </cell>
          <cell r="M4739" t="str">
            <v>F</v>
          </cell>
          <cell r="AC4739">
            <v>0.5</v>
          </cell>
        </row>
        <row r="4740">
          <cell r="A4740" t="str">
            <v>IS_alqt_plus</v>
          </cell>
          <cell r="K4740" t="str">
            <v>PCOQ</v>
          </cell>
          <cell r="M4740" t="str">
            <v>F</v>
          </cell>
          <cell r="AC4740">
            <v>0.6</v>
          </cell>
        </row>
        <row r="4741">
          <cell r="A4741" t="str">
            <v>IS_alqt_plus</v>
          </cell>
          <cell r="K4741" t="str">
            <v>PCOQ</v>
          </cell>
          <cell r="M4741" t="str">
            <v>F</v>
          </cell>
          <cell r="AC4741">
            <v>0.6</v>
          </cell>
        </row>
        <row r="4742">
          <cell r="A4742" t="str">
            <v>IS_alqt_plus</v>
          </cell>
          <cell r="K4742" t="str">
            <v>PCOQ</v>
          </cell>
          <cell r="M4742" t="str">
            <v>F</v>
          </cell>
          <cell r="AC4742">
            <v>1</v>
          </cell>
        </row>
        <row r="4743">
          <cell r="A4743" t="str">
            <v>IS_alqt_minus</v>
          </cell>
          <cell r="K4743" t="str">
            <v>PCOQ</v>
          </cell>
          <cell r="M4743" t="str">
            <v>M</v>
          </cell>
          <cell r="AC4743">
            <v>0.4</v>
          </cell>
        </row>
        <row r="4744">
          <cell r="A4744" t="str">
            <v>IS_alqt_plus</v>
          </cell>
          <cell r="K4744" t="str">
            <v>PCOQ</v>
          </cell>
          <cell r="M4744" t="str">
            <v>M</v>
          </cell>
          <cell r="AC4744">
            <v>0.6</v>
          </cell>
        </row>
        <row r="4745">
          <cell r="A4745" t="str">
            <v>IS_alqt_plus</v>
          </cell>
          <cell r="K4745" t="str">
            <v>PCOQ</v>
          </cell>
          <cell r="M4745" t="str">
            <v>M</v>
          </cell>
          <cell r="AC4745">
            <v>0.8</v>
          </cell>
        </row>
        <row r="4746">
          <cell r="A4746" t="str">
            <v>IS_alqt_plus</v>
          </cell>
          <cell r="K4746" t="str">
            <v>PCOQ</v>
          </cell>
          <cell r="M4746" t="str">
            <v>M</v>
          </cell>
          <cell r="AC4746">
            <v>1</v>
          </cell>
        </row>
        <row r="4747">
          <cell r="A4747" t="str">
            <v>IS_alqt_plus</v>
          </cell>
          <cell r="K4747" t="str">
            <v>PCOQ</v>
          </cell>
          <cell r="M4747" t="str">
            <v>M</v>
          </cell>
          <cell r="AC4747">
            <v>1</v>
          </cell>
        </row>
        <row r="4748">
          <cell r="A4748" t="str">
            <v>IS_alqt_minus</v>
          </cell>
          <cell r="K4748" t="str">
            <v>MMUR</v>
          </cell>
          <cell r="M4748" t="str">
            <v>F</v>
          </cell>
          <cell r="AC4748">
            <v>0.45</v>
          </cell>
        </row>
        <row r="4749">
          <cell r="A4749" t="str">
            <v>IS_alqt_plus</v>
          </cell>
          <cell r="K4749" t="str">
            <v>MMUR</v>
          </cell>
          <cell r="M4749" t="str">
            <v>F</v>
          </cell>
          <cell r="AC4749">
            <v>0.6</v>
          </cell>
        </row>
        <row r="4750">
          <cell r="A4750" t="str">
            <v>IS_alqt_plus</v>
          </cell>
          <cell r="K4750" t="str">
            <v>MMUR</v>
          </cell>
          <cell r="M4750" t="str">
            <v>M</v>
          </cell>
          <cell r="AC4750">
            <v>0.55000000000000004</v>
          </cell>
        </row>
        <row r="4751">
          <cell r="A4751" t="str">
            <v>IS_alqt_minus</v>
          </cell>
          <cell r="K4751" t="str">
            <v>MMUR</v>
          </cell>
          <cell r="M4751" t="str">
            <v>F</v>
          </cell>
          <cell r="AC4751">
            <v>0.11</v>
          </cell>
        </row>
        <row r="4752">
          <cell r="A4752" t="str">
            <v>IS_alqt_minus</v>
          </cell>
          <cell r="K4752" t="str">
            <v>MMUR</v>
          </cell>
          <cell r="M4752" t="str">
            <v>M</v>
          </cell>
          <cell r="AC4752">
            <v>0.18</v>
          </cell>
        </row>
        <row r="4753">
          <cell r="A4753" t="str">
            <v>IS_alqt_minus</v>
          </cell>
          <cell r="K4753" t="str">
            <v>MMUR</v>
          </cell>
          <cell r="M4753" t="str">
            <v>F</v>
          </cell>
          <cell r="AC4753">
            <v>0.32500000000000001</v>
          </cell>
        </row>
        <row r="4754">
          <cell r="A4754" t="str">
            <v>IS_alqt_minus</v>
          </cell>
          <cell r="K4754" t="str">
            <v>MMUR</v>
          </cell>
          <cell r="M4754" t="str">
            <v>F</v>
          </cell>
          <cell r="AC4754">
            <v>0.3</v>
          </cell>
        </row>
        <row r="4755">
          <cell r="A4755" t="str">
            <v>IS_alqt_minus</v>
          </cell>
          <cell r="K4755" t="str">
            <v>MMUR</v>
          </cell>
          <cell r="M4755" t="str">
            <v>F</v>
          </cell>
          <cell r="AC4755">
            <v>0.42</v>
          </cell>
        </row>
        <row r="4756">
          <cell r="A4756" t="str">
            <v>IS_alqt_minus</v>
          </cell>
          <cell r="K4756" t="str">
            <v>MMUR</v>
          </cell>
          <cell r="M4756" t="str">
            <v>F</v>
          </cell>
          <cell r="AC4756">
            <v>0.23</v>
          </cell>
        </row>
        <row r="4757">
          <cell r="A4757" t="str">
            <v>IS_alqt_plus</v>
          </cell>
          <cell r="K4757" t="str">
            <v>MMUR</v>
          </cell>
          <cell r="M4757" t="str">
            <v>M</v>
          </cell>
          <cell r="AC4757">
            <v>0.65</v>
          </cell>
        </row>
        <row r="4758">
          <cell r="A4758" t="str">
            <v>IS_alqt_minus</v>
          </cell>
          <cell r="K4758" t="str">
            <v>MMUR</v>
          </cell>
          <cell r="M4758" t="str">
            <v>F</v>
          </cell>
          <cell r="AC4758">
            <v>0.3</v>
          </cell>
        </row>
        <row r="4759">
          <cell r="A4759" t="str">
            <v>IS_alqt_minus</v>
          </cell>
          <cell r="K4759" t="str">
            <v>MMUR</v>
          </cell>
          <cell r="M4759" t="str">
            <v>F</v>
          </cell>
          <cell r="AC4759">
            <v>0.3</v>
          </cell>
        </row>
        <row r="4760">
          <cell r="A4760" t="str">
            <v>IS_alqt_minus</v>
          </cell>
          <cell r="K4760" t="str">
            <v>MMUR</v>
          </cell>
          <cell r="M4760" t="str">
            <v>F</v>
          </cell>
          <cell r="AC4760">
            <v>0.35</v>
          </cell>
        </row>
        <row r="4761">
          <cell r="A4761" t="str">
            <v>IS_alqt_minus</v>
          </cell>
          <cell r="K4761" t="str">
            <v>MMUR</v>
          </cell>
          <cell r="M4761" t="str">
            <v>M</v>
          </cell>
          <cell r="AC4761">
            <v>0.3</v>
          </cell>
        </row>
        <row r="4762">
          <cell r="A4762" t="str">
            <v>IS_alqt_minus</v>
          </cell>
          <cell r="K4762" t="str">
            <v>MMUR</v>
          </cell>
          <cell r="M4762" t="str">
            <v>M</v>
          </cell>
          <cell r="AC4762">
            <v>0.3</v>
          </cell>
        </row>
        <row r="4763">
          <cell r="A4763" t="str">
            <v>IS_alqt_minus</v>
          </cell>
          <cell r="K4763" t="str">
            <v>MMUR</v>
          </cell>
          <cell r="M4763" t="str">
            <v>M</v>
          </cell>
          <cell r="AC4763">
            <v>0.25</v>
          </cell>
        </row>
        <row r="4764">
          <cell r="A4764" t="str">
            <v>IS_alqt_minus</v>
          </cell>
          <cell r="K4764" t="str">
            <v>MMUR</v>
          </cell>
          <cell r="M4764" t="str">
            <v>M</v>
          </cell>
          <cell r="AC4764">
            <v>0.25</v>
          </cell>
        </row>
        <row r="4765">
          <cell r="A4765" t="str">
            <v>IS_alqt_minus</v>
          </cell>
          <cell r="K4765" t="str">
            <v>MMUR</v>
          </cell>
          <cell r="M4765" t="str">
            <v>M</v>
          </cell>
          <cell r="AC4765">
            <v>0.3</v>
          </cell>
        </row>
        <row r="4766">
          <cell r="A4766" t="str">
            <v>IS_alqt_minus</v>
          </cell>
          <cell r="K4766" t="str">
            <v>VVV</v>
          </cell>
          <cell r="M4766" t="str">
            <v>F</v>
          </cell>
          <cell r="AC4766">
            <v>0.2</v>
          </cell>
        </row>
        <row r="4767">
          <cell r="A4767" t="str">
            <v>IS_alqt_minus</v>
          </cell>
          <cell r="K4767" t="str">
            <v>VVV</v>
          </cell>
          <cell r="M4767" t="str">
            <v>F</v>
          </cell>
          <cell r="AC4767">
            <v>0.2</v>
          </cell>
        </row>
        <row r="4768">
          <cell r="A4768" t="str">
            <v>IS_alqt_minus</v>
          </cell>
          <cell r="K4768" t="str">
            <v>VVV</v>
          </cell>
          <cell r="M4768" t="str">
            <v>F</v>
          </cell>
          <cell r="AC4768">
            <v>0.2</v>
          </cell>
        </row>
        <row r="4769">
          <cell r="A4769" t="str">
            <v>IS_alqt_minus</v>
          </cell>
          <cell r="K4769" t="str">
            <v>VVV</v>
          </cell>
          <cell r="M4769" t="str">
            <v>F</v>
          </cell>
          <cell r="AC4769">
            <v>0.2</v>
          </cell>
        </row>
        <row r="4770">
          <cell r="A4770" t="str">
            <v>IS_alqt_minus</v>
          </cell>
          <cell r="K4770" t="str">
            <v>VVV</v>
          </cell>
          <cell r="M4770" t="str">
            <v>F</v>
          </cell>
          <cell r="AC4770">
            <v>0.2</v>
          </cell>
        </row>
        <row r="4771">
          <cell r="A4771" t="str">
            <v>IS_alqt_minus</v>
          </cell>
          <cell r="K4771" t="str">
            <v>VVV</v>
          </cell>
          <cell r="M4771" t="str">
            <v>F</v>
          </cell>
          <cell r="AC4771">
            <v>0.4</v>
          </cell>
        </row>
        <row r="4772">
          <cell r="A4772" t="str">
            <v>IS_alqt_minus</v>
          </cell>
          <cell r="K4772" t="str">
            <v>VVV</v>
          </cell>
          <cell r="M4772" t="str">
            <v>F</v>
          </cell>
          <cell r="AC4772">
            <v>0.4</v>
          </cell>
        </row>
        <row r="4773">
          <cell r="A4773" t="str">
            <v>IS_alqt_minus</v>
          </cell>
          <cell r="K4773" t="str">
            <v>VVV</v>
          </cell>
          <cell r="M4773" t="str">
            <v>F</v>
          </cell>
          <cell r="AC4773">
            <v>0.4</v>
          </cell>
        </row>
        <row r="4774">
          <cell r="A4774" t="str">
            <v>IS_alqt_minus</v>
          </cell>
          <cell r="K4774" t="str">
            <v>VVV</v>
          </cell>
          <cell r="M4774" t="str">
            <v>F</v>
          </cell>
          <cell r="AC4774">
            <v>0.4</v>
          </cell>
        </row>
        <row r="4775">
          <cell r="A4775" t="str">
            <v>IS_alqt_minus</v>
          </cell>
          <cell r="K4775" t="str">
            <v>VVV</v>
          </cell>
          <cell r="M4775" t="str">
            <v>F</v>
          </cell>
          <cell r="AC4775">
            <v>0.4</v>
          </cell>
        </row>
        <row r="4776">
          <cell r="A4776" t="str">
            <v>IS_alqt_minus</v>
          </cell>
          <cell r="K4776" t="str">
            <v>VVV</v>
          </cell>
          <cell r="M4776" t="str">
            <v>F</v>
          </cell>
          <cell r="AC4776">
            <v>0.2</v>
          </cell>
        </row>
        <row r="4777">
          <cell r="A4777" t="str">
            <v>IS_alqt_minus</v>
          </cell>
          <cell r="K4777" t="str">
            <v>ECOR</v>
          </cell>
          <cell r="M4777" t="str">
            <v>M</v>
          </cell>
          <cell r="AC4777">
            <v>0.2</v>
          </cell>
        </row>
        <row r="4778">
          <cell r="A4778" t="str">
            <v>IS_alqt_minus</v>
          </cell>
          <cell r="K4778" t="str">
            <v>ECOR</v>
          </cell>
          <cell r="M4778" t="str">
            <v>M</v>
          </cell>
          <cell r="AC4778">
            <v>0.2</v>
          </cell>
        </row>
        <row r="4779">
          <cell r="A4779" t="str">
            <v>IS_alqt_minus</v>
          </cell>
          <cell r="K4779" t="str">
            <v>ECOR</v>
          </cell>
          <cell r="M4779" t="str">
            <v>M</v>
          </cell>
          <cell r="AC4779">
            <v>0.2</v>
          </cell>
        </row>
        <row r="4780">
          <cell r="A4780" t="str">
            <v>IS_alqt_minus</v>
          </cell>
          <cell r="K4780" t="str">
            <v>ECOR</v>
          </cell>
          <cell r="M4780" t="str">
            <v>M</v>
          </cell>
          <cell r="AC4780">
            <v>0.2</v>
          </cell>
        </row>
        <row r="4781">
          <cell r="A4781" t="str">
            <v>IS_alqt_minus</v>
          </cell>
          <cell r="K4781" t="str">
            <v>ECOR</v>
          </cell>
          <cell r="M4781" t="str">
            <v>M</v>
          </cell>
          <cell r="AC4781">
            <v>0.2</v>
          </cell>
        </row>
        <row r="4782">
          <cell r="A4782" t="str">
            <v>IS_alqt_minus</v>
          </cell>
          <cell r="K4782" t="str">
            <v>ECOR</v>
          </cell>
          <cell r="M4782" t="str">
            <v>M</v>
          </cell>
          <cell r="AC4782">
            <v>0.4</v>
          </cell>
        </row>
        <row r="4783">
          <cell r="A4783" t="str">
            <v>IS_alqt_minus</v>
          </cell>
          <cell r="K4783" t="str">
            <v>ECOR</v>
          </cell>
          <cell r="M4783" t="str">
            <v>M</v>
          </cell>
          <cell r="AC4783">
            <v>0.4</v>
          </cell>
        </row>
        <row r="4784">
          <cell r="A4784" t="str">
            <v>IS_alqt_minus</v>
          </cell>
          <cell r="K4784" t="str">
            <v>ECOR</v>
          </cell>
          <cell r="M4784" t="str">
            <v>M</v>
          </cell>
          <cell r="AC4784">
            <v>0.4</v>
          </cell>
        </row>
        <row r="4785">
          <cell r="A4785" t="str">
            <v>IS_alqt_minus</v>
          </cell>
          <cell r="K4785" t="str">
            <v>ECOR</v>
          </cell>
          <cell r="M4785" t="str">
            <v>M</v>
          </cell>
          <cell r="AC4785">
            <v>0.4</v>
          </cell>
        </row>
        <row r="4786">
          <cell r="A4786" t="str">
            <v>IS_alqt_minus</v>
          </cell>
          <cell r="K4786" t="str">
            <v>ECOR</v>
          </cell>
          <cell r="M4786" t="str">
            <v>M</v>
          </cell>
          <cell r="AC4786">
            <v>0.4</v>
          </cell>
        </row>
        <row r="4787">
          <cell r="A4787" t="str">
            <v>IS_alqt_plus</v>
          </cell>
          <cell r="K4787" t="str">
            <v>ECOR</v>
          </cell>
          <cell r="M4787" t="str">
            <v>M</v>
          </cell>
          <cell r="AC4787">
            <v>0.6</v>
          </cell>
        </row>
        <row r="4788">
          <cell r="A4788" t="str">
            <v>IS_alqt_plus</v>
          </cell>
          <cell r="K4788" t="str">
            <v>ECOR</v>
          </cell>
          <cell r="M4788" t="str">
            <v>M</v>
          </cell>
          <cell r="AC4788">
            <v>0.6</v>
          </cell>
        </row>
        <row r="4789">
          <cell r="A4789" t="str">
            <v>IS_alqt_plus</v>
          </cell>
          <cell r="K4789" t="str">
            <v>ECOR</v>
          </cell>
          <cell r="M4789" t="str">
            <v>M</v>
          </cell>
          <cell r="AC4789">
            <v>0.6</v>
          </cell>
        </row>
        <row r="4790">
          <cell r="A4790" t="str">
            <v>IS_alqt_plus</v>
          </cell>
          <cell r="K4790" t="str">
            <v>ECOR</v>
          </cell>
          <cell r="M4790" t="str">
            <v>M</v>
          </cell>
          <cell r="AC4790">
            <v>0.6</v>
          </cell>
        </row>
        <row r="4791">
          <cell r="A4791" t="str">
            <v>IS_alqt_plus</v>
          </cell>
          <cell r="K4791" t="str">
            <v>ECOR</v>
          </cell>
          <cell r="M4791" t="str">
            <v>M</v>
          </cell>
          <cell r="AC4791">
            <v>0.6</v>
          </cell>
        </row>
        <row r="4792">
          <cell r="A4792" t="str">
            <v>IS_alqt_plus</v>
          </cell>
          <cell r="K4792" t="str">
            <v>ECOR</v>
          </cell>
          <cell r="M4792" t="str">
            <v>M</v>
          </cell>
          <cell r="AC4792">
            <v>0.6</v>
          </cell>
        </row>
        <row r="4793">
          <cell r="A4793" t="str">
            <v>IS_alqt_plus</v>
          </cell>
          <cell r="K4793" t="str">
            <v>ECOR</v>
          </cell>
          <cell r="M4793" t="str">
            <v>M</v>
          </cell>
          <cell r="AC4793">
            <v>1</v>
          </cell>
        </row>
        <row r="4794">
          <cell r="A4794" t="str">
            <v>IS_alqt_plus</v>
          </cell>
          <cell r="K4794" t="str">
            <v>ECOR</v>
          </cell>
          <cell r="M4794" t="str">
            <v>M</v>
          </cell>
          <cell r="AC4794">
            <v>0.6</v>
          </cell>
        </row>
        <row r="4795">
          <cell r="A4795" t="str">
            <v>IS_alqt_minus</v>
          </cell>
          <cell r="K4795" t="str">
            <v>MMUR</v>
          </cell>
          <cell r="M4795" t="str">
            <v>F</v>
          </cell>
          <cell r="AC4795">
            <v>0.3</v>
          </cell>
        </row>
        <row r="4796">
          <cell r="A4796" t="str">
            <v>IS_alqt_minus</v>
          </cell>
          <cell r="K4796" t="str">
            <v>MMUR</v>
          </cell>
          <cell r="M4796" t="str">
            <v>F</v>
          </cell>
          <cell r="AC4796">
            <v>0.3</v>
          </cell>
        </row>
        <row r="4797">
          <cell r="A4797" t="str">
            <v>IS_alqt_minus</v>
          </cell>
          <cell r="K4797" t="str">
            <v>MMUR</v>
          </cell>
          <cell r="M4797" t="str">
            <v>F</v>
          </cell>
          <cell r="AC4797">
            <v>0.2</v>
          </cell>
        </row>
        <row r="4798">
          <cell r="A4798" t="str">
            <v>IS_alqt_minus</v>
          </cell>
          <cell r="K4798" t="str">
            <v>MMUR</v>
          </cell>
          <cell r="M4798" t="str">
            <v>F</v>
          </cell>
          <cell r="AC4798">
            <v>0.27</v>
          </cell>
        </row>
        <row r="4799">
          <cell r="A4799" t="str">
            <v>IS_alqt_minus</v>
          </cell>
          <cell r="K4799" t="str">
            <v>MMUR</v>
          </cell>
          <cell r="M4799" t="str">
            <v>F</v>
          </cell>
          <cell r="AC4799">
            <v>0.26</v>
          </cell>
        </row>
        <row r="4800">
          <cell r="A4800" t="str">
            <v>IS_alqt_minus</v>
          </cell>
          <cell r="K4800" t="str">
            <v>CMED</v>
          </cell>
          <cell r="M4800" t="str">
            <v>F</v>
          </cell>
          <cell r="AC4800">
            <v>0.03</v>
          </cell>
        </row>
        <row r="4801">
          <cell r="A4801" t="str">
            <v>IS_alqt_minus</v>
          </cell>
          <cell r="K4801" t="str">
            <v>VVV</v>
          </cell>
          <cell r="M4801" t="str">
            <v>F</v>
          </cell>
          <cell r="AC4801">
            <v>0.6</v>
          </cell>
        </row>
        <row r="4802">
          <cell r="A4802" t="str">
            <v>IS_alqt_minus</v>
          </cell>
          <cell r="K4802" t="str">
            <v>VVV</v>
          </cell>
          <cell r="M4802" t="str">
            <v>F</v>
          </cell>
          <cell r="AC4802">
            <v>0.6</v>
          </cell>
        </row>
        <row r="4803">
          <cell r="A4803" t="str">
            <v>IS_alqt_minus</v>
          </cell>
          <cell r="K4803" t="str">
            <v>VVV</v>
          </cell>
          <cell r="M4803" t="str">
            <v>F</v>
          </cell>
          <cell r="AC4803">
            <v>0.6</v>
          </cell>
        </row>
        <row r="4804">
          <cell r="A4804" t="str">
            <v>IS_alqt_minus</v>
          </cell>
          <cell r="K4804" t="str">
            <v>VVV</v>
          </cell>
          <cell r="M4804" t="str">
            <v>F</v>
          </cell>
          <cell r="AC4804">
            <v>0.4</v>
          </cell>
        </row>
        <row r="4805">
          <cell r="A4805" t="str">
            <v>IS_alqt_minus</v>
          </cell>
          <cell r="K4805" t="str">
            <v>VVV</v>
          </cell>
          <cell r="M4805" t="str">
            <v>F</v>
          </cell>
          <cell r="AC4805">
            <v>0.4</v>
          </cell>
        </row>
        <row r="4806">
          <cell r="A4806" t="str">
            <v>IS_alqt_minus</v>
          </cell>
          <cell r="K4806" t="str">
            <v>VVV</v>
          </cell>
          <cell r="M4806" t="str">
            <v>F</v>
          </cell>
          <cell r="AC4806">
            <v>0.4</v>
          </cell>
        </row>
        <row r="4807">
          <cell r="A4807" t="str">
            <v>IS_alqt_minus</v>
          </cell>
          <cell r="K4807" t="str">
            <v>VVV</v>
          </cell>
          <cell r="M4807" t="str">
            <v>F</v>
          </cell>
          <cell r="AC4807">
            <v>0.4</v>
          </cell>
        </row>
        <row r="4808">
          <cell r="A4808" t="str">
            <v>IS_alqt_minus</v>
          </cell>
          <cell r="K4808" t="str">
            <v>VVV</v>
          </cell>
          <cell r="M4808" t="str">
            <v>F</v>
          </cell>
          <cell r="AC4808">
            <v>0.4</v>
          </cell>
        </row>
        <row r="4809">
          <cell r="A4809" t="str">
            <v>IS_alqt_minus</v>
          </cell>
          <cell r="K4809" t="str">
            <v>VVV</v>
          </cell>
          <cell r="M4809" t="str">
            <v>F</v>
          </cell>
          <cell r="AC4809">
            <v>0.4</v>
          </cell>
        </row>
        <row r="4810">
          <cell r="A4810" t="str">
            <v>IS_alqt_minus</v>
          </cell>
          <cell r="K4810" t="str">
            <v>VVV</v>
          </cell>
          <cell r="M4810" t="str">
            <v>F</v>
          </cell>
          <cell r="AC4810">
            <v>0.2</v>
          </cell>
        </row>
        <row r="4811">
          <cell r="A4811" t="str">
            <v>IS_alqt_minus</v>
          </cell>
          <cell r="K4811" t="str">
            <v>VVV</v>
          </cell>
          <cell r="M4811" t="str">
            <v>F</v>
          </cell>
          <cell r="AC4811">
            <v>0.2</v>
          </cell>
        </row>
        <row r="4812">
          <cell r="A4812" t="str">
            <v>IS_alqt_minus</v>
          </cell>
          <cell r="K4812" t="str">
            <v>VVV</v>
          </cell>
          <cell r="M4812" t="str">
            <v>F</v>
          </cell>
          <cell r="AC4812">
            <v>0.2</v>
          </cell>
        </row>
        <row r="4813">
          <cell r="A4813" t="str">
            <v>IS_alqt_minus</v>
          </cell>
          <cell r="K4813" t="str">
            <v>VVV</v>
          </cell>
          <cell r="M4813" t="str">
            <v>F</v>
          </cell>
          <cell r="AC4813">
            <v>0.2</v>
          </cell>
        </row>
        <row r="4814">
          <cell r="A4814" t="str">
            <v>IS_alqt_minus</v>
          </cell>
          <cell r="K4814" t="str">
            <v>VVV</v>
          </cell>
          <cell r="M4814" t="str">
            <v>F</v>
          </cell>
          <cell r="AC4814">
            <v>0.2</v>
          </cell>
        </row>
        <row r="4815">
          <cell r="A4815" t="str">
            <v>IS_alqt_minus</v>
          </cell>
          <cell r="K4815" t="str">
            <v>EMON</v>
          </cell>
          <cell r="M4815" t="str">
            <v>F</v>
          </cell>
          <cell r="AC4815">
            <v>0.6</v>
          </cell>
        </row>
        <row r="4816">
          <cell r="A4816" t="str">
            <v>IS_alqt_minus</v>
          </cell>
          <cell r="K4816" t="str">
            <v>EMON</v>
          </cell>
          <cell r="M4816" t="str">
            <v>F</v>
          </cell>
          <cell r="AC4816">
            <v>0.9</v>
          </cell>
        </row>
        <row r="4817">
          <cell r="A4817" t="str">
            <v>IS_alqt_minus</v>
          </cell>
          <cell r="K4817" t="str">
            <v>EMON</v>
          </cell>
          <cell r="M4817" t="str">
            <v>F</v>
          </cell>
          <cell r="AC4817">
            <v>1</v>
          </cell>
        </row>
        <row r="4818">
          <cell r="A4818" t="str">
            <v>IS_alqt_minus</v>
          </cell>
          <cell r="K4818" t="str">
            <v>EMON</v>
          </cell>
          <cell r="M4818" t="str">
            <v>F</v>
          </cell>
          <cell r="AC4818">
            <v>1</v>
          </cell>
        </row>
        <row r="4819">
          <cell r="A4819" t="str">
            <v>IS_alqt_plus</v>
          </cell>
          <cell r="K4819" t="str">
            <v>CMED</v>
          </cell>
          <cell r="M4819" t="str">
            <v>F</v>
          </cell>
          <cell r="AC4819">
            <v>0.6</v>
          </cell>
        </row>
        <row r="4820">
          <cell r="A4820" t="str">
            <v>IS_alqt_minus</v>
          </cell>
          <cell r="K4820" t="str">
            <v>CMED</v>
          </cell>
          <cell r="M4820" t="str">
            <v>M</v>
          </cell>
          <cell r="AC4820">
            <v>0.4</v>
          </cell>
        </row>
        <row r="4821">
          <cell r="A4821" t="str">
            <v>IS_alqt_plus</v>
          </cell>
          <cell r="K4821" t="str">
            <v>CMED</v>
          </cell>
          <cell r="M4821" t="str">
            <v>M</v>
          </cell>
          <cell r="AC4821">
            <v>1</v>
          </cell>
        </row>
        <row r="4822">
          <cell r="A4822" t="str">
            <v>IS_alqt_plus</v>
          </cell>
          <cell r="K4822" t="str">
            <v>CMED</v>
          </cell>
          <cell r="M4822" t="str">
            <v>M</v>
          </cell>
          <cell r="AC4822">
            <v>1</v>
          </cell>
        </row>
        <row r="4823">
          <cell r="A4823" t="str">
            <v>IS_alqt_plus</v>
          </cell>
          <cell r="K4823" t="str">
            <v>CMED</v>
          </cell>
          <cell r="M4823" t="str">
            <v>M</v>
          </cell>
          <cell r="AC4823">
            <v>1</v>
          </cell>
        </row>
        <row r="4824">
          <cell r="A4824" t="str">
            <v>IS_alqt_plus</v>
          </cell>
          <cell r="K4824" t="str">
            <v>CMED</v>
          </cell>
          <cell r="M4824" t="str">
            <v>M</v>
          </cell>
          <cell r="AC4824">
            <v>1</v>
          </cell>
        </row>
        <row r="4825">
          <cell r="A4825" t="str">
            <v>IS_alqt_plus</v>
          </cell>
          <cell r="K4825" t="str">
            <v>CMED</v>
          </cell>
          <cell r="M4825" t="str">
            <v>M</v>
          </cell>
          <cell r="AC4825">
            <v>1</v>
          </cell>
        </row>
        <row r="4826">
          <cell r="A4826" t="str">
            <v>IS_alqt_plus</v>
          </cell>
          <cell r="K4826" t="str">
            <v>CMED</v>
          </cell>
          <cell r="M4826" t="str">
            <v>M</v>
          </cell>
          <cell r="AC4826">
            <v>1</v>
          </cell>
        </row>
        <row r="4827">
          <cell r="A4827" t="str">
            <v>IS_alqt_plus</v>
          </cell>
          <cell r="K4827" t="str">
            <v>CMED</v>
          </cell>
          <cell r="M4827" t="str">
            <v>M</v>
          </cell>
          <cell r="AC4827">
            <v>1</v>
          </cell>
        </row>
        <row r="4828">
          <cell r="A4828" t="str">
            <v>IS_alqt_plus</v>
          </cell>
          <cell r="K4828" t="str">
            <v>CMED</v>
          </cell>
          <cell r="M4828" t="str">
            <v>M</v>
          </cell>
          <cell r="AC4828">
            <v>1</v>
          </cell>
        </row>
        <row r="4829">
          <cell r="A4829" t="str">
            <v>IS_alqt_plus</v>
          </cell>
          <cell r="K4829" t="str">
            <v>CMED</v>
          </cell>
          <cell r="M4829" t="str">
            <v>M</v>
          </cell>
          <cell r="AC4829">
            <v>0.6</v>
          </cell>
        </row>
        <row r="4830">
          <cell r="A4830" t="str">
            <v>IS_alqt_plus</v>
          </cell>
          <cell r="K4830" t="str">
            <v>CMED</v>
          </cell>
          <cell r="M4830" t="str">
            <v>M</v>
          </cell>
          <cell r="AC4830">
            <v>0.7</v>
          </cell>
        </row>
        <row r="4831">
          <cell r="A4831" t="str">
            <v>IS_alqt_minus</v>
          </cell>
          <cell r="K4831" t="str">
            <v>CMED</v>
          </cell>
          <cell r="M4831" t="str">
            <v>M</v>
          </cell>
          <cell r="AC4831">
            <v>0.35</v>
          </cell>
        </row>
        <row r="4832">
          <cell r="A4832" t="str">
            <v>IS_alqt_minus</v>
          </cell>
          <cell r="K4832" t="str">
            <v>DMAD</v>
          </cell>
          <cell r="M4832" t="str">
            <v>F</v>
          </cell>
          <cell r="AC4832">
            <v>0.2</v>
          </cell>
        </row>
        <row r="4833">
          <cell r="A4833" t="str">
            <v>IS_alqt_minus</v>
          </cell>
          <cell r="K4833" t="str">
            <v>DMAD</v>
          </cell>
          <cell r="M4833" t="str">
            <v>F</v>
          </cell>
          <cell r="AC4833">
            <v>0.2</v>
          </cell>
        </row>
        <row r="4834">
          <cell r="A4834" t="str">
            <v>IS_alqt_minus</v>
          </cell>
          <cell r="K4834" t="str">
            <v>DMAD</v>
          </cell>
          <cell r="M4834" t="str">
            <v>F</v>
          </cell>
          <cell r="AC4834">
            <v>0.2</v>
          </cell>
        </row>
        <row r="4835">
          <cell r="A4835" t="str">
            <v>IS_alqt_minus</v>
          </cell>
          <cell r="K4835" t="str">
            <v>DMAD</v>
          </cell>
          <cell r="M4835" t="str">
            <v>F</v>
          </cell>
          <cell r="AC4835">
            <v>0.2</v>
          </cell>
        </row>
        <row r="4836">
          <cell r="A4836" t="str">
            <v>IS_alqt_plus</v>
          </cell>
          <cell r="K4836" t="str">
            <v>LCAT</v>
          </cell>
          <cell r="M4836" t="str">
            <v>F</v>
          </cell>
          <cell r="AC4836">
            <v>1</v>
          </cell>
        </row>
        <row r="4837">
          <cell r="A4837" t="str">
            <v>IS_alqt_plus</v>
          </cell>
          <cell r="K4837" t="str">
            <v>LCAT</v>
          </cell>
          <cell r="M4837" t="str">
            <v>F</v>
          </cell>
          <cell r="AC4837">
            <v>1</v>
          </cell>
        </row>
        <row r="4838">
          <cell r="A4838" t="str">
            <v>IS_alqt_plus</v>
          </cell>
          <cell r="K4838" t="str">
            <v>LCAT</v>
          </cell>
          <cell r="M4838" t="str">
            <v>F</v>
          </cell>
          <cell r="AC4838">
            <v>1</v>
          </cell>
        </row>
        <row r="4839">
          <cell r="A4839" t="str">
            <v>IS_alqt_plus</v>
          </cell>
          <cell r="K4839" t="str">
            <v>LCAT</v>
          </cell>
          <cell r="M4839" t="str">
            <v>F</v>
          </cell>
          <cell r="AC4839">
            <v>1</v>
          </cell>
        </row>
        <row r="4840">
          <cell r="A4840" t="str">
            <v>IS_alqt_plus</v>
          </cell>
          <cell r="K4840" t="str">
            <v>LCAT</v>
          </cell>
          <cell r="M4840" t="str">
            <v>F</v>
          </cell>
          <cell r="AC4840">
            <v>1</v>
          </cell>
        </row>
        <row r="4841">
          <cell r="A4841" t="str">
            <v>IS_alqt_plus</v>
          </cell>
          <cell r="K4841" t="str">
            <v>LCAT</v>
          </cell>
          <cell r="M4841" t="str">
            <v>F</v>
          </cell>
          <cell r="AC4841">
            <v>1</v>
          </cell>
        </row>
        <row r="4842">
          <cell r="A4842" t="str">
            <v>IS_alqt_minus</v>
          </cell>
          <cell r="K4842" t="str">
            <v>MMUR</v>
          </cell>
          <cell r="M4842" t="str">
            <v>M</v>
          </cell>
          <cell r="AC4842">
            <v>0.3</v>
          </cell>
        </row>
        <row r="4843">
          <cell r="A4843" t="str">
            <v>IS_alqt_plus</v>
          </cell>
          <cell r="K4843" t="str">
            <v>PCOQ</v>
          </cell>
          <cell r="M4843" t="str">
            <v>M</v>
          </cell>
          <cell r="AC4843">
            <v>0.8</v>
          </cell>
        </row>
        <row r="4844">
          <cell r="A4844" t="str">
            <v>IS_alqt_plus</v>
          </cell>
          <cell r="K4844" t="str">
            <v>PCOQ</v>
          </cell>
          <cell r="M4844" t="str">
            <v>M</v>
          </cell>
          <cell r="AC4844">
            <v>1</v>
          </cell>
        </row>
        <row r="4845">
          <cell r="A4845" t="str">
            <v>IS_alqt_plus</v>
          </cell>
          <cell r="K4845" t="str">
            <v>PCOQ</v>
          </cell>
          <cell r="M4845" t="str">
            <v>M</v>
          </cell>
          <cell r="AC4845">
            <v>1</v>
          </cell>
        </row>
        <row r="4846">
          <cell r="A4846" t="str">
            <v>IS_alqt_plus</v>
          </cell>
          <cell r="K4846" t="str">
            <v>PCOQ</v>
          </cell>
          <cell r="M4846" t="str">
            <v>M</v>
          </cell>
          <cell r="AC4846">
            <v>1</v>
          </cell>
        </row>
        <row r="4847">
          <cell r="A4847" t="str">
            <v>IS_alqt_plus</v>
          </cell>
          <cell r="K4847" t="str">
            <v>PCOQ</v>
          </cell>
          <cell r="M4847" t="str">
            <v>M</v>
          </cell>
          <cell r="AC4847">
            <v>1</v>
          </cell>
        </row>
        <row r="4848">
          <cell r="A4848" t="str">
            <v>IS_alqt_minus</v>
          </cell>
          <cell r="K4848" t="str">
            <v>MMUR</v>
          </cell>
          <cell r="M4848" t="str">
            <v>F</v>
          </cell>
          <cell r="AC4848">
            <v>0.3</v>
          </cell>
        </row>
        <row r="4849">
          <cell r="A4849" t="str">
            <v>IS_alqt_minus</v>
          </cell>
          <cell r="K4849" t="str">
            <v>MMUR</v>
          </cell>
          <cell r="M4849" t="str">
            <v>F</v>
          </cell>
          <cell r="AC4849">
            <v>0.25</v>
          </cell>
        </row>
        <row r="4850">
          <cell r="A4850" t="str">
            <v>IS_alqt_plus</v>
          </cell>
          <cell r="K4850" t="str">
            <v>DMAD</v>
          </cell>
          <cell r="M4850" t="str">
            <v>F</v>
          </cell>
          <cell r="AC4850">
            <v>1</v>
          </cell>
        </row>
        <row r="4851">
          <cell r="A4851" t="str">
            <v>IS_alqt_plus</v>
          </cell>
          <cell r="K4851" t="str">
            <v>DMAD</v>
          </cell>
          <cell r="M4851" t="str">
            <v>F</v>
          </cell>
          <cell r="AC4851">
            <v>1</v>
          </cell>
        </row>
        <row r="4852">
          <cell r="A4852" t="str">
            <v>IS_alqt_plus</v>
          </cell>
          <cell r="K4852" t="str">
            <v>MMUR</v>
          </cell>
          <cell r="M4852" t="str">
            <v>F</v>
          </cell>
          <cell r="AC4852">
            <v>0.5</v>
          </cell>
        </row>
        <row r="4853">
          <cell r="A4853" t="str">
            <v>IS_alqt_plus</v>
          </cell>
          <cell r="K4853" t="str">
            <v>MMUR</v>
          </cell>
          <cell r="M4853" t="str">
            <v>F</v>
          </cell>
          <cell r="AC4853">
            <v>0.6</v>
          </cell>
        </row>
        <row r="4854">
          <cell r="A4854" t="str">
            <v>IS_alqt_plus</v>
          </cell>
          <cell r="K4854" t="str">
            <v>CMED</v>
          </cell>
          <cell r="M4854" t="str">
            <v>F</v>
          </cell>
          <cell r="AC4854">
            <v>0.75</v>
          </cell>
        </row>
        <row r="4855">
          <cell r="A4855" t="str">
            <v>IS_alqt_plus</v>
          </cell>
          <cell r="K4855" t="str">
            <v>DMAD</v>
          </cell>
          <cell r="M4855" t="str">
            <v>F</v>
          </cell>
          <cell r="AC4855">
            <v>0.7</v>
          </cell>
        </row>
        <row r="4856">
          <cell r="A4856" t="str">
            <v>IS_alqt_plus</v>
          </cell>
          <cell r="K4856" t="str">
            <v>DMAD</v>
          </cell>
          <cell r="M4856" t="str">
            <v>F</v>
          </cell>
          <cell r="AC4856">
            <v>0.7</v>
          </cell>
        </row>
        <row r="4857">
          <cell r="A4857" t="str">
            <v>IS_alqt_minus</v>
          </cell>
          <cell r="K4857" t="str">
            <v>MMUR</v>
          </cell>
          <cell r="M4857" t="str">
            <v>F</v>
          </cell>
          <cell r="AC4857">
            <v>0.2</v>
          </cell>
        </row>
        <row r="4858">
          <cell r="A4858" t="str">
            <v>IS_alqt_minus</v>
          </cell>
          <cell r="K4858" t="str">
            <v>MMUR</v>
          </cell>
          <cell r="M4858" t="str">
            <v>F</v>
          </cell>
          <cell r="AC4858">
            <v>0.4</v>
          </cell>
        </row>
        <row r="4859">
          <cell r="A4859" t="str">
            <v>IS_alqt_minus</v>
          </cell>
          <cell r="K4859" t="str">
            <v>MMUR</v>
          </cell>
          <cell r="M4859" t="str">
            <v>F</v>
          </cell>
          <cell r="AC4859">
            <v>0.4</v>
          </cell>
        </row>
        <row r="4860">
          <cell r="A4860" t="str">
            <v>IS_alqt_minus</v>
          </cell>
          <cell r="K4860" t="str">
            <v>CMED</v>
          </cell>
          <cell r="M4860" t="str">
            <v>M</v>
          </cell>
          <cell r="AC4860">
            <v>0.3</v>
          </cell>
        </row>
        <row r="4861">
          <cell r="A4861" t="str">
            <v>IS_alqt_plus</v>
          </cell>
          <cell r="K4861" t="str">
            <v>LCAT</v>
          </cell>
          <cell r="M4861" t="str">
            <v>M</v>
          </cell>
          <cell r="AC4861">
            <v>0.9</v>
          </cell>
        </row>
        <row r="4862">
          <cell r="A4862" t="str">
            <v>IS_alqt_minus</v>
          </cell>
          <cell r="K4862" t="str">
            <v>DMAD</v>
          </cell>
          <cell r="M4862" t="str">
            <v>M</v>
          </cell>
          <cell r="AC4862">
            <v>0.2</v>
          </cell>
        </row>
        <row r="4863">
          <cell r="A4863" t="str">
            <v>IS_alqt_minus</v>
          </cell>
          <cell r="K4863" t="str">
            <v>DMAD</v>
          </cell>
          <cell r="M4863" t="str">
            <v>M</v>
          </cell>
          <cell r="AC4863">
            <v>0.4</v>
          </cell>
        </row>
        <row r="4864">
          <cell r="A4864" t="str">
            <v>IS_alqt_minus</v>
          </cell>
          <cell r="K4864" t="str">
            <v>DMAD</v>
          </cell>
          <cell r="M4864" t="str">
            <v>M</v>
          </cell>
          <cell r="AC4864">
            <v>0.4</v>
          </cell>
        </row>
        <row r="4865">
          <cell r="A4865" t="str">
            <v>IS_alqt_plus</v>
          </cell>
          <cell r="K4865" t="str">
            <v>DMAD</v>
          </cell>
          <cell r="M4865" t="str">
            <v>M</v>
          </cell>
          <cell r="AC4865">
            <v>0.6</v>
          </cell>
        </row>
        <row r="4866">
          <cell r="A4866" t="str">
            <v>IS_alqt_plus</v>
          </cell>
          <cell r="K4866" t="str">
            <v>DMAD</v>
          </cell>
          <cell r="M4866" t="str">
            <v>M</v>
          </cell>
          <cell r="AC4866">
            <v>0.6</v>
          </cell>
        </row>
        <row r="4867">
          <cell r="A4867" t="str">
            <v>IS_alqt_plus</v>
          </cell>
          <cell r="K4867" t="str">
            <v>DMAD</v>
          </cell>
          <cell r="M4867" t="str">
            <v>M</v>
          </cell>
          <cell r="AC4867">
            <v>0.8</v>
          </cell>
        </row>
        <row r="4868">
          <cell r="A4868" t="str">
            <v>IS_alqt_plus</v>
          </cell>
          <cell r="K4868" t="str">
            <v>DMAD</v>
          </cell>
          <cell r="M4868" t="str">
            <v>M</v>
          </cell>
          <cell r="AC4868">
            <v>1</v>
          </cell>
        </row>
        <row r="4869">
          <cell r="A4869" t="str">
            <v>IS_alqt_plus</v>
          </cell>
          <cell r="K4869" t="str">
            <v>DMAD</v>
          </cell>
          <cell r="M4869" t="str">
            <v>M</v>
          </cell>
          <cell r="AC4869">
            <v>1</v>
          </cell>
        </row>
        <row r="4870">
          <cell r="A4870" t="str">
            <v>IS_alqt_minus</v>
          </cell>
          <cell r="K4870" t="str">
            <v>MMUR</v>
          </cell>
          <cell r="M4870" t="str">
            <v>F</v>
          </cell>
          <cell r="AC4870">
            <v>0.4</v>
          </cell>
        </row>
        <row r="4871">
          <cell r="A4871" t="str">
            <v>IS_alqt_minus</v>
          </cell>
          <cell r="K4871" t="str">
            <v>MMUR</v>
          </cell>
          <cell r="M4871" t="str">
            <v>F</v>
          </cell>
          <cell r="AC4871">
            <v>0.4</v>
          </cell>
        </row>
        <row r="4872">
          <cell r="A4872" t="str">
            <v>IS_alqt_plus</v>
          </cell>
          <cell r="K4872" t="str">
            <v>PCOQ</v>
          </cell>
          <cell r="M4872" t="str">
            <v>M</v>
          </cell>
          <cell r="AC4872">
            <v>1</v>
          </cell>
        </row>
        <row r="4873">
          <cell r="A4873" t="str">
            <v>IS_alqt_plus</v>
          </cell>
          <cell r="K4873" t="str">
            <v>PCOQ</v>
          </cell>
          <cell r="M4873" t="str">
            <v>M</v>
          </cell>
          <cell r="AC4873">
            <v>1</v>
          </cell>
        </row>
        <row r="4874">
          <cell r="A4874" t="str">
            <v>IS_alqt_plus</v>
          </cell>
          <cell r="K4874" t="str">
            <v>PCOQ</v>
          </cell>
          <cell r="M4874" t="str">
            <v>M</v>
          </cell>
          <cell r="AC4874">
            <v>1</v>
          </cell>
        </row>
        <row r="4875">
          <cell r="A4875" t="str">
            <v>IS_alqt_plus</v>
          </cell>
          <cell r="K4875" t="str">
            <v>PCOQ</v>
          </cell>
          <cell r="M4875" t="str">
            <v>M</v>
          </cell>
          <cell r="AC4875">
            <v>1</v>
          </cell>
        </row>
        <row r="4876">
          <cell r="A4876" t="str">
            <v>IS_alqt_plus</v>
          </cell>
          <cell r="K4876" t="str">
            <v>PCOQ</v>
          </cell>
          <cell r="M4876" t="str">
            <v>M</v>
          </cell>
          <cell r="AC4876">
            <v>1</v>
          </cell>
        </row>
        <row r="4877">
          <cell r="A4877" t="str">
            <v>IS_alqt_plus</v>
          </cell>
          <cell r="K4877" t="str">
            <v>PCOQ</v>
          </cell>
          <cell r="M4877" t="str">
            <v>M</v>
          </cell>
          <cell r="AC4877">
            <v>1</v>
          </cell>
        </row>
        <row r="4878">
          <cell r="A4878" t="str">
            <v>IS_alqt_plus</v>
          </cell>
          <cell r="K4878" t="str">
            <v>PCOQ</v>
          </cell>
          <cell r="M4878" t="str">
            <v>M</v>
          </cell>
          <cell r="AC4878">
            <v>1</v>
          </cell>
        </row>
        <row r="4879">
          <cell r="A4879" t="str">
            <v>IS_alqt_plus</v>
          </cell>
          <cell r="K4879" t="str">
            <v>PCOQ</v>
          </cell>
          <cell r="M4879" t="str">
            <v>M</v>
          </cell>
          <cell r="AC4879">
            <v>1</v>
          </cell>
        </row>
        <row r="4880">
          <cell r="A4880" t="str">
            <v>IS_alqt_plus</v>
          </cell>
          <cell r="K4880" t="str">
            <v>PCOQ</v>
          </cell>
          <cell r="M4880" t="str">
            <v>M</v>
          </cell>
          <cell r="AC4880">
            <v>1</v>
          </cell>
        </row>
        <row r="4881">
          <cell r="A4881" t="str">
            <v>IS_alqt_plus</v>
          </cell>
          <cell r="K4881" t="str">
            <v>PCOQ</v>
          </cell>
          <cell r="M4881" t="str">
            <v>M</v>
          </cell>
          <cell r="AC4881">
            <v>1</v>
          </cell>
        </row>
        <row r="4882">
          <cell r="A4882" t="str">
            <v>IS_alqt_plus</v>
          </cell>
          <cell r="K4882" t="str">
            <v>PCOQ</v>
          </cell>
          <cell r="M4882" t="str">
            <v>F</v>
          </cell>
          <cell r="AC4882">
            <v>1</v>
          </cell>
        </row>
        <row r="4883">
          <cell r="A4883" t="str">
            <v>IS_alqt_plus</v>
          </cell>
          <cell r="K4883" t="str">
            <v>PCOQ</v>
          </cell>
          <cell r="M4883" t="str">
            <v>F</v>
          </cell>
          <cell r="AC4883">
            <v>1</v>
          </cell>
        </row>
        <row r="4884">
          <cell r="A4884" t="str">
            <v>IS_alqt_plus</v>
          </cell>
          <cell r="K4884" t="str">
            <v>PCOQ</v>
          </cell>
          <cell r="M4884" t="str">
            <v>F</v>
          </cell>
          <cell r="AC4884">
            <v>1</v>
          </cell>
        </row>
        <row r="4885">
          <cell r="A4885" t="str">
            <v>IS_alqt_plus</v>
          </cell>
          <cell r="K4885" t="str">
            <v>PCOQ</v>
          </cell>
          <cell r="M4885" t="str">
            <v>F</v>
          </cell>
          <cell r="AC4885">
            <v>1</v>
          </cell>
        </row>
        <row r="4886">
          <cell r="A4886" t="str">
            <v>IS_alqt_plus</v>
          </cell>
          <cell r="K4886" t="str">
            <v>PCOQ</v>
          </cell>
          <cell r="M4886" t="str">
            <v>F</v>
          </cell>
          <cell r="AC4886">
            <v>1</v>
          </cell>
        </row>
        <row r="4887">
          <cell r="A4887" t="str">
            <v>IS_alqt_plus</v>
          </cell>
          <cell r="K4887" t="str">
            <v>EFLA</v>
          </cell>
          <cell r="M4887" t="str">
            <v>M</v>
          </cell>
          <cell r="AC4887">
            <v>0.4</v>
          </cell>
        </row>
        <row r="4888">
          <cell r="A4888" t="str">
            <v>IS_alqt_plus</v>
          </cell>
          <cell r="K4888" t="str">
            <v>EFLA</v>
          </cell>
          <cell r="M4888" t="str">
            <v>M</v>
          </cell>
          <cell r="AC4888">
            <v>1</v>
          </cell>
        </row>
        <row r="4889">
          <cell r="A4889" t="str">
            <v>IS_alqt_plus</v>
          </cell>
          <cell r="K4889" t="str">
            <v>EFLA</v>
          </cell>
          <cell r="M4889" t="str">
            <v>M</v>
          </cell>
          <cell r="AC4889">
            <v>1</v>
          </cell>
        </row>
        <row r="4890">
          <cell r="A4890" t="str">
            <v>IS_alqt_plus</v>
          </cell>
          <cell r="K4890" t="str">
            <v>EFLA</v>
          </cell>
          <cell r="M4890" t="str">
            <v>M</v>
          </cell>
          <cell r="AC4890">
            <v>1</v>
          </cell>
        </row>
        <row r="4891">
          <cell r="A4891" t="str">
            <v>IS_alqt_plus</v>
          </cell>
          <cell r="K4891" t="str">
            <v>EFLA</v>
          </cell>
          <cell r="M4891" t="str">
            <v>M</v>
          </cell>
          <cell r="AC4891">
            <v>1</v>
          </cell>
        </row>
        <row r="4892">
          <cell r="A4892" t="str">
            <v>IS_alqt_minus</v>
          </cell>
          <cell r="K4892" t="str">
            <v>MMUR</v>
          </cell>
          <cell r="M4892" t="str">
            <v>F</v>
          </cell>
          <cell r="AC4892">
            <v>0.22</v>
          </cell>
        </row>
        <row r="4893">
          <cell r="A4893" t="str">
            <v>IS_alqt_minus</v>
          </cell>
          <cell r="K4893" t="str">
            <v>LCAT</v>
          </cell>
          <cell r="M4893" t="str">
            <v>M</v>
          </cell>
          <cell r="AC4893">
            <v>0.2</v>
          </cell>
        </row>
        <row r="4894">
          <cell r="A4894" t="str">
            <v>IS_alqt_minus</v>
          </cell>
          <cell r="K4894" t="str">
            <v>LCAT</v>
          </cell>
          <cell r="M4894" t="str">
            <v>M</v>
          </cell>
          <cell r="AC4894">
            <v>0.2</v>
          </cell>
        </row>
        <row r="4895">
          <cell r="A4895" t="str">
            <v>IS_alqt_minus</v>
          </cell>
          <cell r="K4895" t="str">
            <v>LCAT</v>
          </cell>
          <cell r="M4895" t="str">
            <v>M</v>
          </cell>
          <cell r="AC4895">
            <v>0.2</v>
          </cell>
        </row>
        <row r="4896">
          <cell r="A4896" t="str">
            <v>IS_alqt_minus</v>
          </cell>
          <cell r="K4896" t="str">
            <v>LCAT</v>
          </cell>
          <cell r="M4896" t="str">
            <v>M</v>
          </cell>
          <cell r="AC4896">
            <v>0.2</v>
          </cell>
        </row>
        <row r="4897">
          <cell r="A4897" t="str">
            <v>IS_alqt_plus</v>
          </cell>
          <cell r="K4897" t="str">
            <v>LCAT</v>
          </cell>
          <cell r="M4897" t="str">
            <v>M</v>
          </cell>
          <cell r="AC4897">
            <v>0.5</v>
          </cell>
        </row>
        <row r="4898">
          <cell r="A4898" t="str">
            <v>IS_alqt_plus</v>
          </cell>
          <cell r="K4898" t="str">
            <v>LCAT</v>
          </cell>
          <cell r="M4898" t="str">
            <v>M</v>
          </cell>
          <cell r="AC4898">
            <v>0.5</v>
          </cell>
        </row>
        <row r="4899">
          <cell r="A4899" t="str">
            <v>IS_alqt_plus</v>
          </cell>
          <cell r="K4899" t="str">
            <v>LCAT</v>
          </cell>
          <cell r="M4899" t="str">
            <v>M</v>
          </cell>
          <cell r="AC4899">
            <v>0.5</v>
          </cell>
        </row>
        <row r="4900">
          <cell r="A4900" t="str">
            <v>IS_alqt_plus</v>
          </cell>
          <cell r="K4900" t="str">
            <v>LCAT</v>
          </cell>
          <cell r="M4900" t="str">
            <v>M</v>
          </cell>
          <cell r="AC4900">
            <v>0.5</v>
          </cell>
        </row>
        <row r="4901">
          <cell r="A4901" t="str">
            <v>IS_alqt_plus</v>
          </cell>
          <cell r="K4901" t="str">
            <v>LCAT</v>
          </cell>
          <cell r="M4901" t="str">
            <v>M</v>
          </cell>
          <cell r="AC4901">
            <v>1</v>
          </cell>
        </row>
        <row r="4902">
          <cell r="A4902" t="str">
            <v>IS_alqt_plus</v>
          </cell>
          <cell r="K4902" t="str">
            <v>LCAT</v>
          </cell>
          <cell r="M4902" t="str">
            <v>M</v>
          </cell>
          <cell r="AC4902">
            <v>1</v>
          </cell>
        </row>
        <row r="4903">
          <cell r="A4903" t="str">
            <v>IS_alqt_plus</v>
          </cell>
          <cell r="K4903" t="str">
            <v>VRUB</v>
          </cell>
          <cell r="M4903" t="str">
            <v>F</v>
          </cell>
          <cell r="AC4903">
            <v>1</v>
          </cell>
        </row>
        <row r="4904">
          <cell r="A4904" t="str">
            <v>IS_alqt_plus</v>
          </cell>
          <cell r="K4904" t="str">
            <v>VRUB</v>
          </cell>
          <cell r="M4904" t="str">
            <v>F</v>
          </cell>
          <cell r="AC4904">
            <v>1</v>
          </cell>
        </row>
        <row r="4905">
          <cell r="A4905" t="str">
            <v>IS_alqt_plus</v>
          </cell>
          <cell r="K4905" t="str">
            <v>VRUB</v>
          </cell>
          <cell r="M4905" t="str">
            <v>F</v>
          </cell>
          <cell r="AC4905">
            <v>1</v>
          </cell>
        </row>
        <row r="4906">
          <cell r="A4906" t="str">
            <v>IS_alqt_plus</v>
          </cell>
          <cell r="K4906" t="str">
            <v>VRUB</v>
          </cell>
          <cell r="M4906" t="str">
            <v>F</v>
          </cell>
          <cell r="AC4906">
            <v>0.5</v>
          </cell>
        </row>
        <row r="4907">
          <cell r="A4907" t="str">
            <v>IS_alqt_minus</v>
          </cell>
          <cell r="K4907" t="str">
            <v>DMAD</v>
          </cell>
          <cell r="M4907" t="str">
            <v>F</v>
          </cell>
          <cell r="AC4907">
            <v>0.2</v>
          </cell>
        </row>
        <row r="4908">
          <cell r="A4908" t="str">
            <v>IS_alqt_minus</v>
          </cell>
          <cell r="K4908" t="str">
            <v>DMAD</v>
          </cell>
          <cell r="M4908" t="str">
            <v>F</v>
          </cell>
          <cell r="AC4908">
            <v>0.2</v>
          </cell>
        </row>
        <row r="4909">
          <cell r="A4909" t="str">
            <v>IS_alqt_minus</v>
          </cell>
          <cell r="K4909" t="str">
            <v>DMAD</v>
          </cell>
          <cell r="M4909" t="str">
            <v>F</v>
          </cell>
          <cell r="AC4909">
            <v>0.4</v>
          </cell>
        </row>
        <row r="4910">
          <cell r="A4910" t="str">
            <v>IS_alqt_minus</v>
          </cell>
          <cell r="K4910" t="str">
            <v>DMAD</v>
          </cell>
          <cell r="M4910" t="str">
            <v>F</v>
          </cell>
          <cell r="AC4910">
            <v>0.4</v>
          </cell>
        </row>
        <row r="4911">
          <cell r="A4911" t="str">
            <v>IS_alqt_minus</v>
          </cell>
          <cell r="K4911" t="str">
            <v>DMAD</v>
          </cell>
          <cell r="M4911" t="str">
            <v>F</v>
          </cell>
          <cell r="AC4911">
            <v>0.4</v>
          </cell>
        </row>
        <row r="4912">
          <cell r="A4912" t="str">
            <v>IS_alqt_plus</v>
          </cell>
          <cell r="K4912" t="str">
            <v>DMAD</v>
          </cell>
          <cell r="M4912" t="str">
            <v>F</v>
          </cell>
          <cell r="AC4912">
            <v>0.6</v>
          </cell>
        </row>
        <row r="4913">
          <cell r="A4913" t="str">
            <v>IS_alqt_plus</v>
          </cell>
          <cell r="K4913" t="str">
            <v>DMAD</v>
          </cell>
          <cell r="M4913" t="str">
            <v>F</v>
          </cell>
          <cell r="AC4913">
            <v>0.6</v>
          </cell>
        </row>
        <row r="4914">
          <cell r="A4914" t="str">
            <v>IS_alqt_plus</v>
          </cell>
          <cell r="K4914" t="str">
            <v>EFLA</v>
          </cell>
          <cell r="M4914" t="str">
            <v>M</v>
          </cell>
          <cell r="AC4914">
            <v>1</v>
          </cell>
        </row>
        <row r="4915">
          <cell r="A4915" t="str">
            <v>IS_alqt_plus</v>
          </cell>
          <cell r="K4915" t="str">
            <v>EFLA</v>
          </cell>
          <cell r="M4915" t="str">
            <v>M</v>
          </cell>
          <cell r="AC4915">
            <v>1</v>
          </cell>
        </row>
        <row r="4916">
          <cell r="A4916" t="str">
            <v>IS_alqt_plus</v>
          </cell>
          <cell r="K4916" t="str">
            <v>EFLA</v>
          </cell>
          <cell r="M4916" t="str">
            <v>M</v>
          </cell>
          <cell r="AC4916">
            <v>1</v>
          </cell>
        </row>
        <row r="4917">
          <cell r="A4917" t="str">
            <v>IS_alqt_plus</v>
          </cell>
          <cell r="K4917" t="str">
            <v>EFLA</v>
          </cell>
          <cell r="M4917" t="str">
            <v>M</v>
          </cell>
          <cell r="AC4917">
            <v>0.5</v>
          </cell>
        </row>
        <row r="4918">
          <cell r="A4918" t="str">
            <v>IS_alqt_minus</v>
          </cell>
          <cell r="K4918" t="str">
            <v>MMUR</v>
          </cell>
          <cell r="M4918" t="str">
            <v>F</v>
          </cell>
          <cell r="AC4918">
            <v>0.2</v>
          </cell>
        </row>
        <row r="4919">
          <cell r="A4919" t="str">
            <v>IS_alqt_minus</v>
          </cell>
          <cell r="K4919" t="str">
            <v>MMUR</v>
          </cell>
          <cell r="M4919" t="str">
            <v>F</v>
          </cell>
          <cell r="AC4919">
            <v>0.4</v>
          </cell>
        </row>
        <row r="4920">
          <cell r="A4920" t="str">
            <v>IS_alqt_minus</v>
          </cell>
          <cell r="K4920" t="str">
            <v>MMUR</v>
          </cell>
          <cell r="M4920" t="str">
            <v>F</v>
          </cell>
          <cell r="AC4920">
            <v>0.4</v>
          </cell>
        </row>
        <row r="4921">
          <cell r="A4921" t="str">
            <v>IS_alqt_plus</v>
          </cell>
          <cell r="K4921" t="str">
            <v>MMUR</v>
          </cell>
          <cell r="M4921" t="str">
            <v>F</v>
          </cell>
          <cell r="AC4921">
            <v>0.6</v>
          </cell>
        </row>
        <row r="4922">
          <cell r="A4922" t="str">
            <v>IS_alqt_plus</v>
          </cell>
          <cell r="K4922" t="str">
            <v>VVV</v>
          </cell>
          <cell r="M4922" t="str">
            <v>M</v>
          </cell>
          <cell r="AC4922">
            <v>1</v>
          </cell>
        </row>
        <row r="4923">
          <cell r="A4923" t="str">
            <v>IS_alqt_plus</v>
          </cell>
          <cell r="K4923" t="str">
            <v>VVV</v>
          </cell>
          <cell r="M4923" t="str">
            <v>M</v>
          </cell>
          <cell r="AC4923">
            <v>1</v>
          </cell>
        </row>
        <row r="4924">
          <cell r="A4924" t="str">
            <v>IS_alqt_plus</v>
          </cell>
          <cell r="K4924" t="str">
            <v>VVV</v>
          </cell>
          <cell r="M4924" t="str">
            <v>M</v>
          </cell>
          <cell r="AC4924">
            <v>0.5</v>
          </cell>
        </row>
        <row r="4925">
          <cell r="A4925" t="str">
            <v>IS_alqt_minus</v>
          </cell>
          <cell r="K4925" t="str">
            <v>PCOQ</v>
          </cell>
          <cell r="M4925" t="str">
            <v>F</v>
          </cell>
          <cell r="AC4925">
            <v>0.2</v>
          </cell>
        </row>
        <row r="4926">
          <cell r="A4926" t="str">
            <v>IS_alqt_minus</v>
          </cell>
          <cell r="K4926" t="str">
            <v>PCOQ</v>
          </cell>
          <cell r="M4926" t="str">
            <v>F</v>
          </cell>
          <cell r="AC4926">
            <v>0.2</v>
          </cell>
        </row>
        <row r="4927">
          <cell r="A4927" t="str">
            <v>IS_alqt_minus</v>
          </cell>
          <cell r="K4927" t="str">
            <v>PCOQ</v>
          </cell>
          <cell r="M4927" t="str">
            <v>F</v>
          </cell>
          <cell r="AC4927">
            <v>0.4</v>
          </cell>
        </row>
        <row r="4928">
          <cell r="A4928" t="str">
            <v>IS_alqt_minus</v>
          </cell>
          <cell r="K4928" t="str">
            <v>PCOQ</v>
          </cell>
          <cell r="M4928" t="str">
            <v>F</v>
          </cell>
          <cell r="AC4928">
            <v>0.4</v>
          </cell>
        </row>
        <row r="4929">
          <cell r="A4929" t="str">
            <v>IS_alqt_plus</v>
          </cell>
          <cell r="K4929" t="str">
            <v>PCOQ</v>
          </cell>
          <cell r="M4929" t="str">
            <v>F</v>
          </cell>
          <cell r="AC4929">
            <v>0.6</v>
          </cell>
        </row>
        <row r="4930">
          <cell r="A4930" t="str">
            <v>IS_alqt_plus</v>
          </cell>
          <cell r="K4930" t="str">
            <v>PCOQ</v>
          </cell>
          <cell r="M4930" t="str">
            <v>F</v>
          </cell>
          <cell r="AC4930">
            <v>0.6</v>
          </cell>
        </row>
        <row r="4931">
          <cell r="A4931" t="str">
            <v>IS_alqt_plus</v>
          </cell>
          <cell r="K4931" t="str">
            <v>PCOQ</v>
          </cell>
          <cell r="M4931" t="str">
            <v>F</v>
          </cell>
          <cell r="AC4931">
            <v>0.6</v>
          </cell>
        </row>
        <row r="4932">
          <cell r="A4932" t="str">
            <v>IS_alqt_plus</v>
          </cell>
          <cell r="K4932" t="str">
            <v>PCOQ</v>
          </cell>
          <cell r="M4932" t="str">
            <v>F</v>
          </cell>
          <cell r="AC4932">
            <v>0.8</v>
          </cell>
        </row>
        <row r="4933">
          <cell r="A4933" t="str">
            <v>IS_alqt_plus</v>
          </cell>
          <cell r="K4933" t="str">
            <v>PCOQ</v>
          </cell>
          <cell r="M4933" t="str">
            <v>F</v>
          </cell>
          <cell r="AC4933">
            <v>0.8</v>
          </cell>
        </row>
        <row r="4934">
          <cell r="A4934" t="str">
            <v>IS_alqt_plus</v>
          </cell>
          <cell r="K4934" t="str">
            <v>PCOQ</v>
          </cell>
          <cell r="M4934" t="str">
            <v>F</v>
          </cell>
          <cell r="AC4934">
            <v>0.8</v>
          </cell>
        </row>
        <row r="4935">
          <cell r="A4935" t="str">
            <v>IS_alqt_plus</v>
          </cell>
          <cell r="K4935" t="str">
            <v>PCOQ</v>
          </cell>
          <cell r="M4935" t="str">
            <v>F</v>
          </cell>
          <cell r="AC4935">
            <v>1</v>
          </cell>
        </row>
        <row r="4936">
          <cell r="A4936" t="str">
            <v>IS_alqt_plus</v>
          </cell>
          <cell r="K4936" t="str">
            <v>PCOQ</v>
          </cell>
          <cell r="M4936" t="str">
            <v>F</v>
          </cell>
          <cell r="AC4936">
            <v>1</v>
          </cell>
        </row>
        <row r="4937">
          <cell r="A4937" t="str">
            <v>IS_alqt_plus</v>
          </cell>
          <cell r="K4937" t="str">
            <v>PCOQ</v>
          </cell>
          <cell r="M4937" t="str">
            <v>F</v>
          </cell>
          <cell r="AC4937">
            <v>1</v>
          </cell>
        </row>
        <row r="4938">
          <cell r="A4938" t="str">
            <v>IS_alqt_plus</v>
          </cell>
          <cell r="K4938" t="str">
            <v>PCOQ</v>
          </cell>
          <cell r="M4938" t="str">
            <v>F</v>
          </cell>
          <cell r="AC4938">
            <v>1</v>
          </cell>
        </row>
        <row r="4939">
          <cell r="A4939" t="str">
            <v>IS_alqt_plus</v>
          </cell>
          <cell r="K4939" t="str">
            <v>PCOQ</v>
          </cell>
          <cell r="M4939" t="str">
            <v>F</v>
          </cell>
          <cell r="AC4939">
            <v>1</v>
          </cell>
        </row>
        <row r="4940">
          <cell r="A4940" t="str">
            <v>IS_alqt_minus</v>
          </cell>
          <cell r="K4940" t="str">
            <v>PCOQ</v>
          </cell>
          <cell r="M4940" t="str">
            <v>F</v>
          </cell>
          <cell r="AC4940">
            <v>0.2</v>
          </cell>
        </row>
        <row r="4941">
          <cell r="A4941" t="str">
            <v>IS_alqt_minus</v>
          </cell>
          <cell r="K4941" t="str">
            <v>PCOQ</v>
          </cell>
          <cell r="M4941" t="str">
            <v>F</v>
          </cell>
          <cell r="AC4941">
            <v>0.2</v>
          </cell>
        </row>
        <row r="4942">
          <cell r="A4942" t="str">
            <v>IS_alqt_minus</v>
          </cell>
          <cell r="K4942" t="str">
            <v>PCOQ</v>
          </cell>
          <cell r="M4942" t="str">
            <v>F</v>
          </cell>
          <cell r="AC4942">
            <v>0.2</v>
          </cell>
        </row>
        <row r="4943">
          <cell r="A4943" t="str">
            <v>IS_alqt_minus</v>
          </cell>
          <cell r="K4943" t="str">
            <v>PCOQ</v>
          </cell>
          <cell r="M4943" t="str">
            <v>F</v>
          </cell>
          <cell r="AC4943">
            <v>0.2</v>
          </cell>
        </row>
        <row r="4944">
          <cell r="A4944" t="str">
            <v>IS_alqt_plus</v>
          </cell>
          <cell r="K4944" t="str">
            <v>PCOQ</v>
          </cell>
          <cell r="M4944" t="str">
            <v>F</v>
          </cell>
          <cell r="AC4944">
            <v>0.6</v>
          </cell>
        </row>
        <row r="4945">
          <cell r="A4945" t="str">
            <v>IS_alqt_minus</v>
          </cell>
          <cell r="K4945" t="str">
            <v>PCOQ</v>
          </cell>
          <cell r="M4945" t="str">
            <v>F</v>
          </cell>
          <cell r="AC4945">
            <v>0.2</v>
          </cell>
        </row>
        <row r="4946">
          <cell r="A4946" t="str">
            <v>IS_alqt_minus</v>
          </cell>
          <cell r="K4946" t="str">
            <v>PCOQ</v>
          </cell>
          <cell r="M4946" t="str">
            <v>F</v>
          </cell>
          <cell r="AC4946">
            <v>0.2</v>
          </cell>
        </row>
        <row r="4947">
          <cell r="A4947" t="str">
            <v>IS_alqt_minus</v>
          </cell>
          <cell r="K4947" t="str">
            <v>PCOQ</v>
          </cell>
          <cell r="M4947" t="str">
            <v>F</v>
          </cell>
          <cell r="AC4947">
            <v>0.2</v>
          </cell>
        </row>
        <row r="4948">
          <cell r="A4948" t="str">
            <v>IS_alqt_minus</v>
          </cell>
          <cell r="K4948" t="str">
            <v>PCOQ</v>
          </cell>
          <cell r="M4948" t="str">
            <v>F</v>
          </cell>
          <cell r="AC4948">
            <v>0.6</v>
          </cell>
        </row>
        <row r="4949">
          <cell r="A4949" t="str">
            <v>IS_alqt_plus</v>
          </cell>
          <cell r="K4949" t="str">
            <v>PCOQ</v>
          </cell>
          <cell r="M4949" t="str">
            <v>F</v>
          </cell>
          <cell r="AC4949">
            <v>1</v>
          </cell>
        </row>
        <row r="4950">
          <cell r="A4950" t="str">
            <v>IS_alqt_plus</v>
          </cell>
          <cell r="K4950" t="str">
            <v>PCOQ</v>
          </cell>
          <cell r="M4950" t="str">
            <v>F</v>
          </cell>
          <cell r="AC4950">
            <v>1</v>
          </cell>
        </row>
        <row r="4951">
          <cell r="A4951" t="str">
            <v>IS_alqt_plus</v>
          </cell>
          <cell r="K4951" t="str">
            <v>PCOQ</v>
          </cell>
          <cell r="M4951" t="str">
            <v>F</v>
          </cell>
          <cell r="AC4951">
            <v>1</v>
          </cell>
        </row>
        <row r="4952">
          <cell r="A4952" t="str">
            <v>IS_alqt_plus</v>
          </cell>
          <cell r="K4952" t="str">
            <v>PCOQ</v>
          </cell>
          <cell r="M4952" t="str">
            <v>F</v>
          </cell>
          <cell r="AC4952">
            <v>1</v>
          </cell>
        </row>
        <row r="4953">
          <cell r="A4953" t="str">
            <v>IS_alqt_plus</v>
          </cell>
          <cell r="K4953" t="str">
            <v>PCOQ</v>
          </cell>
          <cell r="M4953" t="str">
            <v>F</v>
          </cell>
          <cell r="AC4953">
            <v>1</v>
          </cell>
        </row>
        <row r="4954">
          <cell r="A4954" t="str">
            <v>IS_alqt_plus</v>
          </cell>
          <cell r="K4954" t="str">
            <v>PCOQ</v>
          </cell>
          <cell r="M4954" t="str">
            <v>F</v>
          </cell>
          <cell r="AC4954">
            <v>1</v>
          </cell>
        </row>
        <row r="4955">
          <cell r="A4955" t="str">
            <v>IS_alqt_plus</v>
          </cell>
          <cell r="K4955" t="str">
            <v>PCOQ</v>
          </cell>
          <cell r="M4955" t="str">
            <v>F</v>
          </cell>
          <cell r="AC4955">
            <v>1</v>
          </cell>
        </row>
        <row r="4956">
          <cell r="A4956" t="str">
            <v>IS_alqt_plus</v>
          </cell>
          <cell r="K4956" t="str">
            <v>PCOQ</v>
          </cell>
          <cell r="M4956" t="str">
            <v>F</v>
          </cell>
          <cell r="AC4956">
            <v>1</v>
          </cell>
        </row>
        <row r="4957">
          <cell r="A4957" t="str">
            <v>IS_alqt_plus</v>
          </cell>
          <cell r="K4957" t="str">
            <v>PCOQ</v>
          </cell>
          <cell r="M4957" t="str">
            <v>F</v>
          </cell>
          <cell r="AC4957">
            <v>1</v>
          </cell>
        </row>
        <row r="4958">
          <cell r="A4958" t="str">
            <v>IS_alqt_plus</v>
          </cell>
          <cell r="K4958" t="str">
            <v>PCOQ</v>
          </cell>
          <cell r="M4958" t="str">
            <v>F</v>
          </cell>
          <cell r="AC4958">
            <v>1</v>
          </cell>
        </row>
        <row r="4959">
          <cell r="A4959" t="str">
            <v>IS_alqt_plus</v>
          </cell>
          <cell r="K4959" t="str">
            <v>PCOQ</v>
          </cell>
          <cell r="M4959" t="str">
            <v>F</v>
          </cell>
          <cell r="AC4959">
            <v>0.6</v>
          </cell>
        </row>
        <row r="4960">
          <cell r="A4960" t="str">
            <v>IS_alqt_plus</v>
          </cell>
          <cell r="K4960" t="str">
            <v>PCOQ</v>
          </cell>
          <cell r="M4960" t="str">
            <v>F</v>
          </cell>
          <cell r="AC4960">
            <v>0.6</v>
          </cell>
        </row>
        <row r="4961">
          <cell r="A4961" t="str">
            <v>IS_alqt_plus</v>
          </cell>
          <cell r="K4961" t="str">
            <v>PCOQ</v>
          </cell>
          <cell r="M4961" t="str">
            <v>F</v>
          </cell>
          <cell r="AC4961">
            <v>0.6</v>
          </cell>
        </row>
        <row r="4962">
          <cell r="A4962" t="str">
            <v>IS_alqt_plus</v>
          </cell>
          <cell r="K4962" t="str">
            <v>PCOQ</v>
          </cell>
          <cell r="M4962" t="str">
            <v>F</v>
          </cell>
          <cell r="AC4962">
            <v>0.6</v>
          </cell>
        </row>
        <row r="4963">
          <cell r="A4963" t="str">
            <v>IS_alqt_plus</v>
          </cell>
          <cell r="K4963" t="str">
            <v>PCOQ</v>
          </cell>
          <cell r="M4963" t="str">
            <v>F</v>
          </cell>
          <cell r="AC4963">
            <v>0.6</v>
          </cell>
        </row>
        <row r="4964">
          <cell r="A4964" t="str">
            <v>IS_alqt_plus</v>
          </cell>
          <cell r="K4964" t="str">
            <v>PCOQ</v>
          </cell>
          <cell r="M4964" t="str">
            <v>F</v>
          </cell>
          <cell r="AC4964">
            <v>0.6</v>
          </cell>
        </row>
        <row r="4965">
          <cell r="A4965" t="str">
            <v>IS_alqt_plus</v>
          </cell>
          <cell r="K4965" t="str">
            <v>PCOQ</v>
          </cell>
          <cell r="M4965" t="str">
            <v>F</v>
          </cell>
          <cell r="AC4965">
            <v>0.6</v>
          </cell>
        </row>
        <row r="4966">
          <cell r="A4966" t="str">
            <v>IS_alqt_plus</v>
          </cell>
          <cell r="K4966" t="str">
            <v>PCOQ</v>
          </cell>
          <cell r="M4966" t="str">
            <v>F</v>
          </cell>
          <cell r="AC4966">
            <v>0.6</v>
          </cell>
        </row>
        <row r="4967">
          <cell r="A4967" t="str">
            <v>IS_alqt_plus</v>
          </cell>
          <cell r="K4967" t="str">
            <v>PCOQ</v>
          </cell>
          <cell r="M4967" t="str">
            <v>F</v>
          </cell>
          <cell r="AC4967">
            <v>0.6</v>
          </cell>
        </row>
        <row r="4968">
          <cell r="A4968" t="str">
            <v>IS_alqt_plus</v>
          </cell>
          <cell r="K4968" t="str">
            <v>PCOQ</v>
          </cell>
          <cell r="M4968" t="str">
            <v>F</v>
          </cell>
          <cell r="AC4968">
            <v>0.6</v>
          </cell>
        </row>
        <row r="4969">
          <cell r="A4969" t="str">
            <v>IS_alqt_plus</v>
          </cell>
          <cell r="K4969" t="str">
            <v>PCOQ</v>
          </cell>
          <cell r="M4969" t="str">
            <v>F</v>
          </cell>
          <cell r="AC4969">
            <v>0.4</v>
          </cell>
        </row>
        <row r="4970">
          <cell r="A4970" t="str">
            <v>IS_alqt_plus</v>
          </cell>
          <cell r="K4970" t="str">
            <v>PCOQ</v>
          </cell>
          <cell r="M4970" t="str">
            <v>F</v>
          </cell>
          <cell r="AC4970">
            <v>0.4</v>
          </cell>
        </row>
        <row r="4971">
          <cell r="A4971" t="str">
            <v>IS_alqt_plus</v>
          </cell>
          <cell r="K4971" t="str">
            <v>PCOQ</v>
          </cell>
          <cell r="M4971" t="str">
            <v>F</v>
          </cell>
          <cell r="AC4971">
            <v>0.4</v>
          </cell>
        </row>
        <row r="4972">
          <cell r="A4972" t="str">
            <v>IS_alqt_plus</v>
          </cell>
          <cell r="K4972" t="str">
            <v>PCOQ</v>
          </cell>
          <cell r="M4972" t="str">
            <v>F</v>
          </cell>
          <cell r="AC4972">
            <v>0.4</v>
          </cell>
        </row>
        <row r="4973">
          <cell r="A4973" t="str">
            <v>IS_alqt_plus</v>
          </cell>
          <cell r="K4973" t="str">
            <v>PCOQ</v>
          </cell>
          <cell r="M4973" t="str">
            <v>F</v>
          </cell>
          <cell r="AC4973">
            <v>0.4</v>
          </cell>
        </row>
        <row r="4974">
          <cell r="A4974" t="str">
            <v>IS_alqt_plus</v>
          </cell>
          <cell r="K4974" t="str">
            <v>PCOQ</v>
          </cell>
          <cell r="M4974" t="str">
            <v>F</v>
          </cell>
          <cell r="AC4974">
            <v>0.4</v>
          </cell>
        </row>
        <row r="4975">
          <cell r="A4975" t="str">
            <v>IS_alqt_plus</v>
          </cell>
          <cell r="K4975" t="str">
            <v>PCOQ</v>
          </cell>
          <cell r="M4975" t="str">
            <v>F</v>
          </cell>
          <cell r="AC4975">
            <v>0.4</v>
          </cell>
        </row>
        <row r="4976">
          <cell r="A4976" t="str">
            <v>IS_alqt_plus</v>
          </cell>
          <cell r="K4976" t="str">
            <v>PCOQ</v>
          </cell>
          <cell r="M4976" t="str">
            <v>F</v>
          </cell>
          <cell r="AC4976">
            <v>0.2</v>
          </cell>
        </row>
        <row r="4977">
          <cell r="A4977" t="str">
            <v>IS_alqt_plus</v>
          </cell>
          <cell r="K4977" t="str">
            <v>PCOQ</v>
          </cell>
          <cell r="M4977" t="str">
            <v>F</v>
          </cell>
          <cell r="AC4977">
            <v>0.2</v>
          </cell>
        </row>
        <row r="4978">
          <cell r="A4978" t="str">
            <v>IS_alqt_plus</v>
          </cell>
          <cell r="K4978" t="str">
            <v>PCOQ</v>
          </cell>
          <cell r="M4978" t="str">
            <v>F</v>
          </cell>
          <cell r="AC4978">
            <v>0.2</v>
          </cell>
        </row>
        <row r="4979">
          <cell r="A4979" t="str">
            <v>IS_alqt_plus</v>
          </cell>
          <cell r="K4979" t="str">
            <v>PCOQ</v>
          </cell>
          <cell r="M4979" t="str">
            <v>F</v>
          </cell>
          <cell r="AC4979">
            <v>0.2</v>
          </cell>
        </row>
        <row r="4980">
          <cell r="A4980" t="str">
            <v>IS_alqt_plus</v>
          </cell>
          <cell r="K4980" t="str">
            <v>PCOQ</v>
          </cell>
          <cell r="M4980" t="str">
            <v>F</v>
          </cell>
          <cell r="AC4980">
            <v>0.2</v>
          </cell>
        </row>
        <row r="4981">
          <cell r="A4981" t="str">
            <v>IS_alqt_plus</v>
          </cell>
          <cell r="K4981" t="str">
            <v>PCOQ</v>
          </cell>
          <cell r="M4981" t="str">
            <v>F</v>
          </cell>
          <cell r="AC4981">
            <v>0.2</v>
          </cell>
        </row>
        <row r="4982">
          <cell r="A4982" t="str">
            <v>IS_alqt_plus</v>
          </cell>
          <cell r="K4982" t="str">
            <v>PCOQ</v>
          </cell>
          <cell r="M4982" t="str">
            <v>F</v>
          </cell>
          <cell r="AC4982">
            <v>0.2</v>
          </cell>
        </row>
        <row r="4983">
          <cell r="A4983" t="str">
            <v>IS_alqt_plus</v>
          </cell>
          <cell r="K4983" t="str">
            <v>PCOQ</v>
          </cell>
          <cell r="M4983" t="str">
            <v>F</v>
          </cell>
          <cell r="AC4983">
            <v>0.2</v>
          </cell>
        </row>
        <row r="4984">
          <cell r="A4984" t="str">
            <v>IS_alqt_plus</v>
          </cell>
          <cell r="K4984" t="str">
            <v>PCOQ</v>
          </cell>
          <cell r="M4984" t="str">
            <v>F</v>
          </cell>
          <cell r="AC4984">
            <v>0.2</v>
          </cell>
        </row>
        <row r="4985">
          <cell r="A4985" t="str">
            <v>IS_alqt_minus</v>
          </cell>
          <cell r="K4985" t="str">
            <v>LCAT</v>
          </cell>
          <cell r="M4985" t="str">
            <v>F</v>
          </cell>
          <cell r="AC4985">
            <v>0.2</v>
          </cell>
        </row>
        <row r="4986">
          <cell r="A4986" t="str">
            <v>IS_alqt_minus</v>
          </cell>
          <cell r="K4986" t="str">
            <v>LCAT</v>
          </cell>
          <cell r="M4986" t="str">
            <v>F</v>
          </cell>
          <cell r="AC4986">
            <v>0.2</v>
          </cell>
        </row>
        <row r="4987">
          <cell r="A4987" t="str">
            <v>IS_alqt_minus</v>
          </cell>
          <cell r="K4987" t="str">
            <v>LCAT</v>
          </cell>
          <cell r="M4987" t="str">
            <v>F</v>
          </cell>
          <cell r="AC4987">
            <v>0.2</v>
          </cell>
        </row>
        <row r="4988">
          <cell r="A4988" t="str">
            <v>IS_alqt_plus</v>
          </cell>
          <cell r="K4988" t="str">
            <v>LCAT</v>
          </cell>
          <cell r="M4988" t="str">
            <v>F</v>
          </cell>
          <cell r="AC4988">
            <v>0.6</v>
          </cell>
        </row>
        <row r="4989">
          <cell r="A4989" t="str">
            <v>IS_alqt_plus</v>
          </cell>
          <cell r="K4989" t="str">
            <v>LCAT</v>
          </cell>
          <cell r="M4989" t="str">
            <v>F</v>
          </cell>
          <cell r="AC4989">
            <v>0.6</v>
          </cell>
        </row>
        <row r="4990">
          <cell r="A4990" t="str">
            <v>IS_alqt_plus</v>
          </cell>
          <cell r="K4990" t="str">
            <v>LCAT</v>
          </cell>
          <cell r="M4990" t="str">
            <v>F</v>
          </cell>
          <cell r="AC4990">
            <v>0.6</v>
          </cell>
        </row>
        <row r="4991">
          <cell r="A4991" t="str">
            <v>IS_alqt_plus</v>
          </cell>
          <cell r="K4991" t="str">
            <v>LCAT</v>
          </cell>
          <cell r="M4991" t="str">
            <v>F</v>
          </cell>
          <cell r="AC4991">
            <v>0.6</v>
          </cell>
        </row>
        <row r="4992">
          <cell r="A4992" t="str">
            <v>IS_alqt_minus</v>
          </cell>
          <cell r="K4992" t="str">
            <v>MMUR</v>
          </cell>
          <cell r="M4992" t="str">
            <v>F</v>
          </cell>
          <cell r="AC4992">
            <v>0.2</v>
          </cell>
        </row>
        <row r="4993">
          <cell r="A4993" t="str">
            <v>IS_alqt_minus</v>
          </cell>
          <cell r="K4993" t="str">
            <v>MMUR</v>
          </cell>
          <cell r="M4993" t="str">
            <v>F</v>
          </cell>
          <cell r="AC4993">
            <v>0.2</v>
          </cell>
        </row>
        <row r="4994">
          <cell r="A4994" t="str">
            <v>IS_alqt_minus</v>
          </cell>
          <cell r="K4994" t="str">
            <v>MMUR</v>
          </cell>
          <cell r="M4994" t="str">
            <v>F</v>
          </cell>
          <cell r="AC4994">
            <v>0.4</v>
          </cell>
        </row>
        <row r="4995">
          <cell r="A4995" t="str">
            <v>IS_alqt_minus</v>
          </cell>
          <cell r="K4995" t="str">
            <v>MMUR</v>
          </cell>
          <cell r="M4995" t="str">
            <v>F</v>
          </cell>
          <cell r="AC4995">
            <v>0.4</v>
          </cell>
        </row>
        <row r="4996">
          <cell r="A4996" t="str">
            <v>IS_alqt_minus</v>
          </cell>
          <cell r="K4996" t="str">
            <v>MMUR</v>
          </cell>
          <cell r="M4996" t="str">
            <v>F</v>
          </cell>
          <cell r="AC4996">
            <v>0.4</v>
          </cell>
        </row>
        <row r="4997">
          <cell r="A4997" t="str">
            <v>IS_alqt_minus</v>
          </cell>
          <cell r="K4997" t="str">
            <v>EFLA</v>
          </cell>
          <cell r="M4997" t="str">
            <v>F</v>
          </cell>
          <cell r="AC4997">
            <v>0.2</v>
          </cell>
        </row>
        <row r="4998">
          <cell r="A4998" t="str">
            <v>IS_alqt_minus</v>
          </cell>
          <cell r="K4998" t="str">
            <v>EFLA</v>
          </cell>
          <cell r="M4998" t="str">
            <v>F</v>
          </cell>
          <cell r="AC4998">
            <v>0.2</v>
          </cell>
        </row>
        <row r="4999">
          <cell r="A4999" t="str">
            <v>IS_alqt_minus</v>
          </cell>
          <cell r="K4999" t="str">
            <v>EFLA</v>
          </cell>
          <cell r="M4999" t="str">
            <v>F</v>
          </cell>
          <cell r="AC4999">
            <v>0.4</v>
          </cell>
        </row>
        <row r="5000">
          <cell r="A5000" t="str">
            <v>IS_alqt_minus</v>
          </cell>
          <cell r="K5000" t="str">
            <v>EFLA</v>
          </cell>
          <cell r="M5000" t="str">
            <v>F</v>
          </cell>
          <cell r="AC5000">
            <v>0.4</v>
          </cell>
        </row>
        <row r="5001">
          <cell r="A5001" t="str">
            <v>IS_alqt_plus</v>
          </cell>
          <cell r="K5001" t="str">
            <v>EFLA</v>
          </cell>
          <cell r="M5001" t="str">
            <v>F</v>
          </cell>
          <cell r="AC5001">
            <v>0.6</v>
          </cell>
        </row>
        <row r="5002">
          <cell r="A5002" t="str">
            <v>IS_alqt_plus</v>
          </cell>
          <cell r="K5002" t="str">
            <v>EFLA</v>
          </cell>
          <cell r="M5002" t="str">
            <v>F</v>
          </cell>
          <cell r="AC5002">
            <v>0.6</v>
          </cell>
        </row>
        <row r="5003">
          <cell r="A5003" t="str">
            <v>IS_alqt_plus</v>
          </cell>
          <cell r="K5003" t="str">
            <v>EFLA</v>
          </cell>
          <cell r="M5003" t="str">
            <v>F</v>
          </cell>
          <cell r="AC5003">
            <v>0.6</v>
          </cell>
        </row>
        <row r="5004">
          <cell r="A5004" t="str">
            <v>IS_alqt_plus</v>
          </cell>
          <cell r="K5004" t="str">
            <v>EFLA</v>
          </cell>
          <cell r="M5004" t="str">
            <v>F</v>
          </cell>
          <cell r="AC5004">
            <v>0.8</v>
          </cell>
        </row>
        <row r="5005">
          <cell r="A5005" t="str">
            <v>IS_alqt_minus</v>
          </cell>
          <cell r="K5005" t="str">
            <v>MMUR</v>
          </cell>
          <cell r="M5005" t="str">
            <v>M</v>
          </cell>
          <cell r="AC5005">
            <v>0.2</v>
          </cell>
        </row>
        <row r="5006">
          <cell r="A5006" t="str">
            <v>IS_alqt_minus</v>
          </cell>
          <cell r="K5006" t="str">
            <v>MMUR</v>
          </cell>
          <cell r="M5006" t="str">
            <v>M</v>
          </cell>
          <cell r="AC5006">
            <v>0.2</v>
          </cell>
        </row>
        <row r="5007">
          <cell r="A5007" t="str">
            <v>IS_alqt_minus</v>
          </cell>
          <cell r="K5007" t="str">
            <v>MMUR</v>
          </cell>
          <cell r="M5007" t="str">
            <v>F</v>
          </cell>
          <cell r="AC5007">
            <v>0.2</v>
          </cell>
        </row>
        <row r="5008">
          <cell r="A5008" t="str">
            <v>IS_alqt_minus</v>
          </cell>
          <cell r="K5008" t="str">
            <v>MMUR</v>
          </cell>
          <cell r="M5008" t="str">
            <v>F</v>
          </cell>
          <cell r="AC5008">
            <v>0.2</v>
          </cell>
        </row>
        <row r="5009">
          <cell r="A5009" t="str">
            <v>IS_alqt_minus</v>
          </cell>
          <cell r="K5009" t="str">
            <v>CMED</v>
          </cell>
          <cell r="M5009" t="str">
            <v>F</v>
          </cell>
          <cell r="AC5009">
            <v>0.4</v>
          </cell>
        </row>
        <row r="5010">
          <cell r="A5010" t="str">
            <v>IS_alqt_minus</v>
          </cell>
          <cell r="K5010" t="str">
            <v>CMED</v>
          </cell>
          <cell r="M5010" t="str">
            <v>F</v>
          </cell>
          <cell r="AC5010">
            <v>0.4</v>
          </cell>
        </row>
        <row r="5011">
          <cell r="A5011" t="str">
            <v>IS_alqt_minus</v>
          </cell>
          <cell r="K5011" t="str">
            <v>CMED</v>
          </cell>
          <cell r="M5011" t="str">
            <v>F</v>
          </cell>
          <cell r="AC5011">
            <v>0.4</v>
          </cell>
        </row>
        <row r="5012">
          <cell r="A5012" t="str">
            <v>IS_alqt_minus</v>
          </cell>
          <cell r="K5012" t="str">
            <v>CMED</v>
          </cell>
          <cell r="M5012" t="str">
            <v>F</v>
          </cell>
          <cell r="AC5012">
            <v>0.2</v>
          </cell>
        </row>
        <row r="5013">
          <cell r="A5013" t="str">
            <v>IS_alqt_minus</v>
          </cell>
          <cell r="K5013" t="str">
            <v>CMED</v>
          </cell>
          <cell r="M5013" t="str">
            <v>F</v>
          </cell>
          <cell r="AC5013">
            <v>0.2</v>
          </cell>
        </row>
        <row r="5014">
          <cell r="A5014" t="str">
            <v>IS_alqt_minus</v>
          </cell>
          <cell r="K5014" t="str">
            <v>CMED</v>
          </cell>
          <cell r="M5014" t="str">
            <v>F</v>
          </cell>
          <cell r="AC5014">
            <v>0.2</v>
          </cell>
        </row>
        <row r="5015">
          <cell r="A5015" t="str">
            <v>IS_alqt_minus</v>
          </cell>
          <cell r="K5015" t="str">
            <v>CMED</v>
          </cell>
          <cell r="M5015" t="str">
            <v>F</v>
          </cell>
          <cell r="AC5015">
            <v>0.2</v>
          </cell>
        </row>
        <row r="5016">
          <cell r="A5016" t="str">
            <v>IS_alqt_minus</v>
          </cell>
          <cell r="K5016" t="str">
            <v>CMED</v>
          </cell>
          <cell r="M5016" t="str">
            <v>F</v>
          </cell>
          <cell r="AC5016">
            <v>0.2</v>
          </cell>
        </row>
        <row r="5017">
          <cell r="A5017" t="str">
            <v>IS_alqt_minus</v>
          </cell>
          <cell r="K5017" t="str">
            <v>CMED</v>
          </cell>
          <cell r="M5017" t="str">
            <v>F</v>
          </cell>
          <cell r="AC5017">
            <v>0.2</v>
          </cell>
        </row>
        <row r="5018">
          <cell r="A5018" t="str">
            <v>IS_alqt_plus</v>
          </cell>
          <cell r="K5018" t="str">
            <v>EFLA</v>
          </cell>
          <cell r="M5018" t="str">
            <v>F</v>
          </cell>
          <cell r="AC5018">
            <v>0.8</v>
          </cell>
        </row>
        <row r="5019">
          <cell r="A5019" t="str">
            <v>IS_alqt_plus</v>
          </cell>
          <cell r="K5019" t="str">
            <v>EFLA</v>
          </cell>
          <cell r="M5019" t="str">
            <v>F</v>
          </cell>
          <cell r="AC5019">
            <v>0.8</v>
          </cell>
        </row>
        <row r="5020">
          <cell r="A5020" t="str">
            <v>IS_alqt_plus</v>
          </cell>
          <cell r="K5020" t="str">
            <v>EFLA</v>
          </cell>
          <cell r="M5020" t="str">
            <v>F</v>
          </cell>
          <cell r="AC5020">
            <v>0.6</v>
          </cell>
        </row>
        <row r="5021">
          <cell r="A5021" t="str">
            <v>IS_alqt_plus</v>
          </cell>
          <cell r="K5021" t="str">
            <v>EFLA</v>
          </cell>
          <cell r="M5021" t="str">
            <v>F</v>
          </cell>
          <cell r="AC5021">
            <v>0.6</v>
          </cell>
        </row>
        <row r="5022">
          <cell r="A5022" t="str">
            <v>IS_alqt_plus</v>
          </cell>
          <cell r="K5022" t="str">
            <v>EFLA</v>
          </cell>
          <cell r="M5022" t="str">
            <v>F</v>
          </cell>
          <cell r="AC5022">
            <v>0.6</v>
          </cell>
        </row>
        <row r="5023">
          <cell r="A5023" t="str">
            <v>IS_alqt_plus</v>
          </cell>
          <cell r="K5023" t="str">
            <v>EFLA</v>
          </cell>
          <cell r="M5023" t="str">
            <v>F</v>
          </cell>
          <cell r="AC5023">
            <v>0.6</v>
          </cell>
        </row>
        <row r="5024">
          <cell r="A5024" t="str">
            <v>IS_alqt_plus</v>
          </cell>
          <cell r="K5024" t="str">
            <v>EFLA</v>
          </cell>
          <cell r="M5024" t="str">
            <v>F</v>
          </cell>
          <cell r="AC5024">
            <v>0.6</v>
          </cell>
        </row>
        <row r="5025">
          <cell r="A5025" t="str">
            <v>IS_alqt_plus</v>
          </cell>
          <cell r="K5025" t="str">
            <v>EFLA</v>
          </cell>
          <cell r="M5025" t="str">
            <v>F</v>
          </cell>
          <cell r="AC5025">
            <v>0.6</v>
          </cell>
        </row>
        <row r="5026">
          <cell r="A5026" t="str">
            <v>IS_alqt_plus</v>
          </cell>
          <cell r="K5026" t="str">
            <v>EFLA</v>
          </cell>
          <cell r="M5026" t="str">
            <v>F</v>
          </cell>
          <cell r="AC5026">
            <v>0.6</v>
          </cell>
        </row>
        <row r="5027">
          <cell r="A5027" t="str">
            <v>IS_alqt_minus</v>
          </cell>
          <cell r="K5027" t="str">
            <v>EFLA</v>
          </cell>
          <cell r="M5027" t="str">
            <v>M</v>
          </cell>
          <cell r="AC5027">
            <v>0.2</v>
          </cell>
        </row>
        <row r="5028">
          <cell r="A5028" t="str">
            <v>IS_alqt_minus</v>
          </cell>
          <cell r="K5028" t="str">
            <v>EFLA</v>
          </cell>
          <cell r="M5028" t="str">
            <v>M</v>
          </cell>
          <cell r="AC5028">
            <v>0.2</v>
          </cell>
        </row>
        <row r="5029">
          <cell r="A5029" t="str">
            <v>IS_alqt_minus</v>
          </cell>
          <cell r="K5029" t="str">
            <v>EFLA</v>
          </cell>
          <cell r="M5029" t="str">
            <v>M</v>
          </cell>
          <cell r="AC5029">
            <v>0.4</v>
          </cell>
        </row>
        <row r="5030">
          <cell r="A5030" t="str">
            <v>IS_alqt_minus</v>
          </cell>
          <cell r="K5030" t="str">
            <v>EFLA</v>
          </cell>
          <cell r="M5030" t="str">
            <v>M</v>
          </cell>
          <cell r="AC5030">
            <v>0.4</v>
          </cell>
        </row>
        <row r="5031">
          <cell r="A5031" t="str">
            <v>IS_alqt_plus</v>
          </cell>
          <cell r="K5031" t="str">
            <v>EFLA</v>
          </cell>
          <cell r="M5031" t="str">
            <v>M</v>
          </cell>
          <cell r="AC5031">
            <v>0.6</v>
          </cell>
        </row>
        <row r="5032">
          <cell r="A5032" t="str">
            <v>IS_alqt_plus</v>
          </cell>
          <cell r="K5032" t="str">
            <v>EFLA</v>
          </cell>
          <cell r="M5032" t="str">
            <v>M</v>
          </cell>
          <cell r="AC5032">
            <v>0.6</v>
          </cell>
        </row>
        <row r="5033">
          <cell r="A5033" t="str">
            <v>IS_alqt_plus</v>
          </cell>
          <cell r="K5033" t="str">
            <v>EFLA</v>
          </cell>
          <cell r="M5033" t="str">
            <v>M</v>
          </cell>
          <cell r="AC5033">
            <v>0.8</v>
          </cell>
        </row>
        <row r="5034">
          <cell r="A5034" t="str">
            <v>IS_alqt_plus</v>
          </cell>
          <cell r="K5034" t="str">
            <v>EFLA</v>
          </cell>
          <cell r="M5034" t="str">
            <v>M</v>
          </cell>
          <cell r="AC5034">
            <v>0.8</v>
          </cell>
        </row>
        <row r="5035">
          <cell r="A5035" t="str">
            <v>IS_alqt_plus</v>
          </cell>
          <cell r="K5035" t="str">
            <v>EFLA</v>
          </cell>
          <cell r="M5035" t="str">
            <v>M</v>
          </cell>
          <cell r="AC5035">
            <v>1</v>
          </cell>
        </row>
        <row r="5036">
          <cell r="A5036" t="str">
            <v>IS_alqt_plus</v>
          </cell>
          <cell r="K5036" t="str">
            <v>EFLA</v>
          </cell>
          <cell r="M5036" t="str">
            <v>M</v>
          </cell>
          <cell r="AC5036">
            <v>1</v>
          </cell>
        </row>
        <row r="5037">
          <cell r="A5037" t="str">
            <v>IS_alqt_plus</v>
          </cell>
          <cell r="K5037" t="str">
            <v>EFLA</v>
          </cell>
          <cell r="M5037" t="str">
            <v>M</v>
          </cell>
          <cell r="AC5037">
            <v>1</v>
          </cell>
        </row>
        <row r="5038">
          <cell r="A5038" t="str">
            <v>IS_alqt_plus</v>
          </cell>
          <cell r="K5038" t="str">
            <v>EFLA</v>
          </cell>
          <cell r="M5038" t="str">
            <v>M</v>
          </cell>
          <cell r="AC5038">
            <v>2</v>
          </cell>
        </row>
        <row r="5039">
          <cell r="A5039" t="str">
            <v>IS_alqt_plus</v>
          </cell>
          <cell r="K5039" t="str">
            <v>EFLA</v>
          </cell>
          <cell r="M5039" t="str">
            <v>M</v>
          </cell>
          <cell r="AC5039">
            <v>2</v>
          </cell>
        </row>
        <row r="5040">
          <cell r="A5040" t="str">
            <v>IS_alqt_plus</v>
          </cell>
          <cell r="K5040" t="str">
            <v>LCAT</v>
          </cell>
          <cell r="M5040" t="str">
            <v>M</v>
          </cell>
          <cell r="AC5040">
            <v>1</v>
          </cell>
        </row>
        <row r="5041">
          <cell r="A5041" t="str">
            <v>IS_alqt_plus</v>
          </cell>
          <cell r="K5041" t="str">
            <v>LCAT</v>
          </cell>
          <cell r="M5041" t="str">
            <v>M</v>
          </cell>
          <cell r="AC5041">
            <v>1</v>
          </cell>
        </row>
        <row r="5042">
          <cell r="A5042" t="str">
            <v>IS_alqt_plus</v>
          </cell>
          <cell r="K5042" t="str">
            <v>LCAT</v>
          </cell>
          <cell r="M5042" t="str">
            <v>M</v>
          </cell>
          <cell r="AC5042">
            <v>1</v>
          </cell>
        </row>
        <row r="5043">
          <cell r="A5043" t="str">
            <v>IS_alqt_plus</v>
          </cell>
          <cell r="K5043" t="str">
            <v>LCAT</v>
          </cell>
          <cell r="M5043" t="str">
            <v>M</v>
          </cell>
          <cell r="AC5043">
            <v>0.6</v>
          </cell>
        </row>
        <row r="5044">
          <cell r="A5044" t="str">
            <v>IS_alqt_minus</v>
          </cell>
          <cell r="K5044" t="str">
            <v>MMUR</v>
          </cell>
          <cell r="M5044" t="str">
            <v>M</v>
          </cell>
          <cell r="AC5044">
            <v>0.35</v>
          </cell>
        </row>
        <row r="5045">
          <cell r="A5045" t="str">
            <v>IS_alqt_minus</v>
          </cell>
          <cell r="K5045" t="str">
            <v>MMUR</v>
          </cell>
          <cell r="M5045" t="str">
            <v>M</v>
          </cell>
          <cell r="AC5045">
            <v>0.2</v>
          </cell>
        </row>
        <row r="5046">
          <cell r="A5046" t="str">
            <v>IS_alqt_minus</v>
          </cell>
          <cell r="K5046" t="str">
            <v>MMUR</v>
          </cell>
          <cell r="M5046" t="str">
            <v>M</v>
          </cell>
          <cell r="AC5046">
            <v>0.2</v>
          </cell>
        </row>
        <row r="5047">
          <cell r="A5047" t="str">
            <v>IS_alqt_minus</v>
          </cell>
          <cell r="K5047" t="str">
            <v>MMUR</v>
          </cell>
          <cell r="M5047" t="str">
            <v>M</v>
          </cell>
          <cell r="AC5047">
            <v>0.2</v>
          </cell>
        </row>
        <row r="5048">
          <cell r="A5048" t="str">
            <v>IS_alqt_minus</v>
          </cell>
          <cell r="K5048" t="str">
            <v>MMUR</v>
          </cell>
          <cell r="M5048" t="str">
            <v>M</v>
          </cell>
          <cell r="AC5048">
            <v>0.2</v>
          </cell>
        </row>
        <row r="5049">
          <cell r="A5049" t="str">
            <v>IS_alqt_minus</v>
          </cell>
          <cell r="K5049" t="str">
            <v>MMUR</v>
          </cell>
          <cell r="M5049" t="str">
            <v>M</v>
          </cell>
          <cell r="AC5049">
            <v>0.2</v>
          </cell>
        </row>
        <row r="5050">
          <cell r="A5050" t="str">
            <v>IS_alqt_minus</v>
          </cell>
          <cell r="K5050" t="str">
            <v>MMUR</v>
          </cell>
          <cell r="M5050" t="str">
            <v>M</v>
          </cell>
          <cell r="AC5050">
            <v>0.2</v>
          </cell>
        </row>
        <row r="5051">
          <cell r="A5051" t="str">
            <v>IS_alqt_minus</v>
          </cell>
          <cell r="K5051" t="str">
            <v>MMUR</v>
          </cell>
          <cell r="M5051" t="str">
            <v>M</v>
          </cell>
          <cell r="AC5051">
            <v>0.4</v>
          </cell>
        </row>
        <row r="5052">
          <cell r="A5052" t="str">
            <v>IS_alqt_minus</v>
          </cell>
          <cell r="K5052" t="str">
            <v>MMUR</v>
          </cell>
          <cell r="M5052" t="str">
            <v>M</v>
          </cell>
          <cell r="AC5052">
            <v>0.4</v>
          </cell>
        </row>
        <row r="5053">
          <cell r="A5053" t="str">
            <v>IS_alqt_minus</v>
          </cell>
          <cell r="K5053" t="str">
            <v>MMUR</v>
          </cell>
          <cell r="M5053" t="str">
            <v>M</v>
          </cell>
          <cell r="AC5053">
            <v>0.3</v>
          </cell>
        </row>
        <row r="5054">
          <cell r="A5054" t="str">
            <v>IS_alqt_minus</v>
          </cell>
          <cell r="K5054" t="str">
            <v>MMUR</v>
          </cell>
          <cell r="M5054" t="str">
            <v>M</v>
          </cell>
          <cell r="AC5054">
            <v>0.3</v>
          </cell>
        </row>
        <row r="5055">
          <cell r="A5055" t="str">
            <v>IS_alqt_plus</v>
          </cell>
          <cell r="K5055" t="str">
            <v>MMUR</v>
          </cell>
          <cell r="M5055" t="str">
            <v>F</v>
          </cell>
          <cell r="AC5055">
            <v>0.5</v>
          </cell>
        </row>
        <row r="5056">
          <cell r="A5056" t="str">
            <v>IS_alqt_minus</v>
          </cell>
          <cell r="K5056" t="str">
            <v>CMED</v>
          </cell>
          <cell r="M5056" t="str">
            <v>F</v>
          </cell>
          <cell r="AC5056">
            <v>0.45</v>
          </cell>
        </row>
        <row r="5057">
          <cell r="A5057" t="str">
            <v>IS_alqt_minus</v>
          </cell>
          <cell r="K5057" t="str">
            <v>MMUR</v>
          </cell>
          <cell r="M5057" t="str">
            <v>F</v>
          </cell>
          <cell r="AC5057">
            <v>0.4</v>
          </cell>
        </row>
        <row r="5058">
          <cell r="A5058" t="str">
            <v>IS_alqt_minus</v>
          </cell>
          <cell r="K5058" t="str">
            <v>MMUR</v>
          </cell>
          <cell r="M5058" t="str">
            <v>F</v>
          </cell>
          <cell r="AC5058">
            <v>0.3</v>
          </cell>
        </row>
        <row r="5059">
          <cell r="A5059" t="str">
            <v>IS_alqt_minus</v>
          </cell>
          <cell r="K5059" t="str">
            <v>MMUR</v>
          </cell>
          <cell r="M5059" t="str">
            <v>F</v>
          </cell>
          <cell r="AC5059">
            <v>0.3</v>
          </cell>
        </row>
        <row r="5060">
          <cell r="A5060" t="str">
            <v>IS_alqt_minus</v>
          </cell>
          <cell r="K5060" t="str">
            <v>MMUR</v>
          </cell>
          <cell r="M5060" t="str">
            <v>F</v>
          </cell>
          <cell r="AC5060">
            <v>0.24</v>
          </cell>
        </row>
        <row r="5061">
          <cell r="A5061" t="str">
            <v>IS_alqt_minus</v>
          </cell>
          <cell r="K5061" t="str">
            <v>MMUR</v>
          </cell>
          <cell r="M5061" t="str">
            <v>M</v>
          </cell>
          <cell r="AC5061">
            <v>0.3</v>
          </cell>
        </row>
        <row r="5062">
          <cell r="A5062" t="str">
            <v>IS_alqt_minus</v>
          </cell>
          <cell r="K5062" t="str">
            <v>MMUR</v>
          </cell>
          <cell r="M5062" t="str">
            <v>F</v>
          </cell>
          <cell r="AC5062">
            <v>0.3</v>
          </cell>
        </row>
        <row r="5063">
          <cell r="A5063" t="str">
            <v>IS_alqt_minus</v>
          </cell>
          <cell r="K5063" t="str">
            <v>MMUR</v>
          </cell>
          <cell r="M5063" t="str">
            <v>F</v>
          </cell>
          <cell r="AC5063">
            <v>0.3</v>
          </cell>
        </row>
        <row r="5064">
          <cell r="A5064" t="str">
            <v>IS_alqt_minus</v>
          </cell>
          <cell r="K5064" t="str">
            <v>MMUR</v>
          </cell>
          <cell r="M5064" t="str">
            <v>M</v>
          </cell>
          <cell r="AC5064">
            <v>0.2</v>
          </cell>
        </row>
        <row r="5065">
          <cell r="A5065" t="str">
            <v>IS_alqt_minus</v>
          </cell>
          <cell r="K5065" t="str">
            <v>PCOQ</v>
          </cell>
          <cell r="M5065" t="str">
            <v>M</v>
          </cell>
          <cell r="AC5065">
            <v>0.2</v>
          </cell>
        </row>
        <row r="5066">
          <cell r="A5066" t="str">
            <v>IS_alqt_minus</v>
          </cell>
          <cell r="K5066" t="str">
            <v>PCOQ</v>
          </cell>
          <cell r="M5066" t="str">
            <v>M</v>
          </cell>
          <cell r="AC5066">
            <v>0.2</v>
          </cell>
        </row>
        <row r="5067">
          <cell r="A5067" t="str">
            <v>IS_alqt_minus</v>
          </cell>
          <cell r="K5067" t="str">
            <v>PCOQ</v>
          </cell>
          <cell r="M5067" t="str">
            <v>M</v>
          </cell>
          <cell r="AC5067">
            <v>0.4</v>
          </cell>
        </row>
        <row r="5068">
          <cell r="A5068" t="str">
            <v>IS_alqt_minus</v>
          </cell>
          <cell r="K5068" t="str">
            <v>PCOQ</v>
          </cell>
          <cell r="M5068" t="str">
            <v>M</v>
          </cell>
          <cell r="AC5068">
            <v>0.4</v>
          </cell>
        </row>
        <row r="5069">
          <cell r="A5069" t="str">
            <v>IS_alqt_minus</v>
          </cell>
          <cell r="K5069" t="str">
            <v>PCOQ</v>
          </cell>
          <cell r="M5069" t="str">
            <v>M</v>
          </cell>
          <cell r="AC5069">
            <v>0.4</v>
          </cell>
        </row>
        <row r="5070">
          <cell r="A5070" t="str">
            <v>IS_alqt_plus</v>
          </cell>
          <cell r="K5070" t="str">
            <v>PCOQ</v>
          </cell>
          <cell r="M5070" t="str">
            <v>M</v>
          </cell>
          <cell r="AC5070">
            <v>0.6</v>
          </cell>
        </row>
        <row r="5071">
          <cell r="A5071" t="str">
            <v>IS_alqt_plus</v>
          </cell>
          <cell r="K5071" t="str">
            <v>PCOQ</v>
          </cell>
          <cell r="M5071" t="str">
            <v>M</v>
          </cell>
          <cell r="AC5071">
            <v>0.6</v>
          </cell>
        </row>
        <row r="5072">
          <cell r="A5072" t="str">
            <v>IS_alqt_plus</v>
          </cell>
          <cell r="K5072" t="str">
            <v>PCOQ</v>
          </cell>
          <cell r="M5072" t="str">
            <v>M</v>
          </cell>
          <cell r="AC5072">
            <v>0.8</v>
          </cell>
        </row>
        <row r="5073">
          <cell r="A5073" t="str">
            <v>IS_alqt_plus</v>
          </cell>
          <cell r="K5073" t="str">
            <v>PCOQ</v>
          </cell>
          <cell r="M5073" t="str">
            <v>M</v>
          </cell>
          <cell r="AC5073">
            <v>0.8</v>
          </cell>
        </row>
        <row r="5074">
          <cell r="A5074" t="str">
            <v>IS_alqt_plus</v>
          </cell>
          <cell r="K5074" t="str">
            <v>PCOQ</v>
          </cell>
          <cell r="M5074" t="str">
            <v>F</v>
          </cell>
          <cell r="AC5074">
            <v>1</v>
          </cell>
        </row>
        <row r="5075">
          <cell r="A5075" t="str">
            <v>IS_alqt_plus</v>
          </cell>
          <cell r="K5075" t="str">
            <v>PCOQ</v>
          </cell>
          <cell r="M5075" t="str">
            <v>F</v>
          </cell>
          <cell r="AC5075">
            <v>1</v>
          </cell>
        </row>
        <row r="5076">
          <cell r="A5076" t="str">
            <v>IS_alqt_plus</v>
          </cell>
          <cell r="K5076" t="str">
            <v>PCOQ</v>
          </cell>
          <cell r="M5076" t="str">
            <v>F</v>
          </cell>
          <cell r="AC5076">
            <v>1</v>
          </cell>
        </row>
        <row r="5077">
          <cell r="A5077" t="str">
            <v>IS_alqt_plus</v>
          </cell>
          <cell r="K5077" t="str">
            <v>PCOQ</v>
          </cell>
          <cell r="M5077" t="str">
            <v>F</v>
          </cell>
          <cell r="AC5077">
            <v>1</v>
          </cell>
        </row>
        <row r="5078">
          <cell r="A5078" t="str">
            <v>IS_alqt_plus</v>
          </cell>
          <cell r="K5078" t="str">
            <v>PCOQ</v>
          </cell>
          <cell r="M5078" t="str">
            <v>F</v>
          </cell>
          <cell r="AC5078">
            <v>1</v>
          </cell>
        </row>
        <row r="5079">
          <cell r="A5079" t="str">
            <v>IS_alqt_plus</v>
          </cell>
          <cell r="K5079" t="str">
            <v>PCOQ</v>
          </cell>
          <cell r="M5079" t="str">
            <v>F</v>
          </cell>
          <cell r="AC5079">
            <v>1</v>
          </cell>
        </row>
        <row r="5080">
          <cell r="A5080" t="str">
            <v>IS_alqt_plus</v>
          </cell>
          <cell r="K5080" t="str">
            <v>PCOQ</v>
          </cell>
          <cell r="M5080" t="str">
            <v>F</v>
          </cell>
          <cell r="AC5080">
            <v>1</v>
          </cell>
        </row>
        <row r="5081">
          <cell r="A5081" t="str">
            <v>IS_alqt_plus</v>
          </cell>
          <cell r="K5081" t="str">
            <v>PCOQ</v>
          </cell>
          <cell r="M5081" t="str">
            <v>F</v>
          </cell>
          <cell r="AC5081">
            <v>1</v>
          </cell>
        </row>
        <row r="5082">
          <cell r="A5082" t="str">
            <v>IS_alqt_plus</v>
          </cell>
          <cell r="K5082" t="str">
            <v>PCOQ</v>
          </cell>
          <cell r="M5082" t="str">
            <v>F</v>
          </cell>
          <cell r="AC5082">
            <v>1</v>
          </cell>
        </row>
        <row r="5083">
          <cell r="A5083" t="str">
            <v>IS_alqt_plus</v>
          </cell>
          <cell r="K5083" t="str">
            <v>PCOQ</v>
          </cell>
          <cell r="M5083" t="str">
            <v>F</v>
          </cell>
          <cell r="AC5083">
            <v>1</v>
          </cell>
        </row>
        <row r="5084">
          <cell r="A5084" t="str">
            <v>IS_alqt_plus</v>
          </cell>
          <cell r="K5084" t="str">
            <v>PCOQ</v>
          </cell>
          <cell r="M5084" t="str">
            <v>F</v>
          </cell>
          <cell r="AC5084">
            <v>1</v>
          </cell>
        </row>
        <row r="5085">
          <cell r="A5085" t="str">
            <v>IS_alqt_plus</v>
          </cell>
          <cell r="K5085" t="str">
            <v>PCOQ</v>
          </cell>
          <cell r="M5085" t="str">
            <v>F</v>
          </cell>
          <cell r="AC5085">
            <v>1</v>
          </cell>
        </row>
        <row r="5086">
          <cell r="A5086" t="str">
            <v>IS_alqt_plus</v>
          </cell>
          <cell r="K5086" t="str">
            <v>PCOQ</v>
          </cell>
          <cell r="M5086" t="str">
            <v>F</v>
          </cell>
          <cell r="AC5086">
            <v>1</v>
          </cell>
        </row>
        <row r="5087">
          <cell r="A5087" t="str">
            <v>IS_alqt_plus</v>
          </cell>
          <cell r="K5087" t="str">
            <v>PCOQ</v>
          </cell>
          <cell r="M5087" t="str">
            <v>F</v>
          </cell>
          <cell r="AC5087">
            <v>1</v>
          </cell>
        </row>
        <row r="5088">
          <cell r="A5088" t="str">
            <v>IS_alqt_plus</v>
          </cell>
          <cell r="K5088" t="str">
            <v>PCOQ</v>
          </cell>
          <cell r="M5088" t="str">
            <v>F</v>
          </cell>
          <cell r="AC5088">
            <v>1</v>
          </cell>
        </row>
        <row r="5089">
          <cell r="A5089" t="str">
            <v>IS_alqt_plus</v>
          </cell>
          <cell r="K5089" t="str">
            <v>PCOQ</v>
          </cell>
          <cell r="M5089" t="str">
            <v>F</v>
          </cell>
          <cell r="AC5089">
            <v>1</v>
          </cell>
        </row>
        <row r="5090">
          <cell r="A5090" t="str">
            <v>IS_alqt_plus</v>
          </cell>
          <cell r="K5090" t="str">
            <v>PCOQ</v>
          </cell>
          <cell r="M5090" t="str">
            <v>F</v>
          </cell>
          <cell r="AC5090">
            <v>1</v>
          </cell>
        </row>
        <row r="5091">
          <cell r="A5091" t="str">
            <v>IS_alqt_plus</v>
          </cell>
          <cell r="K5091" t="str">
            <v>PCOQ</v>
          </cell>
          <cell r="M5091" t="str">
            <v>F</v>
          </cell>
          <cell r="AC5091">
            <v>1</v>
          </cell>
        </row>
        <row r="5092">
          <cell r="A5092" t="str">
            <v>IS_alqt_plus</v>
          </cell>
          <cell r="K5092" t="str">
            <v>PCOQ</v>
          </cell>
          <cell r="M5092" t="str">
            <v>F</v>
          </cell>
          <cell r="AC5092">
            <v>0.6</v>
          </cell>
        </row>
        <row r="5093">
          <cell r="A5093" t="str">
            <v>IS_alqt_plus</v>
          </cell>
          <cell r="K5093" t="str">
            <v>PCOQ</v>
          </cell>
          <cell r="M5093" t="str">
            <v>F</v>
          </cell>
          <cell r="AC5093">
            <v>1</v>
          </cell>
        </row>
        <row r="5094">
          <cell r="A5094" t="str">
            <v>IS_alqt_plus</v>
          </cell>
          <cell r="K5094" t="str">
            <v>PCOQ</v>
          </cell>
          <cell r="M5094" t="str">
            <v>F</v>
          </cell>
          <cell r="AC5094">
            <v>1</v>
          </cell>
        </row>
        <row r="5095">
          <cell r="A5095" t="str">
            <v>IS_alqt_plus</v>
          </cell>
          <cell r="K5095" t="str">
            <v>PCOQ</v>
          </cell>
          <cell r="M5095" t="str">
            <v>F</v>
          </cell>
          <cell r="AC5095">
            <v>1</v>
          </cell>
        </row>
        <row r="5096">
          <cell r="A5096" t="str">
            <v>IS_alqt_plus</v>
          </cell>
          <cell r="K5096" t="str">
            <v>PCOQ</v>
          </cell>
          <cell r="M5096" t="str">
            <v>F</v>
          </cell>
          <cell r="AC5096">
            <v>0.8</v>
          </cell>
        </row>
        <row r="5097">
          <cell r="A5097" t="str">
            <v>IS_alqt_plus</v>
          </cell>
          <cell r="K5097" t="str">
            <v>PCOQ</v>
          </cell>
          <cell r="M5097" t="str">
            <v>F</v>
          </cell>
          <cell r="AC5097">
            <v>0.8</v>
          </cell>
        </row>
        <row r="5098">
          <cell r="A5098" t="str">
            <v>IS_alqt_plus</v>
          </cell>
          <cell r="K5098" t="str">
            <v>PCOQ</v>
          </cell>
          <cell r="M5098" t="str">
            <v>F</v>
          </cell>
          <cell r="AC5098">
            <v>0.6</v>
          </cell>
        </row>
        <row r="5099">
          <cell r="A5099" t="str">
            <v>IS_alqt_plus</v>
          </cell>
          <cell r="K5099" t="str">
            <v>PCOQ</v>
          </cell>
          <cell r="M5099" t="str">
            <v>F</v>
          </cell>
          <cell r="AC5099">
            <v>0.6</v>
          </cell>
        </row>
        <row r="5100">
          <cell r="A5100" t="str">
            <v>IS_alqt_minus</v>
          </cell>
          <cell r="K5100" t="str">
            <v>PCOQ</v>
          </cell>
          <cell r="M5100" t="str">
            <v>F</v>
          </cell>
          <cell r="AC5100">
            <v>0.4</v>
          </cell>
        </row>
        <row r="5101">
          <cell r="A5101" t="str">
            <v>IS_alqt_minus</v>
          </cell>
          <cell r="K5101" t="str">
            <v>PCOQ</v>
          </cell>
          <cell r="M5101" t="str">
            <v>F</v>
          </cell>
          <cell r="AC5101">
            <v>0.4</v>
          </cell>
        </row>
        <row r="5102">
          <cell r="A5102" t="str">
            <v>IS_alqt_minus</v>
          </cell>
          <cell r="K5102" t="str">
            <v>PCOQ</v>
          </cell>
          <cell r="M5102" t="str">
            <v>F</v>
          </cell>
          <cell r="AC5102">
            <v>0.2</v>
          </cell>
        </row>
        <row r="5103">
          <cell r="A5103" t="str">
            <v>IS_alqt_minus</v>
          </cell>
          <cell r="K5103" t="str">
            <v>PCOQ</v>
          </cell>
          <cell r="M5103" t="str">
            <v>F</v>
          </cell>
          <cell r="AC5103">
            <v>0.2</v>
          </cell>
        </row>
        <row r="5104">
          <cell r="A5104" t="str">
            <v>IS_alqt_plus</v>
          </cell>
          <cell r="K5104" t="str">
            <v>EFLA</v>
          </cell>
          <cell r="M5104" t="str">
            <v>F</v>
          </cell>
          <cell r="AC5104">
            <v>1</v>
          </cell>
        </row>
        <row r="5105">
          <cell r="A5105" t="str">
            <v>IS_alqt_plus</v>
          </cell>
          <cell r="K5105" t="str">
            <v>EFLA</v>
          </cell>
          <cell r="M5105" t="str">
            <v>F</v>
          </cell>
          <cell r="AC5105">
            <v>0.6</v>
          </cell>
        </row>
        <row r="5106">
          <cell r="A5106" t="str">
            <v>IS_alqt_minus</v>
          </cell>
          <cell r="K5106" t="str">
            <v>MMUR</v>
          </cell>
          <cell r="M5106" t="str">
            <v>F</v>
          </cell>
          <cell r="AC5106">
            <v>0.3</v>
          </cell>
        </row>
        <row r="5107">
          <cell r="A5107" t="str">
            <v>IS_alqt_minus</v>
          </cell>
          <cell r="K5107" t="str">
            <v>CMED</v>
          </cell>
          <cell r="M5107" t="str">
            <v>M</v>
          </cell>
          <cell r="AC5107">
            <v>0.2</v>
          </cell>
        </row>
        <row r="5108">
          <cell r="A5108" t="str">
            <v>IS_alqt_minus</v>
          </cell>
          <cell r="K5108" t="str">
            <v>CMED</v>
          </cell>
          <cell r="M5108" t="str">
            <v>M</v>
          </cell>
          <cell r="AC5108">
            <v>0.2</v>
          </cell>
        </row>
        <row r="5109">
          <cell r="A5109" t="str">
            <v>IS_alqt_minus</v>
          </cell>
          <cell r="K5109" t="str">
            <v>CMED</v>
          </cell>
          <cell r="M5109" t="str">
            <v>M</v>
          </cell>
          <cell r="AC5109">
            <v>0.4</v>
          </cell>
        </row>
        <row r="5110">
          <cell r="A5110" t="str">
            <v>IS_alqt_minus</v>
          </cell>
          <cell r="K5110" t="str">
            <v>CMED</v>
          </cell>
          <cell r="M5110" t="str">
            <v>M</v>
          </cell>
          <cell r="AC5110">
            <v>0.2</v>
          </cell>
        </row>
        <row r="5111">
          <cell r="A5111" t="str">
            <v>IS_alqt_minus</v>
          </cell>
          <cell r="K5111" t="str">
            <v>CMED</v>
          </cell>
          <cell r="M5111" t="str">
            <v>M</v>
          </cell>
          <cell r="AC5111">
            <v>0.2</v>
          </cell>
        </row>
        <row r="5112">
          <cell r="A5112" t="str">
            <v>IS_alqt_minus</v>
          </cell>
          <cell r="K5112" t="str">
            <v>CMED</v>
          </cell>
          <cell r="M5112" t="str">
            <v>M</v>
          </cell>
          <cell r="AC5112">
            <v>0.2</v>
          </cell>
        </row>
        <row r="5113">
          <cell r="A5113" t="str">
            <v>IS_alqt_minus</v>
          </cell>
          <cell r="K5113" t="str">
            <v>CMED</v>
          </cell>
          <cell r="M5113" t="str">
            <v>M</v>
          </cell>
          <cell r="AC5113">
            <v>0.3</v>
          </cell>
        </row>
        <row r="5114">
          <cell r="A5114" t="str">
            <v>IS_alqt_plus</v>
          </cell>
          <cell r="K5114" t="str">
            <v>MMUR</v>
          </cell>
          <cell r="M5114" t="str">
            <v>M</v>
          </cell>
          <cell r="AC5114">
            <v>0.6</v>
          </cell>
        </row>
        <row r="5115">
          <cell r="A5115" t="str">
            <v>IS_alqt_plus</v>
          </cell>
          <cell r="K5115" t="str">
            <v>MMUR</v>
          </cell>
          <cell r="M5115" t="str">
            <v>M</v>
          </cell>
          <cell r="AC5115">
            <v>0.6</v>
          </cell>
        </row>
        <row r="5116">
          <cell r="A5116" t="str">
            <v>IS_alqt_minus</v>
          </cell>
          <cell r="K5116" t="str">
            <v>DMAD</v>
          </cell>
          <cell r="M5116" t="str">
            <v>F</v>
          </cell>
          <cell r="AC5116">
            <v>0.2</v>
          </cell>
        </row>
        <row r="5117">
          <cell r="A5117" t="str">
            <v>IS_alqt_minus</v>
          </cell>
          <cell r="K5117" t="str">
            <v>DMAD</v>
          </cell>
          <cell r="M5117" t="str">
            <v>F</v>
          </cell>
          <cell r="AC5117">
            <v>0.4</v>
          </cell>
        </row>
        <row r="5118">
          <cell r="A5118" t="str">
            <v>IS_alqt_plus</v>
          </cell>
          <cell r="K5118" t="str">
            <v>DMAD</v>
          </cell>
          <cell r="M5118" t="str">
            <v>F</v>
          </cell>
          <cell r="AC5118">
            <v>0.6</v>
          </cell>
        </row>
        <row r="5119">
          <cell r="A5119" t="str">
            <v>IS_alqt_plus</v>
          </cell>
          <cell r="K5119" t="str">
            <v>DMAD</v>
          </cell>
          <cell r="M5119" t="str">
            <v>F</v>
          </cell>
          <cell r="AC5119">
            <v>0.8</v>
          </cell>
        </row>
        <row r="5120">
          <cell r="A5120" t="str">
            <v>IS_alqt_plus</v>
          </cell>
          <cell r="K5120" t="str">
            <v>DMAD</v>
          </cell>
          <cell r="M5120" t="str">
            <v>F</v>
          </cell>
          <cell r="AC5120">
            <v>1</v>
          </cell>
        </row>
        <row r="5121">
          <cell r="A5121" t="str">
            <v>IS_alqt_minus</v>
          </cell>
          <cell r="K5121" t="str">
            <v>MMUR</v>
          </cell>
          <cell r="M5121" t="str">
            <v>M</v>
          </cell>
          <cell r="AC5121">
            <v>0.4</v>
          </cell>
        </row>
        <row r="5122">
          <cell r="A5122" t="str">
            <v>IS_alqt_plus</v>
          </cell>
          <cell r="K5122" t="str">
            <v>MMUR</v>
          </cell>
          <cell r="M5122" t="str">
            <v>M</v>
          </cell>
          <cell r="AC5122">
            <v>0.7</v>
          </cell>
        </row>
        <row r="5123">
          <cell r="A5123" t="str">
            <v>IS_alqt_minus</v>
          </cell>
          <cell r="K5123" t="str">
            <v>MMUR</v>
          </cell>
          <cell r="M5123" t="str">
            <v>F</v>
          </cell>
          <cell r="AC5123">
            <v>0.25</v>
          </cell>
        </row>
        <row r="5124">
          <cell r="A5124" t="str">
            <v>IS_alqt_minus</v>
          </cell>
          <cell r="K5124" t="str">
            <v>MMUR</v>
          </cell>
          <cell r="M5124" t="str">
            <v>F</v>
          </cell>
          <cell r="AC5124">
            <v>0.25</v>
          </cell>
        </row>
        <row r="5125">
          <cell r="A5125" t="str">
            <v>IS_alqt_plus</v>
          </cell>
          <cell r="K5125" t="str">
            <v>EFLA</v>
          </cell>
          <cell r="M5125" t="str">
            <v>M</v>
          </cell>
          <cell r="AC5125">
            <v>1</v>
          </cell>
        </row>
        <row r="5126">
          <cell r="A5126" t="str">
            <v>IS_alqt_plus</v>
          </cell>
          <cell r="K5126" t="str">
            <v>EFLA</v>
          </cell>
          <cell r="M5126" t="str">
            <v>M</v>
          </cell>
          <cell r="AC5126">
            <v>1</v>
          </cell>
        </row>
        <row r="5127">
          <cell r="A5127" t="str">
            <v>IS_alqt_plus</v>
          </cell>
          <cell r="K5127" t="str">
            <v>EFLA</v>
          </cell>
          <cell r="M5127" t="str">
            <v>M</v>
          </cell>
          <cell r="AC5127">
            <v>0.5</v>
          </cell>
        </row>
        <row r="5128">
          <cell r="A5128" t="str">
            <v>IS_alqt_plus</v>
          </cell>
          <cell r="K5128" t="str">
            <v>EFLA</v>
          </cell>
          <cell r="M5128" t="str">
            <v>M</v>
          </cell>
          <cell r="AC5128">
            <v>0.5</v>
          </cell>
        </row>
        <row r="5129">
          <cell r="A5129" t="str">
            <v>IS_alqt_plus</v>
          </cell>
          <cell r="K5129" t="str">
            <v>EFLA</v>
          </cell>
          <cell r="M5129" t="str">
            <v>M</v>
          </cell>
          <cell r="AC5129">
            <v>0.5</v>
          </cell>
        </row>
        <row r="5130">
          <cell r="A5130" t="str">
            <v>IS_alqt_plus</v>
          </cell>
          <cell r="K5130" t="str">
            <v>EFLA</v>
          </cell>
          <cell r="M5130" t="str">
            <v>M</v>
          </cell>
          <cell r="AC5130">
            <v>0.5</v>
          </cell>
        </row>
        <row r="5131">
          <cell r="A5131" t="str">
            <v>IS_alqt_minus</v>
          </cell>
          <cell r="K5131" t="str">
            <v>CMED</v>
          </cell>
          <cell r="M5131" t="str">
            <v>M</v>
          </cell>
          <cell r="AC5131">
            <v>0.4</v>
          </cell>
        </row>
        <row r="5132">
          <cell r="A5132" t="str">
            <v>IS_alqt_minus</v>
          </cell>
          <cell r="K5132" t="str">
            <v>CMED</v>
          </cell>
          <cell r="M5132" t="str">
            <v>M</v>
          </cell>
          <cell r="AC5132">
            <v>0.2</v>
          </cell>
        </row>
        <row r="5133">
          <cell r="A5133" t="str">
            <v>IS_alqt_minus</v>
          </cell>
          <cell r="K5133" t="str">
            <v>CMED</v>
          </cell>
          <cell r="M5133" t="str">
            <v>M</v>
          </cell>
          <cell r="AC5133">
            <v>0.2</v>
          </cell>
        </row>
        <row r="5134">
          <cell r="A5134" t="str">
            <v>IS_alqt_minus</v>
          </cell>
          <cell r="K5134" t="str">
            <v>VRUB</v>
          </cell>
          <cell r="M5134" t="str">
            <v>M</v>
          </cell>
          <cell r="AC5134">
            <v>0.2</v>
          </cell>
        </row>
        <row r="5135">
          <cell r="A5135" t="str">
            <v>IS_alqt_minus</v>
          </cell>
          <cell r="K5135" t="str">
            <v>VRUB</v>
          </cell>
          <cell r="M5135" t="str">
            <v>M</v>
          </cell>
          <cell r="AC5135">
            <v>0.4</v>
          </cell>
        </row>
        <row r="5136">
          <cell r="A5136" t="str">
            <v>IS_alqt_plus</v>
          </cell>
          <cell r="K5136" t="str">
            <v>VRUB</v>
          </cell>
          <cell r="M5136" t="str">
            <v>M</v>
          </cell>
          <cell r="AC5136">
            <v>0.6</v>
          </cell>
        </row>
        <row r="5137">
          <cell r="A5137" t="str">
            <v>IS_alqt_plus</v>
          </cell>
          <cell r="K5137" t="str">
            <v>PCOQ</v>
          </cell>
          <cell r="M5137" t="str">
            <v>M</v>
          </cell>
          <cell r="AC5137">
            <v>1</v>
          </cell>
        </row>
        <row r="5138">
          <cell r="A5138" t="str">
            <v>IS_alqt_plus</v>
          </cell>
          <cell r="K5138" t="str">
            <v>PCOQ</v>
          </cell>
          <cell r="M5138" t="str">
            <v>M</v>
          </cell>
          <cell r="AC5138">
            <v>1</v>
          </cell>
        </row>
        <row r="5139">
          <cell r="A5139" t="str">
            <v>IS_alqt_plus</v>
          </cell>
          <cell r="K5139" t="str">
            <v>PCOQ</v>
          </cell>
          <cell r="M5139" t="str">
            <v>M</v>
          </cell>
          <cell r="AC5139">
            <v>1</v>
          </cell>
        </row>
        <row r="5140">
          <cell r="A5140" t="str">
            <v>IS_alqt_plus</v>
          </cell>
          <cell r="K5140" t="str">
            <v>PCOQ</v>
          </cell>
          <cell r="M5140" t="str">
            <v>M</v>
          </cell>
          <cell r="AC5140">
            <v>1</v>
          </cell>
        </row>
        <row r="5141">
          <cell r="A5141" t="str">
            <v>IS_alqt_plus</v>
          </cell>
          <cell r="K5141" t="str">
            <v>PCOQ</v>
          </cell>
          <cell r="M5141" t="str">
            <v>M</v>
          </cell>
          <cell r="AC5141">
            <v>0.8</v>
          </cell>
        </row>
        <row r="5142">
          <cell r="A5142" t="str">
            <v>IS_alqt_plus</v>
          </cell>
          <cell r="K5142" t="str">
            <v>PCOQ</v>
          </cell>
          <cell r="M5142" t="str">
            <v>M</v>
          </cell>
          <cell r="AC5142">
            <v>1.2</v>
          </cell>
        </row>
        <row r="5143">
          <cell r="A5143" t="str">
            <v>IS_alqt_plus</v>
          </cell>
          <cell r="K5143" t="str">
            <v>PCOQ</v>
          </cell>
          <cell r="M5143" t="str">
            <v>M</v>
          </cell>
          <cell r="AC5143">
            <v>1.2</v>
          </cell>
        </row>
        <row r="5144">
          <cell r="A5144" t="str">
            <v>IS_alqt_plus</v>
          </cell>
          <cell r="K5144" t="str">
            <v>PCOQ</v>
          </cell>
          <cell r="M5144" t="str">
            <v>M</v>
          </cell>
          <cell r="AC5144">
            <v>1.2</v>
          </cell>
        </row>
        <row r="5145">
          <cell r="A5145" t="str">
            <v>IS_alqt_plus</v>
          </cell>
          <cell r="K5145" t="str">
            <v>PCOQ</v>
          </cell>
          <cell r="M5145" t="str">
            <v>M</v>
          </cell>
          <cell r="AC5145">
            <v>1.2</v>
          </cell>
        </row>
        <row r="5146">
          <cell r="A5146" t="str">
            <v>IS_alqt_minus</v>
          </cell>
          <cell r="K5146" t="str">
            <v>PCOQ</v>
          </cell>
          <cell r="M5146" t="str">
            <v>F</v>
          </cell>
          <cell r="AC5146">
            <v>0.2</v>
          </cell>
        </row>
        <row r="5147">
          <cell r="A5147" t="str">
            <v>IS_alqt_plus</v>
          </cell>
          <cell r="K5147" t="str">
            <v>PCOQ</v>
          </cell>
          <cell r="M5147" t="str">
            <v>M</v>
          </cell>
          <cell r="AC5147">
            <v>1</v>
          </cell>
        </row>
        <row r="5148">
          <cell r="A5148" t="str">
            <v>IS_alqt_plus</v>
          </cell>
          <cell r="K5148" t="str">
            <v>PCOQ</v>
          </cell>
          <cell r="M5148" t="str">
            <v>M</v>
          </cell>
          <cell r="AC5148">
            <v>1</v>
          </cell>
        </row>
        <row r="5149">
          <cell r="A5149" t="str">
            <v>IS_alqt_plus</v>
          </cell>
          <cell r="K5149" t="str">
            <v>PCOQ</v>
          </cell>
          <cell r="M5149" t="str">
            <v>M</v>
          </cell>
          <cell r="AC5149">
            <v>1</v>
          </cell>
        </row>
        <row r="5150">
          <cell r="A5150" t="str">
            <v>IS_alqt_plus</v>
          </cell>
          <cell r="K5150" t="str">
            <v>PCOQ</v>
          </cell>
          <cell r="M5150" t="str">
            <v>M</v>
          </cell>
          <cell r="AC5150">
            <v>1</v>
          </cell>
        </row>
        <row r="5151">
          <cell r="A5151" t="str">
            <v>IS_alqt_plus</v>
          </cell>
          <cell r="K5151" t="str">
            <v>PCOQ</v>
          </cell>
          <cell r="M5151" t="str">
            <v>M</v>
          </cell>
          <cell r="AC5151">
            <v>1</v>
          </cell>
        </row>
        <row r="5152">
          <cell r="A5152" t="str">
            <v>IS_alqt_plus</v>
          </cell>
          <cell r="K5152" t="str">
            <v>PCOQ</v>
          </cell>
          <cell r="M5152" t="str">
            <v>M</v>
          </cell>
          <cell r="AC5152">
            <v>1</v>
          </cell>
        </row>
        <row r="5153">
          <cell r="A5153" t="str">
            <v>IS_alqt_plus</v>
          </cell>
          <cell r="K5153" t="str">
            <v>PCOQ</v>
          </cell>
          <cell r="M5153" t="str">
            <v>M</v>
          </cell>
          <cell r="AC5153">
            <v>1</v>
          </cell>
        </row>
        <row r="5154">
          <cell r="A5154" t="str">
            <v>IS_alqt_plus</v>
          </cell>
          <cell r="K5154" t="str">
            <v>PCOQ</v>
          </cell>
          <cell r="M5154" t="str">
            <v>M</v>
          </cell>
          <cell r="AC5154">
            <v>1</v>
          </cell>
        </row>
        <row r="5155">
          <cell r="A5155" t="str">
            <v>IS_alqt_plus</v>
          </cell>
          <cell r="K5155" t="str">
            <v>PCOQ</v>
          </cell>
          <cell r="M5155" t="str">
            <v>M</v>
          </cell>
          <cell r="AC5155">
            <v>1</v>
          </cell>
        </row>
        <row r="5156">
          <cell r="A5156" t="str">
            <v>IS_alqt_plus</v>
          </cell>
          <cell r="K5156" t="str">
            <v>PCOQ</v>
          </cell>
          <cell r="M5156" t="str">
            <v>M</v>
          </cell>
          <cell r="AC5156">
            <v>1</v>
          </cell>
        </row>
        <row r="5157">
          <cell r="A5157" t="str">
            <v>IS_alqt_plus</v>
          </cell>
          <cell r="K5157" t="str">
            <v>PCOQ</v>
          </cell>
          <cell r="M5157" t="str">
            <v>M</v>
          </cell>
          <cell r="AC5157">
            <v>1</v>
          </cell>
        </row>
        <row r="5158">
          <cell r="A5158" t="str">
            <v>IS_alqt_plus</v>
          </cell>
          <cell r="K5158" t="str">
            <v>PCOQ</v>
          </cell>
          <cell r="M5158" t="str">
            <v>M</v>
          </cell>
          <cell r="AC5158">
            <v>1</v>
          </cell>
        </row>
        <row r="5159">
          <cell r="A5159" t="str">
            <v>IS_alqt_plus</v>
          </cell>
          <cell r="K5159" t="str">
            <v>PCOQ</v>
          </cell>
          <cell r="M5159" t="str">
            <v>M</v>
          </cell>
          <cell r="AC5159">
            <v>1</v>
          </cell>
        </row>
        <row r="5160">
          <cell r="A5160" t="str">
            <v>IS_alqt_plus</v>
          </cell>
          <cell r="K5160" t="str">
            <v>PCOQ</v>
          </cell>
          <cell r="M5160" t="str">
            <v>M</v>
          </cell>
          <cell r="AC5160">
            <v>1</v>
          </cell>
        </row>
        <row r="5161">
          <cell r="A5161" t="str">
            <v>IS_alqt_plus</v>
          </cell>
          <cell r="K5161" t="str">
            <v>PCOQ</v>
          </cell>
          <cell r="M5161" t="str">
            <v>M</v>
          </cell>
          <cell r="AC5161">
            <v>1</v>
          </cell>
        </row>
        <row r="5162">
          <cell r="A5162" t="str">
            <v>IS_alqt_plus</v>
          </cell>
          <cell r="K5162" t="str">
            <v>PCOQ</v>
          </cell>
          <cell r="M5162" t="str">
            <v>M</v>
          </cell>
          <cell r="AC5162">
            <v>1</v>
          </cell>
        </row>
        <row r="5163">
          <cell r="A5163" t="str">
            <v>IS_alqt_plus</v>
          </cell>
          <cell r="K5163" t="str">
            <v>PCOQ</v>
          </cell>
          <cell r="M5163" t="str">
            <v>M</v>
          </cell>
          <cell r="AC5163">
            <v>1</v>
          </cell>
        </row>
        <row r="5164">
          <cell r="A5164" t="str">
            <v>IS_alqt_plus</v>
          </cell>
          <cell r="K5164" t="str">
            <v>PCOQ</v>
          </cell>
          <cell r="M5164" t="str">
            <v>M</v>
          </cell>
          <cell r="AC5164">
            <v>1</v>
          </cell>
        </row>
        <row r="5165">
          <cell r="A5165" t="str">
            <v>IS_alqt_plus</v>
          </cell>
          <cell r="K5165" t="str">
            <v>LCAT</v>
          </cell>
          <cell r="M5165" t="str">
            <v>M</v>
          </cell>
          <cell r="AC5165">
            <v>0.6</v>
          </cell>
        </row>
        <row r="5166">
          <cell r="A5166" t="str">
            <v>IS_alqt_plus</v>
          </cell>
          <cell r="K5166" t="str">
            <v>LCAT</v>
          </cell>
          <cell r="M5166" t="str">
            <v>M</v>
          </cell>
          <cell r="AC5166">
            <v>1</v>
          </cell>
        </row>
        <row r="5167">
          <cell r="A5167" t="str">
            <v>IS_alqt_plus</v>
          </cell>
          <cell r="K5167" t="str">
            <v>EFLA</v>
          </cell>
          <cell r="M5167" t="str">
            <v>F</v>
          </cell>
          <cell r="AC5167">
            <v>1</v>
          </cell>
        </row>
        <row r="5168">
          <cell r="A5168" t="str">
            <v>IS_alqt_plus</v>
          </cell>
          <cell r="K5168" t="str">
            <v>EFLA</v>
          </cell>
          <cell r="M5168" t="str">
            <v>F</v>
          </cell>
          <cell r="AC5168">
            <v>1</v>
          </cell>
        </row>
        <row r="5169">
          <cell r="A5169" t="str">
            <v>IS_alqt_plus</v>
          </cell>
          <cell r="K5169" t="str">
            <v>EFLA</v>
          </cell>
          <cell r="M5169" t="str">
            <v>F</v>
          </cell>
          <cell r="AC5169">
            <v>1</v>
          </cell>
        </row>
        <row r="5170">
          <cell r="A5170" t="str">
            <v>IS_alqt_plus</v>
          </cell>
          <cell r="K5170" t="str">
            <v>EFLA</v>
          </cell>
          <cell r="M5170" t="str">
            <v>F</v>
          </cell>
          <cell r="AC5170">
            <v>1</v>
          </cell>
        </row>
        <row r="5171">
          <cell r="A5171" t="str">
            <v>IS_alqt_plus</v>
          </cell>
          <cell r="K5171" t="str">
            <v>EFLA</v>
          </cell>
          <cell r="M5171" t="str">
            <v>F</v>
          </cell>
          <cell r="AC5171">
            <v>1</v>
          </cell>
        </row>
        <row r="5172">
          <cell r="A5172" t="str">
            <v>IS_alqt_plus</v>
          </cell>
          <cell r="K5172" t="str">
            <v>EFLA</v>
          </cell>
          <cell r="M5172" t="str">
            <v>F</v>
          </cell>
          <cell r="AC5172">
            <v>1</v>
          </cell>
        </row>
        <row r="5173">
          <cell r="A5173" t="str">
            <v>IS_alqt_plus</v>
          </cell>
          <cell r="K5173" t="str">
            <v>EFLA</v>
          </cell>
          <cell r="M5173" t="str">
            <v>F</v>
          </cell>
          <cell r="AC5173">
            <v>1</v>
          </cell>
        </row>
        <row r="5174">
          <cell r="A5174" t="str">
            <v>IS_alqt_plus</v>
          </cell>
          <cell r="K5174" t="str">
            <v>EFLA</v>
          </cell>
          <cell r="M5174" t="str">
            <v>F</v>
          </cell>
          <cell r="AC5174">
            <v>1</v>
          </cell>
        </row>
        <row r="5175">
          <cell r="A5175" t="str">
            <v>IS_alqt_plus</v>
          </cell>
          <cell r="K5175" t="str">
            <v>EFLA</v>
          </cell>
          <cell r="M5175" t="str">
            <v>F</v>
          </cell>
          <cell r="AC5175">
            <v>1</v>
          </cell>
        </row>
        <row r="5176">
          <cell r="A5176" t="str">
            <v>IS_alqt_plus</v>
          </cell>
          <cell r="K5176" t="str">
            <v>EFLA</v>
          </cell>
          <cell r="M5176" t="str">
            <v>F</v>
          </cell>
          <cell r="AC5176">
            <v>1</v>
          </cell>
        </row>
        <row r="5177">
          <cell r="A5177" t="str">
            <v>IS_alqt_plus</v>
          </cell>
          <cell r="K5177" t="str">
            <v>EFLA</v>
          </cell>
          <cell r="M5177" t="str">
            <v>F</v>
          </cell>
          <cell r="AC5177">
            <v>0.8</v>
          </cell>
        </row>
        <row r="5178">
          <cell r="A5178" t="str">
            <v>IS_alqt_minus</v>
          </cell>
          <cell r="K5178" t="str">
            <v>PCOQ</v>
          </cell>
          <cell r="M5178" t="str">
            <v>M</v>
          </cell>
          <cell r="AC5178">
            <v>0.2</v>
          </cell>
        </row>
        <row r="5179">
          <cell r="A5179" t="str">
            <v>IS_alqt_minus</v>
          </cell>
          <cell r="K5179" t="str">
            <v>PCOQ</v>
          </cell>
          <cell r="M5179" t="str">
            <v>M</v>
          </cell>
          <cell r="AC5179">
            <v>0.2</v>
          </cell>
        </row>
        <row r="5180">
          <cell r="A5180" t="str">
            <v>IS_alqt_minus</v>
          </cell>
          <cell r="K5180" t="str">
            <v>PCOQ</v>
          </cell>
          <cell r="M5180" t="str">
            <v>M</v>
          </cell>
          <cell r="AC5180">
            <v>0.4</v>
          </cell>
        </row>
        <row r="5181">
          <cell r="A5181" t="str">
            <v>IS_alqt_minus</v>
          </cell>
          <cell r="K5181" t="str">
            <v>PCOQ</v>
          </cell>
          <cell r="M5181" t="str">
            <v>M</v>
          </cell>
          <cell r="AC5181">
            <v>0.4</v>
          </cell>
        </row>
        <row r="5182">
          <cell r="A5182" t="str">
            <v>IS_alqt_plus</v>
          </cell>
          <cell r="K5182" t="str">
            <v>PCOQ</v>
          </cell>
          <cell r="M5182" t="str">
            <v>M</v>
          </cell>
          <cell r="AC5182">
            <v>0.6</v>
          </cell>
        </row>
        <row r="5183">
          <cell r="A5183" t="str">
            <v>IS_alqt_plus</v>
          </cell>
          <cell r="K5183" t="str">
            <v>PCOQ</v>
          </cell>
          <cell r="M5183" t="str">
            <v>M</v>
          </cell>
          <cell r="AC5183">
            <v>0.6</v>
          </cell>
        </row>
        <row r="5184">
          <cell r="A5184" t="str">
            <v>IS_alqt_plus</v>
          </cell>
          <cell r="K5184" t="str">
            <v>PCOQ</v>
          </cell>
          <cell r="M5184" t="str">
            <v>M</v>
          </cell>
          <cell r="AC5184">
            <v>0.8</v>
          </cell>
        </row>
        <row r="5185">
          <cell r="A5185" t="str">
            <v>IS_alqt_plus</v>
          </cell>
          <cell r="K5185" t="str">
            <v>PCOQ</v>
          </cell>
          <cell r="M5185" t="str">
            <v>M</v>
          </cell>
          <cell r="AC5185">
            <v>0.8</v>
          </cell>
        </row>
        <row r="5186">
          <cell r="A5186" t="str">
            <v>IS_alqt_plus</v>
          </cell>
          <cell r="K5186" t="str">
            <v>PCOQ</v>
          </cell>
          <cell r="M5186" t="str">
            <v>M</v>
          </cell>
          <cell r="AC5186">
            <v>1</v>
          </cell>
        </row>
        <row r="5187">
          <cell r="A5187" t="str">
            <v>IS_alqt_plus</v>
          </cell>
          <cell r="K5187" t="str">
            <v>PCOQ</v>
          </cell>
          <cell r="M5187" t="str">
            <v>M</v>
          </cell>
          <cell r="AC5187">
            <v>1</v>
          </cell>
        </row>
        <row r="5188">
          <cell r="A5188" t="str">
            <v>IS_alqt_plus</v>
          </cell>
          <cell r="K5188" t="str">
            <v>PCOQ</v>
          </cell>
          <cell r="M5188" t="str">
            <v>M</v>
          </cell>
          <cell r="AC5188">
            <v>1</v>
          </cell>
        </row>
        <row r="5189">
          <cell r="A5189" t="str">
            <v>IS_alqt_plus</v>
          </cell>
          <cell r="K5189" t="str">
            <v>PCOQ</v>
          </cell>
          <cell r="M5189" t="str">
            <v>M</v>
          </cell>
          <cell r="AC5189">
            <v>1</v>
          </cell>
        </row>
        <row r="5190">
          <cell r="A5190" t="str">
            <v>IS_alqt_plus</v>
          </cell>
          <cell r="K5190" t="str">
            <v>PCOQ</v>
          </cell>
          <cell r="M5190" t="str">
            <v>M</v>
          </cell>
          <cell r="AC5190">
            <v>1</v>
          </cell>
        </row>
        <row r="5191">
          <cell r="A5191" t="str">
            <v>IS_alqt_plus</v>
          </cell>
          <cell r="K5191" t="str">
            <v>PCOQ</v>
          </cell>
          <cell r="M5191" t="str">
            <v>M</v>
          </cell>
          <cell r="AC5191">
            <v>1</v>
          </cell>
        </row>
        <row r="5192">
          <cell r="A5192" t="str">
            <v>IS_alqt_plus</v>
          </cell>
          <cell r="K5192" t="str">
            <v>PCOQ</v>
          </cell>
          <cell r="M5192" t="str">
            <v>M</v>
          </cell>
          <cell r="AC5192">
            <v>2</v>
          </cell>
        </row>
        <row r="5193">
          <cell r="A5193" t="str">
            <v>IS_alqt_plus</v>
          </cell>
          <cell r="K5193" t="str">
            <v>PCOQ</v>
          </cell>
          <cell r="M5193" t="str">
            <v>M</v>
          </cell>
          <cell r="AC5193">
            <v>2</v>
          </cell>
        </row>
        <row r="5194">
          <cell r="A5194" t="str">
            <v>IS_alqt_plus</v>
          </cell>
          <cell r="K5194" t="str">
            <v>MMUR</v>
          </cell>
          <cell r="M5194" t="str">
            <v>F</v>
          </cell>
          <cell r="AC5194">
            <v>0.5</v>
          </cell>
        </row>
        <row r="5195">
          <cell r="A5195" t="str">
            <v>IS_alqt_minus</v>
          </cell>
          <cell r="K5195" t="str">
            <v>MMUR</v>
          </cell>
          <cell r="M5195" t="str">
            <v>F</v>
          </cell>
          <cell r="AC5195">
            <v>0.4</v>
          </cell>
        </row>
        <row r="5196">
          <cell r="A5196" t="str">
            <v>IS_alqt_minus</v>
          </cell>
          <cell r="K5196" t="str">
            <v>MMUR</v>
          </cell>
          <cell r="M5196" t="str">
            <v>F</v>
          </cell>
          <cell r="AC5196">
            <v>0.4</v>
          </cell>
        </row>
        <row r="5197">
          <cell r="A5197" t="str">
            <v>IS_alqt_minus</v>
          </cell>
          <cell r="K5197" t="str">
            <v>MMUR</v>
          </cell>
          <cell r="M5197" t="str">
            <v>M</v>
          </cell>
          <cell r="AC5197">
            <v>0.2</v>
          </cell>
        </row>
        <row r="5198">
          <cell r="A5198" t="str">
            <v>IS_alqt_minus</v>
          </cell>
          <cell r="K5198" t="str">
            <v>MMUR</v>
          </cell>
          <cell r="M5198" t="str">
            <v>F</v>
          </cell>
          <cell r="AC5198">
            <v>0.4</v>
          </cell>
        </row>
        <row r="5199">
          <cell r="A5199" t="str">
            <v>IS_alqt_minus</v>
          </cell>
          <cell r="K5199" t="str">
            <v>MMUR</v>
          </cell>
          <cell r="M5199" t="str">
            <v>F</v>
          </cell>
          <cell r="AC5199">
            <v>0.4</v>
          </cell>
        </row>
        <row r="5200">
          <cell r="A5200" t="str">
            <v>IS_alqt_minus</v>
          </cell>
          <cell r="K5200" t="str">
            <v>VRUB</v>
          </cell>
          <cell r="M5200" t="str">
            <v>F</v>
          </cell>
          <cell r="AC5200">
            <v>1</v>
          </cell>
        </row>
        <row r="5201">
          <cell r="A5201" t="str">
            <v>IS_alqt_minus</v>
          </cell>
          <cell r="K5201" t="str">
            <v>VRUB</v>
          </cell>
          <cell r="M5201" t="str">
            <v>F</v>
          </cell>
          <cell r="AC5201">
            <v>1</v>
          </cell>
        </row>
        <row r="5202">
          <cell r="A5202" t="str">
            <v>IS_alqt_minus</v>
          </cell>
          <cell r="K5202" t="str">
            <v>VRUB</v>
          </cell>
          <cell r="M5202" t="str">
            <v>F</v>
          </cell>
          <cell r="AC5202">
            <v>1</v>
          </cell>
        </row>
        <row r="5203">
          <cell r="A5203" t="str">
            <v>IS_alqt_minus</v>
          </cell>
          <cell r="K5203" t="str">
            <v>VRUB</v>
          </cell>
          <cell r="M5203" t="str">
            <v>F</v>
          </cell>
          <cell r="AC5203">
            <v>0.4</v>
          </cell>
        </row>
        <row r="5204">
          <cell r="A5204" t="str">
            <v>IS_alqt_plus</v>
          </cell>
          <cell r="K5204" t="str">
            <v>VRUB</v>
          </cell>
          <cell r="M5204" t="str">
            <v>F</v>
          </cell>
          <cell r="AC5204">
            <v>0.6</v>
          </cell>
        </row>
        <row r="5205">
          <cell r="A5205" t="str">
            <v>IS_alqt_plus</v>
          </cell>
          <cell r="K5205" t="str">
            <v>VRUB</v>
          </cell>
          <cell r="M5205" t="str">
            <v>F</v>
          </cell>
          <cell r="AC5205">
            <v>1</v>
          </cell>
        </row>
        <row r="5206">
          <cell r="A5206" t="str">
            <v>IS_alqt_plus</v>
          </cell>
          <cell r="K5206" t="str">
            <v>PCOQ</v>
          </cell>
          <cell r="M5206" t="str">
            <v>M</v>
          </cell>
          <cell r="AC5206">
            <v>1</v>
          </cell>
        </row>
        <row r="5207">
          <cell r="A5207" t="str">
            <v>IS_alqt_plus</v>
          </cell>
          <cell r="K5207" t="str">
            <v>PCOQ</v>
          </cell>
          <cell r="M5207" t="str">
            <v>M</v>
          </cell>
          <cell r="AC5207">
            <v>1</v>
          </cell>
        </row>
        <row r="5208">
          <cell r="A5208" t="str">
            <v>IS_alqt_plus</v>
          </cell>
          <cell r="K5208" t="str">
            <v>PCOQ</v>
          </cell>
          <cell r="M5208" t="str">
            <v>M</v>
          </cell>
          <cell r="AC5208">
            <v>1</v>
          </cell>
        </row>
        <row r="5209">
          <cell r="A5209" t="str">
            <v>IS_alqt_plus</v>
          </cell>
          <cell r="K5209" t="str">
            <v>PCOQ</v>
          </cell>
          <cell r="M5209" t="str">
            <v>M</v>
          </cell>
          <cell r="AC5209">
            <v>1</v>
          </cell>
        </row>
        <row r="5210">
          <cell r="A5210" t="str">
            <v>IS_alqt_plus</v>
          </cell>
          <cell r="K5210" t="str">
            <v>PCOQ</v>
          </cell>
          <cell r="M5210" t="str">
            <v>M</v>
          </cell>
          <cell r="AC5210">
            <v>1</v>
          </cell>
        </row>
        <row r="5211">
          <cell r="A5211" t="str">
            <v>IS_alqt_plus</v>
          </cell>
          <cell r="K5211" t="str">
            <v>PCOQ</v>
          </cell>
          <cell r="M5211" t="str">
            <v>M</v>
          </cell>
          <cell r="AC5211">
            <v>1</v>
          </cell>
        </row>
        <row r="5212">
          <cell r="A5212" t="str">
            <v>IS_alqt_plus</v>
          </cell>
          <cell r="K5212" t="str">
            <v>PCOQ</v>
          </cell>
          <cell r="M5212" t="str">
            <v>M</v>
          </cell>
          <cell r="AC5212">
            <v>1</v>
          </cell>
        </row>
        <row r="5213">
          <cell r="A5213" t="str">
            <v>IS_alqt_plus</v>
          </cell>
          <cell r="K5213" t="str">
            <v>PCOQ</v>
          </cell>
          <cell r="M5213" t="str">
            <v>M</v>
          </cell>
          <cell r="AC5213">
            <v>1</v>
          </cell>
        </row>
        <row r="5214">
          <cell r="A5214" t="str">
            <v>IS_alqt_minus</v>
          </cell>
          <cell r="K5214" t="str">
            <v>VVV</v>
          </cell>
          <cell r="M5214" t="str">
            <v>F</v>
          </cell>
          <cell r="AC5214">
            <v>0.2</v>
          </cell>
        </row>
        <row r="5215">
          <cell r="A5215" t="str">
            <v>IS_alqt_minus</v>
          </cell>
          <cell r="K5215" t="str">
            <v>VVV</v>
          </cell>
          <cell r="M5215" t="str">
            <v>F</v>
          </cell>
          <cell r="AC5215">
            <v>0.4</v>
          </cell>
        </row>
        <row r="5216">
          <cell r="A5216" t="str">
            <v>IS_alqt_minus</v>
          </cell>
          <cell r="K5216" t="str">
            <v>VVV</v>
          </cell>
          <cell r="M5216" t="str">
            <v>F</v>
          </cell>
          <cell r="AC5216">
            <v>0.4</v>
          </cell>
        </row>
        <row r="5217">
          <cell r="A5217" t="str">
            <v>IS_alqt_minus</v>
          </cell>
          <cell r="K5217" t="str">
            <v>VVV</v>
          </cell>
          <cell r="M5217" t="str">
            <v>F</v>
          </cell>
          <cell r="AC5217">
            <v>0.4</v>
          </cell>
        </row>
        <row r="5218">
          <cell r="A5218" t="str">
            <v>IS_alqt_minus</v>
          </cell>
          <cell r="K5218" t="str">
            <v>VVV</v>
          </cell>
          <cell r="M5218" t="str">
            <v>F</v>
          </cell>
          <cell r="AC5218">
            <v>0.4</v>
          </cell>
        </row>
        <row r="5219">
          <cell r="A5219" t="str">
            <v>IS_alqt_plus</v>
          </cell>
          <cell r="K5219" t="str">
            <v>VVV</v>
          </cell>
          <cell r="M5219" t="str">
            <v>F</v>
          </cell>
          <cell r="AC5219">
            <v>0.6</v>
          </cell>
        </row>
        <row r="5220">
          <cell r="A5220" t="str">
            <v>IS_alqt_plus</v>
          </cell>
          <cell r="K5220" t="str">
            <v>VVV</v>
          </cell>
          <cell r="M5220" t="str">
            <v>F</v>
          </cell>
          <cell r="AC5220">
            <v>0.8</v>
          </cell>
        </row>
        <row r="5221">
          <cell r="A5221" t="str">
            <v>IS_alqt_plus</v>
          </cell>
          <cell r="K5221" t="str">
            <v>VVV</v>
          </cell>
          <cell r="M5221" t="str">
            <v>F</v>
          </cell>
          <cell r="AC5221">
            <v>1</v>
          </cell>
        </row>
        <row r="5222">
          <cell r="A5222" t="str">
            <v>IS_alqt_plus</v>
          </cell>
          <cell r="K5222" t="str">
            <v>VVV</v>
          </cell>
          <cell r="M5222" t="str">
            <v>F</v>
          </cell>
          <cell r="AC5222">
            <v>1</v>
          </cell>
        </row>
        <row r="5223">
          <cell r="A5223" t="str">
            <v>IS_alqt_plus</v>
          </cell>
          <cell r="K5223" t="str">
            <v>VVV</v>
          </cell>
          <cell r="M5223" t="str">
            <v>F</v>
          </cell>
          <cell r="AC5223">
            <v>1</v>
          </cell>
        </row>
        <row r="5224">
          <cell r="A5224" t="str">
            <v>IS_alqt_plus</v>
          </cell>
          <cell r="K5224" t="str">
            <v>VVV</v>
          </cell>
          <cell r="M5224" t="str">
            <v>F</v>
          </cell>
          <cell r="AC5224">
            <v>1</v>
          </cell>
        </row>
        <row r="5225">
          <cell r="A5225" t="str">
            <v>IS_alqt_plus</v>
          </cell>
          <cell r="K5225" t="str">
            <v>VVV</v>
          </cell>
          <cell r="M5225" t="str">
            <v>F</v>
          </cell>
          <cell r="AC5225">
            <v>1</v>
          </cell>
        </row>
        <row r="5226">
          <cell r="A5226" t="str">
            <v>IS_alqt_plus</v>
          </cell>
          <cell r="K5226" t="str">
            <v>VVV</v>
          </cell>
          <cell r="M5226" t="str">
            <v>F</v>
          </cell>
          <cell r="AC5226">
            <v>1</v>
          </cell>
        </row>
        <row r="5227">
          <cell r="A5227" t="str">
            <v>IS_alqt_plus</v>
          </cell>
          <cell r="K5227" t="str">
            <v>VVV</v>
          </cell>
          <cell r="M5227" t="str">
            <v>F</v>
          </cell>
          <cell r="AC5227">
            <v>1</v>
          </cell>
        </row>
        <row r="5228">
          <cell r="A5228" t="str">
            <v>IS_alqt_plus</v>
          </cell>
          <cell r="K5228" t="str">
            <v>VVV</v>
          </cell>
          <cell r="M5228" t="str">
            <v>F</v>
          </cell>
          <cell r="AC5228">
            <v>1</v>
          </cell>
        </row>
        <row r="5229">
          <cell r="A5229" t="str">
            <v>IS_alqt_plus</v>
          </cell>
          <cell r="K5229" t="str">
            <v>VVV</v>
          </cell>
          <cell r="M5229" t="str">
            <v>F</v>
          </cell>
          <cell r="AC5229">
            <v>1</v>
          </cell>
        </row>
        <row r="5230">
          <cell r="A5230" t="str">
            <v>IS_alqt_plus</v>
          </cell>
          <cell r="K5230" t="str">
            <v>VVV</v>
          </cell>
          <cell r="M5230" t="str">
            <v>F</v>
          </cell>
          <cell r="AC5230">
            <v>1</v>
          </cell>
        </row>
        <row r="5231">
          <cell r="A5231" t="str">
            <v>IS_alqt_plus</v>
          </cell>
          <cell r="K5231" t="str">
            <v>VVV</v>
          </cell>
          <cell r="M5231" t="str">
            <v>F</v>
          </cell>
          <cell r="AC5231">
            <v>1</v>
          </cell>
        </row>
        <row r="5232">
          <cell r="A5232" t="str">
            <v>IS_alqt_plus</v>
          </cell>
          <cell r="K5232" t="str">
            <v>VVV</v>
          </cell>
          <cell r="M5232" t="str">
            <v>F</v>
          </cell>
          <cell r="AC5232">
            <v>0.7</v>
          </cell>
        </row>
        <row r="5233">
          <cell r="A5233" t="str">
            <v>IS_alqt_plus</v>
          </cell>
          <cell r="K5233" t="str">
            <v>VRUB</v>
          </cell>
          <cell r="M5233" t="str">
            <v>F</v>
          </cell>
          <cell r="AC5233">
            <v>0.6</v>
          </cell>
        </row>
        <row r="5234">
          <cell r="A5234" t="str">
            <v>IS_alqt_minus</v>
          </cell>
          <cell r="K5234" t="str">
            <v>MMUR</v>
          </cell>
          <cell r="M5234" t="str">
            <v>F</v>
          </cell>
          <cell r="AC5234">
            <v>0.1</v>
          </cell>
        </row>
        <row r="5235">
          <cell r="A5235" t="str">
            <v>IS_alqt_minus</v>
          </cell>
          <cell r="K5235" t="str">
            <v>VVV</v>
          </cell>
          <cell r="M5235" t="str">
            <v>F</v>
          </cell>
          <cell r="AC5235">
            <v>0.4</v>
          </cell>
        </row>
        <row r="5236">
          <cell r="A5236" t="str">
            <v>IS_alqt_minus</v>
          </cell>
          <cell r="K5236" t="str">
            <v>VVV</v>
          </cell>
          <cell r="M5236" t="str">
            <v>F</v>
          </cell>
          <cell r="AC5236">
            <v>0.4</v>
          </cell>
        </row>
        <row r="5237">
          <cell r="A5237" t="str">
            <v>IS_alqt_plus</v>
          </cell>
          <cell r="K5237" t="str">
            <v>VVV</v>
          </cell>
          <cell r="M5237" t="str">
            <v>F</v>
          </cell>
          <cell r="AC5237">
            <v>0.6</v>
          </cell>
        </row>
        <row r="5238">
          <cell r="A5238" t="str">
            <v>IS_alqt_plus</v>
          </cell>
          <cell r="K5238" t="str">
            <v>VVV</v>
          </cell>
          <cell r="M5238" t="str">
            <v>F</v>
          </cell>
          <cell r="AC5238">
            <v>0.6</v>
          </cell>
        </row>
        <row r="5239">
          <cell r="A5239" t="str">
            <v>IS_alqt_plus</v>
          </cell>
          <cell r="K5239" t="str">
            <v>VVV</v>
          </cell>
          <cell r="M5239" t="str">
            <v>F</v>
          </cell>
          <cell r="AC5239">
            <v>0.6</v>
          </cell>
        </row>
        <row r="5240">
          <cell r="A5240" t="str">
            <v>IS_alqt_plus</v>
          </cell>
          <cell r="K5240" t="str">
            <v>VVV</v>
          </cell>
          <cell r="M5240" t="str">
            <v>F</v>
          </cell>
          <cell r="AC5240">
            <v>1</v>
          </cell>
        </row>
        <row r="5241">
          <cell r="A5241" t="str">
            <v>IS_alqt_plus</v>
          </cell>
          <cell r="K5241" t="str">
            <v>VVV</v>
          </cell>
          <cell r="M5241" t="str">
            <v>F</v>
          </cell>
          <cell r="AC5241">
            <v>1</v>
          </cell>
        </row>
        <row r="5242">
          <cell r="A5242" t="str">
            <v>IS_alqt_plus</v>
          </cell>
          <cell r="K5242" t="str">
            <v>VVV</v>
          </cell>
          <cell r="M5242" t="str">
            <v>F</v>
          </cell>
          <cell r="AC5242">
            <v>1</v>
          </cell>
        </row>
        <row r="5243">
          <cell r="A5243" t="str">
            <v>IS_alqt_minus</v>
          </cell>
          <cell r="K5243" t="str">
            <v>LCAT</v>
          </cell>
          <cell r="M5243" t="str">
            <v>F</v>
          </cell>
          <cell r="AC5243">
            <v>0.2</v>
          </cell>
        </row>
        <row r="5244">
          <cell r="A5244" t="str">
            <v>IS_alqt_minus</v>
          </cell>
          <cell r="K5244" t="str">
            <v>LCAT</v>
          </cell>
          <cell r="M5244" t="str">
            <v>F</v>
          </cell>
          <cell r="AC5244">
            <v>0.2</v>
          </cell>
        </row>
        <row r="5245">
          <cell r="A5245" t="str">
            <v>IS_alqt_minus</v>
          </cell>
          <cell r="K5245" t="str">
            <v>LCAT</v>
          </cell>
          <cell r="M5245" t="str">
            <v>F</v>
          </cell>
          <cell r="AC5245">
            <v>0.4</v>
          </cell>
        </row>
        <row r="5246">
          <cell r="A5246" t="str">
            <v>IS_alqt_minus</v>
          </cell>
          <cell r="K5246" t="str">
            <v>LCAT</v>
          </cell>
          <cell r="M5246" t="str">
            <v>F</v>
          </cell>
          <cell r="AC5246">
            <v>0.4</v>
          </cell>
        </row>
        <row r="5247">
          <cell r="A5247" t="str">
            <v>IS_alqt_plus</v>
          </cell>
          <cell r="K5247" t="str">
            <v>LCAT</v>
          </cell>
          <cell r="M5247" t="str">
            <v>F</v>
          </cell>
          <cell r="AC5247">
            <v>0.6</v>
          </cell>
        </row>
        <row r="5248">
          <cell r="A5248" t="str">
            <v>IS_alqt_plus</v>
          </cell>
          <cell r="K5248" t="str">
            <v>LCAT</v>
          </cell>
          <cell r="M5248" t="str">
            <v>F</v>
          </cell>
          <cell r="AC5248">
            <v>0.6</v>
          </cell>
        </row>
        <row r="5249">
          <cell r="A5249" t="str">
            <v>IS_alqt_plus</v>
          </cell>
          <cell r="K5249" t="str">
            <v>LCAT</v>
          </cell>
          <cell r="M5249" t="str">
            <v>F</v>
          </cell>
          <cell r="AC5249">
            <v>0.8</v>
          </cell>
        </row>
        <row r="5250">
          <cell r="A5250" t="str">
            <v>IS_alqt_plus</v>
          </cell>
          <cell r="K5250" t="str">
            <v>LCAT</v>
          </cell>
          <cell r="M5250" t="str">
            <v>F</v>
          </cell>
          <cell r="AC5250">
            <v>0.8</v>
          </cell>
        </row>
        <row r="5251">
          <cell r="A5251" t="str">
            <v>IS_alqt_plus</v>
          </cell>
          <cell r="K5251" t="str">
            <v>LCAT</v>
          </cell>
          <cell r="M5251" t="str">
            <v>F</v>
          </cell>
          <cell r="AC5251">
            <v>1</v>
          </cell>
        </row>
        <row r="5252">
          <cell r="A5252" t="str">
            <v>IS_alqt_plus</v>
          </cell>
          <cell r="K5252" t="str">
            <v>LCAT</v>
          </cell>
          <cell r="M5252" t="str">
            <v>F</v>
          </cell>
          <cell r="AC5252">
            <v>1</v>
          </cell>
        </row>
        <row r="5253">
          <cell r="A5253" t="str">
            <v>IS_alqt_plus</v>
          </cell>
          <cell r="K5253" t="str">
            <v>LCAT</v>
          </cell>
          <cell r="M5253" t="str">
            <v>F</v>
          </cell>
          <cell r="AC5253">
            <v>2</v>
          </cell>
        </row>
        <row r="5254">
          <cell r="A5254" t="str">
            <v>IS_alqt_plus</v>
          </cell>
          <cell r="K5254" t="str">
            <v>PCOQ</v>
          </cell>
          <cell r="M5254" t="str">
            <v>M</v>
          </cell>
          <cell r="AC5254">
            <v>1</v>
          </cell>
        </row>
        <row r="5255">
          <cell r="A5255" t="str">
            <v>IS_alqt_plus</v>
          </cell>
          <cell r="K5255" t="str">
            <v>PCOQ</v>
          </cell>
          <cell r="M5255" t="str">
            <v>M</v>
          </cell>
          <cell r="AC5255">
            <v>1</v>
          </cell>
        </row>
        <row r="5256">
          <cell r="A5256" t="str">
            <v>IS_alqt_plus</v>
          </cell>
          <cell r="K5256" t="str">
            <v>PCOQ</v>
          </cell>
          <cell r="M5256" t="str">
            <v>M</v>
          </cell>
          <cell r="AC5256">
            <v>1</v>
          </cell>
        </row>
        <row r="5257">
          <cell r="A5257" t="str">
            <v>IS_alqt_plus</v>
          </cell>
          <cell r="K5257" t="str">
            <v>PCOQ</v>
          </cell>
          <cell r="M5257" t="str">
            <v>M</v>
          </cell>
          <cell r="AC5257">
            <v>1</v>
          </cell>
        </row>
        <row r="5258">
          <cell r="A5258" t="str">
            <v>IS_alqt_plus</v>
          </cell>
          <cell r="K5258" t="str">
            <v>PCOQ</v>
          </cell>
          <cell r="M5258" t="str">
            <v>M</v>
          </cell>
          <cell r="AC5258">
            <v>1</v>
          </cell>
        </row>
        <row r="5259">
          <cell r="A5259" t="str">
            <v>IS_alqt_plus</v>
          </cell>
          <cell r="K5259" t="str">
            <v>PCOQ</v>
          </cell>
          <cell r="M5259" t="str">
            <v>M</v>
          </cell>
          <cell r="AC5259">
            <v>1</v>
          </cell>
        </row>
        <row r="5260">
          <cell r="A5260" t="str">
            <v>IS_alqt_plus</v>
          </cell>
          <cell r="K5260" t="str">
            <v>PCOQ</v>
          </cell>
          <cell r="M5260" t="str">
            <v>M</v>
          </cell>
          <cell r="AC5260">
            <v>1</v>
          </cell>
        </row>
        <row r="5261">
          <cell r="A5261" t="str">
            <v>IS_alqt_plus</v>
          </cell>
          <cell r="K5261" t="str">
            <v>PCOQ</v>
          </cell>
          <cell r="M5261" t="str">
            <v>M</v>
          </cell>
          <cell r="AC5261">
            <v>1</v>
          </cell>
        </row>
        <row r="5262">
          <cell r="A5262" t="str">
            <v>IS_alqt_plus</v>
          </cell>
          <cell r="K5262" t="str">
            <v>PCOQ</v>
          </cell>
          <cell r="M5262" t="str">
            <v>M</v>
          </cell>
          <cell r="AC5262">
            <v>1</v>
          </cell>
        </row>
        <row r="5263">
          <cell r="A5263" t="str">
            <v>IS_alqt_plus</v>
          </cell>
          <cell r="K5263" t="str">
            <v>PCOQ</v>
          </cell>
          <cell r="M5263" t="str">
            <v>M</v>
          </cell>
          <cell r="AC5263">
            <v>1</v>
          </cell>
        </row>
        <row r="5264">
          <cell r="A5264" t="str">
            <v>IS_alqt_plus</v>
          </cell>
          <cell r="K5264" t="str">
            <v>PCOQ</v>
          </cell>
          <cell r="M5264" t="str">
            <v>M</v>
          </cell>
          <cell r="AC5264">
            <v>1</v>
          </cell>
        </row>
        <row r="5265">
          <cell r="A5265" t="str">
            <v>IS_alqt_plus</v>
          </cell>
          <cell r="K5265" t="str">
            <v>PCOQ</v>
          </cell>
          <cell r="M5265" t="str">
            <v>M</v>
          </cell>
          <cell r="AC5265">
            <v>1</v>
          </cell>
        </row>
        <row r="5266">
          <cell r="A5266" t="str">
            <v>IS_alqt_minus</v>
          </cell>
          <cell r="K5266" t="str">
            <v>CMED</v>
          </cell>
          <cell r="M5266" t="str">
            <v>F</v>
          </cell>
          <cell r="AC5266">
            <v>0.2</v>
          </cell>
        </row>
        <row r="5267">
          <cell r="A5267" t="str">
            <v>IS_alqt_minus</v>
          </cell>
          <cell r="K5267" t="str">
            <v>CMED</v>
          </cell>
          <cell r="M5267" t="str">
            <v>F</v>
          </cell>
          <cell r="AC5267">
            <v>0.2</v>
          </cell>
        </row>
        <row r="5268">
          <cell r="A5268" t="str">
            <v>IS_alqt_minus</v>
          </cell>
          <cell r="K5268" t="str">
            <v>CMED</v>
          </cell>
          <cell r="M5268" t="str">
            <v>F</v>
          </cell>
          <cell r="AC5268">
            <v>0.4</v>
          </cell>
        </row>
        <row r="5269">
          <cell r="A5269" t="str">
            <v>IS_alqt_minus</v>
          </cell>
          <cell r="K5269" t="str">
            <v>CMED</v>
          </cell>
          <cell r="M5269" t="str">
            <v>F</v>
          </cell>
          <cell r="AC5269">
            <v>0.2</v>
          </cell>
        </row>
        <row r="5270">
          <cell r="A5270" t="str">
            <v>IS_alqt_minus</v>
          </cell>
          <cell r="K5270" t="str">
            <v>CMED</v>
          </cell>
          <cell r="M5270" t="str">
            <v>F</v>
          </cell>
          <cell r="AC5270">
            <v>0.2</v>
          </cell>
        </row>
        <row r="5271">
          <cell r="A5271" t="str">
            <v>IS_alqt_minus</v>
          </cell>
          <cell r="K5271" t="str">
            <v>CMED</v>
          </cell>
          <cell r="M5271" t="str">
            <v>F</v>
          </cell>
          <cell r="AC5271">
            <v>0.2</v>
          </cell>
        </row>
        <row r="5272">
          <cell r="A5272" t="str">
            <v>IS_alqt_minus</v>
          </cell>
          <cell r="K5272" t="str">
            <v>CMED</v>
          </cell>
          <cell r="M5272" t="str">
            <v>F</v>
          </cell>
          <cell r="AC5272">
            <v>0.2</v>
          </cell>
        </row>
        <row r="5273">
          <cell r="A5273" t="str">
            <v>IS_alqt_minus</v>
          </cell>
          <cell r="K5273" t="str">
            <v>CMED</v>
          </cell>
          <cell r="M5273" t="str">
            <v>F</v>
          </cell>
          <cell r="AC5273">
            <v>0.4</v>
          </cell>
        </row>
        <row r="5274">
          <cell r="A5274" t="str">
            <v>IS_alqt_minus</v>
          </cell>
          <cell r="K5274" t="str">
            <v>CMED</v>
          </cell>
          <cell r="M5274" t="str">
            <v>F</v>
          </cell>
          <cell r="AC5274">
            <v>0.4</v>
          </cell>
        </row>
        <row r="5275">
          <cell r="A5275" t="str">
            <v>IS_alqt_minus</v>
          </cell>
          <cell r="K5275" t="str">
            <v>CMED</v>
          </cell>
          <cell r="M5275" t="str">
            <v>F</v>
          </cell>
          <cell r="AC5275">
            <v>0.4</v>
          </cell>
        </row>
        <row r="5276">
          <cell r="A5276" t="str">
            <v>IS_alqt_plus</v>
          </cell>
          <cell r="K5276" t="str">
            <v>CMED</v>
          </cell>
          <cell r="M5276" t="str">
            <v>F</v>
          </cell>
          <cell r="AC5276">
            <v>0.6</v>
          </cell>
        </row>
        <row r="5277">
          <cell r="A5277" t="str">
            <v>IS_alqt_plus</v>
          </cell>
          <cell r="K5277" t="str">
            <v>CMED</v>
          </cell>
          <cell r="M5277" t="str">
            <v>F</v>
          </cell>
          <cell r="AC5277">
            <v>0.6</v>
          </cell>
        </row>
        <row r="5278">
          <cell r="A5278" t="str">
            <v>IS_alqt_minus</v>
          </cell>
          <cell r="K5278" t="str">
            <v>CMED</v>
          </cell>
          <cell r="M5278" t="str">
            <v>F</v>
          </cell>
          <cell r="AC5278">
            <v>0.2</v>
          </cell>
        </row>
        <row r="5279">
          <cell r="A5279" t="str">
            <v>IS_alqt_minus</v>
          </cell>
          <cell r="K5279" t="str">
            <v>CMED</v>
          </cell>
          <cell r="M5279" t="str">
            <v>F</v>
          </cell>
          <cell r="AC5279">
            <v>0.2</v>
          </cell>
        </row>
        <row r="5280">
          <cell r="A5280" t="str">
            <v>IS_alqt_minus</v>
          </cell>
          <cell r="K5280" t="str">
            <v>CMED</v>
          </cell>
          <cell r="M5280" t="str">
            <v>F</v>
          </cell>
          <cell r="AC5280">
            <v>0.4</v>
          </cell>
        </row>
        <row r="5281">
          <cell r="A5281" t="str">
            <v>IS_alqt_minus</v>
          </cell>
          <cell r="K5281" t="str">
            <v>CMED</v>
          </cell>
          <cell r="M5281" t="str">
            <v>M</v>
          </cell>
          <cell r="AC5281">
            <v>0.2</v>
          </cell>
        </row>
        <row r="5282">
          <cell r="A5282" t="str">
            <v>IS_alqt_minus</v>
          </cell>
          <cell r="K5282" t="str">
            <v>CMED</v>
          </cell>
          <cell r="M5282" t="str">
            <v>M</v>
          </cell>
          <cell r="AC5282">
            <v>0.2</v>
          </cell>
        </row>
        <row r="5283">
          <cell r="A5283" t="str">
            <v>IS_alqt_minus</v>
          </cell>
          <cell r="K5283" t="str">
            <v>CMED</v>
          </cell>
          <cell r="M5283" t="str">
            <v>M</v>
          </cell>
          <cell r="AC5283">
            <v>0.1</v>
          </cell>
        </row>
        <row r="5284">
          <cell r="A5284" t="str">
            <v>IS_alqt_minus</v>
          </cell>
          <cell r="K5284" t="str">
            <v>CMED</v>
          </cell>
          <cell r="M5284" t="str">
            <v>F</v>
          </cell>
          <cell r="AC5284">
            <v>0.2</v>
          </cell>
        </row>
        <row r="5285">
          <cell r="A5285" t="str">
            <v>IS_alqt_minus</v>
          </cell>
          <cell r="K5285" t="str">
            <v>CMED</v>
          </cell>
          <cell r="M5285" t="str">
            <v>F</v>
          </cell>
          <cell r="AC5285">
            <v>0.4</v>
          </cell>
        </row>
        <row r="5286">
          <cell r="A5286" t="str">
            <v>IS_alqt_plus</v>
          </cell>
          <cell r="K5286" t="str">
            <v>CMED</v>
          </cell>
          <cell r="M5286" t="str">
            <v>F</v>
          </cell>
          <cell r="AC5286">
            <v>0.6</v>
          </cell>
        </row>
        <row r="5287">
          <cell r="A5287" t="str">
            <v>IS_alqt_minus</v>
          </cell>
          <cell r="K5287" t="str">
            <v>CMED</v>
          </cell>
          <cell r="M5287" t="str">
            <v>F</v>
          </cell>
          <cell r="AC5287">
            <v>0.2</v>
          </cell>
        </row>
        <row r="5288">
          <cell r="A5288" t="str">
            <v>IS_alqt_minus</v>
          </cell>
          <cell r="K5288" t="str">
            <v>CMED</v>
          </cell>
          <cell r="M5288" t="str">
            <v>F</v>
          </cell>
          <cell r="AC5288">
            <v>0.2</v>
          </cell>
        </row>
        <row r="5289">
          <cell r="A5289" t="str">
            <v>IS_alqt_minus</v>
          </cell>
          <cell r="K5289" t="str">
            <v>CMED</v>
          </cell>
          <cell r="M5289" t="str">
            <v>M</v>
          </cell>
          <cell r="AC5289">
            <v>0.2</v>
          </cell>
        </row>
        <row r="5290">
          <cell r="A5290" t="str">
            <v>IS_alqt_minus</v>
          </cell>
          <cell r="K5290" t="str">
            <v>CMED</v>
          </cell>
          <cell r="M5290" t="str">
            <v>M</v>
          </cell>
          <cell r="AC5290">
            <v>0.4</v>
          </cell>
        </row>
        <row r="5291">
          <cell r="A5291" t="str">
            <v>IS_alqt_plus</v>
          </cell>
          <cell r="K5291" t="str">
            <v>CMED</v>
          </cell>
          <cell r="M5291" t="str">
            <v>M</v>
          </cell>
          <cell r="AC5291">
            <v>0.6</v>
          </cell>
        </row>
        <row r="5292">
          <cell r="A5292" t="str">
            <v>IS_alqt_plus</v>
          </cell>
          <cell r="K5292" t="str">
            <v>PCOQ</v>
          </cell>
          <cell r="M5292" t="str">
            <v>F</v>
          </cell>
          <cell r="AC5292">
            <v>1</v>
          </cell>
        </row>
        <row r="5293">
          <cell r="A5293" t="str">
            <v>unk</v>
          </cell>
          <cell r="K5293" t="str">
            <v>CMED</v>
          </cell>
          <cell r="M5293" t="str">
            <v>M</v>
          </cell>
          <cell r="AC5293">
            <v>0.75</v>
          </cell>
        </row>
        <row r="5294">
          <cell r="A5294" t="str">
            <v>IS_alqt_minus</v>
          </cell>
          <cell r="K5294" t="str">
            <v>LCAT</v>
          </cell>
          <cell r="M5294" t="str">
            <v>F</v>
          </cell>
          <cell r="AC5294">
            <v>0.4</v>
          </cell>
        </row>
        <row r="5295">
          <cell r="A5295" t="str">
            <v>IS_alqt_plus</v>
          </cell>
          <cell r="K5295" t="str">
            <v>LCAT</v>
          </cell>
          <cell r="M5295" t="str">
            <v>F</v>
          </cell>
          <cell r="AC5295">
            <v>0.6</v>
          </cell>
        </row>
        <row r="5296">
          <cell r="A5296" t="str">
            <v>IS_alqt_plus</v>
          </cell>
          <cell r="K5296" t="str">
            <v>LCAT</v>
          </cell>
          <cell r="M5296" t="str">
            <v>F</v>
          </cell>
          <cell r="AC5296">
            <v>0.8</v>
          </cell>
        </row>
        <row r="5297">
          <cell r="A5297" t="str">
            <v>IS_alqt_minus</v>
          </cell>
          <cell r="K5297" t="str">
            <v>VVV</v>
          </cell>
          <cell r="M5297" t="str">
            <v>M</v>
          </cell>
          <cell r="AC5297">
            <v>0.2</v>
          </cell>
        </row>
        <row r="5298">
          <cell r="A5298" t="str">
            <v>IS_alqt_minus</v>
          </cell>
          <cell r="K5298" t="str">
            <v>VVV</v>
          </cell>
          <cell r="M5298" t="str">
            <v>M</v>
          </cell>
          <cell r="AC5298">
            <v>0.4</v>
          </cell>
        </row>
        <row r="5299">
          <cell r="A5299" t="str">
            <v>IS_alqt_plus</v>
          </cell>
          <cell r="K5299" t="str">
            <v>VVV</v>
          </cell>
          <cell r="M5299" t="str">
            <v>M</v>
          </cell>
          <cell r="AC5299">
            <v>0.6</v>
          </cell>
        </row>
        <row r="5300">
          <cell r="A5300" t="str">
            <v>IS_alqt_plus</v>
          </cell>
          <cell r="K5300" t="str">
            <v>VVV</v>
          </cell>
          <cell r="M5300" t="str">
            <v>M</v>
          </cell>
          <cell r="AC5300">
            <v>0.6</v>
          </cell>
        </row>
        <row r="5301">
          <cell r="A5301" t="str">
            <v>IS_alqt_plus</v>
          </cell>
          <cell r="K5301" t="str">
            <v>VVV</v>
          </cell>
          <cell r="M5301" t="str">
            <v>M</v>
          </cell>
          <cell r="AC5301">
            <v>1</v>
          </cell>
        </row>
        <row r="5302">
          <cell r="A5302" t="str">
            <v>IS_alqt_plus</v>
          </cell>
          <cell r="K5302" t="str">
            <v>VVV</v>
          </cell>
          <cell r="M5302" t="str">
            <v>M</v>
          </cell>
          <cell r="AC5302">
            <v>1</v>
          </cell>
        </row>
        <row r="5303">
          <cell r="A5303" t="str">
            <v>IS_alqt_plus</v>
          </cell>
          <cell r="K5303" t="str">
            <v>VVV</v>
          </cell>
          <cell r="M5303" t="str">
            <v>M</v>
          </cell>
          <cell r="AC5303">
            <v>1</v>
          </cell>
        </row>
        <row r="5304">
          <cell r="A5304" t="str">
            <v>IS_alqt_minus</v>
          </cell>
          <cell r="K5304" t="str">
            <v>PCOQ</v>
          </cell>
          <cell r="M5304" t="str">
            <v>M</v>
          </cell>
          <cell r="AC5304">
            <v>0.2</v>
          </cell>
        </row>
        <row r="5305">
          <cell r="A5305" t="str">
            <v>IS_alqt_minus</v>
          </cell>
          <cell r="K5305" t="str">
            <v>PCOQ</v>
          </cell>
          <cell r="M5305" t="str">
            <v>M</v>
          </cell>
          <cell r="AC5305">
            <v>0.2</v>
          </cell>
        </row>
        <row r="5306">
          <cell r="A5306" t="str">
            <v>IS_alqt_minus</v>
          </cell>
          <cell r="K5306" t="str">
            <v>PCOQ</v>
          </cell>
          <cell r="M5306" t="str">
            <v>M</v>
          </cell>
          <cell r="AC5306">
            <v>0.4</v>
          </cell>
        </row>
        <row r="5307">
          <cell r="A5307" t="str">
            <v>IS_alqt_minus</v>
          </cell>
          <cell r="K5307" t="str">
            <v>PCOQ</v>
          </cell>
          <cell r="M5307" t="str">
            <v>M</v>
          </cell>
          <cell r="AC5307">
            <v>0.4</v>
          </cell>
        </row>
        <row r="5308">
          <cell r="A5308" t="str">
            <v>IS_alqt_plus</v>
          </cell>
          <cell r="K5308" t="str">
            <v>PCOQ</v>
          </cell>
          <cell r="M5308" t="str">
            <v>M</v>
          </cell>
          <cell r="AC5308">
            <v>0.6</v>
          </cell>
        </row>
        <row r="5309">
          <cell r="A5309" t="str">
            <v>IS_alqt_plus</v>
          </cell>
          <cell r="K5309" t="str">
            <v>PCOQ</v>
          </cell>
          <cell r="M5309" t="str">
            <v>M</v>
          </cell>
          <cell r="AC5309">
            <v>0.6</v>
          </cell>
        </row>
        <row r="5310">
          <cell r="A5310" t="str">
            <v>IS_alqt_plus</v>
          </cell>
          <cell r="K5310" t="str">
            <v>PCOQ</v>
          </cell>
          <cell r="M5310" t="str">
            <v>M</v>
          </cell>
          <cell r="AC5310">
            <v>0.8</v>
          </cell>
        </row>
        <row r="5311">
          <cell r="A5311" t="str">
            <v>IS_alqt_plus</v>
          </cell>
          <cell r="K5311" t="str">
            <v>PCOQ</v>
          </cell>
          <cell r="M5311" t="str">
            <v>M</v>
          </cell>
          <cell r="AC5311">
            <v>1</v>
          </cell>
        </row>
        <row r="5312">
          <cell r="A5312" t="str">
            <v>IS_alqt_plus</v>
          </cell>
          <cell r="K5312" t="str">
            <v>PCOQ</v>
          </cell>
          <cell r="M5312" t="str">
            <v>M</v>
          </cell>
          <cell r="AC5312">
            <v>1</v>
          </cell>
        </row>
        <row r="5313">
          <cell r="A5313" t="str">
            <v>IS_alqt_plus</v>
          </cell>
          <cell r="K5313" t="str">
            <v>PCOQ</v>
          </cell>
          <cell r="M5313" t="str">
            <v>M</v>
          </cell>
          <cell r="AC5313">
            <v>2</v>
          </cell>
        </row>
        <row r="5314">
          <cell r="A5314" t="str">
            <v>IS_alqt_minus</v>
          </cell>
          <cell r="K5314" t="str">
            <v>EFLA</v>
          </cell>
          <cell r="M5314" t="str">
            <v>F</v>
          </cell>
          <cell r="AC5314">
            <v>0.2</v>
          </cell>
        </row>
        <row r="5315">
          <cell r="A5315" t="str">
            <v>IS_alqt_minus</v>
          </cell>
          <cell r="K5315" t="str">
            <v>EFLA</v>
          </cell>
          <cell r="M5315" t="str">
            <v>F</v>
          </cell>
          <cell r="AC5315">
            <v>0.2</v>
          </cell>
        </row>
        <row r="5316">
          <cell r="A5316" t="str">
            <v>IS_alqt_minus</v>
          </cell>
          <cell r="K5316" t="str">
            <v>EFLA</v>
          </cell>
          <cell r="M5316" t="str">
            <v>F</v>
          </cell>
          <cell r="AC5316">
            <v>0.4</v>
          </cell>
        </row>
        <row r="5317">
          <cell r="A5317" t="str">
            <v>IS_alqt_minus</v>
          </cell>
          <cell r="K5317" t="str">
            <v>EFLA</v>
          </cell>
          <cell r="M5317" t="str">
            <v>F</v>
          </cell>
          <cell r="AC5317">
            <v>0.4</v>
          </cell>
        </row>
        <row r="5318">
          <cell r="A5318" t="str">
            <v>IS_alqt_plus</v>
          </cell>
          <cell r="K5318" t="str">
            <v>EFLA</v>
          </cell>
          <cell r="M5318" t="str">
            <v>F</v>
          </cell>
          <cell r="AC5318">
            <v>0.6</v>
          </cell>
        </row>
        <row r="5319">
          <cell r="A5319" t="str">
            <v>IS_alqt_plus</v>
          </cell>
          <cell r="K5319" t="str">
            <v>EFLA</v>
          </cell>
          <cell r="M5319" t="str">
            <v>F</v>
          </cell>
          <cell r="AC5319">
            <v>0.6</v>
          </cell>
        </row>
        <row r="5320">
          <cell r="A5320" t="str">
            <v>IS_alqt_plus</v>
          </cell>
          <cell r="K5320" t="str">
            <v>EFLA</v>
          </cell>
          <cell r="M5320" t="str">
            <v>F</v>
          </cell>
          <cell r="AC5320">
            <v>0.8</v>
          </cell>
        </row>
        <row r="5321">
          <cell r="A5321" t="str">
            <v>IS_alqt_plus</v>
          </cell>
          <cell r="K5321" t="str">
            <v>EFLA</v>
          </cell>
          <cell r="M5321" t="str">
            <v>F</v>
          </cell>
          <cell r="AC5321">
            <v>0.8</v>
          </cell>
        </row>
        <row r="5322">
          <cell r="A5322" t="str">
            <v>IS_alqt_plus</v>
          </cell>
          <cell r="K5322" t="str">
            <v>EFLA</v>
          </cell>
          <cell r="M5322" t="str">
            <v>F</v>
          </cell>
          <cell r="AC5322">
            <v>1</v>
          </cell>
        </row>
        <row r="5323">
          <cell r="A5323" t="str">
            <v>IS_alqt_plus</v>
          </cell>
          <cell r="K5323" t="str">
            <v>EFLA</v>
          </cell>
          <cell r="M5323" t="str">
            <v>F</v>
          </cell>
          <cell r="AC5323">
            <v>1</v>
          </cell>
        </row>
        <row r="5324">
          <cell r="A5324" t="str">
            <v>IS_alqt_plus</v>
          </cell>
          <cell r="K5324" t="str">
            <v>EFLA</v>
          </cell>
          <cell r="M5324" t="str">
            <v>F</v>
          </cell>
          <cell r="AC5324">
            <v>2</v>
          </cell>
        </row>
        <row r="5325">
          <cell r="A5325" t="str">
            <v>IS_alqt_plus</v>
          </cell>
          <cell r="K5325" t="str">
            <v>EFLA</v>
          </cell>
          <cell r="M5325" t="str">
            <v>F</v>
          </cell>
          <cell r="AC5325">
            <v>2</v>
          </cell>
        </row>
        <row r="5326">
          <cell r="A5326" t="str">
            <v>IS_alqt_plus</v>
          </cell>
          <cell r="K5326" t="str">
            <v>LCAT</v>
          </cell>
          <cell r="M5326" t="str">
            <v>M</v>
          </cell>
          <cell r="AC5326">
            <v>1</v>
          </cell>
        </row>
        <row r="5327">
          <cell r="A5327" t="str">
            <v>IS_alqt_plus</v>
          </cell>
          <cell r="K5327" t="str">
            <v>LCAT</v>
          </cell>
          <cell r="M5327" t="str">
            <v>M</v>
          </cell>
          <cell r="AC5327">
            <v>1</v>
          </cell>
        </row>
        <row r="5328">
          <cell r="A5328" t="str">
            <v>IS_alqt_plus</v>
          </cell>
          <cell r="K5328" t="str">
            <v>LCAT</v>
          </cell>
          <cell r="M5328" t="str">
            <v>M</v>
          </cell>
          <cell r="AC5328">
            <v>1</v>
          </cell>
        </row>
        <row r="5329">
          <cell r="A5329" t="str">
            <v>IS_alqt_plus</v>
          </cell>
          <cell r="K5329" t="str">
            <v>LCAT</v>
          </cell>
          <cell r="M5329" t="str">
            <v>M</v>
          </cell>
          <cell r="AC5329">
            <v>1</v>
          </cell>
        </row>
        <row r="5330">
          <cell r="A5330" t="str">
            <v>IS_alqt_plus</v>
          </cell>
          <cell r="K5330" t="str">
            <v>LCAT</v>
          </cell>
          <cell r="M5330" t="str">
            <v>M</v>
          </cell>
          <cell r="AC5330">
            <v>1</v>
          </cell>
        </row>
        <row r="5331">
          <cell r="A5331" t="str">
            <v>IS_alqt_plus</v>
          </cell>
          <cell r="K5331" t="str">
            <v>LCAT</v>
          </cell>
          <cell r="M5331" t="str">
            <v>M</v>
          </cell>
          <cell r="AC5331">
            <v>2</v>
          </cell>
        </row>
        <row r="5332">
          <cell r="A5332" t="str">
            <v>IS_alqt_plus</v>
          </cell>
          <cell r="K5332" t="str">
            <v>LCAT</v>
          </cell>
          <cell r="M5332" t="str">
            <v>M</v>
          </cell>
          <cell r="AC5332">
            <v>2</v>
          </cell>
        </row>
        <row r="5333">
          <cell r="A5333" t="str">
            <v>IS_alqt_plus</v>
          </cell>
          <cell r="K5333" t="str">
            <v>LCAT</v>
          </cell>
          <cell r="M5333" t="str">
            <v>M</v>
          </cell>
          <cell r="AC5333">
            <v>2</v>
          </cell>
        </row>
        <row r="5334">
          <cell r="A5334" t="str">
            <v>IS_alqt_plus</v>
          </cell>
          <cell r="K5334" t="str">
            <v>LCAT</v>
          </cell>
          <cell r="M5334" t="str">
            <v>M</v>
          </cell>
          <cell r="AC5334">
            <v>2</v>
          </cell>
        </row>
        <row r="5335">
          <cell r="A5335" t="str">
            <v>IS_alqt_plus</v>
          </cell>
          <cell r="K5335" t="str">
            <v>LCAT</v>
          </cell>
          <cell r="M5335" t="str">
            <v>M</v>
          </cell>
          <cell r="AC5335">
            <v>2</v>
          </cell>
        </row>
        <row r="5336">
          <cell r="A5336" t="str">
            <v>IS_alqt_minus</v>
          </cell>
          <cell r="K5336" t="str">
            <v>PCOQ</v>
          </cell>
          <cell r="M5336" t="str">
            <v>M</v>
          </cell>
          <cell r="AC5336">
            <v>0.2</v>
          </cell>
        </row>
        <row r="5337">
          <cell r="A5337" t="str">
            <v>IS_alqt_minus</v>
          </cell>
          <cell r="K5337" t="str">
            <v>PCOQ</v>
          </cell>
          <cell r="M5337" t="str">
            <v>M</v>
          </cell>
          <cell r="AC5337">
            <v>0.2</v>
          </cell>
        </row>
        <row r="5338">
          <cell r="A5338" t="str">
            <v>IS_alqt_minus</v>
          </cell>
          <cell r="K5338" t="str">
            <v>PCOQ</v>
          </cell>
          <cell r="M5338" t="str">
            <v>M</v>
          </cell>
          <cell r="AC5338">
            <v>0.2</v>
          </cell>
        </row>
        <row r="5339">
          <cell r="A5339" t="str">
            <v>IS_alqt_minus</v>
          </cell>
          <cell r="K5339" t="str">
            <v>PCOQ</v>
          </cell>
          <cell r="M5339" t="str">
            <v>M</v>
          </cell>
          <cell r="AC5339">
            <v>0.4</v>
          </cell>
        </row>
        <row r="5340">
          <cell r="A5340" t="str">
            <v>IS_alqt_minus</v>
          </cell>
          <cell r="K5340" t="str">
            <v>PCOQ</v>
          </cell>
          <cell r="M5340" t="str">
            <v>M</v>
          </cell>
          <cell r="AC5340">
            <v>0.4</v>
          </cell>
        </row>
        <row r="5341">
          <cell r="A5341" t="str">
            <v>IS_alqt_minus</v>
          </cell>
          <cell r="K5341" t="str">
            <v>PCOQ</v>
          </cell>
          <cell r="M5341" t="str">
            <v>M</v>
          </cell>
          <cell r="AC5341">
            <v>0.4</v>
          </cell>
        </row>
        <row r="5342">
          <cell r="A5342" t="str">
            <v>IS_alqt_plus</v>
          </cell>
          <cell r="K5342" t="str">
            <v>PCOQ</v>
          </cell>
          <cell r="M5342" t="str">
            <v>M</v>
          </cell>
          <cell r="AC5342">
            <v>0.6</v>
          </cell>
        </row>
        <row r="5343">
          <cell r="A5343" t="str">
            <v>IS_alqt_plus</v>
          </cell>
          <cell r="K5343" t="str">
            <v>PCOQ</v>
          </cell>
          <cell r="M5343" t="str">
            <v>M</v>
          </cell>
          <cell r="AC5343">
            <v>0.6</v>
          </cell>
        </row>
        <row r="5344">
          <cell r="A5344" t="str">
            <v>IS_alqt_plus</v>
          </cell>
          <cell r="K5344" t="str">
            <v>PCOQ</v>
          </cell>
          <cell r="M5344" t="str">
            <v>M</v>
          </cell>
          <cell r="AC5344">
            <v>0.6</v>
          </cell>
        </row>
        <row r="5345">
          <cell r="A5345" t="str">
            <v>IS_alqt_plus</v>
          </cell>
          <cell r="K5345" t="str">
            <v>PCOQ</v>
          </cell>
          <cell r="M5345" t="str">
            <v>M</v>
          </cell>
          <cell r="AC5345">
            <v>1</v>
          </cell>
        </row>
        <row r="5346">
          <cell r="A5346" t="str">
            <v>IS_alqt_plus</v>
          </cell>
          <cell r="K5346" t="str">
            <v>PCOQ</v>
          </cell>
          <cell r="M5346" t="str">
            <v>M</v>
          </cell>
          <cell r="AC5346">
            <v>0.48</v>
          </cell>
        </row>
        <row r="5347">
          <cell r="A5347" t="str">
            <v>IS_alqt_plus</v>
          </cell>
          <cell r="K5347" t="str">
            <v>PCOQ</v>
          </cell>
          <cell r="M5347" t="str">
            <v>M</v>
          </cell>
          <cell r="AC5347">
            <v>1</v>
          </cell>
        </row>
        <row r="5348">
          <cell r="A5348" t="str">
            <v>IS_alqt_plus</v>
          </cell>
          <cell r="K5348" t="str">
            <v>PCOQ</v>
          </cell>
          <cell r="M5348" t="str">
            <v>M</v>
          </cell>
          <cell r="AC5348">
            <v>1</v>
          </cell>
        </row>
        <row r="5349">
          <cell r="A5349" t="str">
            <v>IS_alqt_plus</v>
          </cell>
          <cell r="K5349" t="str">
            <v>PCOQ</v>
          </cell>
          <cell r="M5349" t="str">
            <v>M</v>
          </cell>
          <cell r="AC5349">
            <v>1</v>
          </cell>
        </row>
        <row r="5350">
          <cell r="A5350" t="str">
            <v>IS_alqt_plus</v>
          </cell>
          <cell r="K5350" t="str">
            <v>PCOQ</v>
          </cell>
          <cell r="M5350" t="str">
            <v>M</v>
          </cell>
          <cell r="AC5350">
            <v>1</v>
          </cell>
        </row>
        <row r="5351">
          <cell r="A5351" t="str">
            <v>IS_alqt_plus</v>
          </cell>
          <cell r="K5351" t="str">
            <v>PCOQ</v>
          </cell>
          <cell r="M5351" t="str">
            <v>M</v>
          </cell>
          <cell r="AC5351">
            <v>1</v>
          </cell>
        </row>
        <row r="5352">
          <cell r="A5352" t="str">
            <v>IS_alqt_plus</v>
          </cell>
          <cell r="K5352" t="str">
            <v>PCOQ</v>
          </cell>
          <cell r="M5352" t="str">
            <v>M</v>
          </cell>
          <cell r="AC5352">
            <v>1</v>
          </cell>
        </row>
        <row r="5353">
          <cell r="A5353" t="str">
            <v>IS_alqt_plus</v>
          </cell>
          <cell r="K5353" t="str">
            <v>PCOQ</v>
          </cell>
          <cell r="M5353" t="str">
            <v>M</v>
          </cell>
          <cell r="AC5353">
            <v>1</v>
          </cell>
        </row>
        <row r="5354">
          <cell r="A5354" t="str">
            <v>IS_alqt_plus</v>
          </cell>
          <cell r="K5354" t="str">
            <v>PCOQ</v>
          </cell>
          <cell r="M5354" t="str">
            <v>M</v>
          </cell>
          <cell r="AC5354">
            <v>1</v>
          </cell>
        </row>
        <row r="5355">
          <cell r="A5355" t="str">
            <v>IS_alqt_plus</v>
          </cell>
          <cell r="K5355" t="str">
            <v>PCOQ</v>
          </cell>
          <cell r="M5355" t="str">
            <v>M</v>
          </cell>
          <cell r="AC5355">
            <v>1</v>
          </cell>
        </row>
        <row r="5356">
          <cell r="A5356" t="str">
            <v>IS_alqt_plus</v>
          </cell>
          <cell r="K5356" t="str">
            <v>PCOQ</v>
          </cell>
          <cell r="M5356" t="str">
            <v>M</v>
          </cell>
          <cell r="AC5356">
            <v>1</v>
          </cell>
        </row>
        <row r="5357">
          <cell r="A5357" t="str">
            <v>IS_alqt_plus</v>
          </cell>
          <cell r="K5357" t="str">
            <v>PCOQ</v>
          </cell>
          <cell r="M5357" t="str">
            <v>M</v>
          </cell>
          <cell r="AC5357">
            <v>1</v>
          </cell>
        </row>
        <row r="5358">
          <cell r="A5358" t="str">
            <v>IS_alqt_plus</v>
          </cell>
          <cell r="K5358" t="str">
            <v>PCOQ</v>
          </cell>
          <cell r="M5358" t="str">
            <v>M</v>
          </cell>
          <cell r="AC5358">
            <v>1</v>
          </cell>
        </row>
        <row r="5359">
          <cell r="A5359" t="str">
            <v>IS_alqt_plus</v>
          </cell>
          <cell r="K5359" t="str">
            <v>PCOQ</v>
          </cell>
          <cell r="M5359" t="str">
            <v>M</v>
          </cell>
          <cell r="AC5359">
            <v>1</v>
          </cell>
        </row>
        <row r="5360">
          <cell r="A5360" t="str">
            <v>IS_alqt_plus</v>
          </cell>
          <cell r="K5360" t="str">
            <v>PCOQ</v>
          </cell>
          <cell r="M5360" t="str">
            <v>M</v>
          </cell>
          <cell r="AC5360">
            <v>1</v>
          </cell>
        </row>
        <row r="5361">
          <cell r="A5361" t="str">
            <v>IS_alqt_plus</v>
          </cell>
          <cell r="K5361" t="str">
            <v>PCOQ</v>
          </cell>
          <cell r="M5361" t="str">
            <v>M</v>
          </cell>
          <cell r="AC5361">
            <v>1</v>
          </cell>
        </row>
        <row r="5362">
          <cell r="A5362" t="str">
            <v>IS_alqt_plus</v>
          </cell>
          <cell r="K5362" t="str">
            <v>PCOQ</v>
          </cell>
          <cell r="M5362" t="str">
            <v>M</v>
          </cell>
          <cell r="AC5362">
            <v>1</v>
          </cell>
        </row>
        <row r="5363">
          <cell r="A5363" t="str">
            <v>IS_alqt_plus</v>
          </cell>
          <cell r="K5363" t="str">
            <v>PCOQ</v>
          </cell>
          <cell r="M5363" t="str">
            <v>M</v>
          </cell>
          <cell r="AC5363">
            <v>1</v>
          </cell>
        </row>
        <row r="5364">
          <cell r="A5364" t="str">
            <v>IS_alqt_plus</v>
          </cell>
          <cell r="K5364" t="str">
            <v>PCOQ</v>
          </cell>
          <cell r="M5364" t="str">
            <v>M</v>
          </cell>
          <cell r="AC5364">
            <v>1</v>
          </cell>
        </row>
        <row r="5365">
          <cell r="A5365" t="str">
            <v>IS_alqt_plus</v>
          </cell>
          <cell r="K5365" t="str">
            <v>PCOQ</v>
          </cell>
          <cell r="M5365" t="str">
            <v>M</v>
          </cell>
          <cell r="AC5365">
            <v>1</v>
          </cell>
        </row>
        <row r="5366">
          <cell r="A5366" t="str">
            <v>IS_alqt_plus</v>
          </cell>
          <cell r="K5366" t="str">
            <v>PCOQ</v>
          </cell>
          <cell r="M5366" t="str">
            <v>M</v>
          </cell>
          <cell r="AC5366">
            <v>1</v>
          </cell>
        </row>
        <row r="5367">
          <cell r="A5367" t="str">
            <v>IS_alqt_plus</v>
          </cell>
          <cell r="K5367" t="str">
            <v>PCOQ</v>
          </cell>
          <cell r="M5367" t="str">
            <v>M</v>
          </cell>
          <cell r="AC5367">
            <v>1</v>
          </cell>
        </row>
        <row r="5368">
          <cell r="A5368" t="str">
            <v>IS_alqt_plus</v>
          </cell>
          <cell r="K5368" t="str">
            <v>LCAT</v>
          </cell>
          <cell r="M5368" t="str">
            <v>F</v>
          </cell>
          <cell r="AC5368">
            <v>1</v>
          </cell>
        </row>
        <row r="5369">
          <cell r="A5369" t="str">
            <v>IS_alqt_plus</v>
          </cell>
          <cell r="K5369" t="str">
            <v>LCAT</v>
          </cell>
          <cell r="M5369" t="str">
            <v>F</v>
          </cell>
          <cell r="AC5369">
            <v>1</v>
          </cell>
        </row>
        <row r="5370">
          <cell r="A5370" t="str">
            <v>IS_alqt_plus</v>
          </cell>
          <cell r="K5370" t="str">
            <v>LCAT</v>
          </cell>
          <cell r="M5370" t="str">
            <v>F</v>
          </cell>
          <cell r="AC5370">
            <v>1</v>
          </cell>
        </row>
        <row r="5371">
          <cell r="A5371" t="str">
            <v>IS_alqt_plus</v>
          </cell>
          <cell r="K5371" t="str">
            <v>LCAT</v>
          </cell>
          <cell r="M5371" t="str">
            <v>F</v>
          </cell>
          <cell r="AC5371">
            <v>1</v>
          </cell>
        </row>
        <row r="5372">
          <cell r="A5372" t="str">
            <v>IS_alqt_plus</v>
          </cell>
          <cell r="K5372" t="str">
            <v>LCAT</v>
          </cell>
          <cell r="M5372" t="str">
            <v>F</v>
          </cell>
          <cell r="AC5372">
            <v>0.5</v>
          </cell>
        </row>
        <row r="5373">
          <cell r="A5373" t="str">
            <v>IS_alqt_plus</v>
          </cell>
          <cell r="K5373" t="str">
            <v>PCOQ</v>
          </cell>
          <cell r="M5373" t="str">
            <v>F</v>
          </cell>
          <cell r="AC5373">
            <v>1</v>
          </cell>
        </row>
        <row r="5374">
          <cell r="A5374" t="str">
            <v>IS_alqt_plus</v>
          </cell>
          <cell r="K5374" t="str">
            <v>PCOQ</v>
          </cell>
          <cell r="M5374" t="str">
            <v>F</v>
          </cell>
          <cell r="AC5374">
            <v>1</v>
          </cell>
        </row>
        <row r="5375">
          <cell r="A5375" t="str">
            <v>IS_alqt_plus</v>
          </cell>
          <cell r="K5375" t="str">
            <v>PCOQ</v>
          </cell>
          <cell r="M5375" t="str">
            <v>F</v>
          </cell>
          <cell r="AC5375">
            <v>1</v>
          </cell>
        </row>
        <row r="5376">
          <cell r="A5376" t="str">
            <v>IS_alqt_plus</v>
          </cell>
          <cell r="K5376" t="str">
            <v>PCOQ</v>
          </cell>
          <cell r="M5376" t="str">
            <v>F</v>
          </cell>
          <cell r="AC5376">
            <v>1</v>
          </cell>
        </row>
        <row r="5377">
          <cell r="A5377" t="str">
            <v>IS_alqt_plus</v>
          </cell>
          <cell r="K5377" t="str">
            <v>PCOQ</v>
          </cell>
          <cell r="M5377" t="str">
            <v>F</v>
          </cell>
          <cell r="AC5377">
            <v>1</v>
          </cell>
        </row>
        <row r="5378">
          <cell r="A5378" t="str">
            <v>IS_alqt_plus</v>
          </cell>
          <cell r="K5378" t="str">
            <v>PCOQ</v>
          </cell>
          <cell r="M5378" t="str">
            <v>F</v>
          </cell>
          <cell r="AC5378">
            <v>1</v>
          </cell>
        </row>
        <row r="5379">
          <cell r="A5379" t="str">
            <v>IS_alqt_plus</v>
          </cell>
          <cell r="K5379" t="str">
            <v>PCOQ</v>
          </cell>
          <cell r="M5379" t="str">
            <v>F</v>
          </cell>
          <cell r="AC5379">
            <v>1</v>
          </cell>
        </row>
        <row r="5380">
          <cell r="A5380" t="str">
            <v>IS_alqt_plus</v>
          </cell>
          <cell r="K5380" t="str">
            <v>PCOQ</v>
          </cell>
          <cell r="M5380" t="str">
            <v>F</v>
          </cell>
          <cell r="AC5380">
            <v>1</v>
          </cell>
        </row>
        <row r="5381">
          <cell r="A5381" t="str">
            <v>IS_alqt_plus</v>
          </cell>
          <cell r="K5381" t="str">
            <v>PCOQ</v>
          </cell>
          <cell r="M5381" t="str">
            <v>F</v>
          </cell>
          <cell r="AC5381">
            <v>1</v>
          </cell>
        </row>
        <row r="5382">
          <cell r="A5382" t="str">
            <v>IS_alqt_plus</v>
          </cell>
          <cell r="K5382" t="str">
            <v>PCOQ</v>
          </cell>
          <cell r="M5382" t="str">
            <v>F</v>
          </cell>
          <cell r="AC5382">
            <v>1</v>
          </cell>
        </row>
        <row r="5383">
          <cell r="A5383" t="str">
            <v>IS_alqt_plus</v>
          </cell>
          <cell r="K5383" t="str">
            <v>PCOQ</v>
          </cell>
          <cell r="M5383" t="str">
            <v>F</v>
          </cell>
          <cell r="AC5383">
            <v>1</v>
          </cell>
        </row>
        <row r="5384">
          <cell r="A5384" t="str">
            <v>IS_alqt_plus</v>
          </cell>
          <cell r="K5384" t="str">
            <v>PCOQ</v>
          </cell>
          <cell r="M5384" t="str">
            <v>F</v>
          </cell>
          <cell r="AC5384">
            <v>1</v>
          </cell>
        </row>
        <row r="5385">
          <cell r="A5385" t="str">
            <v>IS_alqt_plus</v>
          </cell>
          <cell r="K5385" t="str">
            <v>PCOQ</v>
          </cell>
          <cell r="M5385" t="str">
            <v>F</v>
          </cell>
          <cell r="AC5385">
            <v>1</v>
          </cell>
        </row>
        <row r="5386">
          <cell r="A5386" t="str">
            <v>IS_alqt_plus</v>
          </cell>
          <cell r="K5386" t="str">
            <v>PCOQ</v>
          </cell>
          <cell r="M5386" t="str">
            <v>F</v>
          </cell>
          <cell r="AC5386">
            <v>1</v>
          </cell>
        </row>
        <row r="5387">
          <cell r="A5387" t="str">
            <v>IS_alqt_plus</v>
          </cell>
          <cell r="K5387" t="str">
            <v>PCOQ</v>
          </cell>
          <cell r="M5387" t="str">
            <v>F</v>
          </cell>
          <cell r="AC5387">
            <v>1</v>
          </cell>
        </row>
        <row r="5388">
          <cell r="A5388" t="str">
            <v>IS_alqt_plus</v>
          </cell>
          <cell r="K5388" t="str">
            <v>EFLA</v>
          </cell>
          <cell r="M5388" t="str">
            <v>F</v>
          </cell>
          <cell r="AC5388">
            <v>1</v>
          </cell>
        </row>
        <row r="5389">
          <cell r="A5389" t="str">
            <v>IS_alqt_plus</v>
          </cell>
          <cell r="K5389" t="str">
            <v>EFLA</v>
          </cell>
          <cell r="M5389" t="str">
            <v>F</v>
          </cell>
          <cell r="AC5389">
            <v>1</v>
          </cell>
        </row>
        <row r="5390">
          <cell r="A5390" t="str">
            <v>IS_alqt_minus</v>
          </cell>
          <cell r="K5390" t="str">
            <v>EFLA</v>
          </cell>
          <cell r="M5390" t="str">
            <v>F</v>
          </cell>
          <cell r="AC5390">
            <v>0.4</v>
          </cell>
        </row>
        <row r="5391">
          <cell r="A5391" t="str">
            <v>IS_alqt_plus</v>
          </cell>
          <cell r="K5391" t="str">
            <v>VRUB</v>
          </cell>
          <cell r="M5391" t="str">
            <v>F</v>
          </cell>
          <cell r="AC5391">
            <v>1</v>
          </cell>
        </row>
        <row r="5392">
          <cell r="A5392" t="str">
            <v>IS_alqt_minus</v>
          </cell>
          <cell r="K5392" t="str">
            <v>VRUB</v>
          </cell>
          <cell r="M5392" t="str">
            <v>F</v>
          </cell>
          <cell r="AC5392">
            <v>0.45</v>
          </cell>
        </row>
        <row r="5393">
          <cell r="A5393" t="str">
            <v>IS_alqt_minus</v>
          </cell>
          <cell r="K5393" t="str">
            <v>LCAT</v>
          </cell>
          <cell r="M5393" t="str">
            <v>F</v>
          </cell>
          <cell r="AC5393">
            <v>0.2</v>
          </cell>
        </row>
        <row r="5394">
          <cell r="A5394" t="str">
            <v>IS_alqt_minus</v>
          </cell>
          <cell r="K5394" t="str">
            <v>LCAT</v>
          </cell>
          <cell r="M5394" t="str">
            <v>F</v>
          </cell>
          <cell r="AC5394">
            <v>0.4</v>
          </cell>
        </row>
        <row r="5395">
          <cell r="A5395" t="str">
            <v>IS_alqt_plus</v>
          </cell>
          <cell r="K5395" t="str">
            <v>LCAT</v>
          </cell>
          <cell r="M5395" t="str">
            <v>F</v>
          </cell>
          <cell r="AC5395">
            <v>0.6</v>
          </cell>
        </row>
        <row r="5396">
          <cell r="A5396" t="str">
            <v>IS_alqt_plus</v>
          </cell>
          <cell r="K5396" t="str">
            <v>LCAT</v>
          </cell>
          <cell r="M5396" t="str">
            <v>F</v>
          </cell>
          <cell r="AC5396">
            <v>0.6</v>
          </cell>
        </row>
        <row r="5397">
          <cell r="A5397" t="str">
            <v>IS_alqt_plus</v>
          </cell>
          <cell r="K5397" t="str">
            <v>VRUB</v>
          </cell>
          <cell r="M5397" t="str">
            <v>F</v>
          </cell>
          <cell r="AC5397">
            <v>1</v>
          </cell>
        </row>
        <row r="5398">
          <cell r="A5398" t="str">
            <v>IS_alqt_plus</v>
          </cell>
          <cell r="K5398" t="str">
            <v>VRUB</v>
          </cell>
          <cell r="M5398" t="str">
            <v>F</v>
          </cell>
          <cell r="AC5398">
            <v>1</v>
          </cell>
        </row>
        <row r="5399">
          <cell r="A5399" t="str">
            <v>IS_alqt_plus</v>
          </cell>
          <cell r="K5399" t="str">
            <v>VRUB</v>
          </cell>
          <cell r="M5399" t="str">
            <v>F</v>
          </cell>
          <cell r="AC5399">
            <v>1</v>
          </cell>
        </row>
        <row r="5400">
          <cell r="A5400" t="str">
            <v>IS_alqt_minus</v>
          </cell>
          <cell r="K5400" t="str">
            <v>VRUB</v>
          </cell>
          <cell r="M5400" t="str">
            <v>F</v>
          </cell>
          <cell r="AC5400">
            <v>0.2</v>
          </cell>
        </row>
        <row r="5401">
          <cell r="A5401" t="str">
            <v>IS_alqt_minus</v>
          </cell>
          <cell r="K5401" t="str">
            <v>VRUB</v>
          </cell>
          <cell r="M5401" t="str">
            <v>F</v>
          </cell>
          <cell r="AC5401">
            <v>0.2</v>
          </cell>
        </row>
        <row r="5402">
          <cell r="A5402" t="str">
            <v>IS_alqt_minus</v>
          </cell>
          <cell r="K5402" t="str">
            <v>VRUB</v>
          </cell>
          <cell r="M5402" t="str">
            <v>F</v>
          </cell>
          <cell r="AC5402">
            <v>0.2</v>
          </cell>
        </row>
        <row r="5403">
          <cell r="A5403" t="str">
            <v>IS_alqt_minus</v>
          </cell>
          <cell r="K5403" t="str">
            <v>VRUB</v>
          </cell>
          <cell r="M5403" t="str">
            <v>F</v>
          </cell>
          <cell r="AC5403">
            <v>0.4</v>
          </cell>
        </row>
        <row r="5404">
          <cell r="A5404" t="str">
            <v>IS_alqt_minus</v>
          </cell>
          <cell r="K5404" t="str">
            <v>VRUB</v>
          </cell>
          <cell r="M5404" t="str">
            <v>F</v>
          </cell>
          <cell r="AC5404">
            <v>0.4</v>
          </cell>
        </row>
        <row r="5405">
          <cell r="A5405" t="str">
            <v>IS_alqt_plus</v>
          </cell>
          <cell r="K5405" t="str">
            <v>VRUB</v>
          </cell>
          <cell r="M5405" t="str">
            <v>F</v>
          </cell>
          <cell r="AC5405">
            <v>0.6</v>
          </cell>
        </row>
        <row r="5406">
          <cell r="A5406" t="str">
            <v>IS_alqt_plus</v>
          </cell>
          <cell r="K5406" t="str">
            <v>VRUB</v>
          </cell>
          <cell r="M5406" t="str">
            <v>F</v>
          </cell>
          <cell r="AC5406">
            <v>0.6</v>
          </cell>
        </row>
        <row r="5407">
          <cell r="A5407" t="str">
            <v>IS_alqt_plus</v>
          </cell>
          <cell r="K5407" t="str">
            <v>CMED</v>
          </cell>
          <cell r="M5407" t="str">
            <v>M</v>
          </cell>
          <cell r="AC5407">
            <v>0.5</v>
          </cell>
        </row>
        <row r="5408">
          <cell r="A5408" t="str">
            <v>unk</v>
          </cell>
          <cell r="K5408" t="str">
            <v>MZAZ</v>
          </cell>
          <cell r="M5408" t="str">
            <v>M</v>
          </cell>
        </row>
        <row r="5409">
          <cell r="A5409" t="str">
            <v>IS_alqt_plus</v>
          </cell>
          <cell r="K5409" t="str">
            <v>EALB</v>
          </cell>
          <cell r="M5409" t="str">
            <v>M</v>
          </cell>
          <cell r="AC5409">
            <v>1</v>
          </cell>
        </row>
        <row r="5410">
          <cell r="A5410" t="str">
            <v>unk</v>
          </cell>
          <cell r="K5410" t="str">
            <v>DMAD</v>
          </cell>
          <cell r="M5410" t="str">
            <v>M</v>
          </cell>
          <cell r="AC5410">
            <v>6</v>
          </cell>
        </row>
        <row r="5411">
          <cell r="A5411" t="str">
            <v>unk</v>
          </cell>
          <cell r="K5411" t="str">
            <v>DMAD</v>
          </cell>
          <cell r="M5411" t="str">
            <v>M</v>
          </cell>
          <cell r="AC5411">
            <v>6</v>
          </cell>
        </row>
        <row r="5412">
          <cell r="A5412" t="str">
            <v>unk</v>
          </cell>
          <cell r="K5412" t="str">
            <v>DMAD</v>
          </cell>
          <cell r="M5412" t="str">
            <v>M</v>
          </cell>
          <cell r="AC5412">
            <v>6</v>
          </cell>
        </row>
        <row r="5413">
          <cell r="A5413" t="str">
            <v>unk</v>
          </cell>
          <cell r="K5413" t="str">
            <v>DMAD</v>
          </cell>
          <cell r="M5413" t="str">
            <v>M</v>
          </cell>
          <cell r="AC5413">
            <v>6</v>
          </cell>
        </row>
        <row r="5414">
          <cell r="A5414" t="str">
            <v>unk</v>
          </cell>
          <cell r="K5414" t="str">
            <v>DMAD</v>
          </cell>
          <cell r="M5414" t="str">
            <v>M</v>
          </cell>
          <cell r="AC5414">
            <v>6</v>
          </cell>
        </row>
        <row r="5415">
          <cell r="A5415" t="str">
            <v>IS_alqt_plus</v>
          </cell>
          <cell r="K5415" t="str">
            <v>CMED</v>
          </cell>
          <cell r="M5415" t="str">
            <v>M</v>
          </cell>
          <cell r="AC5415">
            <v>0.5</v>
          </cell>
        </row>
        <row r="5416">
          <cell r="A5416" t="str">
            <v>IS_alqt_minus</v>
          </cell>
          <cell r="K5416" t="str">
            <v>CMED</v>
          </cell>
          <cell r="M5416" t="str">
            <v>M</v>
          </cell>
          <cell r="AC5416">
            <v>0.4</v>
          </cell>
        </row>
        <row r="5417">
          <cell r="A5417" t="str">
            <v>IS_alqt_plus</v>
          </cell>
          <cell r="K5417" t="str">
            <v>CMED</v>
          </cell>
          <cell r="M5417" t="str">
            <v>F</v>
          </cell>
          <cell r="AC5417">
            <v>0.6</v>
          </cell>
        </row>
        <row r="5418">
          <cell r="A5418" t="str">
            <v>IS_alqt_minus</v>
          </cell>
          <cell r="K5418" t="str">
            <v>CMED</v>
          </cell>
          <cell r="M5418" t="str">
            <v>F</v>
          </cell>
          <cell r="AC5418">
            <v>0.2</v>
          </cell>
        </row>
        <row r="5419">
          <cell r="A5419" t="str">
            <v>IS_alqt_minus</v>
          </cell>
          <cell r="K5419" t="str">
            <v>CMED</v>
          </cell>
          <cell r="M5419" t="str">
            <v>M</v>
          </cell>
          <cell r="AC5419">
            <v>0.3</v>
          </cell>
        </row>
        <row r="5420">
          <cell r="A5420" t="str">
            <v>IS_alqt_plus</v>
          </cell>
          <cell r="K5420" t="str">
            <v>PCOQ</v>
          </cell>
          <cell r="M5420" t="str">
            <v>M</v>
          </cell>
          <cell r="AC5420">
            <v>1</v>
          </cell>
        </row>
        <row r="5421">
          <cell r="A5421" t="str">
            <v>IS_alqt_plus</v>
          </cell>
          <cell r="K5421" t="str">
            <v>PCOQ</v>
          </cell>
          <cell r="M5421" t="str">
            <v>M</v>
          </cell>
          <cell r="AC5421">
            <v>1</v>
          </cell>
        </row>
        <row r="5422">
          <cell r="A5422" t="str">
            <v>IS_alqt_plus</v>
          </cell>
          <cell r="K5422" t="str">
            <v>PCOQ</v>
          </cell>
          <cell r="M5422" t="str">
            <v>M</v>
          </cell>
          <cell r="AC5422">
            <v>1</v>
          </cell>
        </row>
        <row r="5423">
          <cell r="A5423" t="str">
            <v>IS_alqt_plus</v>
          </cell>
          <cell r="K5423" t="str">
            <v>PCOQ</v>
          </cell>
          <cell r="M5423" t="str">
            <v>M</v>
          </cell>
          <cell r="AC5423">
            <v>1</v>
          </cell>
        </row>
        <row r="5424">
          <cell r="A5424" t="str">
            <v>IS_alqt_minus</v>
          </cell>
          <cell r="K5424" t="str">
            <v>PCOQ</v>
          </cell>
          <cell r="M5424" t="str">
            <v>M</v>
          </cell>
          <cell r="AC5424">
            <v>0.4</v>
          </cell>
        </row>
        <row r="5425">
          <cell r="A5425" t="str">
            <v>IS_alqt_plus</v>
          </cell>
          <cell r="K5425" t="str">
            <v>PCOQ</v>
          </cell>
          <cell r="M5425" t="str">
            <v>M</v>
          </cell>
          <cell r="AC5425">
            <v>1</v>
          </cell>
        </row>
        <row r="5426">
          <cell r="A5426" t="str">
            <v>IS_alqt_plus</v>
          </cell>
          <cell r="K5426" t="str">
            <v>PCOQ</v>
          </cell>
          <cell r="M5426" t="str">
            <v>M</v>
          </cell>
          <cell r="AC5426">
            <v>1</v>
          </cell>
        </row>
        <row r="5427">
          <cell r="A5427" t="str">
            <v>IS_alqt_plus</v>
          </cell>
          <cell r="K5427" t="str">
            <v>PCOQ</v>
          </cell>
          <cell r="M5427" t="str">
            <v>M</v>
          </cell>
          <cell r="AC5427">
            <v>1</v>
          </cell>
        </row>
        <row r="5428">
          <cell r="A5428" t="str">
            <v>IS_alqt_minus</v>
          </cell>
          <cell r="K5428" t="str">
            <v>PCOQ</v>
          </cell>
          <cell r="M5428" t="str">
            <v>M</v>
          </cell>
          <cell r="AC5428">
            <v>0.2</v>
          </cell>
        </row>
        <row r="5429">
          <cell r="A5429" t="str">
            <v>IS_alqt_plus</v>
          </cell>
          <cell r="K5429" t="str">
            <v>LCAT</v>
          </cell>
          <cell r="M5429" t="str">
            <v>M</v>
          </cell>
          <cell r="AC5429">
            <v>1</v>
          </cell>
        </row>
        <row r="5430">
          <cell r="A5430" t="str">
            <v>IS_alqt_plus</v>
          </cell>
          <cell r="K5430" t="str">
            <v>LCAT</v>
          </cell>
          <cell r="M5430" t="str">
            <v>M</v>
          </cell>
          <cell r="AC5430">
            <v>1</v>
          </cell>
        </row>
        <row r="5431">
          <cell r="A5431" t="str">
            <v>IS_alqt_plus</v>
          </cell>
          <cell r="K5431" t="str">
            <v>LCAT</v>
          </cell>
          <cell r="M5431" t="str">
            <v>M</v>
          </cell>
          <cell r="AC5431">
            <v>1</v>
          </cell>
        </row>
        <row r="5432">
          <cell r="A5432" t="str">
            <v>IS_alqt_minus</v>
          </cell>
          <cell r="K5432" t="str">
            <v>CMED</v>
          </cell>
          <cell r="M5432" t="str">
            <v>F</v>
          </cell>
          <cell r="AC5432">
            <v>0.2</v>
          </cell>
        </row>
        <row r="5433">
          <cell r="A5433" t="str">
            <v>IS_alqt_minus</v>
          </cell>
          <cell r="K5433" t="str">
            <v>CMED</v>
          </cell>
          <cell r="M5433" t="str">
            <v>F</v>
          </cell>
          <cell r="AC5433">
            <v>0.2</v>
          </cell>
        </row>
        <row r="5434">
          <cell r="A5434" t="str">
            <v>IS_alqt_minus</v>
          </cell>
          <cell r="K5434" t="str">
            <v>CMED</v>
          </cell>
          <cell r="M5434" t="str">
            <v>F</v>
          </cell>
          <cell r="AC5434">
            <v>0.2</v>
          </cell>
        </row>
        <row r="5435">
          <cell r="A5435" t="str">
            <v>IS_alqt_minus</v>
          </cell>
          <cell r="K5435" t="str">
            <v>CMED</v>
          </cell>
          <cell r="M5435" t="str">
            <v>F</v>
          </cell>
          <cell r="AC5435">
            <v>0.4</v>
          </cell>
        </row>
        <row r="5436">
          <cell r="A5436" t="str">
            <v>IS_alqt_plus</v>
          </cell>
          <cell r="K5436" t="str">
            <v>ECOL</v>
          </cell>
          <cell r="M5436" t="str">
            <v>M</v>
          </cell>
          <cell r="AC5436">
            <v>1</v>
          </cell>
        </row>
        <row r="5437">
          <cell r="A5437" t="str">
            <v>IS_alqt_minus</v>
          </cell>
          <cell r="K5437" t="str">
            <v>ECOL</v>
          </cell>
          <cell r="M5437" t="str">
            <v>M</v>
          </cell>
          <cell r="AC5437">
            <v>0.35</v>
          </cell>
        </row>
        <row r="5438">
          <cell r="A5438" t="str">
            <v>IS_alqt_plus</v>
          </cell>
          <cell r="K5438" t="str">
            <v>PCOQ</v>
          </cell>
          <cell r="M5438" t="str">
            <v>F</v>
          </cell>
          <cell r="AC5438">
            <v>1</v>
          </cell>
        </row>
        <row r="5439">
          <cell r="A5439" t="str">
            <v>IS_alqt_plus</v>
          </cell>
          <cell r="K5439" t="str">
            <v>PCOQ</v>
          </cell>
          <cell r="M5439" t="str">
            <v>F</v>
          </cell>
          <cell r="AC5439">
            <v>1</v>
          </cell>
        </row>
        <row r="5440">
          <cell r="A5440" t="str">
            <v>IS_alqt_plus</v>
          </cell>
          <cell r="K5440" t="str">
            <v>PCOQ</v>
          </cell>
          <cell r="M5440" t="str">
            <v>F</v>
          </cell>
          <cell r="AC5440">
            <v>1</v>
          </cell>
        </row>
        <row r="5441">
          <cell r="A5441" t="str">
            <v>IS_alqt_minus</v>
          </cell>
          <cell r="K5441" t="str">
            <v>MMUR</v>
          </cell>
          <cell r="M5441" t="str">
            <v>F</v>
          </cell>
          <cell r="AC5441">
            <v>0.2</v>
          </cell>
        </row>
        <row r="5442">
          <cell r="A5442" t="str">
            <v>IS_alqt_minus</v>
          </cell>
          <cell r="K5442" t="str">
            <v>MMUR</v>
          </cell>
          <cell r="M5442" t="str">
            <v>F</v>
          </cell>
          <cell r="AC5442">
            <v>0.2</v>
          </cell>
        </row>
        <row r="5443">
          <cell r="A5443" t="str">
            <v>IS_alqt_minus</v>
          </cell>
          <cell r="K5443" t="str">
            <v>MMUR</v>
          </cell>
          <cell r="M5443" t="str">
            <v>F</v>
          </cell>
          <cell r="AC5443">
            <v>0.2</v>
          </cell>
        </row>
        <row r="5444">
          <cell r="A5444" t="str">
            <v>IS_alqt_plus</v>
          </cell>
          <cell r="K5444" t="str">
            <v>PCOQ</v>
          </cell>
          <cell r="M5444" t="str">
            <v>M</v>
          </cell>
          <cell r="AC5444">
            <v>1</v>
          </cell>
        </row>
        <row r="5445">
          <cell r="A5445" t="str">
            <v>IS_alqt_plus</v>
          </cell>
          <cell r="K5445" t="str">
            <v>PCOQ</v>
          </cell>
          <cell r="M5445" t="str">
            <v>M</v>
          </cell>
          <cell r="AC5445">
            <v>1</v>
          </cell>
        </row>
        <row r="5446">
          <cell r="A5446" t="str">
            <v>IS_alqt_plus</v>
          </cell>
          <cell r="K5446" t="str">
            <v>PCOQ</v>
          </cell>
          <cell r="M5446" t="str">
            <v>M</v>
          </cell>
          <cell r="AC5446">
            <v>1</v>
          </cell>
        </row>
        <row r="5447">
          <cell r="A5447" t="str">
            <v>IS_alqt_plus</v>
          </cell>
          <cell r="K5447" t="str">
            <v>PCOQ</v>
          </cell>
          <cell r="M5447" t="str">
            <v>M</v>
          </cell>
          <cell r="AC5447">
            <v>1</v>
          </cell>
        </row>
        <row r="5448">
          <cell r="A5448" t="str">
            <v>IS_alqt_plus</v>
          </cell>
          <cell r="K5448" t="str">
            <v>PCOQ</v>
          </cell>
          <cell r="M5448" t="str">
            <v>M</v>
          </cell>
          <cell r="AC5448">
            <v>0.6</v>
          </cell>
        </row>
        <row r="5449">
          <cell r="A5449" t="str">
            <v>IS_alqt_plus</v>
          </cell>
          <cell r="K5449" t="str">
            <v>VVV</v>
          </cell>
          <cell r="M5449" t="str">
            <v>M</v>
          </cell>
          <cell r="AC5449">
            <v>1</v>
          </cell>
        </row>
        <row r="5450">
          <cell r="A5450" t="str">
            <v>IS_alqt_plus</v>
          </cell>
          <cell r="K5450" t="str">
            <v>VVV</v>
          </cell>
          <cell r="M5450" t="str">
            <v>M</v>
          </cell>
          <cell r="AC5450">
            <v>1</v>
          </cell>
        </row>
        <row r="5451">
          <cell r="A5451" t="str">
            <v>IS_alqt_plus</v>
          </cell>
          <cell r="K5451" t="str">
            <v>VVV</v>
          </cell>
          <cell r="M5451" t="str">
            <v>M</v>
          </cell>
          <cell r="AC5451">
            <v>1</v>
          </cell>
        </row>
        <row r="5452">
          <cell r="A5452" t="str">
            <v>IS_alqt_plus</v>
          </cell>
          <cell r="K5452" t="str">
            <v>VVV</v>
          </cell>
          <cell r="M5452" t="str">
            <v>M</v>
          </cell>
          <cell r="AC5452">
            <v>0.5</v>
          </cell>
        </row>
        <row r="5453">
          <cell r="A5453" t="str">
            <v>IS_alqt_plus</v>
          </cell>
          <cell r="K5453" t="str">
            <v>LCAT</v>
          </cell>
          <cell r="M5453" t="str">
            <v>F</v>
          </cell>
          <cell r="AC5453">
            <v>1</v>
          </cell>
        </row>
        <row r="5454">
          <cell r="A5454" t="str">
            <v>IS_alqt_plus</v>
          </cell>
          <cell r="K5454" t="str">
            <v>LCAT</v>
          </cell>
          <cell r="M5454" t="str">
            <v>F</v>
          </cell>
          <cell r="AC5454">
            <v>1</v>
          </cell>
        </row>
        <row r="5455">
          <cell r="A5455" t="str">
            <v>IS_alqt_plus</v>
          </cell>
          <cell r="K5455" t="str">
            <v>LCAT</v>
          </cell>
          <cell r="M5455" t="str">
            <v>F</v>
          </cell>
          <cell r="AC5455">
            <v>0.7</v>
          </cell>
        </row>
        <row r="5456">
          <cell r="A5456" t="str">
            <v>IS_alqt_minus</v>
          </cell>
          <cell r="K5456" t="str">
            <v>EFLA</v>
          </cell>
          <cell r="M5456" t="str">
            <v>F</v>
          </cell>
          <cell r="AC5456">
            <v>0.2</v>
          </cell>
        </row>
        <row r="5457">
          <cell r="A5457" t="str">
            <v>IS_alqt_minus</v>
          </cell>
          <cell r="K5457" t="str">
            <v>EFLA</v>
          </cell>
          <cell r="M5457" t="str">
            <v>F</v>
          </cell>
          <cell r="AC5457">
            <v>0.4</v>
          </cell>
        </row>
        <row r="5458">
          <cell r="A5458" t="str">
            <v>IS_alqt_minus</v>
          </cell>
          <cell r="K5458" t="str">
            <v>EFLA</v>
          </cell>
          <cell r="M5458" t="str">
            <v>F</v>
          </cell>
          <cell r="AC5458">
            <v>0.4</v>
          </cell>
        </row>
        <row r="5459">
          <cell r="A5459" t="str">
            <v>IS_alqt_plus</v>
          </cell>
          <cell r="K5459" t="str">
            <v>EFLA</v>
          </cell>
          <cell r="M5459" t="str">
            <v>F</v>
          </cell>
          <cell r="AC5459">
            <v>0.6</v>
          </cell>
        </row>
        <row r="5460">
          <cell r="A5460" t="str">
            <v>IS_alqt_plus</v>
          </cell>
          <cell r="K5460" t="str">
            <v>EFLA</v>
          </cell>
          <cell r="M5460" t="str">
            <v>F</v>
          </cell>
          <cell r="AC5460">
            <v>0.6</v>
          </cell>
        </row>
        <row r="5461">
          <cell r="A5461" t="str">
            <v>IS_alqt_plus</v>
          </cell>
          <cell r="K5461" t="str">
            <v>EFLA</v>
          </cell>
          <cell r="M5461" t="str">
            <v>F</v>
          </cell>
          <cell r="AC5461">
            <v>0.8</v>
          </cell>
        </row>
        <row r="5462">
          <cell r="A5462" t="str">
            <v>IS_alqt_plus</v>
          </cell>
          <cell r="K5462" t="str">
            <v>EFLA</v>
          </cell>
          <cell r="M5462" t="str">
            <v>F</v>
          </cell>
          <cell r="AC5462">
            <v>0.8</v>
          </cell>
        </row>
        <row r="5463">
          <cell r="A5463" t="str">
            <v>IS_alqt_plus</v>
          </cell>
          <cell r="K5463" t="str">
            <v>EFLA</v>
          </cell>
          <cell r="M5463" t="str">
            <v>F</v>
          </cell>
          <cell r="AC5463">
            <v>1</v>
          </cell>
        </row>
        <row r="5464">
          <cell r="A5464" t="str">
            <v>IS_alqt_plus</v>
          </cell>
          <cell r="K5464" t="str">
            <v>EFLA</v>
          </cell>
          <cell r="M5464" t="str">
            <v>F</v>
          </cell>
          <cell r="AC5464">
            <v>1</v>
          </cell>
        </row>
        <row r="5465">
          <cell r="A5465" t="str">
            <v>IS_alqt_plus</v>
          </cell>
          <cell r="K5465" t="str">
            <v>EFLA</v>
          </cell>
          <cell r="M5465" t="str">
            <v>F</v>
          </cell>
          <cell r="AC5465">
            <v>1</v>
          </cell>
        </row>
        <row r="5466">
          <cell r="A5466" t="str">
            <v>IS_alqt_plus</v>
          </cell>
          <cell r="K5466" t="str">
            <v>VVV</v>
          </cell>
          <cell r="M5466" t="str">
            <v>F</v>
          </cell>
          <cell r="AC5466">
            <v>0.5</v>
          </cell>
        </row>
        <row r="5467">
          <cell r="A5467" t="str">
            <v>IS_alqt_plus</v>
          </cell>
          <cell r="K5467" t="str">
            <v>VVV</v>
          </cell>
          <cell r="M5467" t="str">
            <v>F</v>
          </cell>
          <cell r="AC5467">
            <v>0.5</v>
          </cell>
        </row>
        <row r="5468">
          <cell r="A5468" t="str">
            <v>IS_alqt_plus</v>
          </cell>
          <cell r="K5468" t="str">
            <v>VVV</v>
          </cell>
          <cell r="M5468" t="str">
            <v>F</v>
          </cell>
          <cell r="AC5468">
            <v>0.5</v>
          </cell>
        </row>
        <row r="5469">
          <cell r="A5469" t="str">
            <v>IS_alqt_plus</v>
          </cell>
          <cell r="K5469" t="str">
            <v>VVV</v>
          </cell>
          <cell r="M5469" t="str">
            <v>F</v>
          </cell>
          <cell r="AC5469">
            <v>0.5</v>
          </cell>
        </row>
        <row r="5470">
          <cell r="A5470" t="str">
            <v>IS_alqt_plus</v>
          </cell>
          <cell r="K5470" t="str">
            <v>VVV</v>
          </cell>
          <cell r="M5470" t="str">
            <v>F</v>
          </cell>
          <cell r="AC5470">
            <v>0.75</v>
          </cell>
        </row>
        <row r="5471">
          <cell r="A5471" t="str">
            <v>IS_alqt_minus</v>
          </cell>
          <cell r="K5471" t="str">
            <v>CMED</v>
          </cell>
          <cell r="M5471" t="str">
            <v>M</v>
          </cell>
          <cell r="AC5471">
            <v>0.1</v>
          </cell>
        </row>
        <row r="5472">
          <cell r="A5472" t="str">
            <v>IS_alqt_minus</v>
          </cell>
          <cell r="K5472" t="str">
            <v>CMED</v>
          </cell>
          <cell r="M5472" t="str">
            <v>F</v>
          </cell>
          <cell r="AC5472">
            <v>0.2</v>
          </cell>
        </row>
        <row r="5473">
          <cell r="A5473" t="str">
            <v>IS_alqt_minus</v>
          </cell>
          <cell r="K5473" t="str">
            <v>CMED</v>
          </cell>
          <cell r="M5473" t="str">
            <v>F</v>
          </cell>
          <cell r="AC5473">
            <v>0.2</v>
          </cell>
        </row>
        <row r="5474">
          <cell r="A5474" t="str">
            <v>IS_alqt_minus</v>
          </cell>
          <cell r="K5474" t="str">
            <v>CMED</v>
          </cell>
          <cell r="M5474" t="str">
            <v>M</v>
          </cell>
          <cell r="AC5474">
            <v>0.1</v>
          </cell>
        </row>
        <row r="5475">
          <cell r="A5475" t="str">
            <v>IS_alqt_minus</v>
          </cell>
          <cell r="K5475" t="str">
            <v>CMED</v>
          </cell>
          <cell r="M5475" t="str">
            <v>M</v>
          </cell>
          <cell r="AC5475">
            <v>0.2</v>
          </cell>
        </row>
        <row r="5476">
          <cell r="A5476" t="str">
            <v>IS_alqt_minus</v>
          </cell>
          <cell r="K5476" t="str">
            <v>CMED</v>
          </cell>
          <cell r="M5476" t="str">
            <v>F</v>
          </cell>
          <cell r="AC5476">
            <v>0.2</v>
          </cell>
        </row>
        <row r="5477">
          <cell r="A5477" t="str">
            <v>IS_alqt_minus</v>
          </cell>
          <cell r="K5477" t="str">
            <v>CMED</v>
          </cell>
          <cell r="M5477" t="str">
            <v>F</v>
          </cell>
          <cell r="AC5477">
            <v>0.2</v>
          </cell>
        </row>
        <row r="5478">
          <cell r="A5478" t="str">
            <v>IS_alqt_minus</v>
          </cell>
          <cell r="K5478" t="str">
            <v>CMED</v>
          </cell>
          <cell r="M5478" t="str">
            <v>F</v>
          </cell>
          <cell r="AC5478">
            <v>0.4</v>
          </cell>
        </row>
        <row r="5479">
          <cell r="A5479" t="str">
            <v>IS_alqt_minus</v>
          </cell>
          <cell r="K5479" t="str">
            <v>CMED</v>
          </cell>
          <cell r="M5479" t="str">
            <v>F</v>
          </cell>
          <cell r="AC5479">
            <v>0.4</v>
          </cell>
        </row>
        <row r="5480">
          <cell r="A5480" t="str">
            <v>IS_alqt_plus</v>
          </cell>
          <cell r="K5480" t="str">
            <v>CMED</v>
          </cell>
          <cell r="M5480" t="str">
            <v>F</v>
          </cell>
          <cell r="AC5480">
            <v>0.6</v>
          </cell>
        </row>
        <row r="5481">
          <cell r="A5481" t="str">
            <v>IS_alqt_minus</v>
          </cell>
          <cell r="K5481" t="str">
            <v>CMED</v>
          </cell>
          <cell r="M5481" t="str">
            <v>M</v>
          </cell>
          <cell r="AC5481">
            <v>0.2</v>
          </cell>
        </row>
        <row r="5482">
          <cell r="A5482" t="str">
            <v>IS_alqt_minus</v>
          </cell>
          <cell r="K5482" t="str">
            <v>CMED</v>
          </cell>
          <cell r="M5482" t="str">
            <v>M</v>
          </cell>
          <cell r="AC5482">
            <v>0.2</v>
          </cell>
        </row>
        <row r="5483">
          <cell r="A5483" t="str">
            <v>IS_alqt_minus</v>
          </cell>
          <cell r="K5483" t="str">
            <v>CMED</v>
          </cell>
          <cell r="M5483" t="str">
            <v>M</v>
          </cell>
          <cell r="AC5483">
            <v>0.2</v>
          </cell>
        </row>
        <row r="5484">
          <cell r="A5484" t="str">
            <v>IS_alqt_minus</v>
          </cell>
          <cell r="K5484" t="str">
            <v>CMED</v>
          </cell>
          <cell r="M5484" t="str">
            <v>M</v>
          </cell>
          <cell r="AC5484">
            <v>0.4</v>
          </cell>
        </row>
        <row r="5485">
          <cell r="A5485" t="str">
            <v>IS_alqt_minus</v>
          </cell>
          <cell r="K5485" t="str">
            <v>CMED</v>
          </cell>
          <cell r="M5485" t="str">
            <v>M</v>
          </cell>
          <cell r="AC5485">
            <v>0.4</v>
          </cell>
        </row>
        <row r="5486">
          <cell r="A5486" t="str">
            <v>IS_alqt_minus</v>
          </cell>
          <cell r="K5486" t="str">
            <v>CMED</v>
          </cell>
          <cell r="M5486" t="str">
            <v>M</v>
          </cell>
          <cell r="AC5486">
            <v>0.35</v>
          </cell>
        </row>
        <row r="5487">
          <cell r="A5487" t="str">
            <v>IS_alqt_minus</v>
          </cell>
          <cell r="K5487" t="str">
            <v>CMED</v>
          </cell>
          <cell r="M5487" t="str">
            <v>F</v>
          </cell>
          <cell r="AC5487">
            <v>0.3</v>
          </cell>
        </row>
        <row r="5488">
          <cell r="A5488" t="str">
            <v>IS_alqt_minus</v>
          </cell>
          <cell r="K5488" t="str">
            <v>CMED</v>
          </cell>
          <cell r="M5488" t="str">
            <v>F</v>
          </cell>
          <cell r="AC5488">
            <v>0.2</v>
          </cell>
        </row>
        <row r="5489">
          <cell r="A5489" t="str">
            <v>IS_alqt_minus</v>
          </cell>
          <cell r="K5489" t="str">
            <v>CMED</v>
          </cell>
          <cell r="M5489" t="str">
            <v>F</v>
          </cell>
          <cell r="AC5489">
            <v>0.2</v>
          </cell>
        </row>
        <row r="5490">
          <cell r="A5490" t="str">
            <v>IS_alqt_minus</v>
          </cell>
          <cell r="K5490" t="str">
            <v>CMED</v>
          </cell>
          <cell r="M5490" t="str">
            <v>F</v>
          </cell>
          <cell r="AC5490">
            <v>0.1</v>
          </cell>
        </row>
        <row r="5491">
          <cell r="A5491" t="str">
            <v>IS_alqt_minus</v>
          </cell>
          <cell r="K5491" t="str">
            <v>CMED</v>
          </cell>
          <cell r="M5491" t="str">
            <v>M</v>
          </cell>
          <cell r="AC5491">
            <v>0.05</v>
          </cell>
        </row>
        <row r="5492">
          <cell r="A5492" t="str">
            <v>IS_alqt_minus</v>
          </cell>
          <cell r="K5492" t="str">
            <v>CMED</v>
          </cell>
          <cell r="M5492" t="str">
            <v>F</v>
          </cell>
          <cell r="AC5492">
            <v>0.2</v>
          </cell>
        </row>
        <row r="5493">
          <cell r="A5493" t="str">
            <v>IS_alqt_plus</v>
          </cell>
          <cell r="K5493" t="str">
            <v>LCAT</v>
          </cell>
          <cell r="M5493" t="str">
            <v>F</v>
          </cell>
          <cell r="AC5493">
            <v>1</v>
          </cell>
        </row>
        <row r="5494">
          <cell r="A5494" t="str">
            <v>IS_alqt_plus</v>
          </cell>
          <cell r="K5494" t="str">
            <v>LCAT</v>
          </cell>
          <cell r="M5494" t="str">
            <v>F</v>
          </cell>
          <cell r="AC5494">
            <v>0.6</v>
          </cell>
        </row>
        <row r="5495">
          <cell r="A5495" t="str">
            <v>IS_alqt_plus</v>
          </cell>
          <cell r="K5495" t="str">
            <v>LCAT</v>
          </cell>
          <cell r="M5495" t="str">
            <v>F</v>
          </cell>
          <cell r="AC5495">
            <v>1</v>
          </cell>
        </row>
        <row r="5496">
          <cell r="A5496" t="str">
            <v>IS_alqt_minus</v>
          </cell>
          <cell r="K5496" t="str">
            <v>LCAT</v>
          </cell>
          <cell r="M5496" t="str">
            <v>F</v>
          </cell>
          <cell r="AC5496">
            <v>0.3</v>
          </cell>
        </row>
        <row r="5497">
          <cell r="A5497" t="str">
            <v>IS_alqt_plus</v>
          </cell>
          <cell r="K5497" t="str">
            <v>PCOQ</v>
          </cell>
          <cell r="M5497" t="str">
            <v>F</v>
          </cell>
          <cell r="AC5497">
            <v>1</v>
          </cell>
        </row>
        <row r="5498">
          <cell r="A5498" t="str">
            <v>IS_alqt_plus</v>
          </cell>
          <cell r="K5498" t="str">
            <v>PCOQ</v>
          </cell>
          <cell r="M5498" t="str">
            <v>F</v>
          </cell>
          <cell r="AC5498">
            <v>1</v>
          </cell>
        </row>
        <row r="5499">
          <cell r="A5499" t="str">
            <v>IS_alqt_plus</v>
          </cell>
          <cell r="K5499" t="str">
            <v>PCOQ</v>
          </cell>
          <cell r="M5499" t="str">
            <v>F</v>
          </cell>
          <cell r="AC5499">
            <v>1</v>
          </cell>
        </row>
        <row r="5500">
          <cell r="A5500" t="str">
            <v>IS_alqt_plus</v>
          </cell>
          <cell r="K5500" t="str">
            <v>PCOQ</v>
          </cell>
          <cell r="M5500" t="str">
            <v>F</v>
          </cell>
          <cell r="AC5500">
            <v>1</v>
          </cell>
        </row>
        <row r="5501">
          <cell r="A5501" t="str">
            <v>IS_alqt_minus</v>
          </cell>
          <cell r="K5501" t="str">
            <v>PCOQ</v>
          </cell>
          <cell r="M5501" t="str">
            <v>F</v>
          </cell>
          <cell r="AC5501">
            <v>0.4</v>
          </cell>
        </row>
        <row r="5502">
          <cell r="A5502" t="str">
            <v>IS_alqt_plus</v>
          </cell>
          <cell r="K5502" t="str">
            <v>PCOQ</v>
          </cell>
          <cell r="M5502" t="str">
            <v>F</v>
          </cell>
          <cell r="AC5502">
            <v>1</v>
          </cell>
        </row>
        <row r="5503">
          <cell r="A5503" t="str">
            <v>IS_alqt_plus</v>
          </cell>
          <cell r="K5503" t="str">
            <v>PCOQ</v>
          </cell>
          <cell r="M5503" t="str">
            <v>F</v>
          </cell>
          <cell r="AC5503">
            <v>1</v>
          </cell>
        </row>
        <row r="5504">
          <cell r="A5504" t="str">
            <v>IS_alqt_plus</v>
          </cell>
          <cell r="K5504" t="str">
            <v>PCOQ</v>
          </cell>
          <cell r="M5504" t="str">
            <v>F</v>
          </cell>
          <cell r="AC5504">
            <v>1</v>
          </cell>
        </row>
        <row r="5505">
          <cell r="A5505" t="str">
            <v>IS_alqt_plus</v>
          </cell>
          <cell r="K5505" t="str">
            <v>PCOQ</v>
          </cell>
          <cell r="M5505" t="str">
            <v>F</v>
          </cell>
          <cell r="AC5505">
            <v>1</v>
          </cell>
        </row>
        <row r="5506">
          <cell r="A5506" t="str">
            <v>IS_alqt_plus</v>
          </cell>
          <cell r="K5506" t="str">
            <v>PCOQ</v>
          </cell>
          <cell r="M5506" t="str">
            <v>F</v>
          </cell>
          <cell r="AC5506">
            <v>1</v>
          </cell>
        </row>
        <row r="5507">
          <cell r="A5507" t="str">
            <v>IS_alqt_minus</v>
          </cell>
          <cell r="K5507" t="str">
            <v>VRUB</v>
          </cell>
          <cell r="M5507" t="str">
            <v>M</v>
          </cell>
          <cell r="AC5507">
            <v>0.3</v>
          </cell>
        </row>
        <row r="5508">
          <cell r="A5508" t="str">
            <v>IS_alqt_minus</v>
          </cell>
          <cell r="K5508" t="str">
            <v>VRUB</v>
          </cell>
          <cell r="M5508" t="str">
            <v>M</v>
          </cell>
          <cell r="AC5508">
            <v>0.4</v>
          </cell>
        </row>
        <row r="5509">
          <cell r="A5509" t="str">
            <v>IS_alqt_plus</v>
          </cell>
          <cell r="K5509" t="str">
            <v>VRUB</v>
          </cell>
          <cell r="M5509" t="str">
            <v>M</v>
          </cell>
          <cell r="AC5509">
            <v>0.6</v>
          </cell>
        </row>
        <row r="5510">
          <cell r="A5510" t="str">
            <v>IS_alqt_plus</v>
          </cell>
          <cell r="K5510" t="str">
            <v>VRUB</v>
          </cell>
          <cell r="M5510" t="str">
            <v>M</v>
          </cell>
          <cell r="AC5510">
            <v>0.6</v>
          </cell>
        </row>
        <row r="5511">
          <cell r="A5511" t="str">
            <v>IS_alqt_minus</v>
          </cell>
          <cell r="K5511" t="str">
            <v>VVV</v>
          </cell>
          <cell r="M5511" t="str">
            <v>F</v>
          </cell>
          <cell r="AC5511">
            <v>0.4</v>
          </cell>
        </row>
        <row r="5512">
          <cell r="A5512" t="str">
            <v>IS_alqt_plus</v>
          </cell>
          <cell r="K5512" t="str">
            <v>VVV</v>
          </cell>
          <cell r="M5512" t="str">
            <v>F</v>
          </cell>
          <cell r="AC5512">
            <v>0.6</v>
          </cell>
        </row>
        <row r="5513">
          <cell r="A5513" t="str">
            <v>IS_alqt_plus</v>
          </cell>
          <cell r="K5513" t="str">
            <v>VVV</v>
          </cell>
          <cell r="M5513" t="str">
            <v>F</v>
          </cell>
          <cell r="AC5513">
            <v>0.8</v>
          </cell>
        </row>
        <row r="5514">
          <cell r="A5514" t="str">
            <v>IS_alqt_plus</v>
          </cell>
          <cell r="K5514" t="str">
            <v>VVV</v>
          </cell>
          <cell r="M5514" t="str">
            <v>F</v>
          </cell>
          <cell r="AC5514">
            <v>0.8</v>
          </cell>
        </row>
        <row r="5515">
          <cell r="A5515" t="str">
            <v>IS_alqt_plus</v>
          </cell>
          <cell r="K5515" t="str">
            <v>VVV</v>
          </cell>
          <cell r="M5515" t="str">
            <v>F</v>
          </cell>
          <cell r="AC5515">
            <v>1</v>
          </cell>
        </row>
        <row r="5516">
          <cell r="A5516" t="str">
            <v>IS_alqt_plus</v>
          </cell>
          <cell r="K5516" t="str">
            <v>VVV</v>
          </cell>
          <cell r="M5516" t="str">
            <v>F</v>
          </cell>
          <cell r="AC5516">
            <v>1</v>
          </cell>
        </row>
        <row r="5517">
          <cell r="A5517" t="str">
            <v>IS_alqt_minus</v>
          </cell>
          <cell r="K5517" t="str">
            <v>VVV</v>
          </cell>
          <cell r="M5517" t="str">
            <v>M</v>
          </cell>
          <cell r="AC5517">
            <v>0.4</v>
          </cell>
        </row>
        <row r="5518">
          <cell r="A5518" t="str">
            <v>IS_alqt_plus</v>
          </cell>
          <cell r="K5518" t="str">
            <v>VVV</v>
          </cell>
          <cell r="M5518" t="str">
            <v>M</v>
          </cell>
          <cell r="AC5518">
            <v>0.6</v>
          </cell>
        </row>
        <row r="5519">
          <cell r="A5519" t="str">
            <v>IS_alqt_plus</v>
          </cell>
          <cell r="K5519" t="str">
            <v>VVV</v>
          </cell>
          <cell r="M5519" t="str">
            <v>M</v>
          </cell>
          <cell r="AC5519">
            <v>0.6</v>
          </cell>
        </row>
        <row r="5520">
          <cell r="A5520" t="str">
            <v>IS_alqt_plus</v>
          </cell>
          <cell r="K5520" t="str">
            <v>VVV</v>
          </cell>
          <cell r="M5520" t="str">
            <v>M</v>
          </cell>
          <cell r="AC5520">
            <v>0.8</v>
          </cell>
        </row>
        <row r="5521">
          <cell r="A5521" t="str">
            <v>IS_alqt_plus</v>
          </cell>
          <cell r="K5521" t="str">
            <v>VVV</v>
          </cell>
          <cell r="M5521" t="str">
            <v>M</v>
          </cell>
          <cell r="AC5521">
            <v>1</v>
          </cell>
        </row>
        <row r="5522">
          <cell r="A5522" t="str">
            <v>IS_alqt_plus</v>
          </cell>
          <cell r="K5522" t="str">
            <v>VVV</v>
          </cell>
          <cell r="M5522" t="str">
            <v>M</v>
          </cell>
          <cell r="AC5522">
            <v>1</v>
          </cell>
        </row>
        <row r="5523">
          <cell r="A5523" t="str">
            <v>IS_alqt_plus</v>
          </cell>
          <cell r="K5523" t="str">
            <v>PCOQ</v>
          </cell>
          <cell r="M5523" t="str">
            <v>M</v>
          </cell>
          <cell r="AC5523">
            <v>1</v>
          </cell>
        </row>
        <row r="5524">
          <cell r="A5524" t="str">
            <v>IS_alqt_plus</v>
          </cell>
          <cell r="K5524" t="str">
            <v>PCOQ</v>
          </cell>
          <cell r="M5524" t="str">
            <v>M</v>
          </cell>
          <cell r="AC5524">
            <v>1</v>
          </cell>
        </row>
        <row r="5525">
          <cell r="A5525" t="str">
            <v>IS_alqt_plus</v>
          </cell>
          <cell r="K5525" t="str">
            <v>PCOQ</v>
          </cell>
          <cell r="M5525" t="str">
            <v>M</v>
          </cell>
          <cell r="AC5525">
            <v>1</v>
          </cell>
        </row>
        <row r="5526">
          <cell r="A5526" t="str">
            <v>IS_alqt_minus</v>
          </cell>
          <cell r="K5526" t="str">
            <v>PCOQ</v>
          </cell>
          <cell r="M5526" t="str">
            <v>M</v>
          </cell>
          <cell r="AC5526">
            <v>0.2</v>
          </cell>
        </row>
        <row r="5527">
          <cell r="A5527" t="str">
            <v>IS_alqt_minus</v>
          </cell>
          <cell r="K5527" t="str">
            <v>PCOQ</v>
          </cell>
          <cell r="M5527" t="str">
            <v>M</v>
          </cell>
          <cell r="AC5527">
            <v>0.4</v>
          </cell>
        </row>
        <row r="5528">
          <cell r="A5528" t="str">
            <v>IS_alqt_plus</v>
          </cell>
          <cell r="K5528" t="str">
            <v>PCOQ</v>
          </cell>
          <cell r="M5528" t="str">
            <v>M</v>
          </cell>
          <cell r="AC5528">
            <v>0.6</v>
          </cell>
        </row>
        <row r="5529">
          <cell r="A5529" t="str">
            <v>IS_alqt_plus</v>
          </cell>
          <cell r="K5529" t="str">
            <v>EFLA</v>
          </cell>
          <cell r="M5529" t="str">
            <v>M</v>
          </cell>
          <cell r="AC5529">
            <v>1</v>
          </cell>
        </row>
        <row r="5530">
          <cell r="A5530" t="str">
            <v>IS_alqt_plus</v>
          </cell>
          <cell r="K5530" t="str">
            <v>EFLA</v>
          </cell>
          <cell r="M5530" t="str">
            <v>M</v>
          </cell>
          <cell r="AC5530">
            <v>1</v>
          </cell>
        </row>
        <row r="5531">
          <cell r="A5531" t="str">
            <v>IS_alqt_plus</v>
          </cell>
          <cell r="K5531" t="str">
            <v>EFLA</v>
          </cell>
          <cell r="M5531" t="str">
            <v>M</v>
          </cell>
          <cell r="AC5531">
            <v>0.7</v>
          </cell>
        </row>
        <row r="5532">
          <cell r="A5532" t="str">
            <v>IS_alqt_minus</v>
          </cell>
          <cell r="K5532" t="str">
            <v>DMAD</v>
          </cell>
          <cell r="M5532" t="str">
            <v>F</v>
          </cell>
          <cell r="AC5532">
            <v>0.2</v>
          </cell>
        </row>
        <row r="5533">
          <cell r="A5533" t="str">
            <v>IS_alqt_minus</v>
          </cell>
          <cell r="K5533" t="str">
            <v>DMAD</v>
          </cell>
          <cell r="M5533" t="str">
            <v>F</v>
          </cell>
          <cell r="AC5533">
            <v>0.4</v>
          </cell>
        </row>
        <row r="5534">
          <cell r="A5534" t="str">
            <v>IS_alqt_minus</v>
          </cell>
          <cell r="K5534" t="str">
            <v>DMAD</v>
          </cell>
          <cell r="M5534" t="str">
            <v>F</v>
          </cell>
          <cell r="AC5534">
            <v>0.4</v>
          </cell>
        </row>
        <row r="5535">
          <cell r="A5535" t="str">
            <v>IS_alqt_plus</v>
          </cell>
          <cell r="K5535" t="str">
            <v>DMAD</v>
          </cell>
          <cell r="M5535" t="str">
            <v>F</v>
          </cell>
          <cell r="AC5535">
            <v>0.6</v>
          </cell>
        </row>
        <row r="5536">
          <cell r="A5536" t="str">
            <v>IS_alqt_plus</v>
          </cell>
          <cell r="K5536" t="str">
            <v>DMAD</v>
          </cell>
          <cell r="M5536" t="str">
            <v>F</v>
          </cell>
          <cell r="AC5536">
            <v>0.6</v>
          </cell>
        </row>
        <row r="5537">
          <cell r="A5537" t="str">
            <v>IS_alqt_plus</v>
          </cell>
          <cell r="K5537" t="str">
            <v>DMAD</v>
          </cell>
          <cell r="M5537" t="str">
            <v>F</v>
          </cell>
          <cell r="AC5537">
            <v>0.6</v>
          </cell>
        </row>
        <row r="5538">
          <cell r="A5538" t="str">
            <v>IS_alqt_plus</v>
          </cell>
          <cell r="K5538" t="str">
            <v>DMAD</v>
          </cell>
          <cell r="M5538" t="str">
            <v>F</v>
          </cell>
          <cell r="AC5538">
            <v>0.8</v>
          </cell>
        </row>
        <row r="5539">
          <cell r="A5539" t="str">
            <v>IS_alqt_plus</v>
          </cell>
          <cell r="K5539" t="str">
            <v>DMAD</v>
          </cell>
          <cell r="M5539" t="str">
            <v>F</v>
          </cell>
          <cell r="AC5539">
            <v>1</v>
          </cell>
        </row>
        <row r="5540">
          <cell r="A5540" t="str">
            <v>IS_alqt_plus</v>
          </cell>
          <cell r="K5540" t="str">
            <v>DMAD</v>
          </cell>
          <cell r="M5540" t="str">
            <v>F</v>
          </cell>
          <cell r="AC5540">
            <v>1</v>
          </cell>
        </row>
        <row r="5541">
          <cell r="A5541" t="str">
            <v>IS_alqt_plus</v>
          </cell>
          <cell r="K5541" t="str">
            <v>DMAD</v>
          </cell>
          <cell r="M5541" t="str">
            <v>F</v>
          </cell>
          <cell r="AC5541">
            <v>1</v>
          </cell>
        </row>
        <row r="5542">
          <cell r="A5542" t="str">
            <v>IS_alqt_plus</v>
          </cell>
          <cell r="K5542" t="str">
            <v>DMAD</v>
          </cell>
          <cell r="M5542" t="str">
            <v>F</v>
          </cell>
          <cell r="AC5542">
            <v>2</v>
          </cell>
        </row>
        <row r="5543">
          <cell r="A5543" t="str">
            <v>IS_alqt_plus</v>
          </cell>
          <cell r="K5543" t="str">
            <v>DMAD</v>
          </cell>
          <cell r="M5543" t="str">
            <v>F</v>
          </cell>
          <cell r="AC5543">
            <v>2</v>
          </cell>
        </row>
        <row r="5544">
          <cell r="A5544" t="str">
            <v>IS_alqt_plus</v>
          </cell>
          <cell r="K5544" t="str">
            <v>DMAD</v>
          </cell>
          <cell r="M5544" t="str">
            <v>F</v>
          </cell>
          <cell r="AC5544">
            <v>2</v>
          </cell>
        </row>
        <row r="5545">
          <cell r="A5545" t="str">
            <v>IS_alqt_plus</v>
          </cell>
          <cell r="K5545" t="str">
            <v>EMON</v>
          </cell>
          <cell r="M5545" t="str">
            <v>F</v>
          </cell>
          <cell r="AC5545">
            <v>1</v>
          </cell>
        </row>
        <row r="5546">
          <cell r="A5546" t="str">
            <v>IS_alqt_plus</v>
          </cell>
          <cell r="K5546" t="str">
            <v>EMON</v>
          </cell>
          <cell r="M5546" t="str">
            <v>F</v>
          </cell>
          <cell r="AC5546">
            <v>1</v>
          </cell>
        </row>
        <row r="5547">
          <cell r="A5547" t="str">
            <v>IS_alqt_plus</v>
          </cell>
          <cell r="K5547" t="str">
            <v>EMON</v>
          </cell>
          <cell r="M5547" t="str">
            <v>F</v>
          </cell>
          <cell r="AC5547">
            <v>0.6</v>
          </cell>
        </row>
        <row r="5548">
          <cell r="A5548" t="str">
            <v>IS_alqt_plus</v>
          </cell>
          <cell r="K5548" t="str">
            <v>EMON</v>
          </cell>
          <cell r="M5548" t="str">
            <v>F</v>
          </cell>
          <cell r="AC5548">
            <v>0.6</v>
          </cell>
        </row>
        <row r="5549">
          <cell r="A5549" t="str">
            <v>IS_alqt_plus</v>
          </cell>
          <cell r="K5549" t="str">
            <v>EMON</v>
          </cell>
          <cell r="M5549" t="str">
            <v>F</v>
          </cell>
          <cell r="AC5549">
            <v>0.6</v>
          </cell>
        </row>
        <row r="5550">
          <cell r="A5550" t="str">
            <v>IS_alqt_plus</v>
          </cell>
          <cell r="K5550" t="str">
            <v>EMON</v>
          </cell>
          <cell r="M5550" t="str">
            <v>F</v>
          </cell>
          <cell r="AC5550">
            <v>0.6</v>
          </cell>
        </row>
        <row r="5551">
          <cell r="A5551" t="str">
            <v>IS_alqt_plus</v>
          </cell>
          <cell r="K5551" t="str">
            <v>EMON</v>
          </cell>
          <cell r="M5551" t="str">
            <v>F</v>
          </cell>
          <cell r="AC5551">
            <v>0.6</v>
          </cell>
        </row>
        <row r="5552">
          <cell r="A5552" t="str">
            <v>IS_alqt_plus</v>
          </cell>
          <cell r="K5552" t="str">
            <v>EMON</v>
          </cell>
          <cell r="M5552" t="str">
            <v>F</v>
          </cell>
          <cell r="AC5552">
            <v>0.6</v>
          </cell>
        </row>
        <row r="5553">
          <cell r="A5553" t="str">
            <v>IS_alqt_plus</v>
          </cell>
          <cell r="K5553" t="str">
            <v>EMON</v>
          </cell>
          <cell r="M5553" t="str">
            <v>F</v>
          </cell>
          <cell r="AC5553">
            <v>0.6</v>
          </cell>
        </row>
        <row r="5554">
          <cell r="A5554" t="str">
            <v>IS_alqt_plus</v>
          </cell>
          <cell r="K5554" t="str">
            <v>EMON</v>
          </cell>
          <cell r="M5554" t="str">
            <v>F</v>
          </cell>
          <cell r="AC5554">
            <v>0.6</v>
          </cell>
        </row>
        <row r="5555">
          <cell r="A5555" t="str">
            <v>IS_alqt_plus</v>
          </cell>
          <cell r="K5555" t="str">
            <v>EMON</v>
          </cell>
          <cell r="M5555" t="str">
            <v>F</v>
          </cell>
          <cell r="AC5555">
            <v>1</v>
          </cell>
        </row>
        <row r="5556">
          <cell r="A5556" t="str">
            <v>IS_alqt_plus</v>
          </cell>
          <cell r="K5556" t="str">
            <v>VVV</v>
          </cell>
          <cell r="M5556" t="str">
            <v>F</v>
          </cell>
          <cell r="AC5556">
            <v>0.2</v>
          </cell>
        </row>
        <row r="5557">
          <cell r="A5557" t="str">
            <v>IS_alqt_plus</v>
          </cell>
          <cell r="K5557" t="str">
            <v>VVV</v>
          </cell>
          <cell r="M5557" t="str">
            <v>F</v>
          </cell>
          <cell r="AC5557">
            <v>0.2</v>
          </cell>
        </row>
        <row r="5558">
          <cell r="A5558" t="str">
            <v>IS_alqt_plus</v>
          </cell>
          <cell r="K5558" t="str">
            <v>VVV</v>
          </cell>
          <cell r="M5558" t="str">
            <v>F</v>
          </cell>
          <cell r="AC5558">
            <v>0.4</v>
          </cell>
        </row>
        <row r="5559">
          <cell r="A5559" t="str">
            <v>IS_alqt_plus</v>
          </cell>
          <cell r="K5559" t="str">
            <v>VVV</v>
          </cell>
          <cell r="M5559" t="str">
            <v>F</v>
          </cell>
          <cell r="AC5559">
            <v>0.4</v>
          </cell>
        </row>
        <row r="5560">
          <cell r="A5560" t="str">
            <v>IS_alqt_plus</v>
          </cell>
          <cell r="K5560" t="str">
            <v>VVV</v>
          </cell>
          <cell r="M5560" t="str">
            <v>F</v>
          </cell>
          <cell r="AC5560">
            <v>0.6</v>
          </cell>
        </row>
        <row r="5561">
          <cell r="A5561" t="str">
            <v>IS_alqt_plus</v>
          </cell>
          <cell r="K5561" t="str">
            <v>VVV</v>
          </cell>
          <cell r="M5561" t="str">
            <v>F</v>
          </cell>
          <cell r="AC5561">
            <v>0.6</v>
          </cell>
        </row>
        <row r="5562">
          <cell r="A5562" t="str">
            <v>IS_alqt_plus</v>
          </cell>
          <cell r="K5562" t="str">
            <v>VVV</v>
          </cell>
          <cell r="M5562" t="str">
            <v>F</v>
          </cell>
          <cell r="AC5562">
            <v>0.6</v>
          </cell>
        </row>
        <row r="5563">
          <cell r="A5563" t="str">
            <v>IS_alqt_plus</v>
          </cell>
          <cell r="K5563" t="str">
            <v>VVV</v>
          </cell>
          <cell r="M5563" t="str">
            <v>F</v>
          </cell>
          <cell r="AC5563">
            <v>0.8</v>
          </cell>
        </row>
        <row r="5564">
          <cell r="A5564" t="str">
            <v>IS_alqt_plus</v>
          </cell>
          <cell r="K5564" t="str">
            <v>VVV</v>
          </cell>
          <cell r="M5564" t="str">
            <v>F</v>
          </cell>
          <cell r="AC5564">
            <v>0.8</v>
          </cell>
        </row>
        <row r="5565">
          <cell r="A5565" t="str">
            <v>IS_alqt_plus</v>
          </cell>
          <cell r="K5565" t="str">
            <v>VVV</v>
          </cell>
          <cell r="M5565" t="str">
            <v>F</v>
          </cell>
          <cell r="AC5565">
            <v>0.8</v>
          </cell>
        </row>
        <row r="5566">
          <cell r="A5566" t="str">
            <v>IS_alqt_plus</v>
          </cell>
          <cell r="K5566" t="str">
            <v>VVV</v>
          </cell>
          <cell r="M5566" t="str">
            <v>F</v>
          </cell>
          <cell r="AC5566">
            <v>1</v>
          </cell>
        </row>
        <row r="5567">
          <cell r="A5567" t="str">
            <v>IS_alqt_plus</v>
          </cell>
          <cell r="K5567" t="str">
            <v>VVV</v>
          </cell>
          <cell r="M5567" t="str">
            <v>F</v>
          </cell>
          <cell r="AC5567">
            <v>1</v>
          </cell>
        </row>
        <row r="5568">
          <cell r="A5568" t="str">
            <v>IS_alqt_plus</v>
          </cell>
          <cell r="K5568" t="str">
            <v>VVV</v>
          </cell>
          <cell r="M5568" t="str">
            <v>F</v>
          </cell>
          <cell r="AC5568">
            <v>1</v>
          </cell>
        </row>
        <row r="5569">
          <cell r="A5569" t="str">
            <v>IS_alqt_plus</v>
          </cell>
          <cell r="K5569" t="str">
            <v>VVV</v>
          </cell>
          <cell r="M5569" t="str">
            <v>F</v>
          </cell>
          <cell r="AC5569">
            <v>1</v>
          </cell>
        </row>
        <row r="5570">
          <cell r="A5570" t="str">
            <v>IS_alqt_plus</v>
          </cell>
          <cell r="K5570" t="str">
            <v>VVV</v>
          </cell>
          <cell r="M5570" t="str">
            <v>F</v>
          </cell>
          <cell r="AC5570">
            <v>1</v>
          </cell>
        </row>
        <row r="5571">
          <cell r="A5571" t="str">
            <v>IS_alqt_plus</v>
          </cell>
          <cell r="K5571" t="str">
            <v>VVV</v>
          </cell>
          <cell r="M5571" t="str">
            <v>F</v>
          </cell>
          <cell r="AC5571">
            <v>2</v>
          </cell>
        </row>
        <row r="5572">
          <cell r="A5572" t="str">
            <v>IS_alqt_plus</v>
          </cell>
          <cell r="K5572" t="str">
            <v>VVV</v>
          </cell>
          <cell r="M5572" t="str">
            <v>F</v>
          </cell>
          <cell r="AC5572">
            <v>2</v>
          </cell>
        </row>
        <row r="5573">
          <cell r="A5573" t="str">
            <v>IS_alqt_plus</v>
          </cell>
          <cell r="K5573" t="str">
            <v>VVV</v>
          </cell>
          <cell r="M5573" t="str">
            <v>F</v>
          </cell>
          <cell r="AC5573">
            <v>2</v>
          </cell>
        </row>
        <row r="5574">
          <cell r="A5574" t="str">
            <v>IS_alqt_plus</v>
          </cell>
          <cell r="K5574" t="str">
            <v>VVV</v>
          </cell>
          <cell r="M5574" t="str">
            <v>F</v>
          </cell>
          <cell r="AC5574">
            <v>2</v>
          </cell>
        </row>
        <row r="5575">
          <cell r="A5575" t="str">
            <v>IS_alqt_plus</v>
          </cell>
          <cell r="K5575" t="str">
            <v>VVV</v>
          </cell>
          <cell r="M5575" t="str">
            <v>F</v>
          </cell>
          <cell r="AC5575">
            <v>2</v>
          </cell>
        </row>
        <row r="5576">
          <cell r="A5576" t="str">
            <v>IS_alqt_minus</v>
          </cell>
          <cell r="K5576" t="str">
            <v>CMED</v>
          </cell>
          <cell r="M5576" t="str">
            <v>F</v>
          </cell>
          <cell r="AC5576">
            <v>0.3</v>
          </cell>
        </row>
        <row r="5577">
          <cell r="A5577" t="str">
            <v>IS_alqt_minus</v>
          </cell>
          <cell r="K5577" t="str">
            <v>CMED</v>
          </cell>
          <cell r="M5577" t="str">
            <v>F</v>
          </cell>
          <cell r="AC5577">
            <v>0.05</v>
          </cell>
        </row>
        <row r="5578">
          <cell r="A5578" t="str">
            <v>IS_alqt_minus</v>
          </cell>
          <cell r="K5578" t="str">
            <v>CMED</v>
          </cell>
          <cell r="M5578" t="str">
            <v>F</v>
          </cell>
          <cell r="AC5578">
            <v>0.2</v>
          </cell>
        </row>
        <row r="5579">
          <cell r="A5579" t="str">
            <v>IS_alqt_minus</v>
          </cell>
          <cell r="K5579" t="str">
            <v>CMED</v>
          </cell>
          <cell r="M5579" t="str">
            <v>F</v>
          </cell>
          <cell r="AC5579">
            <v>0.2</v>
          </cell>
        </row>
        <row r="5580">
          <cell r="A5580" t="str">
            <v>IS_alqt_minus</v>
          </cell>
          <cell r="K5580" t="str">
            <v>CMED</v>
          </cell>
          <cell r="M5580" t="str">
            <v>F</v>
          </cell>
          <cell r="AC5580">
            <v>0.4</v>
          </cell>
        </row>
        <row r="5581">
          <cell r="A5581" t="str">
            <v>IS_alqt_minus</v>
          </cell>
          <cell r="K5581" t="str">
            <v>CMED</v>
          </cell>
          <cell r="M5581" t="str">
            <v>F</v>
          </cell>
          <cell r="AC5581">
            <v>0.1</v>
          </cell>
        </row>
        <row r="5582">
          <cell r="A5582" t="str">
            <v>IS_alqt_minus</v>
          </cell>
          <cell r="K5582" t="str">
            <v>CMED</v>
          </cell>
          <cell r="M5582" t="str">
            <v>F</v>
          </cell>
          <cell r="AC5582">
            <v>0.1</v>
          </cell>
        </row>
        <row r="5583">
          <cell r="A5583" t="str">
            <v>IS_alqt_minus</v>
          </cell>
          <cell r="K5583" t="str">
            <v>CMED</v>
          </cell>
          <cell r="M5583" t="str">
            <v>F</v>
          </cell>
          <cell r="AC5583">
            <v>0.4</v>
          </cell>
        </row>
        <row r="5584">
          <cell r="A5584" t="str">
            <v>IS_alqt_minus</v>
          </cell>
          <cell r="K5584" t="str">
            <v>PCOQ</v>
          </cell>
          <cell r="M5584" t="str">
            <v>M</v>
          </cell>
          <cell r="AC5584">
            <v>0.2</v>
          </cell>
        </row>
        <row r="5585">
          <cell r="A5585" t="str">
            <v>IS_alqt_minus</v>
          </cell>
          <cell r="K5585" t="str">
            <v>PCOQ</v>
          </cell>
          <cell r="M5585" t="str">
            <v>M</v>
          </cell>
          <cell r="AC5585">
            <v>0.2</v>
          </cell>
        </row>
        <row r="5586">
          <cell r="A5586" t="str">
            <v>IS_alqt_minus</v>
          </cell>
          <cell r="K5586" t="str">
            <v>PCOQ</v>
          </cell>
          <cell r="M5586" t="str">
            <v>M</v>
          </cell>
          <cell r="AC5586">
            <v>0.4</v>
          </cell>
        </row>
        <row r="5587">
          <cell r="A5587" t="str">
            <v>IS_alqt_minus</v>
          </cell>
          <cell r="K5587" t="str">
            <v>PCOQ</v>
          </cell>
          <cell r="M5587" t="str">
            <v>M</v>
          </cell>
          <cell r="AC5587">
            <v>0.4</v>
          </cell>
        </row>
        <row r="5588">
          <cell r="A5588" t="str">
            <v>IS_alqt_plus</v>
          </cell>
          <cell r="K5588" t="str">
            <v>PCOQ</v>
          </cell>
          <cell r="M5588" t="str">
            <v>M</v>
          </cell>
          <cell r="AC5588">
            <v>0.6</v>
          </cell>
        </row>
        <row r="5589">
          <cell r="A5589" t="str">
            <v>IS_alqt_plus</v>
          </cell>
          <cell r="K5589" t="str">
            <v>PCOQ</v>
          </cell>
          <cell r="M5589" t="str">
            <v>M</v>
          </cell>
          <cell r="AC5589">
            <v>0.6</v>
          </cell>
        </row>
        <row r="5590">
          <cell r="A5590" t="str">
            <v>IS_alqt_plus</v>
          </cell>
          <cell r="K5590" t="str">
            <v>PCOQ</v>
          </cell>
          <cell r="M5590" t="str">
            <v>M</v>
          </cell>
          <cell r="AC5590">
            <v>0.8</v>
          </cell>
        </row>
        <row r="5591">
          <cell r="A5591" t="str">
            <v>IS_alqt_plus</v>
          </cell>
          <cell r="K5591" t="str">
            <v>PCOQ</v>
          </cell>
          <cell r="M5591" t="str">
            <v>M</v>
          </cell>
          <cell r="AC5591">
            <v>1</v>
          </cell>
        </row>
        <row r="5592">
          <cell r="A5592" t="str">
            <v>IS_alqt_minus</v>
          </cell>
          <cell r="K5592" t="str">
            <v>PCOQ</v>
          </cell>
          <cell r="M5592" t="str">
            <v>M</v>
          </cell>
          <cell r="AC5592">
            <v>0.2</v>
          </cell>
        </row>
        <row r="5593">
          <cell r="A5593" t="str">
            <v>IS_alqt_minus</v>
          </cell>
          <cell r="K5593" t="str">
            <v>PCOQ</v>
          </cell>
          <cell r="M5593" t="str">
            <v>M</v>
          </cell>
          <cell r="AC5593">
            <v>0.2</v>
          </cell>
        </row>
        <row r="5594">
          <cell r="A5594" t="str">
            <v>IS_alqt_minus</v>
          </cell>
          <cell r="K5594" t="str">
            <v>PCOQ</v>
          </cell>
          <cell r="M5594" t="str">
            <v>M</v>
          </cell>
          <cell r="AC5594">
            <v>0.4</v>
          </cell>
        </row>
        <row r="5595">
          <cell r="A5595" t="str">
            <v>IS_alqt_minus</v>
          </cell>
          <cell r="K5595" t="str">
            <v>PCOQ</v>
          </cell>
          <cell r="M5595" t="str">
            <v>M</v>
          </cell>
          <cell r="AC5595">
            <v>0.4</v>
          </cell>
        </row>
        <row r="5596">
          <cell r="A5596" t="str">
            <v>IS_alqt_plus</v>
          </cell>
          <cell r="K5596" t="str">
            <v>PCOQ</v>
          </cell>
          <cell r="M5596" t="str">
            <v>M</v>
          </cell>
          <cell r="AC5596">
            <v>0.6</v>
          </cell>
        </row>
        <row r="5597">
          <cell r="A5597" t="str">
            <v>IS_alqt_plus</v>
          </cell>
          <cell r="K5597" t="str">
            <v>PCOQ</v>
          </cell>
          <cell r="M5597" t="str">
            <v>M</v>
          </cell>
          <cell r="AC5597">
            <v>0.6</v>
          </cell>
        </row>
        <row r="5598">
          <cell r="A5598" t="str">
            <v>IS_alqt_plus</v>
          </cell>
          <cell r="K5598" t="str">
            <v>PCOQ</v>
          </cell>
          <cell r="M5598" t="str">
            <v>M</v>
          </cell>
          <cell r="AC5598">
            <v>1</v>
          </cell>
        </row>
        <row r="5599">
          <cell r="A5599" t="str">
            <v>IS_alqt_plus</v>
          </cell>
          <cell r="K5599" t="str">
            <v>PCOQ</v>
          </cell>
          <cell r="M5599" t="str">
            <v>M</v>
          </cell>
          <cell r="AC5599">
            <v>1</v>
          </cell>
        </row>
        <row r="5600">
          <cell r="A5600" t="str">
            <v>IS_alqt_plus</v>
          </cell>
          <cell r="K5600" t="str">
            <v>PCOQ</v>
          </cell>
          <cell r="M5600" t="str">
            <v>M</v>
          </cell>
          <cell r="AC5600">
            <v>1</v>
          </cell>
        </row>
        <row r="5601">
          <cell r="A5601" t="str">
            <v>IS_alqt_plus</v>
          </cell>
          <cell r="K5601" t="str">
            <v>PCOQ</v>
          </cell>
          <cell r="M5601" t="str">
            <v>M</v>
          </cell>
          <cell r="AC5601">
            <v>1</v>
          </cell>
        </row>
        <row r="5602">
          <cell r="A5602" t="str">
            <v>IS_alqt_plus</v>
          </cell>
          <cell r="K5602" t="str">
            <v>PCOQ</v>
          </cell>
          <cell r="M5602" t="str">
            <v>M</v>
          </cell>
          <cell r="AC5602">
            <v>1</v>
          </cell>
        </row>
        <row r="5603">
          <cell r="A5603" t="str">
            <v>IS_alqt_plus</v>
          </cell>
          <cell r="K5603" t="str">
            <v>PCOQ</v>
          </cell>
          <cell r="M5603" t="str">
            <v>M</v>
          </cell>
          <cell r="AC5603">
            <v>1</v>
          </cell>
        </row>
        <row r="5604">
          <cell r="A5604" t="str">
            <v>IS_alqt_plus</v>
          </cell>
          <cell r="K5604" t="str">
            <v>PCOQ</v>
          </cell>
          <cell r="M5604" t="str">
            <v>M</v>
          </cell>
          <cell r="AC5604">
            <v>1</v>
          </cell>
        </row>
        <row r="5605">
          <cell r="A5605" t="str">
            <v>IS_alqt_plus</v>
          </cell>
          <cell r="K5605" t="str">
            <v>PCOQ</v>
          </cell>
          <cell r="M5605" t="str">
            <v>M</v>
          </cell>
          <cell r="AC5605">
            <v>1</v>
          </cell>
        </row>
        <row r="5606">
          <cell r="A5606" t="str">
            <v>IS_alqt_plus</v>
          </cell>
          <cell r="K5606" t="str">
            <v>PCOQ</v>
          </cell>
          <cell r="M5606" t="str">
            <v>M</v>
          </cell>
          <cell r="AC5606">
            <v>1</v>
          </cell>
        </row>
        <row r="5607">
          <cell r="A5607" t="str">
            <v>IS_alqt_plus</v>
          </cell>
          <cell r="K5607" t="str">
            <v>PCOQ</v>
          </cell>
          <cell r="M5607" t="str">
            <v>M</v>
          </cell>
          <cell r="AC5607">
            <v>1</v>
          </cell>
        </row>
        <row r="5608">
          <cell r="A5608" t="str">
            <v>IS_alqt_plus</v>
          </cell>
          <cell r="K5608" t="str">
            <v>PCOQ</v>
          </cell>
          <cell r="M5608" t="str">
            <v>M</v>
          </cell>
          <cell r="AC5608">
            <v>1</v>
          </cell>
        </row>
        <row r="5609">
          <cell r="A5609" t="str">
            <v>IS_alqt_plus</v>
          </cell>
          <cell r="K5609" t="str">
            <v>PCOQ</v>
          </cell>
          <cell r="M5609" t="str">
            <v>M</v>
          </cell>
          <cell r="AC5609">
            <v>1</v>
          </cell>
        </row>
        <row r="5610">
          <cell r="A5610" t="str">
            <v>IS_alqt_plus</v>
          </cell>
          <cell r="K5610" t="str">
            <v>PCOQ</v>
          </cell>
          <cell r="M5610" t="str">
            <v>M</v>
          </cell>
          <cell r="AC5610">
            <v>1</v>
          </cell>
        </row>
        <row r="5611">
          <cell r="A5611" t="str">
            <v>IS_alqt_plus</v>
          </cell>
          <cell r="K5611" t="str">
            <v>PCOQ</v>
          </cell>
          <cell r="M5611" t="str">
            <v>M</v>
          </cell>
          <cell r="AC5611">
            <v>0.6</v>
          </cell>
        </row>
        <row r="5612">
          <cell r="A5612" t="str">
            <v>IS_alqt_plus</v>
          </cell>
          <cell r="K5612" t="str">
            <v>PCOQ</v>
          </cell>
          <cell r="M5612" t="str">
            <v>M</v>
          </cell>
          <cell r="AC5612">
            <v>0.6</v>
          </cell>
        </row>
        <row r="5613">
          <cell r="A5613" t="str">
            <v>IS_alqt_plus</v>
          </cell>
          <cell r="K5613" t="str">
            <v>PCOQ</v>
          </cell>
          <cell r="M5613" t="str">
            <v>M</v>
          </cell>
          <cell r="AC5613">
            <v>0.6</v>
          </cell>
        </row>
        <row r="5614">
          <cell r="A5614" t="str">
            <v>IS_alqt_plus</v>
          </cell>
          <cell r="K5614" t="str">
            <v>PCOQ</v>
          </cell>
          <cell r="M5614" t="str">
            <v>M</v>
          </cell>
          <cell r="AC5614">
            <v>0.6</v>
          </cell>
        </row>
        <row r="5615">
          <cell r="A5615" t="str">
            <v>IS_alqt_plus</v>
          </cell>
          <cell r="K5615" t="str">
            <v>PCOQ</v>
          </cell>
          <cell r="M5615" t="str">
            <v>M</v>
          </cell>
          <cell r="AC5615">
            <v>0.6</v>
          </cell>
        </row>
        <row r="5616">
          <cell r="A5616" t="str">
            <v>IS_alqt_plus</v>
          </cell>
          <cell r="K5616" t="str">
            <v>PCOQ</v>
          </cell>
          <cell r="M5616" t="str">
            <v>M</v>
          </cell>
          <cell r="AC5616">
            <v>0.6</v>
          </cell>
        </row>
        <row r="5617">
          <cell r="A5617" t="str">
            <v>IS_alqt_plus</v>
          </cell>
          <cell r="K5617" t="str">
            <v>PCOQ</v>
          </cell>
          <cell r="M5617" t="str">
            <v>M</v>
          </cell>
          <cell r="AC5617">
            <v>1</v>
          </cell>
        </row>
        <row r="5618">
          <cell r="A5618" t="str">
            <v>IS_alqt_minus</v>
          </cell>
          <cell r="K5618" t="str">
            <v>PCOQ</v>
          </cell>
          <cell r="M5618" t="str">
            <v>M</v>
          </cell>
          <cell r="AC5618">
            <v>0.2</v>
          </cell>
        </row>
        <row r="5619">
          <cell r="A5619" t="str">
            <v>IS_alqt_plus</v>
          </cell>
          <cell r="K5619" t="str">
            <v>CMED</v>
          </cell>
          <cell r="M5619" t="str">
            <v>M</v>
          </cell>
          <cell r="AC5619">
            <v>0.5</v>
          </cell>
        </row>
        <row r="5620">
          <cell r="A5620" t="str">
            <v>IS_alqt_minus</v>
          </cell>
          <cell r="K5620" t="str">
            <v>CMED</v>
          </cell>
          <cell r="M5620" t="str">
            <v>M</v>
          </cell>
          <cell r="AC5620">
            <v>0.2</v>
          </cell>
        </row>
        <row r="5621">
          <cell r="A5621" t="str">
            <v>IS_alqt_minus</v>
          </cell>
          <cell r="K5621" t="str">
            <v>CMED</v>
          </cell>
          <cell r="M5621" t="str">
            <v>M</v>
          </cell>
          <cell r="AC5621">
            <v>0.4</v>
          </cell>
        </row>
        <row r="5622">
          <cell r="A5622" t="str">
            <v>IS_alqt_minus</v>
          </cell>
          <cell r="K5622" t="str">
            <v>CMED</v>
          </cell>
          <cell r="M5622" t="str">
            <v>M</v>
          </cell>
          <cell r="AC5622">
            <v>0.4</v>
          </cell>
        </row>
        <row r="5623">
          <cell r="A5623" t="str">
            <v>IS_alqt_minus</v>
          </cell>
          <cell r="K5623" t="str">
            <v>CMED</v>
          </cell>
          <cell r="M5623" t="str">
            <v>M</v>
          </cell>
          <cell r="AC5623">
            <v>0.2</v>
          </cell>
        </row>
        <row r="5624">
          <cell r="A5624" t="str">
            <v>IS_alqt_minus</v>
          </cell>
          <cell r="K5624" t="str">
            <v>CMED</v>
          </cell>
          <cell r="M5624" t="str">
            <v>M</v>
          </cell>
          <cell r="AC5624">
            <v>0.2</v>
          </cell>
        </row>
        <row r="5625">
          <cell r="A5625" t="str">
            <v>IS_alqt_minus</v>
          </cell>
          <cell r="K5625" t="str">
            <v>CMED</v>
          </cell>
          <cell r="M5625" t="str">
            <v>M</v>
          </cell>
          <cell r="AC5625">
            <v>0.4</v>
          </cell>
        </row>
        <row r="5626">
          <cell r="A5626" t="str">
            <v>IS_alqt_minus</v>
          </cell>
          <cell r="K5626" t="str">
            <v>CMED</v>
          </cell>
          <cell r="M5626" t="str">
            <v>M</v>
          </cell>
          <cell r="AC5626">
            <v>0.2</v>
          </cell>
        </row>
        <row r="5627">
          <cell r="A5627" t="str">
            <v>IS_alqt_minus</v>
          </cell>
          <cell r="K5627" t="str">
            <v>CMED</v>
          </cell>
          <cell r="M5627" t="str">
            <v>M</v>
          </cell>
          <cell r="AC5627">
            <v>0.4</v>
          </cell>
        </row>
        <row r="5628">
          <cell r="A5628" t="str">
            <v>IS_alqt_minus</v>
          </cell>
          <cell r="K5628" t="str">
            <v>CMED</v>
          </cell>
          <cell r="M5628" t="str">
            <v>M</v>
          </cell>
          <cell r="AC5628">
            <v>0.2</v>
          </cell>
        </row>
        <row r="5629">
          <cell r="A5629" t="str">
            <v>IS_alqt_minus</v>
          </cell>
          <cell r="K5629" t="str">
            <v>CMED</v>
          </cell>
          <cell r="M5629" t="str">
            <v>M</v>
          </cell>
          <cell r="AC5629">
            <v>0.2</v>
          </cell>
        </row>
        <row r="5630">
          <cell r="A5630" t="str">
            <v>IS_alqt_minus</v>
          </cell>
          <cell r="K5630" t="str">
            <v>CMED</v>
          </cell>
          <cell r="M5630" t="str">
            <v>M</v>
          </cell>
          <cell r="AC5630">
            <v>0.4</v>
          </cell>
        </row>
        <row r="5631">
          <cell r="A5631" t="str">
            <v>IS_alqt_minus</v>
          </cell>
          <cell r="K5631" t="str">
            <v>CMED</v>
          </cell>
          <cell r="M5631" t="str">
            <v>M</v>
          </cell>
          <cell r="AC5631">
            <v>0.4</v>
          </cell>
        </row>
        <row r="5632">
          <cell r="A5632" t="str">
            <v>IS_alqt_plus</v>
          </cell>
          <cell r="K5632" t="str">
            <v>CMED</v>
          </cell>
          <cell r="M5632" t="str">
            <v>M</v>
          </cell>
          <cell r="AC5632">
            <v>1.8</v>
          </cell>
        </row>
        <row r="5633">
          <cell r="A5633" t="str">
            <v>IS_alqt_minus</v>
          </cell>
          <cell r="K5633" t="str">
            <v>CMED</v>
          </cell>
          <cell r="M5633" t="str">
            <v>M</v>
          </cell>
          <cell r="AC5633">
            <v>0.2</v>
          </cell>
        </row>
        <row r="5634">
          <cell r="A5634" t="str">
            <v>IS_alqt_minus</v>
          </cell>
          <cell r="K5634" t="str">
            <v>CMED</v>
          </cell>
          <cell r="M5634" t="str">
            <v>M</v>
          </cell>
          <cell r="AC5634">
            <v>0.2</v>
          </cell>
        </row>
        <row r="5635">
          <cell r="A5635" t="str">
            <v>IS_alqt_minus</v>
          </cell>
          <cell r="K5635" t="str">
            <v>CMED</v>
          </cell>
          <cell r="M5635" t="str">
            <v>M</v>
          </cell>
          <cell r="AC5635">
            <v>0.2</v>
          </cell>
        </row>
        <row r="5636">
          <cell r="A5636" t="str">
            <v>IS_alqt_plus</v>
          </cell>
          <cell r="K5636" t="str">
            <v>CMED</v>
          </cell>
          <cell r="M5636" t="str">
            <v>M</v>
          </cell>
          <cell r="AC5636">
            <v>1.4</v>
          </cell>
        </row>
        <row r="5637">
          <cell r="A5637" t="str">
            <v>IS_alqt_minus</v>
          </cell>
          <cell r="K5637" t="str">
            <v>CMED</v>
          </cell>
          <cell r="M5637" t="str">
            <v>F</v>
          </cell>
          <cell r="AC5637">
            <v>4.4999999999999998E-2</v>
          </cell>
        </row>
        <row r="5638">
          <cell r="A5638" t="str">
            <v>IS_alqt_minus</v>
          </cell>
          <cell r="K5638" t="str">
            <v>CMED</v>
          </cell>
          <cell r="M5638" t="str">
            <v>F</v>
          </cell>
          <cell r="AC5638">
            <v>0.2</v>
          </cell>
        </row>
        <row r="5639">
          <cell r="A5639" t="str">
            <v>IS_alqt_minus</v>
          </cell>
          <cell r="K5639" t="str">
            <v>CMED</v>
          </cell>
          <cell r="M5639" t="str">
            <v>F</v>
          </cell>
          <cell r="AC5639">
            <v>0.2</v>
          </cell>
        </row>
        <row r="5640">
          <cell r="A5640" t="str">
            <v>IS_alqt_minus</v>
          </cell>
          <cell r="K5640" t="str">
            <v>PCOQ</v>
          </cell>
          <cell r="M5640" t="str">
            <v>M</v>
          </cell>
          <cell r="AC5640">
            <v>0.4</v>
          </cell>
        </row>
        <row r="5641">
          <cell r="A5641" t="str">
            <v>IS_alqt_plus</v>
          </cell>
          <cell r="K5641" t="str">
            <v>PCOQ</v>
          </cell>
          <cell r="M5641" t="str">
            <v>M</v>
          </cell>
          <cell r="AC5641">
            <v>1</v>
          </cell>
        </row>
        <row r="5642">
          <cell r="A5642" t="str">
            <v>IS_alqt_plus</v>
          </cell>
          <cell r="K5642" t="str">
            <v>PCOQ</v>
          </cell>
          <cell r="M5642" t="str">
            <v>M</v>
          </cell>
          <cell r="AC5642">
            <v>1</v>
          </cell>
        </row>
        <row r="5643">
          <cell r="A5643" t="str">
            <v>IS_alqt_plus</v>
          </cell>
          <cell r="K5643" t="str">
            <v>PCOQ</v>
          </cell>
          <cell r="M5643" t="str">
            <v>M</v>
          </cell>
          <cell r="AC5643">
            <v>1</v>
          </cell>
        </row>
        <row r="5644">
          <cell r="A5644" t="str">
            <v>IS_alqt_plus</v>
          </cell>
          <cell r="K5644" t="str">
            <v>EFLA</v>
          </cell>
          <cell r="M5644" t="str">
            <v>F</v>
          </cell>
          <cell r="AC5644">
            <v>1</v>
          </cell>
        </row>
        <row r="5645">
          <cell r="A5645" t="str">
            <v>IS_alqt_plus</v>
          </cell>
          <cell r="K5645" t="str">
            <v>EFLA</v>
          </cell>
          <cell r="M5645" t="str">
            <v>F</v>
          </cell>
          <cell r="AC5645">
            <v>1</v>
          </cell>
        </row>
        <row r="5646">
          <cell r="A5646" t="str">
            <v>IS_alqt_plus</v>
          </cell>
          <cell r="K5646" t="str">
            <v>EFLA</v>
          </cell>
          <cell r="M5646" t="str">
            <v>F</v>
          </cell>
          <cell r="AC5646">
            <v>1</v>
          </cell>
        </row>
        <row r="5647">
          <cell r="A5647" t="str">
            <v>IS_alqt_plus</v>
          </cell>
          <cell r="K5647" t="str">
            <v>EFLA</v>
          </cell>
          <cell r="M5647" t="str">
            <v>F</v>
          </cell>
          <cell r="AC5647">
            <v>1</v>
          </cell>
        </row>
        <row r="5648">
          <cell r="A5648" t="str">
            <v>IS_alqt_plus</v>
          </cell>
          <cell r="K5648" t="str">
            <v>EFLA</v>
          </cell>
          <cell r="M5648" t="str">
            <v>F</v>
          </cell>
          <cell r="AC5648">
            <v>0.5</v>
          </cell>
        </row>
        <row r="5649">
          <cell r="A5649" t="str">
            <v>IS_alqt_plus</v>
          </cell>
          <cell r="K5649" t="str">
            <v>ECOR</v>
          </cell>
          <cell r="M5649" t="str">
            <v>M</v>
          </cell>
          <cell r="AC5649">
            <v>1</v>
          </cell>
        </row>
        <row r="5650">
          <cell r="A5650" t="str">
            <v>IS_alqt_plus</v>
          </cell>
          <cell r="K5650" t="str">
            <v>ECOR</v>
          </cell>
          <cell r="M5650" t="str">
            <v>M</v>
          </cell>
          <cell r="AC5650">
            <v>1</v>
          </cell>
        </row>
        <row r="5651">
          <cell r="A5651" t="str">
            <v>IS_alqt_plus</v>
          </cell>
          <cell r="K5651" t="str">
            <v>ECOR</v>
          </cell>
          <cell r="M5651" t="str">
            <v>M</v>
          </cell>
          <cell r="AC5651">
            <v>1</v>
          </cell>
        </row>
        <row r="5652">
          <cell r="A5652" t="str">
            <v>IS_alqt_plus</v>
          </cell>
          <cell r="K5652" t="str">
            <v>ECOR</v>
          </cell>
          <cell r="M5652" t="str">
            <v>M</v>
          </cell>
          <cell r="AC5652">
            <v>1</v>
          </cell>
        </row>
        <row r="5653">
          <cell r="A5653" t="str">
            <v>IS_alqt_plus</v>
          </cell>
          <cell r="K5653" t="str">
            <v>ECOR</v>
          </cell>
          <cell r="M5653" t="str">
            <v>M</v>
          </cell>
          <cell r="AC5653">
            <v>1</v>
          </cell>
        </row>
        <row r="5654">
          <cell r="A5654" t="str">
            <v>IS_alqt_minus</v>
          </cell>
          <cell r="K5654" t="str">
            <v>PCOQ</v>
          </cell>
          <cell r="M5654" t="str">
            <v>M</v>
          </cell>
          <cell r="AC5654">
            <v>0.2</v>
          </cell>
        </row>
        <row r="5655">
          <cell r="A5655" t="str">
            <v>IS_alqt_minus</v>
          </cell>
          <cell r="K5655" t="str">
            <v>PCOQ</v>
          </cell>
          <cell r="M5655" t="str">
            <v>M</v>
          </cell>
          <cell r="AC5655">
            <v>0.2</v>
          </cell>
        </row>
        <row r="5656">
          <cell r="A5656" t="str">
            <v>IS_alqt_minus</v>
          </cell>
          <cell r="K5656" t="str">
            <v>PCOQ</v>
          </cell>
          <cell r="M5656" t="str">
            <v>M</v>
          </cell>
          <cell r="AC5656">
            <v>0.2</v>
          </cell>
        </row>
        <row r="5657">
          <cell r="A5657" t="str">
            <v>IS_alqt_minus</v>
          </cell>
          <cell r="K5657" t="str">
            <v>PCOQ</v>
          </cell>
          <cell r="M5657" t="str">
            <v>M</v>
          </cell>
          <cell r="AC5657">
            <v>0.2</v>
          </cell>
        </row>
        <row r="5658">
          <cell r="A5658" t="str">
            <v>IS_alqt_plus</v>
          </cell>
          <cell r="K5658" t="str">
            <v>PCOQ</v>
          </cell>
          <cell r="M5658" t="str">
            <v>F</v>
          </cell>
          <cell r="AC5658">
            <v>0.6</v>
          </cell>
        </row>
        <row r="5659">
          <cell r="A5659" t="str">
            <v>IS_alqt_plus</v>
          </cell>
          <cell r="K5659" t="str">
            <v>PCOQ</v>
          </cell>
          <cell r="M5659" t="str">
            <v>F</v>
          </cell>
          <cell r="AC5659">
            <v>0.6</v>
          </cell>
        </row>
        <row r="5660">
          <cell r="A5660" t="str">
            <v>IS_alqt_plus</v>
          </cell>
          <cell r="K5660" t="str">
            <v>PCOQ</v>
          </cell>
          <cell r="M5660" t="str">
            <v>F</v>
          </cell>
          <cell r="AC5660">
            <v>0.6</v>
          </cell>
        </row>
        <row r="5661">
          <cell r="A5661" t="str">
            <v>IS_alqt_minus</v>
          </cell>
          <cell r="K5661" t="str">
            <v>PCOQ</v>
          </cell>
          <cell r="M5661" t="str">
            <v>F</v>
          </cell>
          <cell r="AC5661">
            <v>0.2</v>
          </cell>
        </row>
        <row r="5662">
          <cell r="A5662" t="str">
            <v>IS_alqt_minus</v>
          </cell>
          <cell r="K5662" t="str">
            <v>PCOQ</v>
          </cell>
          <cell r="M5662" t="str">
            <v>F</v>
          </cell>
          <cell r="AC5662">
            <v>0.2</v>
          </cell>
        </row>
        <row r="5663">
          <cell r="A5663" t="str">
            <v>IS_alqt_minus</v>
          </cell>
          <cell r="K5663" t="str">
            <v>PCOQ</v>
          </cell>
          <cell r="M5663" t="str">
            <v>F</v>
          </cell>
          <cell r="AC5663">
            <v>0.2</v>
          </cell>
        </row>
        <row r="5664">
          <cell r="A5664" t="str">
            <v>IS_alqt_minus</v>
          </cell>
          <cell r="K5664" t="str">
            <v>PCOQ</v>
          </cell>
          <cell r="M5664" t="str">
            <v>F</v>
          </cell>
          <cell r="AC5664">
            <v>0.2</v>
          </cell>
        </row>
        <row r="5665">
          <cell r="A5665" t="str">
            <v>IS_alqt_minus</v>
          </cell>
          <cell r="K5665" t="str">
            <v>PCOQ</v>
          </cell>
          <cell r="M5665" t="str">
            <v>F</v>
          </cell>
          <cell r="AC5665">
            <v>0.2</v>
          </cell>
        </row>
        <row r="5666">
          <cell r="A5666" t="str">
            <v>IS_alqt_minus</v>
          </cell>
          <cell r="K5666" t="str">
            <v>PCOQ</v>
          </cell>
          <cell r="M5666" t="str">
            <v>F</v>
          </cell>
          <cell r="AC5666">
            <v>0.2</v>
          </cell>
        </row>
        <row r="5667">
          <cell r="A5667" t="str">
            <v>IS_alqt_minus</v>
          </cell>
          <cell r="K5667" t="str">
            <v>PCOQ</v>
          </cell>
          <cell r="M5667" t="str">
            <v>F</v>
          </cell>
          <cell r="AC5667">
            <v>0.2</v>
          </cell>
        </row>
        <row r="5668">
          <cell r="A5668" t="str">
            <v>IS_alqt_minus</v>
          </cell>
          <cell r="K5668" t="str">
            <v>ECOR</v>
          </cell>
          <cell r="M5668" t="str">
            <v>F</v>
          </cell>
          <cell r="AC5668">
            <v>0.2</v>
          </cell>
        </row>
        <row r="5669">
          <cell r="A5669" t="str">
            <v>IS_alqt_minus</v>
          </cell>
          <cell r="K5669" t="str">
            <v>ECOR</v>
          </cell>
          <cell r="M5669" t="str">
            <v>F</v>
          </cell>
          <cell r="AC5669">
            <v>0.2</v>
          </cell>
        </row>
        <row r="5670">
          <cell r="A5670" t="str">
            <v>IS_alqt_minus</v>
          </cell>
          <cell r="K5670" t="str">
            <v>CMED</v>
          </cell>
          <cell r="M5670" t="str">
            <v>M</v>
          </cell>
          <cell r="AC5670">
            <v>0.3</v>
          </cell>
        </row>
        <row r="5671">
          <cell r="A5671" t="str">
            <v>IS_alqt_minus</v>
          </cell>
          <cell r="K5671" t="str">
            <v>DMAD</v>
          </cell>
          <cell r="M5671" t="str">
            <v>M</v>
          </cell>
          <cell r="AC5671">
            <v>0.2</v>
          </cell>
        </row>
        <row r="5672">
          <cell r="A5672" t="str">
            <v>IS_alqt_minus</v>
          </cell>
          <cell r="K5672" t="str">
            <v>PDIA</v>
          </cell>
          <cell r="M5672" t="str">
            <v>M</v>
          </cell>
          <cell r="AC5672">
            <v>0.35</v>
          </cell>
        </row>
        <row r="5673">
          <cell r="A5673" t="str">
            <v>IS_alqt_plus</v>
          </cell>
          <cell r="K5673" t="str">
            <v>DMAD</v>
          </cell>
          <cell r="M5673" t="str">
            <v>M</v>
          </cell>
          <cell r="AC5673">
            <v>1</v>
          </cell>
        </row>
        <row r="5674">
          <cell r="A5674" t="str">
            <v>IS_alqt_plus</v>
          </cell>
          <cell r="K5674" t="str">
            <v>DMAD</v>
          </cell>
          <cell r="M5674" t="str">
            <v>M</v>
          </cell>
          <cell r="AC5674">
            <v>0.6</v>
          </cell>
        </row>
        <row r="5675">
          <cell r="A5675" t="str">
            <v>IS_alqt_plus</v>
          </cell>
          <cell r="K5675" t="str">
            <v>DMAD</v>
          </cell>
          <cell r="M5675" t="str">
            <v>M</v>
          </cell>
          <cell r="AC5675">
            <v>0.6</v>
          </cell>
        </row>
        <row r="5676">
          <cell r="A5676" t="str">
            <v>IS_alqt_minus</v>
          </cell>
          <cell r="K5676" t="str">
            <v>DMAD</v>
          </cell>
          <cell r="M5676" t="str">
            <v>M</v>
          </cell>
          <cell r="AC5676">
            <v>0.4</v>
          </cell>
        </row>
        <row r="5677">
          <cell r="A5677" t="str">
            <v>IS_alqt_minus</v>
          </cell>
          <cell r="K5677" t="str">
            <v>DMAD</v>
          </cell>
          <cell r="M5677" t="str">
            <v>M</v>
          </cell>
          <cell r="AC5677">
            <v>0.5</v>
          </cell>
        </row>
        <row r="5678">
          <cell r="A5678" t="str">
            <v>IS_alqt_minus</v>
          </cell>
          <cell r="K5678" t="str">
            <v>DMAD</v>
          </cell>
          <cell r="M5678" t="str">
            <v>M</v>
          </cell>
          <cell r="AC5678">
            <v>0.2</v>
          </cell>
        </row>
        <row r="5679">
          <cell r="A5679" t="str">
            <v>IS_alqt_minus</v>
          </cell>
          <cell r="K5679" t="str">
            <v>MMUR</v>
          </cell>
          <cell r="M5679" t="str">
            <v>F</v>
          </cell>
          <cell r="AC5679">
            <v>0.2</v>
          </cell>
        </row>
        <row r="5680">
          <cell r="A5680" t="str">
            <v>IS_alqt_minus</v>
          </cell>
          <cell r="K5680" t="str">
            <v>MMUR</v>
          </cell>
          <cell r="M5680" t="str">
            <v>F</v>
          </cell>
          <cell r="AC5680">
            <v>0.2</v>
          </cell>
        </row>
        <row r="5681">
          <cell r="A5681" t="str">
            <v>IS_alqt_minus</v>
          </cell>
          <cell r="K5681" t="str">
            <v>MMUR</v>
          </cell>
          <cell r="M5681" t="str">
            <v>F</v>
          </cell>
          <cell r="AC5681">
            <v>0.2</v>
          </cell>
        </row>
        <row r="5682">
          <cell r="A5682" t="str">
            <v>IS_alqt_minus</v>
          </cell>
          <cell r="K5682" t="str">
            <v>MMUR</v>
          </cell>
          <cell r="M5682" t="str">
            <v>F</v>
          </cell>
          <cell r="AC5682">
            <v>0.2</v>
          </cell>
        </row>
        <row r="5683">
          <cell r="A5683" t="str">
            <v>IS_alqt_minus</v>
          </cell>
          <cell r="K5683" t="str">
            <v>PCOQ</v>
          </cell>
          <cell r="M5683" t="str">
            <v>F</v>
          </cell>
          <cell r="AC5683">
            <v>0.2</v>
          </cell>
        </row>
        <row r="5684">
          <cell r="A5684" t="str">
            <v>IS_alqt_minus</v>
          </cell>
          <cell r="K5684" t="str">
            <v>PCOQ</v>
          </cell>
          <cell r="M5684" t="str">
            <v>F</v>
          </cell>
          <cell r="AC5684">
            <v>0.2</v>
          </cell>
        </row>
        <row r="5685">
          <cell r="A5685" t="str">
            <v>IS_alqt_minus</v>
          </cell>
          <cell r="K5685" t="str">
            <v>PCOQ</v>
          </cell>
          <cell r="M5685" t="str">
            <v>F</v>
          </cell>
          <cell r="AC5685">
            <v>0.2</v>
          </cell>
        </row>
        <row r="5686">
          <cell r="A5686" t="str">
            <v>IS_alqt_minus</v>
          </cell>
          <cell r="K5686" t="str">
            <v>PCOQ</v>
          </cell>
          <cell r="M5686" t="str">
            <v>F</v>
          </cell>
          <cell r="AC5686">
            <v>0.2</v>
          </cell>
        </row>
        <row r="5687">
          <cell r="A5687" t="str">
            <v>IS_alqt_minus</v>
          </cell>
          <cell r="K5687" t="str">
            <v>PCOQ</v>
          </cell>
          <cell r="M5687" t="str">
            <v>F</v>
          </cell>
          <cell r="AC5687">
            <v>0.2</v>
          </cell>
        </row>
        <row r="5688">
          <cell r="A5688" t="str">
            <v>IS_alqt_minus</v>
          </cell>
          <cell r="K5688" t="str">
            <v>PCOQ</v>
          </cell>
          <cell r="M5688" t="str">
            <v>F</v>
          </cell>
          <cell r="AC5688">
            <v>0.2</v>
          </cell>
        </row>
        <row r="5689">
          <cell r="A5689" t="str">
            <v>IS_alqt_minus</v>
          </cell>
          <cell r="K5689" t="str">
            <v>PCOQ</v>
          </cell>
          <cell r="M5689" t="str">
            <v>F</v>
          </cell>
          <cell r="AC5689">
            <v>0.2</v>
          </cell>
        </row>
        <row r="5690">
          <cell r="A5690" t="str">
            <v>IS_alqt_minus</v>
          </cell>
          <cell r="K5690" t="str">
            <v>PCOQ</v>
          </cell>
          <cell r="M5690" t="str">
            <v>F</v>
          </cell>
          <cell r="AC5690">
            <v>0.2</v>
          </cell>
        </row>
        <row r="5691">
          <cell r="A5691" t="str">
            <v>IS_alqt_minus</v>
          </cell>
          <cell r="K5691" t="str">
            <v>PCOQ</v>
          </cell>
          <cell r="M5691" t="str">
            <v>F</v>
          </cell>
          <cell r="AC5691">
            <v>0.2</v>
          </cell>
        </row>
        <row r="5692">
          <cell r="A5692" t="str">
            <v>IS_alqt_minus</v>
          </cell>
          <cell r="K5692" t="str">
            <v>PCOQ</v>
          </cell>
          <cell r="M5692" t="str">
            <v>F</v>
          </cell>
          <cell r="AC5692">
            <v>0.2</v>
          </cell>
        </row>
        <row r="5693">
          <cell r="A5693" t="str">
            <v>IS_alqt_minus</v>
          </cell>
          <cell r="K5693" t="str">
            <v>DMAD</v>
          </cell>
          <cell r="M5693" t="str">
            <v>F</v>
          </cell>
          <cell r="AC5693">
            <v>0.2</v>
          </cell>
        </row>
        <row r="5694">
          <cell r="A5694" t="str">
            <v>IS_alqt_plus</v>
          </cell>
          <cell r="K5694" t="str">
            <v>DMAD</v>
          </cell>
          <cell r="M5694" t="str">
            <v>F</v>
          </cell>
          <cell r="AC5694">
            <v>0.5</v>
          </cell>
        </row>
        <row r="5695">
          <cell r="A5695" t="str">
            <v>IS_alqt_plus</v>
          </cell>
          <cell r="K5695" t="str">
            <v>DMAD</v>
          </cell>
          <cell r="M5695" t="str">
            <v>F</v>
          </cell>
          <cell r="AC5695">
            <v>0.5</v>
          </cell>
        </row>
        <row r="5696">
          <cell r="A5696" t="str">
            <v>IS_alqt_plus</v>
          </cell>
          <cell r="K5696" t="str">
            <v>DMAD</v>
          </cell>
          <cell r="M5696" t="str">
            <v>F</v>
          </cell>
          <cell r="AC5696">
            <v>0.5</v>
          </cell>
        </row>
        <row r="5697">
          <cell r="A5697" t="str">
            <v>IS_alqt_plus</v>
          </cell>
          <cell r="K5697" t="str">
            <v>PCOQ</v>
          </cell>
          <cell r="M5697" t="str">
            <v>M</v>
          </cell>
          <cell r="AC5697">
            <v>0.5</v>
          </cell>
        </row>
        <row r="5698">
          <cell r="A5698" t="str">
            <v>IS_alqt_plus</v>
          </cell>
          <cell r="K5698" t="str">
            <v>PCOQ</v>
          </cell>
          <cell r="M5698" t="str">
            <v>M</v>
          </cell>
          <cell r="AC5698">
            <v>0.5</v>
          </cell>
        </row>
        <row r="5699">
          <cell r="A5699" t="str">
            <v>IS_alqt_plus</v>
          </cell>
          <cell r="K5699" t="str">
            <v>PCOQ</v>
          </cell>
          <cell r="M5699" t="str">
            <v>M</v>
          </cell>
          <cell r="AC5699">
            <v>0.5</v>
          </cell>
        </row>
        <row r="5700">
          <cell r="A5700" t="str">
            <v>IS_alqt_plus</v>
          </cell>
          <cell r="K5700" t="str">
            <v>PCOQ</v>
          </cell>
          <cell r="M5700" t="str">
            <v>M</v>
          </cell>
          <cell r="AC5700">
            <v>1</v>
          </cell>
        </row>
        <row r="5701">
          <cell r="A5701" t="str">
            <v>IS_alqt_plus</v>
          </cell>
          <cell r="K5701" t="str">
            <v>PCOQ</v>
          </cell>
          <cell r="M5701" t="str">
            <v>M</v>
          </cell>
          <cell r="AC5701">
            <v>1</v>
          </cell>
        </row>
        <row r="5702">
          <cell r="A5702" t="str">
            <v>IS_alqt_plus</v>
          </cell>
          <cell r="K5702" t="str">
            <v>PCOQ</v>
          </cell>
          <cell r="M5702" t="str">
            <v>M</v>
          </cell>
          <cell r="AC5702">
            <v>1</v>
          </cell>
        </row>
        <row r="5703">
          <cell r="K5703" t="str">
            <v>LCAT</v>
          </cell>
          <cell r="M5703" t="str">
            <v>F</v>
          </cell>
          <cell r="AC5703">
            <v>0.5</v>
          </cell>
        </row>
        <row r="5704">
          <cell r="K5704" t="str">
            <v>LCAT</v>
          </cell>
          <cell r="M5704" t="str">
            <v>F</v>
          </cell>
          <cell r="AC5704">
            <v>0.5</v>
          </cell>
        </row>
        <row r="5705">
          <cell r="K5705" t="str">
            <v>LCAT</v>
          </cell>
          <cell r="M5705" t="str">
            <v>F</v>
          </cell>
          <cell r="AC5705">
            <v>0.8</v>
          </cell>
        </row>
        <row r="5706">
          <cell r="A5706" t="str">
            <v>IS_alqt_plus</v>
          </cell>
          <cell r="K5706" t="str">
            <v>PCOQ</v>
          </cell>
          <cell r="M5706" t="str">
            <v>M</v>
          </cell>
          <cell r="AC5706">
            <v>1.5</v>
          </cell>
        </row>
        <row r="5707">
          <cell r="A5707" t="str">
            <v>IS_alqt_plus</v>
          </cell>
          <cell r="K5707" t="str">
            <v>EFLA</v>
          </cell>
          <cell r="M5707" t="str">
            <v>F</v>
          </cell>
          <cell r="AC5707">
            <v>1</v>
          </cell>
        </row>
        <row r="5708">
          <cell r="A5708" t="str">
            <v>IS_alqt_plus</v>
          </cell>
          <cell r="K5708" t="str">
            <v>EFLA</v>
          </cell>
          <cell r="M5708" t="str">
            <v>F</v>
          </cell>
          <cell r="AC5708">
            <v>1</v>
          </cell>
        </row>
        <row r="5709">
          <cell r="A5709" t="str">
            <v>IS_alqt_plus</v>
          </cell>
          <cell r="K5709" t="str">
            <v>EFLA</v>
          </cell>
          <cell r="M5709" t="str">
            <v>F</v>
          </cell>
          <cell r="AC5709">
            <v>1</v>
          </cell>
        </row>
        <row r="5710">
          <cell r="A5710" t="str">
            <v>IS_alqt_plus</v>
          </cell>
          <cell r="K5710" t="str">
            <v>EFLA</v>
          </cell>
          <cell r="M5710" t="str">
            <v>F</v>
          </cell>
          <cell r="AC5710">
            <v>1</v>
          </cell>
        </row>
        <row r="5711">
          <cell r="A5711" t="str">
            <v>IS_alqt_plus</v>
          </cell>
          <cell r="K5711" t="str">
            <v>EFLA</v>
          </cell>
          <cell r="M5711" t="str">
            <v>F</v>
          </cell>
          <cell r="AC5711">
            <v>1</v>
          </cell>
        </row>
        <row r="5712">
          <cell r="A5712" t="str">
            <v>IS_alqt_plus</v>
          </cell>
          <cell r="K5712" t="str">
            <v>EFLA</v>
          </cell>
          <cell r="M5712" t="str">
            <v>F</v>
          </cell>
          <cell r="AC5712">
            <v>1</v>
          </cell>
        </row>
        <row r="5713">
          <cell r="A5713" t="str">
            <v>IS_alqt_plus</v>
          </cell>
          <cell r="K5713" t="str">
            <v>EFLA</v>
          </cell>
          <cell r="M5713" t="str">
            <v>F</v>
          </cell>
          <cell r="AC5713">
            <v>1</v>
          </cell>
        </row>
        <row r="5714">
          <cell r="A5714" t="str">
            <v>IS_alqt_minus</v>
          </cell>
          <cell r="K5714" t="str">
            <v>MMUR</v>
          </cell>
          <cell r="M5714" t="str">
            <v>M</v>
          </cell>
          <cell r="AC5714">
            <v>0.2</v>
          </cell>
        </row>
        <row r="5715">
          <cell r="A5715" t="str">
            <v>IS_alqt_minus</v>
          </cell>
          <cell r="K5715" t="str">
            <v>MMUR</v>
          </cell>
          <cell r="M5715" t="str">
            <v>M</v>
          </cell>
          <cell r="AC5715">
            <v>0.15</v>
          </cell>
        </row>
        <row r="5716">
          <cell r="A5716" t="str">
            <v>IS_alqt_plus</v>
          </cell>
          <cell r="K5716" t="str">
            <v>CMED</v>
          </cell>
          <cell r="M5716" t="str">
            <v>M</v>
          </cell>
          <cell r="AC5716">
            <v>0.6</v>
          </cell>
        </row>
        <row r="5717">
          <cell r="A5717" t="str">
            <v>IS_alqt_minus</v>
          </cell>
          <cell r="K5717" t="str">
            <v>CMED</v>
          </cell>
          <cell r="M5717" t="str">
            <v>F</v>
          </cell>
          <cell r="AC5717">
            <v>0.2</v>
          </cell>
        </row>
        <row r="5718">
          <cell r="A5718" t="str">
            <v>IS_alqt_minus</v>
          </cell>
          <cell r="K5718" t="str">
            <v>CMED</v>
          </cell>
          <cell r="M5718" t="str">
            <v>F</v>
          </cell>
          <cell r="AC5718">
            <v>0.2</v>
          </cell>
        </row>
        <row r="5719">
          <cell r="A5719" t="str">
            <v>IS_alqt_minus</v>
          </cell>
          <cell r="K5719" t="str">
            <v>CMED</v>
          </cell>
          <cell r="M5719" t="str">
            <v>F</v>
          </cell>
          <cell r="AC5719">
            <v>0.4</v>
          </cell>
        </row>
        <row r="5720">
          <cell r="A5720" t="str">
            <v>IS_alqt_minus</v>
          </cell>
          <cell r="K5720" t="str">
            <v>CMED</v>
          </cell>
          <cell r="M5720" t="str">
            <v>F</v>
          </cell>
          <cell r="AC5720">
            <v>0.32</v>
          </cell>
        </row>
        <row r="5721">
          <cell r="A5721" t="str">
            <v>IS_alqt_minus</v>
          </cell>
          <cell r="K5721" t="str">
            <v>CMED</v>
          </cell>
          <cell r="M5721" t="str">
            <v>M</v>
          </cell>
          <cell r="AC5721">
            <v>0.2</v>
          </cell>
        </row>
        <row r="5722">
          <cell r="A5722" t="str">
            <v>IS_alqt_minus</v>
          </cell>
          <cell r="K5722" t="str">
            <v>CMED</v>
          </cell>
          <cell r="M5722" t="str">
            <v>M</v>
          </cell>
          <cell r="AC5722">
            <v>0.2</v>
          </cell>
        </row>
        <row r="5723">
          <cell r="A5723" t="str">
            <v>IS_alqt_minus</v>
          </cell>
          <cell r="K5723" t="str">
            <v>CMED</v>
          </cell>
          <cell r="M5723" t="str">
            <v>M</v>
          </cell>
          <cell r="AC5723">
            <v>0.4</v>
          </cell>
        </row>
        <row r="5724">
          <cell r="A5724" t="str">
            <v>IS_alqt_minus</v>
          </cell>
          <cell r="K5724" t="str">
            <v>CMED</v>
          </cell>
          <cell r="M5724" t="str">
            <v>M</v>
          </cell>
          <cell r="AC5724">
            <v>0.4</v>
          </cell>
        </row>
        <row r="5725">
          <cell r="A5725" t="str">
            <v>IS_alqt_plus</v>
          </cell>
          <cell r="K5725" t="str">
            <v>VVV</v>
          </cell>
          <cell r="M5725" t="str">
            <v>F</v>
          </cell>
          <cell r="AC5725">
            <v>0.6</v>
          </cell>
        </row>
        <row r="5726">
          <cell r="A5726" t="str">
            <v>gone</v>
          </cell>
          <cell r="K5726" t="str">
            <v>VVV</v>
          </cell>
          <cell r="M5726" t="str">
            <v>F</v>
          </cell>
          <cell r="AC5726">
            <v>1</v>
          </cell>
        </row>
        <row r="5727">
          <cell r="A5727" t="str">
            <v>gone</v>
          </cell>
          <cell r="K5727" t="str">
            <v>VVV</v>
          </cell>
          <cell r="M5727" t="str">
            <v>F</v>
          </cell>
          <cell r="AC5727">
            <v>1</v>
          </cell>
        </row>
        <row r="5728">
          <cell r="A5728" t="str">
            <v>IS_alqt_minus</v>
          </cell>
          <cell r="K5728" t="str">
            <v>CMED</v>
          </cell>
          <cell r="M5728" t="str">
            <v>F</v>
          </cell>
          <cell r="AC5728">
            <v>0.24</v>
          </cell>
        </row>
        <row r="5729">
          <cell r="A5729" t="str">
            <v>IS_alqt_minus</v>
          </cell>
          <cell r="K5729" t="str">
            <v>CMED</v>
          </cell>
          <cell r="M5729" t="str">
            <v>F</v>
          </cell>
          <cell r="AC5729">
            <v>0.24</v>
          </cell>
        </row>
        <row r="5730">
          <cell r="A5730" t="str">
            <v>IS_alqt_minus</v>
          </cell>
          <cell r="K5730" t="str">
            <v>CMED</v>
          </cell>
          <cell r="M5730" t="str">
            <v>M</v>
          </cell>
          <cell r="AC5730">
            <v>0.2</v>
          </cell>
        </row>
        <row r="5731">
          <cell r="A5731" t="str">
            <v>IS_alqt_minus</v>
          </cell>
          <cell r="K5731" t="str">
            <v>CMED</v>
          </cell>
          <cell r="M5731" t="str">
            <v>M</v>
          </cell>
          <cell r="AC5731">
            <v>0.4</v>
          </cell>
        </row>
        <row r="5732">
          <cell r="A5732" t="str">
            <v>IS_alqt_plus</v>
          </cell>
          <cell r="K5732" t="str">
            <v>CMED</v>
          </cell>
          <cell r="M5732" t="str">
            <v>M</v>
          </cell>
          <cell r="AC5732">
            <v>0.6</v>
          </cell>
        </row>
        <row r="5733">
          <cell r="A5733" t="str">
            <v>IS_alqt_minus</v>
          </cell>
          <cell r="K5733" t="str">
            <v>VVV</v>
          </cell>
          <cell r="M5733" t="str">
            <v>F</v>
          </cell>
          <cell r="AC5733">
            <v>0.2</v>
          </cell>
        </row>
        <row r="5734">
          <cell r="A5734" t="str">
            <v>IS_alqt_minus</v>
          </cell>
          <cell r="K5734" t="str">
            <v>VVV</v>
          </cell>
          <cell r="M5734" t="str">
            <v>F</v>
          </cell>
          <cell r="AC5734">
            <v>0.2</v>
          </cell>
        </row>
        <row r="5735">
          <cell r="A5735" t="str">
            <v>IS_alqt_minus</v>
          </cell>
          <cell r="K5735" t="str">
            <v>VVV</v>
          </cell>
          <cell r="M5735" t="str">
            <v>F</v>
          </cell>
          <cell r="AC5735">
            <v>0.4</v>
          </cell>
        </row>
        <row r="5736">
          <cell r="A5736" t="str">
            <v>IS_alqt_minus</v>
          </cell>
          <cell r="K5736" t="str">
            <v>VVV</v>
          </cell>
          <cell r="M5736" t="str">
            <v>F</v>
          </cell>
          <cell r="AC5736">
            <v>0.4</v>
          </cell>
        </row>
        <row r="5737">
          <cell r="A5737" t="str">
            <v>IS_alqt_minus</v>
          </cell>
          <cell r="K5737" t="str">
            <v>VVV</v>
          </cell>
          <cell r="M5737" t="str">
            <v>F</v>
          </cell>
          <cell r="AC5737">
            <v>0.4</v>
          </cell>
        </row>
        <row r="5738">
          <cell r="A5738" t="str">
            <v>IS_alqt_plus</v>
          </cell>
          <cell r="K5738" t="str">
            <v>VVV</v>
          </cell>
          <cell r="M5738" t="str">
            <v>F</v>
          </cell>
          <cell r="AC5738">
            <v>0.6</v>
          </cell>
        </row>
        <row r="5739">
          <cell r="A5739" t="str">
            <v>IS_alqt_minus</v>
          </cell>
          <cell r="K5739" t="str">
            <v>DMAD</v>
          </cell>
          <cell r="M5739" t="str">
            <v>M</v>
          </cell>
          <cell r="AC5739">
            <v>0.2</v>
          </cell>
        </row>
        <row r="5740">
          <cell r="A5740" t="str">
            <v>IS_alqt_minus</v>
          </cell>
          <cell r="K5740" t="str">
            <v>DMAD</v>
          </cell>
          <cell r="M5740" t="str">
            <v>M</v>
          </cell>
          <cell r="AC5740">
            <v>0.2</v>
          </cell>
        </row>
        <row r="5741">
          <cell r="A5741" t="str">
            <v>IS_alqt_minus</v>
          </cell>
          <cell r="K5741" t="str">
            <v>DMAD</v>
          </cell>
          <cell r="M5741" t="str">
            <v>M</v>
          </cell>
          <cell r="AC5741">
            <v>0.4</v>
          </cell>
        </row>
        <row r="5742">
          <cell r="A5742" t="str">
            <v>IS_alqt_minus</v>
          </cell>
          <cell r="K5742" t="str">
            <v>DMAD</v>
          </cell>
          <cell r="M5742" t="str">
            <v>M</v>
          </cell>
          <cell r="AC5742">
            <v>0.4</v>
          </cell>
        </row>
        <row r="5743">
          <cell r="A5743" t="str">
            <v>IS_alqt_plus</v>
          </cell>
          <cell r="K5743" t="str">
            <v>DMAD</v>
          </cell>
          <cell r="M5743" t="str">
            <v>M</v>
          </cell>
          <cell r="AC5743">
            <v>0.6</v>
          </cell>
        </row>
        <row r="5744">
          <cell r="A5744" t="str">
            <v>IS_alqt_plus</v>
          </cell>
          <cell r="K5744" t="str">
            <v>DMAD</v>
          </cell>
          <cell r="M5744" t="str">
            <v>M</v>
          </cell>
          <cell r="AC5744">
            <v>0.6</v>
          </cell>
        </row>
        <row r="5745">
          <cell r="A5745" t="str">
            <v>IS_alqt_plus</v>
          </cell>
          <cell r="K5745" t="str">
            <v>DMAD</v>
          </cell>
          <cell r="M5745" t="str">
            <v>M</v>
          </cell>
          <cell r="AC5745">
            <v>0.8</v>
          </cell>
        </row>
        <row r="5746">
          <cell r="A5746" t="str">
            <v>IS_alqt_plus</v>
          </cell>
          <cell r="K5746" t="str">
            <v>DMAD</v>
          </cell>
          <cell r="M5746" t="str">
            <v>M</v>
          </cell>
          <cell r="AC5746">
            <v>1</v>
          </cell>
        </row>
        <row r="5747">
          <cell r="A5747" t="str">
            <v>IS_alqt_plus</v>
          </cell>
          <cell r="K5747" t="str">
            <v>DMAD</v>
          </cell>
          <cell r="M5747" t="str">
            <v>F</v>
          </cell>
          <cell r="AC5747">
            <v>1</v>
          </cell>
        </row>
        <row r="5748">
          <cell r="A5748" t="str">
            <v>IS_alqt_plus</v>
          </cell>
          <cell r="K5748" t="str">
            <v>DMAD</v>
          </cell>
          <cell r="M5748" t="str">
            <v>F</v>
          </cell>
          <cell r="AC5748">
            <v>1</v>
          </cell>
        </row>
        <row r="5749">
          <cell r="A5749" t="str">
            <v>IS_alqt_plus</v>
          </cell>
          <cell r="K5749" t="str">
            <v>DMAD</v>
          </cell>
          <cell r="M5749" t="str">
            <v>F</v>
          </cell>
          <cell r="AC5749">
            <v>1</v>
          </cell>
        </row>
        <row r="5750">
          <cell r="A5750" t="str">
            <v>IS_alqt_plus</v>
          </cell>
          <cell r="K5750" t="str">
            <v>DMAD</v>
          </cell>
          <cell r="M5750" t="str">
            <v>F</v>
          </cell>
          <cell r="AC5750">
            <v>1</v>
          </cell>
        </row>
        <row r="5751">
          <cell r="A5751" t="str">
            <v>IS_alqt_plus</v>
          </cell>
          <cell r="K5751" t="str">
            <v>DMAD</v>
          </cell>
          <cell r="M5751" t="str">
            <v>F</v>
          </cell>
          <cell r="AC5751">
            <v>1</v>
          </cell>
        </row>
        <row r="5752">
          <cell r="A5752" t="str">
            <v>IS_alqt_plus</v>
          </cell>
          <cell r="K5752" t="str">
            <v>DMAD</v>
          </cell>
          <cell r="M5752" t="str">
            <v>F</v>
          </cell>
          <cell r="AC5752">
            <v>1</v>
          </cell>
        </row>
        <row r="5753">
          <cell r="A5753" t="str">
            <v>IS_alqt_plus</v>
          </cell>
          <cell r="K5753" t="str">
            <v>DMAD</v>
          </cell>
          <cell r="M5753" t="str">
            <v>F</v>
          </cell>
          <cell r="AC5753">
            <v>1</v>
          </cell>
        </row>
        <row r="5754">
          <cell r="A5754" t="str">
            <v>IS_alqt_plus</v>
          </cell>
          <cell r="K5754" t="str">
            <v>DMAD</v>
          </cell>
          <cell r="M5754" t="str">
            <v>F</v>
          </cell>
          <cell r="AC5754">
            <v>1</v>
          </cell>
        </row>
        <row r="5755">
          <cell r="A5755" t="str">
            <v>IS_alqt_plus</v>
          </cell>
          <cell r="K5755" t="str">
            <v>DMAD</v>
          </cell>
          <cell r="M5755" t="str">
            <v>F</v>
          </cell>
          <cell r="AC5755">
            <v>1</v>
          </cell>
        </row>
        <row r="5756">
          <cell r="A5756" t="str">
            <v>IS_alqt_plus</v>
          </cell>
          <cell r="K5756" t="str">
            <v>DMAD</v>
          </cell>
          <cell r="M5756" t="str">
            <v>F</v>
          </cell>
          <cell r="AC5756">
            <v>1</v>
          </cell>
        </row>
        <row r="5757">
          <cell r="A5757" t="str">
            <v>IS_alqt_plus</v>
          </cell>
          <cell r="K5757" t="str">
            <v>DMAD</v>
          </cell>
          <cell r="M5757" t="str">
            <v>F</v>
          </cell>
          <cell r="AC5757">
            <v>1</v>
          </cell>
        </row>
        <row r="5758">
          <cell r="A5758" t="str">
            <v>IS_alqt_plus</v>
          </cell>
          <cell r="K5758" t="str">
            <v>DMAD</v>
          </cell>
          <cell r="M5758" t="str">
            <v>F</v>
          </cell>
          <cell r="AC5758">
            <v>1</v>
          </cell>
        </row>
        <row r="5759">
          <cell r="A5759" t="str">
            <v>IS_alqt_plus</v>
          </cell>
          <cell r="K5759" t="str">
            <v>DMAD</v>
          </cell>
          <cell r="M5759" t="str">
            <v>F</v>
          </cell>
          <cell r="AC5759">
            <v>1</v>
          </cell>
        </row>
        <row r="5760">
          <cell r="A5760" t="str">
            <v>IS_alqt_plus</v>
          </cell>
          <cell r="K5760" t="str">
            <v>DMAD</v>
          </cell>
          <cell r="M5760" t="str">
            <v>F</v>
          </cell>
          <cell r="AC5760">
            <v>1</v>
          </cell>
        </row>
        <row r="5761">
          <cell r="A5761" t="str">
            <v>IS_alqt_plus</v>
          </cell>
          <cell r="K5761" t="str">
            <v>DMAD</v>
          </cell>
          <cell r="M5761" t="str">
            <v>F</v>
          </cell>
          <cell r="AC5761">
            <v>1</v>
          </cell>
        </row>
        <row r="5762">
          <cell r="A5762" t="str">
            <v>IS_alqt_plus</v>
          </cell>
          <cell r="K5762" t="str">
            <v>DMAD</v>
          </cell>
          <cell r="M5762" t="str">
            <v>F</v>
          </cell>
          <cell r="AC5762">
            <v>1</v>
          </cell>
        </row>
        <row r="5763">
          <cell r="A5763" t="str">
            <v>IS_alqt_plus</v>
          </cell>
          <cell r="K5763" t="str">
            <v>DMAD</v>
          </cell>
          <cell r="M5763" t="str">
            <v>F</v>
          </cell>
          <cell r="AC5763">
            <v>1</v>
          </cell>
        </row>
        <row r="5764">
          <cell r="A5764" t="str">
            <v>IS_alqt_minus</v>
          </cell>
          <cell r="K5764" t="str">
            <v>DMAD</v>
          </cell>
          <cell r="M5764" t="str">
            <v>F</v>
          </cell>
          <cell r="AC5764">
            <v>0.4</v>
          </cell>
        </row>
        <row r="5765">
          <cell r="A5765" t="str">
            <v>IS_alqt_minus</v>
          </cell>
          <cell r="K5765" t="str">
            <v>CMED</v>
          </cell>
          <cell r="M5765" t="str">
            <v>F</v>
          </cell>
          <cell r="AC5765">
            <v>0.2</v>
          </cell>
        </row>
        <row r="5766">
          <cell r="A5766" t="str">
            <v>IS_alqt_minus</v>
          </cell>
          <cell r="K5766" t="str">
            <v>CMED</v>
          </cell>
          <cell r="M5766" t="str">
            <v>F</v>
          </cell>
          <cell r="AC5766">
            <v>0.2</v>
          </cell>
        </row>
        <row r="5767">
          <cell r="A5767" t="str">
            <v>IS_alqt_minus</v>
          </cell>
          <cell r="K5767" t="str">
            <v>CMED</v>
          </cell>
          <cell r="M5767" t="str">
            <v>F</v>
          </cell>
          <cell r="AC5767">
            <v>0.2</v>
          </cell>
        </row>
        <row r="5768">
          <cell r="A5768" t="str">
            <v>IS_alqt_minus</v>
          </cell>
          <cell r="K5768" t="str">
            <v>CMED</v>
          </cell>
          <cell r="M5768" t="str">
            <v>F</v>
          </cell>
          <cell r="AC5768">
            <v>0.4</v>
          </cell>
        </row>
        <row r="5769">
          <cell r="A5769" t="str">
            <v>IS_alqt_minus</v>
          </cell>
          <cell r="K5769" t="str">
            <v>CMED</v>
          </cell>
          <cell r="M5769" t="str">
            <v>F</v>
          </cell>
          <cell r="AC5769">
            <v>0.4</v>
          </cell>
        </row>
        <row r="5770">
          <cell r="A5770" t="str">
            <v>IS_alqt_plus</v>
          </cell>
          <cell r="K5770" t="str">
            <v>CMED</v>
          </cell>
          <cell r="M5770" t="str">
            <v>F</v>
          </cell>
          <cell r="AC5770">
            <v>0.6</v>
          </cell>
        </row>
        <row r="5771">
          <cell r="A5771" t="str">
            <v>IS_alqt_minus</v>
          </cell>
          <cell r="K5771" t="str">
            <v>DMAD</v>
          </cell>
          <cell r="M5771" t="str">
            <v>F</v>
          </cell>
          <cell r="AC5771">
            <v>0.2</v>
          </cell>
        </row>
        <row r="5772">
          <cell r="A5772" t="str">
            <v>IS_alqt_minus</v>
          </cell>
          <cell r="K5772" t="str">
            <v>DMAD</v>
          </cell>
          <cell r="M5772" t="str">
            <v>F</v>
          </cell>
          <cell r="AC5772">
            <v>0.4</v>
          </cell>
        </row>
        <row r="5773">
          <cell r="A5773" t="str">
            <v>IS_alqt_plus</v>
          </cell>
          <cell r="K5773" t="str">
            <v>DMAD</v>
          </cell>
          <cell r="M5773" t="str">
            <v>F</v>
          </cell>
          <cell r="AC5773">
            <v>0.6</v>
          </cell>
        </row>
        <row r="5774">
          <cell r="A5774" t="str">
            <v>IS_alqt_plus</v>
          </cell>
          <cell r="K5774" t="str">
            <v>DMAD</v>
          </cell>
          <cell r="M5774" t="str">
            <v>F</v>
          </cell>
          <cell r="AC5774">
            <v>0.6</v>
          </cell>
        </row>
        <row r="5775">
          <cell r="A5775" t="str">
            <v>IS_alqt_plus</v>
          </cell>
          <cell r="K5775" t="str">
            <v>DMAD</v>
          </cell>
          <cell r="M5775" t="str">
            <v>F</v>
          </cell>
          <cell r="AC5775">
            <v>0.8</v>
          </cell>
        </row>
        <row r="5776">
          <cell r="A5776" t="str">
            <v>IS_alqt_plus</v>
          </cell>
          <cell r="K5776" t="str">
            <v>DMAD</v>
          </cell>
          <cell r="M5776" t="str">
            <v>F</v>
          </cell>
          <cell r="AC5776">
            <v>1</v>
          </cell>
        </row>
        <row r="5777">
          <cell r="A5777" t="str">
            <v>IS_alqt_minus</v>
          </cell>
          <cell r="K5777" t="str">
            <v>DMAD</v>
          </cell>
          <cell r="M5777" t="str">
            <v>F</v>
          </cell>
          <cell r="AC5777">
            <v>0.2</v>
          </cell>
        </row>
        <row r="5778">
          <cell r="A5778" t="str">
            <v>IS_alqt_minus</v>
          </cell>
          <cell r="K5778" t="str">
            <v>DMAD</v>
          </cell>
          <cell r="M5778" t="str">
            <v>F</v>
          </cell>
          <cell r="AC5778">
            <v>0.2</v>
          </cell>
        </row>
        <row r="5779">
          <cell r="A5779" t="str">
            <v>IS_alqt_minus</v>
          </cell>
          <cell r="K5779" t="str">
            <v>DMAD</v>
          </cell>
          <cell r="M5779" t="str">
            <v>F</v>
          </cell>
          <cell r="AC5779">
            <v>0.4</v>
          </cell>
        </row>
        <row r="5780">
          <cell r="A5780" t="str">
            <v>IS_alqt_minus</v>
          </cell>
          <cell r="K5780" t="str">
            <v>DMAD</v>
          </cell>
          <cell r="M5780" t="str">
            <v>F</v>
          </cell>
          <cell r="AC5780">
            <v>0.4</v>
          </cell>
        </row>
        <row r="5781">
          <cell r="A5781" t="str">
            <v>IS_alqt_minus</v>
          </cell>
          <cell r="K5781" t="str">
            <v>DMAD</v>
          </cell>
          <cell r="M5781" t="str">
            <v>F</v>
          </cell>
          <cell r="AC5781">
            <v>0.4</v>
          </cell>
        </row>
        <row r="5782">
          <cell r="A5782" t="str">
            <v>IS_alqt_plus</v>
          </cell>
          <cell r="K5782" t="str">
            <v>DMAD</v>
          </cell>
          <cell r="M5782" t="str">
            <v>F</v>
          </cell>
          <cell r="AC5782">
            <v>0.6</v>
          </cell>
        </row>
        <row r="5783">
          <cell r="A5783" t="str">
            <v>IS_alqt_plus</v>
          </cell>
          <cell r="K5783" t="str">
            <v>DMAD</v>
          </cell>
          <cell r="M5783" t="str">
            <v>F</v>
          </cell>
          <cell r="AC5783">
            <v>0.6</v>
          </cell>
        </row>
        <row r="5784">
          <cell r="A5784" t="str">
            <v>IS_alqt_plus</v>
          </cell>
          <cell r="K5784" t="str">
            <v>DMAD</v>
          </cell>
          <cell r="M5784" t="str">
            <v>F</v>
          </cell>
          <cell r="AC5784">
            <v>0.8</v>
          </cell>
        </row>
        <row r="5785">
          <cell r="A5785" t="str">
            <v>IS_alqt_minus</v>
          </cell>
          <cell r="K5785" t="str">
            <v>MMUR</v>
          </cell>
          <cell r="M5785" t="str">
            <v>M</v>
          </cell>
          <cell r="AC5785">
            <v>0.2</v>
          </cell>
        </row>
        <row r="5786">
          <cell r="A5786" t="str">
            <v>IS_alqt_minus</v>
          </cell>
          <cell r="K5786" t="str">
            <v>MMUR</v>
          </cell>
          <cell r="M5786" t="str">
            <v>M</v>
          </cell>
          <cell r="AC5786">
            <v>0.2</v>
          </cell>
        </row>
        <row r="5787">
          <cell r="A5787" t="str">
            <v>IS_alqt_minus</v>
          </cell>
          <cell r="K5787" t="str">
            <v>EFLA</v>
          </cell>
          <cell r="M5787" t="str">
            <v>M</v>
          </cell>
          <cell r="AC5787">
            <v>0.4</v>
          </cell>
        </row>
        <row r="5788">
          <cell r="A5788" t="str">
            <v>IS_alqt_plus</v>
          </cell>
          <cell r="K5788" t="str">
            <v>EFLA</v>
          </cell>
          <cell r="M5788" t="str">
            <v>M</v>
          </cell>
          <cell r="AC5788">
            <v>0.6</v>
          </cell>
        </row>
        <row r="5789">
          <cell r="A5789" t="str">
            <v>IS_alqt_plus</v>
          </cell>
          <cell r="K5789" t="str">
            <v>EFLA</v>
          </cell>
          <cell r="M5789" t="str">
            <v>M</v>
          </cell>
          <cell r="AC5789">
            <v>0.8</v>
          </cell>
        </row>
        <row r="5790">
          <cell r="A5790" t="str">
            <v>IS_alqt_plus</v>
          </cell>
          <cell r="K5790" t="str">
            <v>EFLA</v>
          </cell>
          <cell r="M5790" t="str">
            <v>M</v>
          </cell>
          <cell r="AC5790">
            <v>1</v>
          </cell>
        </row>
        <row r="5791">
          <cell r="A5791" t="str">
            <v>IS_alqt_minus</v>
          </cell>
          <cell r="K5791" t="str">
            <v>MMUR</v>
          </cell>
          <cell r="M5791" t="str">
            <v>M</v>
          </cell>
          <cell r="AC5791">
            <v>0.2</v>
          </cell>
        </row>
        <row r="5792">
          <cell r="A5792" t="str">
            <v>IS_alqt_minus</v>
          </cell>
          <cell r="K5792" t="str">
            <v>MMUR</v>
          </cell>
          <cell r="M5792" t="str">
            <v>M</v>
          </cell>
          <cell r="AC5792">
            <v>0.2</v>
          </cell>
        </row>
        <row r="5793">
          <cell r="A5793" t="str">
            <v>IS_alqt_minus</v>
          </cell>
          <cell r="K5793" t="str">
            <v>GMOH</v>
          </cell>
          <cell r="M5793" t="str">
            <v>F</v>
          </cell>
          <cell r="AC5793">
            <v>0.24</v>
          </cell>
        </row>
        <row r="5794">
          <cell r="A5794" t="str">
            <v>IS_alqt_minus</v>
          </cell>
          <cell r="K5794" t="str">
            <v>ECOR</v>
          </cell>
          <cell r="M5794" t="str">
            <v>M</v>
          </cell>
          <cell r="AC5794">
            <v>0.2</v>
          </cell>
        </row>
        <row r="5795">
          <cell r="A5795" t="str">
            <v>IS_alqt_minus</v>
          </cell>
          <cell r="K5795" t="str">
            <v>ECOR</v>
          </cell>
          <cell r="M5795" t="str">
            <v>M</v>
          </cell>
          <cell r="AC5795">
            <v>0.4</v>
          </cell>
        </row>
        <row r="5796">
          <cell r="A5796" t="str">
            <v>IS_alqt_minus</v>
          </cell>
          <cell r="K5796" t="str">
            <v>PCOQ</v>
          </cell>
          <cell r="M5796" t="str">
            <v>F</v>
          </cell>
          <cell r="AC5796">
            <v>0.4</v>
          </cell>
        </row>
        <row r="5797">
          <cell r="A5797" t="str">
            <v>IS_alqt_minus</v>
          </cell>
          <cell r="K5797" t="str">
            <v>PCOQ</v>
          </cell>
          <cell r="M5797" t="str">
            <v>F</v>
          </cell>
          <cell r="AC5797">
            <v>0.4</v>
          </cell>
        </row>
        <row r="5798">
          <cell r="A5798" t="str">
            <v>IS_alqt_plus</v>
          </cell>
          <cell r="K5798" t="str">
            <v>PCOQ</v>
          </cell>
          <cell r="M5798" t="str">
            <v>F</v>
          </cell>
          <cell r="AC5798">
            <v>0.6</v>
          </cell>
        </row>
        <row r="5799">
          <cell r="A5799" t="str">
            <v>IS_alqt_plus</v>
          </cell>
          <cell r="K5799" t="str">
            <v>PCOQ</v>
          </cell>
          <cell r="M5799" t="str">
            <v>F</v>
          </cell>
          <cell r="AC5799">
            <v>0.6</v>
          </cell>
        </row>
        <row r="5800">
          <cell r="A5800" t="str">
            <v>IS_alqt_plus</v>
          </cell>
          <cell r="K5800" t="str">
            <v>PCOQ</v>
          </cell>
          <cell r="M5800" t="str">
            <v>F</v>
          </cell>
          <cell r="AC5800">
            <v>0.6</v>
          </cell>
        </row>
        <row r="5801">
          <cell r="A5801" t="str">
            <v>IS_alqt_plus</v>
          </cell>
          <cell r="K5801" t="str">
            <v>PCOQ</v>
          </cell>
          <cell r="M5801" t="str">
            <v>F</v>
          </cell>
          <cell r="AC5801">
            <v>0.6</v>
          </cell>
        </row>
        <row r="5802">
          <cell r="A5802" t="str">
            <v>IS_alqt_plus</v>
          </cell>
          <cell r="K5802" t="str">
            <v>PCOQ</v>
          </cell>
          <cell r="M5802" t="str">
            <v>F</v>
          </cell>
          <cell r="AC5802">
            <v>1</v>
          </cell>
        </row>
        <row r="5803">
          <cell r="A5803" t="str">
            <v>IS_alqt_plus</v>
          </cell>
          <cell r="K5803" t="str">
            <v>PCOQ</v>
          </cell>
          <cell r="M5803" t="str">
            <v>F</v>
          </cell>
          <cell r="AC5803">
            <v>1</v>
          </cell>
        </row>
        <row r="5804">
          <cell r="A5804" t="str">
            <v>IS_alqt_plus</v>
          </cell>
          <cell r="K5804" t="str">
            <v>PCOQ</v>
          </cell>
          <cell r="M5804" t="str">
            <v>F</v>
          </cell>
          <cell r="AC5804">
            <v>1</v>
          </cell>
        </row>
        <row r="5805">
          <cell r="A5805" t="str">
            <v>IS_alqt_plus</v>
          </cell>
          <cell r="K5805" t="str">
            <v>PCOQ</v>
          </cell>
          <cell r="M5805" t="str">
            <v>F</v>
          </cell>
          <cell r="AC5805">
            <v>1</v>
          </cell>
        </row>
        <row r="5806">
          <cell r="A5806" t="str">
            <v>IS_alqt_plus</v>
          </cell>
          <cell r="K5806" t="str">
            <v>PCOQ</v>
          </cell>
          <cell r="M5806" t="str">
            <v>F</v>
          </cell>
          <cell r="AC5806">
            <v>1</v>
          </cell>
        </row>
        <row r="5807">
          <cell r="A5807" t="str">
            <v>IS_alqt_plus</v>
          </cell>
          <cell r="K5807" t="str">
            <v>PCOQ</v>
          </cell>
          <cell r="M5807" t="str">
            <v>F</v>
          </cell>
          <cell r="AC5807">
            <v>1</v>
          </cell>
        </row>
        <row r="5808">
          <cell r="A5808" t="str">
            <v>IS_alqt_plus</v>
          </cell>
          <cell r="K5808" t="str">
            <v>PCOQ</v>
          </cell>
          <cell r="M5808" t="str">
            <v>F</v>
          </cell>
          <cell r="AC5808">
            <v>1</v>
          </cell>
        </row>
        <row r="5809">
          <cell r="A5809" t="str">
            <v>IS_alqt_plus</v>
          </cell>
          <cell r="K5809" t="str">
            <v>PCOQ</v>
          </cell>
          <cell r="M5809" t="str">
            <v>F</v>
          </cell>
          <cell r="AC5809">
            <v>1</v>
          </cell>
        </row>
        <row r="5810">
          <cell r="A5810" t="str">
            <v>IS_alqt_minus</v>
          </cell>
          <cell r="K5810" t="str">
            <v>LCAT</v>
          </cell>
          <cell r="M5810" t="str">
            <v>F</v>
          </cell>
          <cell r="AC5810">
            <v>0.2</v>
          </cell>
        </row>
        <row r="5811">
          <cell r="A5811" t="str">
            <v>IS_alqt_minus</v>
          </cell>
          <cell r="K5811" t="str">
            <v>LCAT</v>
          </cell>
          <cell r="M5811" t="str">
            <v>F</v>
          </cell>
          <cell r="AC5811">
            <v>0.4</v>
          </cell>
        </row>
        <row r="5812">
          <cell r="A5812" t="str">
            <v>IS_alqt_minus</v>
          </cell>
          <cell r="K5812" t="str">
            <v>LCAT</v>
          </cell>
          <cell r="M5812" t="str">
            <v>F</v>
          </cell>
          <cell r="AC5812">
            <v>0.4</v>
          </cell>
        </row>
        <row r="5813">
          <cell r="A5813" t="str">
            <v>IS_alqt_minus</v>
          </cell>
          <cell r="K5813" t="str">
            <v>LCAT</v>
          </cell>
          <cell r="M5813" t="str">
            <v>F</v>
          </cell>
          <cell r="AC5813">
            <v>0.4</v>
          </cell>
        </row>
        <row r="5814">
          <cell r="A5814" t="str">
            <v>IS_alqt_plus</v>
          </cell>
          <cell r="K5814" t="str">
            <v>LCAT</v>
          </cell>
          <cell r="M5814" t="str">
            <v>F</v>
          </cell>
          <cell r="AC5814">
            <v>0.6</v>
          </cell>
        </row>
        <row r="5815">
          <cell r="A5815" t="str">
            <v>IS_alqt_plus</v>
          </cell>
          <cell r="K5815" t="str">
            <v>LCAT</v>
          </cell>
          <cell r="M5815" t="str">
            <v>F</v>
          </cell>
          <cell r="AC5815">
            <v>1</v>
          </cell>
        </row>
        <row r="5816">
          <cell r="A5816" t="str">
            <v>IS_alqt_plus</v>
          </cell>
          <cell r="K5816" t="str">
            <v>LCAT</v>
          </cell>
          <cell r="M5816" t="str">
            <v>F</v>
          </cell>
          <cell r="AC5816">
            <v>1</v>
          </cell>
        </row>
        <row r="5817">
          <cell r="A5817" t="str">
            <v>IS_alqt_plus</v>
          </cell>
          <cell r="K5817" t="str">
            <v>LCAT</v>
          </cell>
          <cell r="M5817" t="str">
            <v>F</v>
          </cell>
          <cell r="AC5817">
            <v>1</v>
          </cell>
        </row>
        <row r="5818">
          <cell r="A5818" t="str">
            <v>IS_alqt_plus</v>
          </cell>
          <cell r="K5818" t="str">
            <v>LCAT</v>
          </cell>
          <cell r="M5818" t="str">
            <v>F</v>
          </cell>
          <cell r="AC5818">
            <v>1</v>
          </cell>
        </row>
        <row r="5819">
          <cell r="A5819" t="str">
            <v>IS_alqt_plus</v>
          </cell>
          <cell r="K5819" t="str">
            <v>LCAT</v>
          </cell>
          <cell r="M5819" t="str">
            <v>F</v>
          </cell>
          <cell r="AC5819">
            <v>1</v>
          </cell>
        </row>
        <row r="5820">
          <cell r="A5820" t="str">
            <v>IS_alqt_plus</v>
          </cell>
          <cell r="K5820" t="str">
            <v>LCAT</v>
          </cell>
          <cell r="M5820" t="str">
            <v>F</v>
          </cell>
          <cell r="AC5820">
            <v>1</v>
          </cell>
        </row>
        <row r="5821">
          <cell r="A5821" t="str">
            <v>IS_alqt_plus</v>
          </cell>
          <cell r="K5821" t="str">
            <v>LCAT</v>
          </cell>
          <cell r="M5821" t="str">
            <v>F</v>
          </cell>
          <cell r="AC5821">
            <v>1</v>
          </cell>
        </row>
        <row r="5822">
          <cell r="A5822" t="str">
            <v>IS_alqt_plus</v>
          </cell>
          <cell r="K5822" t="str">
            <v>VRUB</v>
          </cell>
          <cell r="M5822" t="str">
            <v>F</v>
          </cell>
          <cell r="AC5822">
            <v>0.8</v>
          </cell>
        </row>
        <row r="5823">
          <cell r="A5823" t="str">
            <v>IS_alqt_minus</v>
          </cell>
          <cell r="K5823" t="str">
            <v>CMED</v>
          </cell>
          <cell r="M5823" t="str">
            <v>M</v>
          </cell>
          <cell r="AC5823">
            <v>0.2</v>
          </cell>
        </row>
        <row r="5824">
          <cell r="A5824" t="str">
            <v>IS_alqt_minus</v>
          </cell>
          <cell r="K5824" t="str">
            <v>CMED</v>
          </cell>
          <cell r="M5824" t="str">
            <v>M</v>
          </cell>
          <cell r="AC5824">
            <v>0.2</v>
          </cell>
        </row>
        <row r="5825">
          <cell r="A5825" t="str">
            <v>IS_alqt_minus</v>
          </cell>
          <cell r="K5825" t="str">
            <v>CMED</v>
          </cell>
          <cell r="M5825" t="str">
            <v>M</v>
          </cell>
          <cell r="AC5825">
            <v>0.2</v>
          </cell>
        </row>
        <row r="5826">
          <cell r="A5826" t="str">
            <v>IS_alqt_minus</v>
          </cell>
          <cell r="K5826" t="str">
            <v>CMED</v>
          </cell>
          <cell r="M5826" t="str">
            <v>M</v>
          </cell>
          <cell r="AC5826">
            <v>0.25</v>
          </cell>
        </row>
        <row r="5827">
          <cell r="K5827" t="e">
            <v>#N/A</v>
          </cell>
          <cell r="M5827" t="e">
            <v>#N/A</v>
          </cell>
        </row>
        <row r="5828">
          <cell r="K5828" t="e">
            <v>#N/A</v>
          </cell>
          <cell r="M5828" t="e">
            <v>#N/A</v>
          </cell>
        </row>
        <row r="5829">
          <cell r="K5829" t="e">
            <v>#N/A</v>
          </cell>
          <cell r="M5829" t="e">
            <v>#N/A</v>
          </cell>
        </row>
        <row r="5830">
          <cell r="K5830" t="e">
            <v>#N/A</v>
          </cell>
          <cell r="M5830" t="e">
            <v>#N/A</v>
          </cell>
        </row>
        <row r="5831">
          <cell r="K5831" t="e">
            <v>#N/A</v>
          </cell>
          <cell r="M5831" t="e">
            <v>#N/A</v>
          </cell>
        </row>
        <row r="5832">
          <cell r="K5832" t="e">
            <v>#N/A</v>
          </cell>
          <cell r="M5832" t="e">
            <v>#N/A</v>
          </cell>
        </row>
        <row r="5833">
          <cell r="K5833" t="e">
            <v>#N/A</v>
          </cell>
          <cell r="M5833" t="e">
            <v>#N/A</v>
          </cell>
        </row>
        <row r="5834">
          <cell r="K5834" t="e">
            <v>#N/A</v>
          </cell>
          <cell r="M5834" t="e">
            <v>#N/A</v>
          </cell>
        </row>
        <row r="5835">
          <cell r="K5835" t="e">
            <v>#N/A</v>
          </cell>
          <cell r="M5835" t="e">
            <v>#N/A</v>
          </cell>
        </row>
        <row r="5836">
          <cell r="K5836" t="e">
            <v>#N/A</v>
          </cell>
          <cell r="M5836" t="e">
            <v>#N/A</v>
          </cell>
        </row>
        <row r="5837">
          <cell r="K5837" t="e">
            <v>#N/A</v>
          </cell>
          <cell r="M5837" t="e">
            <v>#N/A</v>
          </cell>
        </row>
        <row r="5838">
          <cell r="K5838" t="e">
            <v>#N/A</v>
          </cell>
          <cell r="M5838" t="e">
            <v>#N/A</v>
          </cell>
        </row>
        <row r="5839">
          <cell r="K5839" t="e">
            <v>#N/A</v>
          </cell>
          <cell r="M5839" t="e">
            <v>#N/A</v>
          </cell>
        </row>
        <row r="5840">
          <cell r="K5840" t="e">
            <v>#N/A</v>
          </cell>
          <cell r="M5840" t="e">
            <v>#N/A</v>
          </cell>
        </row>
        <row r="5841">
          <cell r="K5841" t="e">
            <v>#N/A</v>
          </cell>
          <cell r="M5841" t="e">
            <v>#N/A</v>
          </cell>
        </row>
        <row r="5842">
          <cell r="K5842" t="e">
            <v>#N/A</v>
          </cell>
          <cell r="M5842" t="e">
            <v>#N/A</v>
          </cell>
        </row>
        <row r="5843">
          <cell r="K5843" t="e">
            <v>#N/A</v>
          </cell>
          <cell r="M5843" t="e">
            <v>#N/A</v>
          </cell>
        </row>
        <row r="5844">
          <cell r="K5844" t="e">
            <v>#N/A</v>
          </cell>
          <cell r="M5844" t="e">
            <v>#N/A</v>
          </cell>
        </row>
        <row r="5845">
          <cell r="K5845" t="e">
            <v>#N/A</v>
          </cell>
          <cell r="M5845" t="e">
            <v>#N/A</v>
          </cell>
        </row>
        <row r="5846">
          <cell r="K5846" t="e">
            <v>#N/A</v>
          </cell>
          <cell r="M5846" t="e">
            <v>#N/A</v>
          </cell>
        </row>
        <row r="5847">
          <cell r="K5847" t="e">
            <v>#N/A</v>
          </cell>
          <cell r="M5847" t="e">
            <v>#N/A</v>
          </cell>
        </row>
        <row r="5848">
          <cell r="K5848" t="e">
            <v>#N/A</v>
          </cell>
          <cell r="M5848" t="e">
            <v>#N/A</v>
          </cell>
        </row>
        <row r="5849">
          <cell r="K5849" t="e">
            <v>#N/A</v>
          </cell>
          <cell r="M5849" t="e">
            <v>#N/A</v>
          </cell>
        </row>
        <row r="5850">
          <cell r="K5850" t="e">
            <v>#N/A</v>
          </cell>
          <cell r="M5850" t="e">
            <v>#N/A</v>
          </cell>
        </row>
        <row r="5851">
          <cell r="K5851" t="e">
            <v>#N/A</v>
          </cell>
          <cell r="M5851" t="e">
            <v>#N/A</v>
          </cell>
        </row>
        <row r="5852">
          <cell r="K5852" t="e">
            <v>#N/A</v>
          </cell>
          <cell r="M5852" t="e">
            <v>#N/A</v>
          </cell>
        </row>
        <row r="5853">
          <cell r="K5853" t="e">
            <v>#N/A</v>
          </cell>
          <cell r="M5853" t="e">
            <v>#N/A</v>
          </cell>
        </row>
        <row r="5854">
          <cell r="K5854" t="e">
            <v>#N/A</v>
          </cell>
          <cell r="M5854" t="e">
            <v>#N/A</v>
          </cell>
        </row>
        <row r="5855">
          <cell r="K5855" t="e">
            <v>#N/A</v>
          </cell>
          <cell r="M5855" t="e">
            <v>#N/A</v>
          </cell>
        </row>
        <row r="5856">
          <cell r="K5856" t="e">
            <v>#N/A</v>
          </cell>
          <cell r="M5856" t="e">
            <v>#N/A</v>
          </cell>
        </row>
        <row r="5857">
          <cell r="K5857" t="e">
            <v>#N/A</v>
          </cell>
          <cell r="M5857" t="e">
            <v>#N/A</v>
          </cell>
        </row>
        <row r="5858">
          <cell r="K5858" t="e">
            <v>#N/A</v>
          </cell>
          <cell r="M5858" t="e">
            <v>#N/A</v>
          </cell>
        </row>
        <row r="5859">
          <cell r="K5859" t="e">
            <v>#N/A</v>
          </cell>
          <cell r="M5859" t="e">
            <v>#N/A</v>
          </cell>
        </row>
        <row r="5860">
          <cell r="K5860" t="e">
            <v>#N/A</v>
          </cell>
          <cell r="M5860" t="e">
            <v>#N/A</v>
          </cell>
        </row>
        <row r="5861">
          <cell r="K5861" t="e">
            <v>#N/A</v>
          </cell>
          <cell r="M5861" t="e">
            <v>#N/A</v>
          </cell>
        </row>
        <row r="5862">
          <cell r="K5862" t="e">
            <v>#N/A</v>
          </cell>
          <cell r="M5862" t="e">
            <v>#N/A</v>
          </cell>
        </row>
        <row r="5863">
          <cell r="K5863" t="e">
            <v>#N/A</v>
          </cell>
          <cell r="M5863" t="e">
            <v>#N/A</v>
          </cell>
        </row>
        <row r="5864">
          <cell r="K5864" t="e">
            <v>#N/A</v>
          </cell>
          <cell r="M5864" t="e">
            <v>#N/A</v>
          </cell>
        </row>
        <row r="5865">
          <cell r="K5865" t="e">
            <v>#N/A</v>
          </cell>
          <cell r="M5865" t="e">
            <v>#N/A</v>
          </cell>
        </row>
        <row r="5866">
          <cell r="K5866" t="e">
            <v>#N/A</v>
          </cell>
          <cell r="M5866" t="e">
            <v>#N/A</v>
          </cell>
        </row>
        <row r="5867">
          <cell r="K5867" t="e">
            <v>#N/A</v>
          </cell>
          <cell r="M5867" t="e">
            <v>#N/A</v>
          </cell>
        </row>
        <row r="5868">
          <cell r="K5868" t="e">
            <v>#N/A</v>
          </cell>
          <cell r="M5868" t="e">
            <v>#N/A</v>
          </cell>
        </row>
        <row r="5869">
          <cell r="K5869" t="e">
            <v>#N/A</v>
          </cell>
          <cell r="M5869" t="e">
            <v>#N/A</v>
          </cell>
        </row>
        <row r="5870">
          <cell r="K5870" t="e">
            <v>#N/A</v>
          </cell>
          <cell r="M5870" t="e">
            <v>#N/A</v>
          </cell>
        </row>
        <row r="5871">
          <cell r="K5871" t="e">
            <v>#N/A</v>
          </cell>
          <cell r="M5871" t="e">
            <v>#N/A</v>
          </cell>
        </row>
        <row r="5872">
          <cell r="K5872" t="e">
            <v>#N/A</v>
          </cell>
          <cell r="M5872" t="e">
            <v>#N/A</v>
          </cell>
        </row>
        <row r="5873">
          <cell r="K5873" t="e">
            <v>#N/A</v>
          </cell>
          <cell r="M5873" t="e">
            <v>#N/A</v>
          </cell>
        </row>
        <row r="5874">
          <cell r="K5874" t="e">
            <v>#N/A</v>
          </cell>
          <cell r="M5874" t="e">
            <v>#N/A</v>
          </cell>
        </row>
        <row r="5875">
          <cell r="K5875" t="e">
            <v>#N/A</v>
          </cell>
          <cell r="M5875" t="e">
            <v>#N/A</v>
          </cell>
        </row>
        <row r="5876">
          <cell r="K5876" t="e">
            <v>#N/A</v>
          </cell>
          <cell r="M5876" t="e">
            <v>#N/A</v>
          </cell>
        </row>
        <row r="5877">
          <cell r="K5877" t="e">
            <v>#N/A</v>
          </cell>
          <cell r="M5877" t="e">
            <v>#N/A</v>
          </cell>
        </row>
        <row r="5878">
          <cell r="K5878" t="e">
            <v>#N/A</v>
          </cell>
          <cell r="M5878" t="e">
            <v>#N/A</v>
          </cell>
        </row>
        <row r="5879">
          <cell r="K5879" t="e">
            <v>#N/A</v>
          </cell>
          <cell r="M5879" t="e">
            <v>#N/A</v>
          </cell>
        </row>
        <row r="5880">
          <cell r="K5880" t="e">
            <v>#N/A</v>
          </cell>
          <cell r="M5880" t="e">
            <v>#N/A</v>
          </cell>
        </row>
        <row r="5881">
          <cell r="K5881" t="e">
            <v>#N/A</v>
          </cell>
          <cell r="M5881" t="e">
            <v>#N/A</v>
          </cell>
        </row>
        <row r="5882">
          <cell r="K5882" t="e">
            <v>#N/A</v>
          </cell>
          <cell r="M5882" t="e">
            <v>#N/A</v>
          </cell>
        </row>
        <row r="5883">
          <cell r="K5883" t="e">
            <v>#N/A</v>
          </cell>
          <cell r="M5883" t="e">
            <v>#N/A</v>
          </cell>
        </row>
        <row r="5884">
          <cell r="K5884" t="e">
            <v>#N/A</v>
          </cell>
          <cell r="M5884" t="e">
            <v>#N/A</v>
          </cell>
        </row>
        <row r="5885">
          <cell r="K5885" t="e">
            <v>#N/A</v>
          </cell>
          <cell r="M5885" t="e">
            <v>#N/A</v>
          </cell>
        </row>
        <row r="5886">
          <cell r="K5886" t="e">
            <v>#N/A</v>
          </cell>
          <cell r="M5886" t="e">
            <v>#N/A</v>
          </cell>
        </row>
        <row r="5887">
          <cell r="K5887" t="e">
            <v>#N/A</v>
          </cell>
          <cell r="M5887" t="e">
            <v>#N/A</v>
          </cell>
        </row>
        <row r="5888">
          <cell r="K5888" t="e">
            <v>#N/A</v>
          </cell>
          <cell r="M5888" t="e">
            <v>#N/A</v>
          </cell>
        </row>
        <row r="5889">
          <cell r="K5889" t="e">
            <v>#N/A</v>
          </cell>
          <cell r="M5889" t="e">
            <v>#N/A</v>
          </cell>
        </row>
        <row r="5890">
          <cell r="K5890" t="e">
            <v>#N/A</v>
          </cell>
          <cell r="M5890" t="e">
            <v>#N/A</v>
          </cell>
        </row>
        <row r="5891">
          <cell r="K5891" t="e">
            <v>#N/A</v>
          </cell>
          <cell r="M5891" t="e">
            <v>#N/A</v>
          </cell>
        </row>
        <row r="5892">
          <cell r="K5892" t="e">
            <v>#N/A</v>
          </cell>
          <cell r="M5892" t="e">
            <v>#N/A</v>
          </cell>
        </row>
        <row r="5893">
          <cell r="K5893" t="e">
            <v>#N/A</v>
          </cell>
          <cell r="M5893" t="e">
            <v>#N/A</v>
          </cell>
        </row>
        <row r="5894">
          <cell r="K5894" t="e">
            <v>#N/A</v>
          </cell>
          <cell r="M5894" t="e">
            <v>#N/A</v>
          </cell>
        </row>
        <row r="5895">
          <cell r="K5895" t="e">
            <v>#N/A</v>
          </cell>
          <cell r="M5895" t="e">
            <v>#N/A</v>
          </cell>
        </row>
        <row r="5896">
          <cell r="K5896" t="e">
            <v>#N/A</v>
          </cell>
          <cell r="M5896" t="e">
            <v>#N/A</v>
          </cell>
        </row>
        <row r="5897">
          <cell r="K5897" t="e">
            <v>#N/A</v>
          </cell>
          <cell r="M5897" t="e">
            <v>#N/A</v>
          </cell>
        </row>
        <row r="5898">
          <cell r="K5898" t="e">
            <v>#N/A</v>
          </cell>
          <cell r="M5898" t="e">
            <v>#N/A</v>
          </cell>
        </row>
        <row r="5899">
          <cell r="K5899" t="e">
            <v>#N/A</v>
          </cell>
          <cell r="M5899" t="e">
            <v>#N/A</v>
          </cell>
        </row>
        <row r="5900">
          <cell r="K5900" t="e">
            <v>#N/A</v>
          </cell>
          <cell r="M5900" t="e">
            <v>#N/A</v>
          </cell>
        </row>
        <row r="5901">
          <cell r="K5901" t="e">
            <v>#N/A</v>
          </cell>
          <cell r="M5901" t="e">
            <v>#N/A</v>
          </cell>
        </row>
        <row r="5902">
          <cell r="K5902" t="e">
            <v>#N/A</v>
          </cell>
          <cell r="M5902" t="e">
            <v>#N/A</v>
          </cell>
        </row>
        <row r="5903">
          <cell r="K5903" t="e">
            <v>#N/A</v>
          </cell>
          <cell r="M5903" t="e">
            <v>#N/A</v>
          </cell>
        </row>
        <row r="5904">
          <cell r="K5904" t="e">
            <v>#N/A</v>
          </cell>
          <cell r="M5904" t="e">
            <v>#N/A</v>
          </cell>
        </row>
        <row r="5905">
          <cell r="K5905" t="e">
            <v>#N/A</v>
          </cell>
          <cell r="M5905" t="e">
            <v>#N/A</v>
          </cell>
        </row>
        <row r="5906">
          <cell r="K5906" t="e">
            <v>#N/A</v>
          </cell>
          <cell r="M5906" t="e">
            <v>#N/A</v>
          </cell>
        </row>
        <row r="5907">
          <cell r="K5907" t="e">
            <v>#N/A</v>
          </cell>
          <cell r="M5907" t="e">
            <v>#N/A</v>
          </cell>
        </row>
        <row r="5908">
          <cell r="K5908" t="e">
            <v>#N/A</v>
          </cell>
          <cell r="M5908" t="e">
            <v>#N/A</v>
          </cell>
        </row>
        <row r="5909">
          <cell r="K5909" t="e">
            <v>#N/A</v>
          </cell>
          <cell r="M5909" t="e">
            <v>#N/A</v>
          </cell>
        </row>
        <row r="5910">
          <cell r="K5910" t="e">
            <v>#N/A</v>
          </cell>
          <cell r="M5910" t="e">
            <v>#N/A</v>
          </cell>
        </row>
        <row r="5911">
          <cell r="K5911" t="e">
            <v>#N/A</v>
          </cell>
          <cell r="M5911" t="e">
            <v>#N/A</v>
          </cell>
        </row>
        <row r="5912">
          <cell r="K5912" t="e">
            <v>#N/A</v>
          </cell>
          <cell r="M5912" t="e">
            <v>#N/A</v>
          </cell>
        </row>
        <row r="5913">
          <cell r="K5913" t="e">
            <v>#N/A</v>
          </cell>
          <cell r="M5913" t="e">
            <v>#N/A</v>
          </cell>
        </row>
        <row r="5914">
          <cell r="K5914" t="e">
            <v>#N/A</v>
          </cell>
          <cell r="M5914" t="e">
            <v>#N/A</v>
          </cell>
        </row>
        <row r="5915">
          <cell r="K5915" t="e">
            <v>#N/A</v>
          </cell>
          <cell r="M5915" t="e">
            <v>#N/A</v>
          </cell>
        </row>
        <row r="5916">
          <cell r="K5916" t="e">
            <v>#N/A</v>
          </cell>
          <cell r="M5916" t="e">
            <v>#N/A</v>
          </cell>
        </row>
        <row r="5917">
          <cell r="K5917" t="e">
            <v>#N/A</v>
          </cell>
          <cell r="M5917" t="e">
            <v>#N/A</v>
          </cell>
        </row>
        <row r="5918">
          <cell r="K5918" t="e">
            <v>#N/A</v>
          </cell>
          <cell r="M5918" t="e">
            <v>#N/A</v>
          </cell>
        </row>
        <row r="5919">
          <cell r="K5919" t="e">
            <v>#N/A</v>
          </cell>
          <cell r="M5919" t="e">
            <v>#N/A</v>
          </cell>
        </row>
        <row r="5920">
          <cell r="K5920" t="e">
            <v>#N/A</v>
          </cell>
          <cell r="M5920" t="e">
            <v>#N/A</v>
          </cell>
        </row>
        <row r="5921">
          <cell r="K5921" t="e">
            <v>#N/A</v>
          </cell>
          <cell r="M5921" t="e">
            <v>#N/A</v>
          </cell>
        </row>
        <row r="5922">
          <cell r="K5922" t="e">
            <v>#N/A</v>
          </cell>
          <cell r="M5922" t="e">
            <v>#N/A</v>
          </cell>
        </row>
        <row r="5923">
          <cell r="K5923" t="e">
            <v>#N/A</v>
          </cell>
          <cell r="M5923" t="e">
            <v>#N/A</v>
          </cell>
        </row>
        <row r="5924">
          <cell r="K5924" t="e">
            <v>#N/A</v>
          </cell>
          <cell r="M5924" t="e">
            <v>#N/A</v>
          </cell>
        </row>
        <row r="5925">
          <cell r="K5925" t="e">
            <v>#N/A</v>
          </cell>
          <cell r="M5925" t="e">
            <v>#N/A</v>
          </cell>
        </row>
        <row r="5926">
          <cell r="K5926" t="e">
            <v>#N/A</v>
          </cell>
          <cell r="M5926" t="e">
            <v>#N/A</v>
          </cell>
        </row>
        <row r="5927">
          <cell r="K5927" t="e">
            <v>#N/A</v>
          </cell>
          <cell r="M5927" t="e">
            <v>#N/A</v>
          </cell>
        </row>
        <row r="5928">
          <cell r="K5928" t="e">
            <v>#N/A</v>
          </cell>
          <cell r="M5928" t="e">
            <v>#N/A</v>
          </cell>
        </row>
      </sheetData>
      <sheetData sheetId="3">
        <row r="1">
          <cell r="A1" t="str">
            <v>Filter</v>
          </cell>
          <cell r="K1" t="str">
            <v>Species</v>
          </cell>
          <cell r="AB1" t="str">
            <v>Sample Type</v>
          </cell>
        </row>
        <row r="2">
          <cell r="A2" t="str">
            <v>unk</v>
          </cell>
          <cell r="K2" t="str">
            <v>EMAC</v>
          </cell>
          <cell r="AB2" t="str">
            <v>R- placenta</v>
          </cell>
        </row>
        <row r="3">
          <cell r="A3" t="str">
            <v>in storage</v>
          </cell>
          <cell r="K3" t="e">
            <v>#N/A</v>
          </cell>
          <cell r="AB3" t="str">
            <v>R- milk</v>
          </cell>
        </row>
        <row r="4">
          <cell r="A4" t="str">
            <v>unk</v>
          </cell>
          <cell r="K4" t="str">
            <v>CMED</v>
          </cell>
          <cell r="AB4" t="str">
            <v>GI Tract</v>
          </cell>
        </row>
        <row r="5">
          <cell r="A5" t="str">
            <v>in storage</v>
          </cell>
          <cell r="K5" t="str">
            <v>CMED</v>
          </cell>
          <cell r="AB5" t="str">
            <v>Spleen</v>
          </cell>
        </row>
        <row r="6">
          <cell r="A6" t="str">
            <v>in storage</v>
          </cell>
          <cell r="K6" t="str">
            <v>CMED</v>
          </cell>
          <cell r="AB6" t="str">
            <v>GI Tract/ spleen</v>
          </cell>
        </row>
        <row r="7">
          <cell r="A7" t="str">
            <v>in storage</v>
          </cell>
          <cell r="K7" t="str">
            <v>GMOH</v>
          </cell>
          <cell r="AB7" t="str">
            <v>Liver</v>
          </cell>
        </row>
        <row r="8">
          <cell r="A8" t="str">
            <v>in storage</v>
          </cell>
          <cell r="K8" t="str">
            <v>OMA</v>
          </cell>
          <cell r="AB8" t="str">
            <v>Eye</v>
          </cell>
        </row>
        <row r="9">
          <cell r="A9" t="str">
            <v>in storage</v>
          </cell>
          <cell r="K9" t="str">
            <v>EMAC</v>
          </cell>
          <cell r="AB9" t="str">
            <v>Heart</v>
          </cell>
        </row>
        <row r="10">
          <cell r="A10" t="str">
            <v>in storage</v>
          </cell>
          <cell r="K10" t="str">
            <v>EMAC</v>
          </cell>
          <cell r="AB10" t="str">
            <v>Skin</v>
          </cell>
        </row>
        <row r="11">
          <cell r="A11" t="str">
            <v>in storage</v>
          </cell>
          <cell r="K11" t="str">
            <v>OMA</v>
          </cell>
          <cell r="AB11" t="str">
            <v>Heart</v>
          </cell>
        </row>
        <row r="12">
          <cell r="A12" t="str">
            <v>in storage</v>
          </cell>
          <cell r="K12" t="str">
            <v>OMA</v>
          </cell>
          <cell r="AB12" t="str">
            <v>Tongue</v>
          </cell>
        </row>
        <row r="13">
          <cell r="A13" t="str">
            <v>gone</v>
          </cell>
          <cell r="K13" t="str">
            <v>GDEM</v>
          </cell>
          <cell r="AB13" t="str">
            <v>Tongue</v>
          </cell>
        </row>
        <row r="14">
          <cell r="A14" t="str">
            <v>in storage</v>
          </cell>
          <cell r="K14" t="str">
            <v>GDEM</v>
          </cell>
          <cell r="AB14" t="str">
            <v>R- penis</v>
          </cell>
        </row>
        <row r="15">
          <cell r="A15" t="str">
            <v>in storage</v>
          </cell>
          <cell r="K15" t="str">
            <v>GDEM</v>
          </cell>
          <cell r="AB15" t="str">
            <v>R- teste(s)</v>
          </cell>
        </row>
        <row r="16">
          <cell r="A16" t="str">
            <v>in storage</v>
          </cell>
          <cell r="K16" t="str">
            <v>GMOH</v>
          </cell>
          <cell r="AB16" t="str">
            <v>Heart</v>
          </cell>
        </row>
        <row r="17">
          <cell r="A17" t="str">
            <v>in storage</v>
          </cell>
          <cell r="K17" t="str">
            <v>GMOH</v>
          </cell>
          <cell r="AB17" t="str">
            <v>Liver</v>
          </cell>
        </row>
        <row r="18">
          <cell r="A18" t="str">
            <v>in storage</v>
          </cell>
          <cell r="K18" t="str">
            <v>GMOH</v>
          </cell>
          <cell r="AB18" t="str">
            <v>R- teste(s)</v>
          </cell>
        </row>
        <row r="19">
          <cell r="A19" t="str">
            <v>in storage</v>
          </cell>
          <cell r="K19" t="str">
            <v>PCOQ</v>
          </cell>
          <cell r="AB19" t="str">
            <v>Kidney</v>
          </cell>
        </row>
        <row r="20">
          <cell r="A20" t="str">
            <v>in storage</v>
          </cell>
          <cell r="K20" t="str">
            <v>PCOQ</v>
          </cell>
          <cell r="AB20" t="str">
            <v>Heart</v>
          </cell>
        </row>
        <row r="21">
          <cell r="A21" t="str">
            <v>unk</v>
          </cell>
          <cell r="K21" t="str">
            <v>PCOQ</v>
          </cell>
          <cell r="AB21" t="str">
            <v>Lung</v>
          </cell>
        </row>
        <row r="22">
          <cell r="A22" t="str">
            <v>in storage</v>
          </cell>
          <cell r="K22" t="str">
            <v>PCOQ</v>
          </cell>
          <cell r="AB22" t="str">
            <v>Liver</v>
          </cell>
        </row>
        <row r="23">
          <cell r="A23" t="str">
            <v>in storage</v>
          </cell>
          <cell r="K23" t="str">
            <v>EALB</v>
          </cell>
          <cell r="AB23" t="str">
            <v>Heart</v>
          </cell>
        </row>
        <row r="24">
          <cell r="A24" t="str">
            <v>in storage</v>
          </cell>
          <cell r="K24" t="str">
            <v>EALB</v>
          </cell>
          <cell r="AB24" t="str">
            <v>Skin</v>
          </cell>
        </row>
        <row r="25">
          <cell r="A25" t="str">
            <v>in storage</v>
          </cell>
          <cell r="K25" t="str">
            <v>GMOH</v>
          </cell>
          <cell r="AB25" t="str">
            <v>Skin</v>
          </cell>
        </row>
        <row r="26">
          <cell r="A26" t="str">
            <v>in storage</v>
          </cell>
          <cell r="K26" t="str">
            <v>GMOH</v>
          </cell>
          <cell r="AB26" t="str">
            <v>Tongue</v>
          </cell>
        </row>
        <row r="27">
          <cell r="A27" t="str">
            <v>in storage</v>
          </cell>
          <cell r="K27" t="str">
            <v>GMOH</v>
          </cell>
          <cell r="AB27" t="str">
            <v>Skin</v>
          </cell>
        </row>
        <row r="28">
          <cell r="A28" t="str">
            <v>in storage</v>
          </cell>
          <cell r="K28" t="str">
            <v>GMOH</v>
          </cell>
          <cell r="AB28" t="str">
            <v>Tongue</v>
          </cell>
        </row>
        <row r="29">
          <cell r="A29" t="str">
            <v>in storage</v>
          </cell>
          <cell r="K29" t="str">
            <v>GMOH</v>
          </cell>
          <cell r="AB29" t="str">
            <v>Kidney</v>
          </cell>
        </row>
        <row r="30">
          <cell r="A30" t="str">
            <v>in storage</v>
          </cell>
          <cell r="K30" t="str">
            <v>GMOH</v>
          </cell>
          <cell r="AB30" t="str">
            <v>Skin</v>
          </cell>
        </row>
        <row r="31">
          <cell r="A31" t="str">
            <v>in storage</v>
          </cell>
          <cell r="K31" t="str">
            <v>GMOH</v>
          </cell>
          <cell r="AB31" t="str">
            <v>Eye</v>
          </cell>
        </row>
        <row r="32">
          <cell r="A32" t="str">
            <v>in storage</v>
          </cell>
          <cell r="K32" t="str">
            <v>GMOH</v>
          </cell>
          <cell r="AB32" t="str">
            <v>Tongue</v>
          </cell>
        </row>
        <row r="33">
          <cell r="A33" t="str">
            <v>in storage</v>
          </cell>
          <cell r="K33" t="str">
            <v>OMON</v>
          </cell>
          <cell r="AB33" t="str">
            <v>Heart</v>
          </cell>
        </row>
        <row r="34">
          <cell r="A34" t="str">
            <v>in storage</v>
          </cell>
          <cell r="K34" t="str">
            <v>OMON</v>
          </cell>
          <cell r="AB34" t="str">
            <v>Skin</v>
          </cell>
        </row>
        <row r="35">
          <cell r="A35" t="str">
            <v>in storage</v>
          </cell>
          <cell r="K35" t="str">
            <v>OMON</v>
          </cell>
          <cell r="AB35" t="str">
            <v>Tongue</v>
          </cell>
        </row>
        <row r="36">
          <cell r="A36" t="str">
            <v>in storage</v>
          </cell>
          <cell r="K36" t="str">
            <v>GMOH</v>
          </cell>
          <cell r="AB36" t="str">
            <v>Skin</v>
          </cell>
        </row>
        <row r="37">
          <cell r="A37" t="str">
            <v>in storage</v>
          </cell>
          <cell r="K37" t="str">
            <v>GMOH</v>
          </cell>
          <cell r="AB37" t="str">
            <v>R- milk</v>
          </cell>
        </row>
        <row r="38">
          <cell r="A38" t="str">
            <v>in storage</v>
          </cell>
          <cell r="K38" t="str">
            <v>OGG</v>
          </cell>
          <cell r="AB38" t="str">
            <v>Heart</v>
          </cell>
        </row>
        <row r="39">
          <cell r="A39" t="str">
            <v>in storage</v>
          </cell>
          <cell r="K39" t="str">
            <v>OGG</v>
          </cell>
          <cell r="AB39" t="str">
            <v>Skin</v>
          </cell>
        </row>
        <row r="40">
          <cell r="A40" t="str">
            <v>in storage</v>
          </cell>
          <cell r="K40" t="str">
            <v>EMAC</v>
          </cell>
          <cell r="AB40" t="str">
            <v>Kidney</v>
          </cell>
        </row>
        <row r="41">
          <cell r="A41" t="str">
            <v>in storage</v>
          </cell>
          <cell r="K41" t="str">
            <v>EMAC</v>
          </cell>
          <cell r="AB41" t="str">
            <v>Spleen</v>
          </cell>
        </row>
        <row r="42">
          <cell r="A42" t="str">
            <v>in storage</v>
          </cell>
          <cell r="K42" t="str">
            <v>EMAC</v>
          </cell>
          <cell r="AB42" t="str">
            <v>Heart</v>
          </cell>
        </row>
        <row r="43">
          <cell r="A43" t="str">
            <v>in storage</v>
          </cell>
          <cell r="K43" t="str">
            <v>GMOH</v>
          </cell>
          <cell r="AB43" t="str">
            <v>Skin</v>
          </cell>
        </row>
        <row r="44">
          <cell r="A44" t="str">
            <v>in storage</v>
          </cell>
          <cell r="K44" t="str">
            <v>GMOH</v>
          </cell>
          <cell r="AB44" t="str">
            <v>Tongue</v>
          </cell>
        </row>
        <row r="45">
          <cell r="A45" t="str">
            <v>in storage</v>
          </cell>
          <cell r="K45" t="str">
            <v>GMOH</v>
          </cell>
          <cell r="AB45" t="str">
            <v>Kidney</v>
          </cell>
        </row>
        <row r="46">
          <cell r="A46" t="str">
            <v>in storage</v>
          </cell>
          <cell r="K46" t="str">
            <v>GMOH</v>
          </cell>
          <cell r="AB46" t="str">
            <v>Skin</v>
          </cell>
        </row>
        <row r="47">
          <cell r="A47" t="str">
            <v>in storage</v>
          </cell>
          <cell r="K47" t="str">
            <v>GMOH</v>
          </cell>
          <cell r="AB47" t="str">
            <v>Liver</v>
          </cell>
        </row>
        <row r="48">
          <cell r="A48" t="str">
            <v>in storage</v>
          </cell>
          <cell r="K48" t="str">
            <v>LCAT</v>
          </cell>
          <cell r="AB48" t="str">
            <v>Spleen</v>
          </cell>
        </row>
        <row r="49">
          <cell r="A49" t="str">
            <v>in storage</v>
          </cell>
          <cell r="K49" t="str">
            <v>LCAT</v>
          </cell>
          <cell r="AB49" t="str">
            <v>Skin</v>
          </cell>
        </row>
        <row r="50">
          <cell r="A50" t="str">
            <v>in storage</v>
          </cell>
          <cell r="K50" t="str">
            <v>LCAT</v>
          </cell>
          <cell r="AB50" t="str">
            <v>Tongue</v>
          </cell>
        </row>
        <row r="51">
          <cell r="A51" t="str">
            <v>in storage</v>
          </cell>
          <cell r="K51" t="str">
            <v>GMOH</v>
          </cell>
          <cell r="AB51" t="str">
            <v>Spleen</v>
          </cell>
        </row>
        <row r="52">
          <cell r="A52" t="str">
            <v>unk</v>
          </cell>
          <cell r="K52" t="str">
            <v>GMOH</v>
          </cell>
          <cell r="AB52" t="str">
            <v>Kidney</v>
          </cell>
        </row>
        <row r="53">
          <cell r="A53" t="str">
            <v>in storage</v>
          </cell>
          <cell r="K53" t="str">
            <v>GMOH</v>
          </cell>
          <cell r="AB53" t="str">
            <v>Skin</v>
          </cell>
        </row>
        <row r="54">
          <cell r="A54" t="str">
            <v>in storage</v>
          </cell>
          <cell r="K54" t="str">
            <v>GMOH</v>
          </cell>
          <cell r="AB54" t="str">
            <v>Tongue</v>
          </cell>
        </row>
        <row r="55">
          <cell r="A55" t="str">
            <v>in storage</v>
          </cell>
          <cell r="K55" t="str">
            <v>OGG</v>
          </cell>
          <cell r="AB55" t="str">
            <v>Muscle</v>
          </cell>
        </row>
        <row r="56">
          <cell r="A56" t="str">
            <v>in storage</v>
          </cell>
          <cell r="K56" t="str">
            <v>NCOU</v>
          </cell>
          <cell r="AB56" t="str">
            <v>Kidney</v>
          </cell>
        </row>
        <row r="57">
          <cell r="A57" t="str">
            <v>in storage</v>
          </cell>
          <cell r="K57" t="str">
            <v>NCOU</v>
          </cell>
          <cell r="AB57" t="str">
            <v>Spleen</v>
          </cell>
        </row>
        <row r="58">
          <cell r="A58" t="str">
            <v>in storage</v>
          </cell>
          <cell r="K58" t="str">
            <v>NCOU</v>
          </cell>
          <cell r="AB58" t="str">
            <v>Heart</v>
          </cell>
        </row>
        <row r="59">
          <cell r="A59" t="str">
            <v>unk</v>
          </cell>
          <cell r="K59" t="str">
            <v>NCOU</v>
          </cell>
          <cell r="AB59" t="str">
            <v>Liver</v>
          </cell>
        </row>
        <row r="60">
          <cell r="A60" t="str">
            <v>in storage</v>
          </cell>
          <cell r="K60" t="str">
            <v>NCOU</v>
          </cell>
          <cell r="AB60" t="str">
            <v>Tongue</v>
          </cell>
        </row>
        <row r="61">
          <cell r="A61" t="str">
            <v>in storage</v>
          </cell>
          <cell r="K61" t="str">
            <v>OMON</v>
          </cell>
          <cell r="AB61" t="str">
            <v>Spleen</v>
          </cell>
        </row>
        <row r="62">
          <cell r="A62" t="str">
            <v>in storage</v>
          </cell>
          <cell r="K62" t="str">
            <v>OMON</v>
          </cell>
          <cell r="AB62" t="str">
            <v>Skin</v>
          </cell>
        </row>
        <row r="63">
          <cell r="A63" t="str">
            <v>in storage</v>
          </cell>
          <cell r="K63" t="str">
            <v>OMON</v>
          </cell>
          <cell r="AB63" t="str">
            <v>Tongue</v>
          </cell>
        </row>
        <row r="64">
          <cell r="A64" t="str">
            <v>in storage</v>
          </cell>
          <cell r="K64" t="str">
            <v>CMED</v>
          </cell>
          <cell r="AB64" t="str">
            <v>Skin</v>
          </cell>
        </row>
        <row r="65">
          <cell r="A65" t="str">
            <v>in storage</v>
          </cell>
          <cell r="K65" t="str">
            <v>NCOU</v>
          </cell>
          <cell r="AB65" t="str">
            <v>Kidney</v>
          </cell>
        </row>
        <row r="66">
          <cell r="A66" t="str">
            <v>in storage</v>
          </cell>
          <cell r="K66" t="str">
            <v>NCOU</v>
          </cell>
          <cell r="AB66" t="str">
            <v>Heart</v>
          </cell>
        </row>
        <row r="67">
          <cell r="A67" t="str">
            <v>in storage</v>
          </cell>
          <cell r="K67" t="str">
            <v>NCOU</v>
          </cell>
          <cell r="AB67" t="str">
            <v>Eye</v>
          </cell>
        </row>
        <row r="68">
          <cell r="A68" t="str">
            <v>in storage</v>
          </cell>
          <cell r="K68" t="str">
            <v>NCOU</v>
          </cell>
          <cell r="AB68" t="str">
            <v>Tongue</v>
          </cell>
        </row>
        <row r="69">
          <cell r="A69" t="str">
            <v>in storage</v>
          </cell>
          <cell r="K69" t="str">
            <v>GDEM</v>
          </cell>
          <cell r="AB69" t="str">
            <v>Liver</v>
          </cell>
        </row>
        <row r="70">
          <cell r="A70" t="str">
            <v>in storage</v>
          </cell>
          <cell r="K70" t="str">
            <v>GDEM</v>
          </cell>
          <cell r="AB70" t="str">
            <v>Eye</v>
          </cell>
        </row>
        <row r="71">
          <cell r="A71" t="str">
            <v>in storage</v>
          </cell>
          <cell r="K71" t="str">
            <v>GDEM</v>
          </cell>
          <cell r="AB71" t="str">
            <v>Tongue</v>
          </cell>
        </row>
        <row r="72">
          <cell r="A72" t="str">
            <v>in storage</v>
          </cell>
          <cell r="K72" t="str">
            <v>ECOR</v>
          </cell>
          <cell r="AB72" t="str">
            <v>Kidney</v>
          </cell>
        </row>
        <row r="73">
          <cell r="A73" t="str">
            <v>in storage</v>
          </cell>
          <cell r="K73" t="str">
            <v>ECOR</v>
          </cell>
          <cell r="AB73" t="str">
            <v>Heart</v>
          </cell>
        </row>
        <row r="74">
          <cell r="A74" t="str">
            <v>in storage</v>
          </cell>
          <cell r="K74" t="str">
            <v>ECOR</v>
          </cell>
          <cell r="AB74" t="str">
            <v>Skin</v>
          </cell>
        </row>
        <row r="75">
          <cell r="A75" t="str">
            <v>in storage</v>
          </cell>
          <cell r="K75" t="str">
            <v>ECOR</v>
          </cell>
          <cell r="AB75" t="str">
            <v>Tongue</v>
          </cell>
        </row>
        <row r="76">
          <cell r="A76" t="str">
            <v>in storage</v>
          </cell>
          <cell r="K76" t="str">
            <v>TSYR</v>
          </cell>
          <cell r="AB76" t="str">
            <v>R- milk</v>
          </cell>
        </row>
        <row r="77">
          <cell r="A77" t="str">
            <v>in storage</v>
          </cell>
          <cell r="K77" t="str">
            <v>LCAT</v>
          </cell>
          <cell r="AB77" t="str">
            <v>Kidney</v>
          </cell>
        </row>
        <row r="78">
          <cell r="A78" t="str">
            <v>in storage</v>
          </cell>
          <cell r="K78" t="str">
            <v>LCAT</v>
          </cell>
          <cell r="AB78" t="str">
            <v>Tongue</v>
          </cell>
        </row>
        <row r="79">
          <cell r="A79" t="str">
            <v>in storage</v>
          </cell>
          <cell r="K79" t="str">
            <v>ERUF</v>
          </cell>
          <cell r="AB79" t="str">
            <v>Tongue</v>
          </cell>
        </row>
        <row r="80">
          <cell r="A80" t="str">
            <v>in storage</v>
          </cell>
          <cell r="K80" t="str">
            <v>ECOR</v>
          </cell>
          <cell r="AB80" t="str">
            <v>Kidney</v>
          </cell>
        </row>
        <row r="81">
          <cell r="A81" t="str">
            <v>in storage</v>
          </cell>
          <cell r="K81" t="str">
            <v>ECOR</v>
          </cell>
          <cell r="AB81" t="str">
            <v>Spleen</v>
          </cell>
        </row>
        <row r="82">
          <cell r="A82" t="str">
            <v>in storage</v>
          </cell>
          <cell r="K82" t="str">
            <v>ECOR</v>
          </cell>
          <cell r="AB82" t="str">
            <v>Heart</v>
          </cell>
        </row>
        <row r="83">
          <cell r="A83" t="str">
            <v>in storage</v>
          </cell>
          <cell r="K83" t="str">
            <v>ECOR</v>
          </cell>
          <cell r="AB83" t="str">
            <v>Lung</v>
          </cell>
        </row>
        <row r="84">
          <cell r="A84" t="str">
            <v>in storage</v>
          </cell>
          <cell r="K84" t="str">
            <v>ECOR</v>
          </cell>
          <cell r="AB84" t="str">
            <v>Liver</v>
          </cell>
        </row>
        <row r="85">
          <cell r="A85" t="str">
            <v>in storage</v>
          </cell>
          <cell r="K85" t="str">
            <v>ECOR</v>
          </cell>
          <cell r="AB85" t="str">
            <v>Tongue</v>
          </cell>
        </row>
        <row r="86">
          <cell r="A86" t="str">
            <v>in storage</v>
          </cell>
          <cell r="K86" t="str">
            <v>TSYR</v>
          </cell>
          <cell r="AB86" t="str">
            <v>R- milk</v>
          </cell>
        </row>
        <row r="87">
          <cell r="A87" t="str">
            <v>in storage</v>
          </cell>
          <cell r="K87" t="str">
            <v>CMAJ</v>
          </cell>
          <cell r="AB87" t="str">
            <v>Skin</v>
          </cell>
        </row>
        <row r="88">
          <cell r="A88" t="str">
            <v>in storage</v>
          </cell>
          <cell r="K88" t="str">
            <v>CMAJ</v>
          </cell>
          <cell r="AB88" t="str">
            <v>Eye</v>
          </cell>
        </row>
        <row r="89">
          <cell r="A89" t="str">
            <v>in storage</v>
          </cell>
          <cell r="K89" t="str">
            <v>OMON</v>
          </cell>
          <cell r="AB89" t="str">
            <v>Spleen</v>
          </cell>
        </row>
        <row r="90">
          <cell r="A90" t="str">
            <v>in storage</v>
          </cell>
          <cell r="K90" t="str">
            <v>OMON</v>
          </cell>
          <cell r="AB90" t="str">
            <v>Skin</v>
          </cell>
        </row>
        <row r="91">
          <cell r="A91" t="str">
            <v>in storage</v>
          </cell>
          <cell r="K91" t="str">
            <v>OMON</v>
          </cell>
          <cell r="AB91" t="str">
            <v>Tongue</v>
          </cell>
        </row>
        <row r="92">
          <cell r="A92" t="str">
            <v>in storage</v>
          </cell>
          <cell r="K92" t="str">
            <v>EFLA</v>
          </cell>
          <cell r="AB92" t="str">
            <v>Liver</v>
          </cell>
        </row>
        <row r="93">
          <cell r="A93" t="str">
            <v>in storage</v>
          </cell>
          <cell r="K93" t="str">
            <v>EFLA</v>
          </cell>
          <cell r="AB93" t="str">
            <v>Eye</v>
          </cell>
        </row>
        <row r="94">
          <cell r="A94" t="str">
            <v>in storage</v>
          </cell>
          <cell r="K94" t="str">
            <v>GMOH</v>
          </cell>
          <cell r="AB94" t="str">
            <v>Kidney</v>
          </cell>
        </row>
        <row r="95">
          <cell r="A95" t="str">
            <v>in storage</v>
          </cell>
          <cell r="K95" t="str">
            <v>GMOH</v>
          </cell>
          <cell r="AB95" t="str">
            <v>Heart</v>
          </cell>
        </row>
        <row r="96">
          <cell r="A96" t="str">
            <v>in storage</v>
          </cell>
          <cell r="K96" t="str">
            <v>GMOH</v>
          </cell>
          <cell r="AB96" t="str">
            <v>Skin</v>
          </cell>
        </row>
        <row r="97">
          <cell r="A97" t="str">
            <v>in storage</v>
          </cell>
          <cell r="K97" t="str">
            <v>GMOH</v>
          </cell>
          <cell r="AB97" t="str">
            <v>Liver</v>
          </cell>
        </row>
        <row r="98">
          <cell r="A98" t="str">
            <v>in storage</v>
          </cell>
          <cell r="K98" t="str">
            <v>GDEM</v>
          </cell>
          <cell r="AB98" t="str">
            <v>Skin</v>
          </cell>
        </row>
        <row r="99">
          <cell r="A99" t="str">
            <v>gone</v>
          </cell>
          <cell r="K99" t="str">
            <v>GDEM</v>
          </cell>
          <cell r="AB99" t="str">
            <v>Tongue</v>
          </cell>
        </row>
        <row r="100">
          <cell r="A100" t="str">
            <v>in storage</v>
          </cell>
          <cell r="K100" t="str">
            <v>GDEM</v>
          </cell>
          <cell r="AB100" t="str">
            <v>Eye</v>
          </cell>
        </row>
        <row r="101">
          <cell r="A101" t="str">
            <v>in storage</v>
          </cell>
          <cell r="K101" t="str">
            <v>GMOH</v>
          </cell>
          <cell r="AB101" t="str">
            <v>Heart</v>
          </cell>
        </row>
        <row r="102">
          <cell r="A102" t="str">
            <v>in storage</v>
          </cell>
          <cell r="K102" t="str">
            <v>GMOH</v>
          </cell>
          <cell r="AB102" t="str">
            <v>Skin</v>
          </cell>
        </row>
        <row r="103">
          <cell r="A103" t="str">
            <v>in storage</v>
          </cell>
          <cell r="K103" t="str">
            <v>GMOH</v>
          </cell>
          <cell r="AB103" t="str">
            <v>Liver</v>
          </cell>
        </row>
        <row r="104">
          <cell r="A104" t="str">
            <v>in storage</v>
          </cell>
          <cell r="K104" t="str">
            <v>GMOH</v>
          </cell>
          <cell r="AB104" t="str">
            <v>Tongue</v>
          </cell>
        </row>
        <row r="105">
          <cell r="A105" t="str">
            <v>in storage</v>
          </cell>
          <cell r="K105" t="str">
            <v>NCOU</v>
          </cell>
          <cell r="AB105" t="str">
            <v>Spleen</v>
          </cell>
        </row>
        <row r="106">
          <cell r="A106" t="str">
            <v>in storage</v>
          </cell>
          <cell r="K106" t="str">
            <v>NCOU</v>
          </cell>
          <cell r="AB106" t="str">
            <v>Heart</v>
          </cell>
        </row>
        <row r="107">
          <cell r="A107" t="str">
            <v>in storage</v>
          </cell>
          <cell r="K107" t="str">
            <v>NCOU</v>
          </cell>
          <cell r="AB107" t="str">
            <v>Skin</v>
          </cell>
        </row>
        <row r="108">
          <cell r="A108" t="str">
            <v>in storage</v>
          </cell>
          <cell r="K108" t="str">
            <v>NCOU</v>
          </cell>
          <cell r="AB108" t="str">
            <v>Tongue</v>
          </cell>
        </row>
        <row r="109">
          <cell r="A109" t="str">
            <v>in storage</v>
          </cell>
          <cell r="K109" t="str">
            <v>OMON</v>
          </cell>
          <cell r="AB109" t="str">
            <v>Kidney</v>
          </cell>
        </row>
        <row r="110">
          <cell r="A110" t="str">
            <v>in storage</v>
          </cell>
          <cell r="K110" t="str">
            <v>OMON</v>
          </cell>
          <cell r="AB110" t="str">
            <v>Spleen</v>
          </cell>
        </row>
        <row r="111">
          <cell r="A111" t="str">
            <v>in storage</v>
          </cell>
          <cell r="K111" t="str">
            <v>OMON</v>
          </cell>
          <cell r="AB111" t="str">
            <v>Skin</v>
          </cell>
        </row>
        <row r="112">
          <cell r="A112" t="str">
            <v>in storage</v>
          </cell>
          <cell r="K112" t="str">
            <v>OMON</v>
          </cell>
          <cell r="AB112" t="str">
            <v>Liver</v>
          </cell>
        </row>
        <row r="113">
          <cell r="A113" t="str">
            <v>in storage</v>
          </cell>
          <cell r="K113" t="str">
            <v>OMON</v>
          </cell>
          <cell r="AB113" t="str">
            <v>Muscle</v>
          </cell>
        </row>
        <row r="114">
          <cell r="A114" t="str">
            <v>in storage</v>
          </cell>
          <cell r="K114" t="str">
            <v>PTAT</v>
          </cell>
          <cell r="AB114" t="str">
            <v>Heart/ Lung</v>
          </cell>
        </row>
        <row r="115">
          <cell r="A115" t="str">
            <v>in storage</v>
          </cell>
          <cell r="K115" t="str">
            <v>PTAT</v>
          </cell>
          <cell r="AB115" t="str">
            <v>Diaphragm</v>
          </cell>
        </row>
        <row r="116">
          <cell r="A116" t="str">
            <v>in storage</v>
          </cell>
          <cell r="K116" t="str">
            <v>PTAT</v>
          </cell>
          <cell r="AB116" t="str">
            <v>Tongue</v>
          </cell>
        </row>
        <row r="117">
          <cell r="A117" t="str">
            <v>in storage</v>
          </cell>
          <cell r="K117" t="str">
            <v>MMUR</v>
          </cell>
          <cell r="AB117" t="str">
            <v>Skin</v>
          </cell>
        </row>
        <row r="118">
          <cell r="A118" t="str">
            <v>in storage</v>
          </cell>
          <cell r="K118" t="str">
            <v>PTAT</v>
          </cell>
          <cell r="AB118" t="str">
            <v>Tongue</v>
          </cell>
        </row>
        <row r="119">
          <cell r="A119" t="str">
            <v>in storage</v>
          </cell>
          <cell r="K119" t="str">
            <v>PTAT</v>
          </cell>
          <cell r="AB119" t="str">
            <v>Muscle</v>
          </cell>
        </row>
        <row r="120">
          <cell r="A120" t="str">
            <v>in storage</v>
          </cell>
          <cell r="K120" t="str">
            <v>NCOU</v>
          </cell>
          <cell r="AB120" t="str">
            <v>Kidney</v>
          </cell>
        </row>
        <row r="121">
          <cell r="A121" t="str">
            <v>in storage</v>
          </cell>
          <cell r="K121" t="str">
            <v>NCOU</v>
          </cell>
          <cell r="AB121" t="str">
            <v>Spleen</v>
          </cell>
        </row>
        <row r="122">
          <cell r="A122" t="str">
            <v>in storage</v>
          </cell>
          <cell r="K122" t="str">
            <v>NCOU</v>
          </cell>
          <cell r="AB122" t="str">
            <v>Skin</v>
          </cell>
        </row>
        <row r="123">
          <cell r="A123" t="str">
            <v>in storage</v>
          </cell>
          <cell r="K123" t="str">
            <v>NCOU</v>
          </cell>
          <cell r="AB123" t="str">
            <v>Liver</v>
          </cell>
        </row>
        <row r="124">
          <cell r="A124" t="str">
            <v>in storage</v>
          </cell>
          <cell r="K124" t="str">
            <v>NCOU</v>
          </cell>
          <cell r="AB124" t="str">
            <v>Tongue</v>
          </cell>
        </row>
        <row r="125">
          <cell r="A125" t="str">
            <v>in storage</v>
          </cell>
          <cell r="K125" t="e">
            <v>#N/A</v>
          </cell>
          <cell r="AB125" t="str">
            <v>R- milk</v>
          </cell>
        </row>
        <row r="126">
          <cell r="A126" t="str">
            <v>in storage</v>
          </cell>
          <cell r="K126" t="str">
            <v>OMON</v>
          </cell>
          <cell r="AB126" t="str">
            <v>Spleen</v>
          </cell>
        </row>
        <row r="127">
          <cell r="A127" t="str">
            <v>in storage</v>
          </cell>
          <cell r="K127" t="str">
            <v>OMON</v>
          </cell>
          <cell r="AB127" t="str">
            <v>Heart</v>
          </cell>
        </row>
        <row r="128">
          <cell r="A128" t="str">
            <v>in storage</v>
          </cell>
          <cell r="K128" t="str">
            <v>OMON</v>
          </cell>
          <cell r="AB128" t="str">
            <v>Liver</v>
          </cell>
        </row>
        <row r="129">
          <cell r="A129" t="str">
            <v>in storage</v>
          </cell>
          <cell r="K129" t="str">
            <v>NCOU</v>
          </cell>
          <cell r="AB129" t="str">
            <v>Eye</v>
          </cell>
        </row>
        <row r="130">
          <cell r="A130" t="str">
            <v>in storage</v>
          </cell>
          <cell r="K130" t="str">
            <v>NCOU</v>
          </cell>
          <cell r="AB130" t="str">
            <v>Tongue</v>
          </cell>
        </row>
        <row r="131">
          <cell r="A131" t="str">
            <v>in storage</v>
          </cell>
          <cell r="K131" t="str">
            <v>OGG</v>
          </cell>
          <cell r="AB131" t="str">
            <v>Heart</v>
          </cell>
        </row>
        <row r="132">
          <cell r="A132" t="str">
            <v>in storage</v>
          </cell>
          <cell r="K132" t="str">
            <v>OMON</v>
          </cell>
          <cell r="AB132" t="str">
            <v>Tongue</v>
          </cell>
        </row>
        <row r="133">
          <cell r="A133" t="str">
            <v>in storage</v>
          </cell>
          <cell r="K133" t="str">
            <v>OMON</v>
          </cell>
          <cell r="AB133" t="str">
            <v>Eye</v>
          </cell>
        </row>
        <row r="134">
          <cell r="A134" t="str">
            <v>in storage</v>
          </cell>
          <cell r="K134" t="str">
            <v>EMON</v>
          </cell>
          <cell r="AB134" t="str">
            <v>Kidney</v>
          </cell>
        </row>
        <row r="135">
          <cell r="A135" t="str">
            <v>in storage</v>
          </cell>
          <cell r="K135" t="str">
            <v>EMON</v>
          </cell>
          <cell r="AB135" t="str">
            <v>Liver</v>
          </cell>
        </row>
        <row r="136">
          <cell r="A136" t="str">
            <v>in storage</v>
          </cell>
          <cell r="K136" t="str">
            <v>EMON</v>
          </cell>
          <cell r="AB136" t="str">
            <v>Eye</v>
          </cell>
        </row>
        <row r="137">
          <cell r="A137" t="str">
            <v>in storage</v>
          </cell>
          <cell r="K137" t="str">
            <v>EMON</v>
          </cell>
          <cell r="AB137" t="str">
            <v>Tongue</v>
          </cell>
        </row>
        <row r="138">
          <cell r="A138" t="str">
            <v>in storage</v>
          </cell>
          <cell r="K138" t="str">
            <v>HGG</v>
          </cell>
          <cell r="AB138" t="str">
            <v>Eye</v>
          </cell>
        </row>
        <row r="139">
          <cell r="A139" t="str">
            <v>in storage</v>
          </cell>
          <cell r="K139" t="str">
            <v>OMON</v>
          </cell>
          <cell r="AB139" t="str">
            <v>Spleen</v>
          </cell>
        </row>
        <row r="140">
          <cell r="A140" t="str">
            <v>in storage</v>
          </cell>
          <cell r="K140" t="str">
            <v>OMON</v>
          </cell>
          <cell r="AB140" t="str">
            <v>Heart</v>
          </cell>
        </row>
        <row r="141">
          <cell r="A141" t="str">
            <v>in storage</v>
          </cell>
          <cell r="K141" t="str">
            <v>OMON</v>
          </cell>
          <cell r="AB141" t="str">
            <v>Tongue</v>
          </cell>
        </row>
        <row r="142">
          <cell r="A142" t="str">
            <v>in storage</v>
          </cell>
          <cell r="K142" t="str">
            <v>GMOH</v>
          </cell>
          <cell r="AB142" t="str">
            <v>Kidney</v>
          </cell>
        </row>
        <row r="143">
          <cell r="A143" t="str">
            <v>in storage</v>
          </cell>
          <cell r="K143" t="str">
            <v>PTAT</v>
          </cell>
          <cell r="AB143" t="str">
            <v>Liver</v>
          </cell>
        </row>
        <row r="144">
          <cell r="A144" t="str">
            <v>in storage</v>
          </cell>
          <cell r="K144" t="str">
            <v>PTAT</v>
          </cell>
          <cell r="AB144" t="str">
            <v>Eye</v>
          </cell>
        </row>
        <row r="145">
          <cell r="A145" t="str">
            <v>in storage</v>
          </cell>
          <cell r="K145" t="str">
            <v>GMOH</v>
          </cell>
          <cell r="AB145" t="str">
            <v>Kidney</v>
          </cell>
        </row>
        <row r="146">
          <cell r="A146" t="str">
            <v>in storage</v>
          </cell>
          <cell r="K146" t="str">
            <v>GMOH</v>
          </cell>
          <cell r="AB146" t="str">
            <v>Heart</v>
          </cell>
        </row>
        <row r="147">
          <cell r="A147" t="str">
            <v>in storage</v>
          </cell>
          <cell r="K147" t="str">
            <v>PTAT</v>
          </cell>
          <cell r="AB147" t="str">
            <v>Kidney</v>
          </cell>
        </row>
        <row r="148">
          <cell r="A148" t="str">
            <v>in storage</v>
          </cell>
          <cell r="K148" t="str">
            <v>PTAT</v>
          </cell>
          <cell r="AB148" t="str">
            <v>Tongue</v>
          </cell>
        </row>
        <row r="149">
          <cell r="A149" t="str">
            <v>in storage</v>
          </cell>
          <cell r="K149" t="str">
            <v>GAL</v>
          </cell>
          <cell r="AB149" t="str">
            <v>Heart</v>
          </cell>
        </row>
        <row r="150">
          <cell r="A150" t="str">
            <v>unk</v>
          </cell>
          <cell r="K150" t="str">
            <v>GAL</v>
          </cell>
          <cell r="AB150" t="str">
            <v>Eye</v>
          </cell>
        </row>
        <row r="151">
          <cell r="A151" t="str">
            <v>in storage</v>
          </cell>
          <cell r="K151" t="str">
            <v>GAL</v>
          </cell>
          <cell r="AB151" t="str">
            <v>Liver</v>
          </cell>
        </row>
        <row r="152">
          <cell r="A152" t="str">
            <v>in storage</v>
          </cell>
          <cell r="K152" t="str">
            <v>LCAT</v>
          </cell>
          <cell r="AB152" t="str">
            <v>Kidney</v>
          </cell>
        </row>
        <row r="153">
          <cell r="A153" t="str">
            <v>in storage</v>
          </cell>
          <cell r="K153" t="str">
            <v>LCAT</v>
          </cell>
          <cell r="AB153" t="str">
            <v>Liver</v>
          </cell>
        </row>
        <row r="154">
          <cell r="A154" t="str">
            <v>in storage</v>
          </cell>
          <cell r="K154" t="e">
            <v>#N/A</v>
          </cell>
          <cell r="AB154" t="str">
            <v>Kidney</v>
          </cell>
        </row>
        <row r="155">
          <cell r="A155" t="str">
            <v>unk</v>
          </cell>
          <cell r="K155" t="str">
            <v>PVV</v>
          </cell>
          <cell r="AB155" t="str">
            <v>Tongue</v>
          </cell>
        </row>
        <row r="156">
          <cell r="A156" t="str">
            <v>in storage</v>
          </cell>
          <cell r="K156" t="str">
            <v>PVV</v>
          </cell>
          <cell r="AB156" t="str">
            <v>Eye</v>
          </cell>
        </row>
        <row r="157">
          <cell r="A157" t="str">
            <v>gone</v>
          </cell>
          <cell r="K157" t="str">
            <v>PVV</v>
          </cell>
          <cell r="AB157" t="str">
            <v>R- teste(s)</v>
          </cell>
        </row>
        <row r="158">
          <cell r="A158" t="str">
            <v>in storage</v>
          </cell>
          <cell r="K158" t="str">
            <v>EMON</v>
          </cell>
          <cell r="AB158" t="str">
            <v>Kidney</v>
          </cell>
        </row>
        <row r="159">
          <cell r="A159" t="str">
            <v>in storage</v>
          </cell>
          <cell r="K159" t="str">
            <v>EMON</v>
          </cell>
          <cell r="AB159" t="str">
            <v>Spleen</v>
          </cell>
        </row>
        <row r="160">
          <cell r="A160" t="str">
            <v>in storage</v>
          </cell>
          <cell r="K160" t="str">
            <v>EMON</v>
          </cell>
          <cell r="AB160" t="str">
            <v>Liver</v>
          </cell>
        </row>
        <row r="161">
          <cell r="A161" t="str">
            <v>in storage</v>
          </cell>
          <cell r="K161" t="str">
            <v>EMON</v>
          </cell>
          <cell r="AB161" t="str">
            <v>Eye</v>
          </cell>
        </row>
        <row r="162">
          <cell r="A162" t="str">
            <v>in storage</v>
          </cell>
          <cell r="K162" t="str">
            <v>EMON</v>
          </cell>
          <cell r="AB162" t="str">
            <v>Kidney</v>
          </cell>
        </row>
        <row r="163">
          <cell r="A163" t="str">
            <v>in storage</v>
          </cell>
          <cell r="K163" t="str">
            <v>EMON</v>
          </cell>
          <cell r="AB163" t="str">
            <v>Liver</v>
          </cell>
        </row>
        <row r="164">
          <cell r="A164" t="str">
            <v>in storage</v>
          </cell>
          <cell r="K164" t="str">
            <v>EMON</v>
          </cell>
          <cell r="AB164" t="str">
            <v>Eye</v>
          </cell>
        </row>
        <row r="165">
          <cell r="A165" t="str">
            <v>in storage</v>
          </cell>
          <cell r="K165" t="str">
            <v>OMON</v>
          </cell>
          <cell r="AB165" t="str">
            <v>R- teste(s)</v>
          </cell>
        </row>
        <row r="166">
          <cell r="A166" t="str">
            <v>in storage</v>
          </cell>
          <cell r="K166" t="str">
            <v>VRUB</v>
          </cell>
          <cell r="AB166" t="str">
            <v>Kidney</v>
          </cell>
        </row>
        <row r="167">
          <cell r="A167" t="str">
            <v>in storage</v>
          </cell>
          <cell r="K167" t="str">
            <v>VRUB</v>
          </cell>
          <cell r="AB167" t="str">
            <v>Heart</v>
          </cell>
        </row>
        <row r="168">
          <cell r="A168" t="str">
            <v>in storage</v>
          </cell>
          <cell r="K168" t="str">
            <v>VRUB</v>
          </cell>
          <cell r="AB168" t="str">
            <v>R- teste(s)</v>
          </cell>
        </row>
        <row r="169">
          <cell r="A169" t="str">
            <v>in storage</v>
          </cell>
          <cell r="K169" t="str">
            <v>VRUB</v>
          </cell>
          <cell r="AB169" t="str">
            <v>Tongue</v>
          </cell>
        </row>
        <row r="170">
          <cell r="A170" t="str">
            <v>in storage</v>
          </cell>
          <cell r="K170" t="str">
            <v>NPYG</v>
          </cell>
          <cell r="AB170" t="str">
            <v>Eye</v>
          </cell>
        </row>
        <row r="171">
          <cell r="A171" t="str">
            <v>in storage</v>
          </cell>
          <cell r="K171" t="str">
            <v>MZAZ</v>
          </cell>
          <cell r="AB171" t="str">
            <v>Liver</v>
          </cell>
        </row>
        <row r="172">
          <cell r="A172" t="str">
            <v>in storage</v>
          </cell>
          <cell r="K172" t="str">
            <v>GMOH</v>
          </cell>
          <cell r="AB172" t="str">
            <v>Eye</v>
          </cell>
        </row>
        <row r="173">
          <cell r="A173" t="str">
            <v>in storage</v>
          </cell>
          <cell r="K173" t="str">
            <v>TBAN</v>
          </cell>
          <cell r="AB173" t="str">
            <v>Eye</v>
          </cell>
        </row>
        <row r="174">
          <cell r="A174" t="str">
            <v>in storage</v>
          </cell>
          <cell r="K174" t="str">
            <v>VRUB</v>
          </cell>
          <cell r="AB174" t="str">
            <v>Kidney</v>
          </cell>
        </row>
        <row r="175">
          <cell r="A175" t="str">
            <v>in storage</v>
          </cell>
          <cell r="K175" t="str">
            <v>VRUB</v>
          </cell>
          <cell r="AB175" t="str">
            <v>Spleen</v>
          </cell>
        </row>
        <row r="176">
          <cell r="A176" t="str">
            <v>in storage</v>
          </cell>
          <cell r="K176" t="str">
            <v>VRUB</v>
          </cell>
          <cell r="AB176" t="str">
            <v>Heart</v>
          </cell>
        </row>
        <row r="177">
          <cell r="A177" t="str">
            <v>in storage</v>
          </cell>
          <cell r="K177" t="str">
            <v>VRUB</v>
          </cell>
          <cell r="AB177" t="str">
            <v>Liver</v>
          </cell>
        </row>
        <row r="178">
          <cell r="A178" t="str">
            <v>in storage</v>
          </cell>
          <cell r="K178" t="str">
            <v>VRUB</v>
          </cell>
          <cell r="AB178" t="str">
            <v>pituitary gland</v>
          </cell>
        </row>
        <row r="179">
          <cell r="A179" t="str">
            <v>in storage</v>
          </cell>
          <cell r="K179" t="str">
            <v>GDEM</v>
          </cell>
          <cell r="AB179" t="str">
            <v>Eye</v>
          </cell>
        </row>
        <row r="180">
          <cell r="A180" t="str">
            <v>in storage</v>
          </cell>
          <cell r="K180" t="str">
            <v>LCAT</v>
          </cell>
          <cell r="AB180" t="str">
            <v>U- bladder</v>
          </cell>
        </row>
        <row r="181">
          <cell r="A181" t="str">
            <v>in storage</v>
          </cell>
          <cell r="K181" t="str">
            <v>LCAT</v>
          </cell>
          <cell r="AB181" t="str">
            <v>R- teste(s)</v>
          </cell>
        </row>
        <row r="182">
          <cell r="A182" t="str">
            <v>in storage</v>
          </cell>
          <cell r="K182" t="str">
            <v>LCAT</v>
          </cell>
          <cell r="AB182" t="str">
            <v>Eye</v>
          </cell>
        </row>
        <row r="183">
          <cell r="A183" t="str">
            <v>in storage</v>
          </cell>
          <cell r="K183" t="str">
            <v>TSYR</v>
          </cell>
          <cell r="AB183" t="str">
            <v>Skin</v>
          </cell>
        </row>
        <row r="184">
          <cell r="A184" t="str">
            <v>in storage</v>
          </cell>
          <cell r="K184" t="str">
            <v>TSYR</v>
          </cell>
          <cell r="AB184" t="str">
            <v>Eye</v>
          </cell>
        </row>
        <row r="185">
          <cell r="A185" t="str">
            <v>in storage</v>
          </cell>
          <cell r="K185" t="str">
            <v>DMAD</v>
          </cell>
          <cell r="AB185" t="str">
            <v>Pancreas</v>
          </cell>
        </row>
        <row r="186">
          <cell r="A186" t="str">
            <v>in storage</v>
          </cell>
          <cell r="K186" t="str">
            <v>DMAD</v>
          </cell>
          <cell r="AB186" t="str">
            <v>Kidney</v>
          </cell>
        </row>
        <row r="187">
          <cell r="A187" t="str">
            <v>in storage</v>
          </cell>
          <cell r="K187" t="str">
            <v>DMAD</v>
          </cell>
          <cell r="AB187" t="str">
            <v>Spleen</v>
          </cell>
        </row>
        <row r="188">
          <cell r="A188" t="str">
            <v>in storage</v>
          </cell>
          <cell r="K188" t="str">
            <v>DMAD</v>
          </cell>
          <cell r="AB188" t="str">
            <v>Heart/ Lung</v>
          </cell>
        </row>
        <row r="189">
          <cell r="A189" t="str">
            <v>in storage</v>
          </cell>
          <cell r="K189" t="str">
            <v>DMAD</v>
          </cell>
          <cell r="AB189" t="str">
            <v>Liver</v>
          </cell>
        </row>
        <row r="190">
          <cell r="A190" t="str">
            <v>in storage</v>
          </cell>
          <cell r="K190" t="str">
            <v>DMAD</v>
          </cell>
          <cell r="AB190" t="str">
            <v>Larynx</v>
          </cell>
        </row>
        <row r="191">
          <cell r="A191" t="str">
            <v>in storage</v>
          </cell>
          <cell r="K191" t="str">
            <v>DMAD</v>
          </cell>
          <cell r="AB191" t="str">
            <v>Salivary gland</v>
          </cell>
        </row>
        <row r="192">
          <cell r="A192" t="str">
            <v>in storage</v>
          </cell>
          <cell r="K192" t="str">
            <v>DMAD</v>
          </cell>
          <cell r="AB192" t="str">
            <v>RU- urogenital tract</v>
          </cell>
        </row>
        <row r="193">
          <cell r="A193" t="str">
            <v>in storage</v>
          </cell>
          <cell r="K193" t="str">
            <v>OGG</v>
          </cell>
          <cell r="AB193" t="str">
            <v>Heart/ Lung</v>
          </cell>
        </row>
        <row r="194">
          <cell r="A194" t="str">
            <v>in storage</v>
          </cell>
          <cell r="K194" t="str">
            <v>OGG</v>
          </cell>
          <cell r="AB194" t="str">
            <v>Liver</v>
          </cell>
        </row>
        <row r="195">
          <cell r="A195" t="str">
            <v>in storage</v>
          </cell>
          <cell r="K195" t="str">
            <v>EMON</v>
          </cell>
          <cell r="AB195" t="str">
            <v>Kidney</v>
          </cell>
        </row>
        <row r="196">
          <cell r="A196" t="str">
            <v>in storage</v>
          </cell>
          <cell r="K196" t="str">
            <v>EMON</v>
          </cell>
          <cell r="AB196" t="str">
            <v>R- ovary</v>
          </cell>
        </row>
        <row r="197">
          <cell r="A197" t="str">
            <v>in storage</v>
          </cell>
          <cell r="K197" t="str">
            <v>EMON</v>
          </cell>
          <cell r="AB197" t="str">
            <v>R- uterus</v>
          </cell>
        </row>
        <row r="198">
          <cell r="A198" t="str">
            <v>in storage</v>
          </cell>
          <cell r="K198" t="str">
            <v>TSYR</v>
          </cell>
          <cell r="AB198" t="str">
            <v>Skin</v>
          </cell>
        </row>
        <row r="199">
          <cell r="A199" t="str">
            <v>in storage</v>
          </cell>
          <cell r="K199" t="str">
            <v>TSYR</v>
          </cell>
          <cell r="AB199" t="str">
            <v>Skin</v>
          </cell>
        </row>
        <row r="200">
          <cell r="A200" t="str">
            <v>gone</v>
          </cell>
          <cell r="K200" t="str">
            <v>TSYR</v>
          </cell>
          <cell r="AB200" t="str">
            <v>Pancreas</v>
          </cell>
        </row>
        <row r="201">
          <cell r="A201" t="str">
            <v>in storage</v>
          </cell>
          <cell r="K201" t="str">
            <v>TSYR</v>
          </cell>
          <cell r="AB201" t="str">
            <v>Eye</v>
          </cell>
        </row>
        <row r="202">
          <cell r="A202" t="str">
            <v>in storage</v>
          </cell>
          <cell r="K202" t="str">
            <v>ECOR</v>
          </cell>
          <cell r="AB202" t="str">
            <v>Heart</v>
          </cell>
        </row>
        <row r="203">
          <cell r="A203" t="str">
            <v>in storage</v>
          </cell>
          <cell r="K203" t="str">
            <v>ECOR</v>
          </cell>
          <cell r="AB203" t="str">
            <v>Muscle</v>
          </cell>
        </row>
        <row r="204">
          <cell r="A204" t="str">
            <v>in storage</v>
          </cell>
          <cell r="K204" t="str">
            <v>TSYR</v>
          </cell>
          <cell r="AB204" t="str">
            <v>Adrenal gland</v>
          </cell>
        </row>
        <row r="205">
          <cell r="A205" t="str">
            <v>in storage</v>
          </cell>
          <cell r="K205" t="str">
            <v>TSYR</v>
          </cell>
          <cell r="AB205" t="str">
            <v>Skin</v>
          </cell>
        </row>
        <row r="206">
          <cell r="A206" t="str">
            <v>in storage</v>
          </cell>
          <cell r="K206" t="str">
            <v>TSYR</v>
          </cell>
          <cell r="AB206" t="str">
            <v>Eye</v>
          </cell>
        </row>
        <row r="207">
          <cell r="A207" t="str">
            <v>in storage</v>
          </cell>
          <cell r="K207" t="str">
            <v>LCAT</v>
          </cell>
          <cell r="AB207" t="str">
            <v>Kidney</v>
          </cell>
        </row>
        <row r="208">
          <cell r="A208" t="str">
            <v>in storage</v>
          </cell>
          <cell r="K208" t="str">
            <v>LCAT</v>
          </cell>
          <cell r="AB208" t="str">
            <v>Lung</v>
          </cell>
        </row>
        <row r="209">
          <cell r="A209" t="str">
            <v>in storage</v>
          </cell>
          <cell r="K209" t="str">
            <v>LCAT</v>
          </cell>
          <cell r="AB209" t="str">
            <v>Liver</v>
          </cell>
        </row>
        <row r="210">
          <cell r="A210" t="str">
            <v>in storage</v>
          </cell>
          <cell r="K210" t="str">
            <v>CMED</v>
          </cell>
          <cell r="AB210" t="str">
            <v>GI Tract</v>
          </cell>
        </row>
        <row r="211">
          <cell r="A211" t="str">
            <v>in storage</v>
          </cell>
          <cell r="K211" t="str">
            <v>NPYG</v>
          </cell>
          <cell r="AB211" t="str">
            <v>Kidney</v>
          </cell>
        </row>
        <row r="212">
          <cell r="A212" t="str">
            <v>unk</v>
          </cell>
          <cell r="K212" t="str">
            <v>NPYG</v>
          </cell>
          <cell r="AB212" t="str">
            <v>Lung</v>
          </cell>
        </row>
        <row r="213">
          <cell r="A213" t="str">
            <v>in storage</v>
          </cell>
          <cell r="K213" t="str">
            <v>NPYG</v>
          </cell>
          <cell r="AB213" t="str">
            <v>Liver</v>
          </cell>
        </row>
        <row r="214">
          <cell r="A214" t="str">
            <v>in storage</v>
          </cell>
          <cell r="K214" t="str">
            <v>NPYG</v>
          </cell>
          <cell r="AB214" t="str">
            <v>RU- urogenital tract</v>
          </cell>
        </row>
        <row r="215">
          <cell r="A215" t="str">
            <v>in storage</v>
          </cell>
          <cell r="K215" t="str">
            <v>ERUF</v>
          </cell>
          <cell r="AB215" t="str">
            <v>Liver</v>
          </cell>
        </row>
        <row r="216">
          <cell r="A216" t="str">
            <v>in storage</v>
          </cell>
          <cell r="K216" t="str">
            <v>ERUF</v>
          </cell>
          <cell r="AB216" t="str">
            <v>R- uterus</v>
          </cell>
        </row>
        <row r="217">
          <cell r="A217" t="str">
            <v>in storage</v>
          </cell>
          <cell r="K217" t="str">
            <v>ECOL</v>
          </cell>
          <cell r="AB217" t="str">
            <v>Kidney</v>
          </cell>
        </row>
        <row r="218">
          <cell r="A218" t="str">
            <v>in storage</v>
          </cell>
          <cell r="K218" t="str">
            <v>ECOL</v>
          </cell>
          <cell r="AB218" t="str">
            <v>Lung</v>
          </cell>
        </row>
        <row r="219">
          <cell r="A219" t="str">
            <v>in storage</v>
          </cell>
          <cell r="K219" t="str">
            <v>ERUF</v>
          </cell>
          <cell r="AB219" t="str">
            <v>Heart</v>
          </cell>
        </row>
        <row r="220">
          <cell r="A220" t="str">
            <v>in storage</v>
          </cell>
          <cell r="K220" t="str">
            <v>ERUF</v>
          </cell>
          <cell r="AB220" t="str">
            <v>Lung</v>
          </cell>
        </row>
        <row r="221">
          <cell r="A221" t="str">
            <v>in storage</v>
          </cell>
          <cell r="K221" t="str">
            <v>NCOU</v>
          </cell>
          <cell r="AB221" t="str">
            <v>Kidney</v>
          </cell>
        </row>
        <row r="222">
          <cell r="A222" t="str">
            <v>in storage</v>
          </cell>
          <cell r="K222" t="str">
            <v>NCOU</v>
          </cell>
          <cell r="AB222" t="str">
            <v>Spleen</v>
          </cell>
        </row>
        <row r="223">
          <cell r="A223" t="str">
            <v>in storage</v>
          </cell>
          <cell r="K223" t="str">
            <v>NCOU</v>
          </cell>
          <cell r="AB223" t="str">
            <v>Lung</v>
          </cell>
        </row>
        <row r="224">
          <cell r="A224" t="str">
            <v>unk</v>
          </cell>
          <cell r="K224" t="str">
            <v>NCOU</v>
          </cell>
          <cell r="AB224" t="str">
            <v>Kidney</v>
          </cell>
        </row>
        <row r="225">
          <cell r="A225" t="str">
            <v>in storage</v>
          </cell>
          <cell r="K225" t="str">
            <v>NCOU</v>
          </cell>
          <cell r="AB225" t="str">
            <v>Liver</v>
          </cell>
        </row>
        <row r="226">
          <cell r="A226" t="str">
            <v>in storage</v>
          </cell>
          <cell r="K226" t="str">
            <v>NCOU</v>
          </cell>
          <cell r="AB226" t="str">
            <v>R- reproductive tract</v>
          </cell>
        </row>
        <row r="227">
          <cell r="A227" t="str">
            <v>in storage</v>
          </cell>
          <cell r="K227" t="str">
            <v>GMOH</v>
          </cell>
          <cell r="AB227" t="str">
            <v>Kidney</v>
          </cell>
        </row>
        <row r="228">
          <cell r="A228" t="str">
            <v>in storage</v>
          </cell>
          <cell r="K228" t="str">
            <v>NCOU</v>
          </cell>
          <cell r="AB228" t="str">
            <v>Kidney</v>
          </cell>
        </row>
        <row r="229">
          <cell r="A229" t="str">
            <v>in storage</v>
          </cell>
          <cell r="K229" t="str">
            <v>NCOU</v>
          </cell>
          <cell r="AB229" t="str">
            <v>Spleen</v>
          </cell>
        </row>
        <row r="230">
          <cell r="A230" t="str">
            <v>in storage</v>
          </cell>
          <cell r="K230" t="str">
            <v>NCOU</v>
          </cell>
          <cell r="AB230" t="str">
            <v>Heart</v>
          </cell>
        </row>
        <row r="231">
          <cell r="A231" t="str">
            <v>in storage</v>
          </cell>
          <cell r="K231" t="str">
            <v>NCOU</v>
          </cell>
          <cell r="AB231" t="str">
            <v>Lung</v>
          </cell>
        </row>
        <row r="232">
          <cell r="A232" t="str">
            <v>in storage</v>
          </cell>
          <cell r="K232" t="str">
            <v>NCOU</v>
          </cell>
          <cell r="AB232" t="str">
            <v>Liver</v>
          </cell>
        </row>
        <row r="233">
          <cell r="A233" t="str">
            <v>in storage</v>
          </cell>
          <cell r="K233" t="str">
            <v>LCAT</v>
          </cell>
          <cell r="AB233" t="str">
            <v>Spleen</v>
          </cell>
        </row>
        <row r="234">
          <cell r="A234" t="str">
            <v>unk</v>
          </cell>
          <cell r="K234" t="str">
            <v>LCAT</v>
          </cell>
          <cell r="AB234" t="str">
            <v>Lung</v>
          </cell>
        </row>
        <row r="235">
          <cell r="A235" t="str">
            <v>in storage</v>
          </cell>
          <cell r="K235" t="str">
            <v>LCAT</v>
          </cell>
          <cell r="AB235" t="str">
            <v>Liver</v>
          </cell>
        </row>
        <row r="236">
          <cell r="A236" t="str">
            <v>in storage</v>
          </cell>
          <cell r="K236" t="str">
            <v>ERUB</v>
          </cell>
          <cell r="AB236" t="str">
            <v>Kidney</v>
          </cell>
        </row>
        <row r="237">
          <cell r="A237" t="str">
            <v>in storage</v>
          </cell>
          <cell r="K237" t="str">
            <v>ERUB</v>
          </cell>
          <cell r="AB237" t="str">
            <v>Lung</v>
          </cell>
        </row>
        <row r="238">
          <cell r="A238" t="str">
            <v>in storage</v>
          </cell>
          <cell r="K238" t="str">
            <v>ERUB</v>
          </cell>
          <cell r="AB238" t="str">
            <v>Liver</v>
          </cell>
        </row>
        <row r="239">
          <cell r="A239" t="str">
            <v>in storage</v>
          </cell>
          <cell r="K239" t="str">
            <v>MZAZ</v>
          </cell>
          <cell r="AB239" t="str">
            <v>Liver</v>
          </cell>
        </row>
        <row r="240">
          <cell r="A240" t="str">
            <v>in storage</v>
          </cell>
          <cell r="K240" t="str">
            <v>MZAZ</v>
          </cell>
          <cell r="AB240" t="str">
            <v>R- reproductive tract</v>
          </cell>
        </row>
        <row r="241">
          <cell r="A241" t="str">
            <v>in storage</v>
          </cell>
          <cell r="K241" t="str">
            <v>MMUR</v>
          </cell>
          <cell r="AB241" t="str">
            <v>R- teste(s)</v>
          </cell>
        </row>
        <row r="242">
          <cell r="A242" t="str">
            <v>in storage</v>
          </cell>
          <cell r="K242" t="str">
            <v>MMUR</v>
          </cell>
          <cell r="AB242" t="str">
            <v>Liver</v>
          </cell>
        </row>
        <row r="243">
          <cell r="A243" t="str">
            <v>in storage</v>
          </cell>
          <cell r="K243" t="str">
            <v>MMUR</v>
          </cell>
          <cell r="AB243" t="str">
            <v>Spleen</v>
          </cell>
        </row>
        <row r="244">
          <cell r="A244" t="str">
            <v>in storage</v>
          </cell>
          <cell r="K244" t="str">
            <v>MMUR</v>
          </cell>
          <cell r="AB244" t="str">
            <v>Muscle</v>
          </cell>
        </row>
        <row r="245">
          <cell r="A245" t="str">
            <v>in storage</v>
          </cell>
          <cell r="K245" t="str">
            <v>EUL</v>
          </cell>
          <cell r="AB245" t="str">
            <v>Kidney</v>
          </cell>
        </row>
        <row r="246">
          <cell r="A246" t="str">
            <v>in storage</v>
          </cell>
          <cell r="K246" t="str">
            <v>EUL</v>
          </cell>
          <cell r="AB246" t="str">
            <v>Spleen</v>
          </cell>
        </row>
        <row r="247">
          <cell r="A247" t="str">
            <v>in storage</v>
          </cell>
          <cell r="K247" t="str">
            <v>EUL</v>
          </cell>
          <cell r="AB247" t="str">
            <v>Liver</v>
          </cell>
        </row>
        <row r="248">
          <cell r="A248" t="str">
            <v>in storage</v>
          </cell>
          <cell r="K248" t="str">
            <v>EUL</v>
          </cell>
          <cell r="AB248" t="str">
            <v>Muscle</v>
          </cell>
        </row>
        <row r="249">
          <cell r="A249" t="str">
            <v>in storage</v>
          </cell>
          <cell r="K249" t="str">
            <v>PCOQ</v>
          </cell>
          <cell r="AB249" t="str">
            <v>Kidney</v>
          </cell>
        </row>
        <row r="250">
          <cell r="A250" t="str">
            <v>in storage</v>
          </cell>
          <cell r="K250" t="str">
            <v>PCOQ</v>
          </cell>
          <cell r="AB250" t="str">
            <v>Spleen</v>
          </cell>
        </row>
        <row r="251">
          <cell r="A251" t="str">
            <v>in storage</v>
          </cell>
          <cell r="K251" t="str">
            <v>PCOQ</v>
          </cell>
          <cell r="AB251" t="str">
            <v>Lung</v>
          </cell>
        </row>
        <row r="252">
          <cell r="A252" t="str">
            <v>in storage</v>
          </cell>
          <cell r="K252" t="str">
            <v>PCOQ</v>
          </cell>
          <cell r="AB252" t="str">
            <v>Liver</v>
          </cell>
        </row>
        <row r="253">
          <cell r="A253" t="str">
            <v>in storage</v>
          </cell>
          <cell r="K253" t="str">
            <v>PCOQ</v>
          </cell>
          <cell r="AB253" t="str">
            <v>Muscle</v>
          </cell>
        </row>
        <row r="254">
          <cell r="A254" t="str">
            <v>in storage</v>
          </cell>
          <cell r="K254" t="str">
            <v>PCOQ</v>
          </cell>
          <cell r="AB254" t="str">
            <v>Kidney</v>
          </cell>
        </row>
        <row r="255">
          <cell r="A255" t="str">
            <v>in storage</v>
          </cell>
          <cell r="K255" t="str">
            <v>PCOQ</v>
          </cell>
          <cell r="AB255" t="str">
            <v>Spleen</v>
          </cell>
        </row>
        <row r="256">
          <cell r="A256" t="str">
            <v>in storage</v>
          </cell>
          <cell r="K256" t="str">
            <v>EMAC</v>
          </cell>
          <cell r="AB256" t="str">
            <v>Liver</v>
          </cell>
        </row>
        <row r="257">
          <cell r="A257" t="str">
            <v>in storage</v>
          </cell>
          <cell r="K257" t="str">
            <v>CMED</v>
          </cell>
          <cell r="AB257" t="str">
            <v>GI- small intestine</v>
          </cell>
        </row>
        <row r="258">
          <cell r="A258" t="str">
            <v>in storage</v>
          </cell>
          <cell r="K258" t="str">
            <v>PTAT</v>
          </cell>
          <cell r="AB258" t="str">
            <v>Kidney</v>
          </cell>
        </row>
        <row r="259">
          <cell r="A259" t="str">
            <v>in storage</v>
          </cell>
          <cell r="K259" t="str">
            <v>PTAT</v>
          </cell>
          <cell r="AB259" t="str">
            <v>Liver</v>
          </cell>
        </row>
        <row r="260">
          <cell r="A260" t="str">
            <v>in storage</v>
          </cell>
          <cell r="K260" t="str">
            <v>PTAT</v>
          </cell>
          <cell r="AB260" t="str">
            <v>Muscle</v>
          </cell>
        </row>
        <row r="261">
          <cell r="A261" t="str">
            <v>in storage</v>
          </cell>
          <cell r="K261" t="e">
            <v>#N/A</v>
          </cell>
          <cell r="AB261" t="str">
            <v>Lung</v>
          </cell>
        </row>
        <row r="262">
          <cell r="A262" t="str">
            <v>in storage</v>
          </cell>
          <cell r="K262" t="str">
            <v>ECOL</v>
          </cell>
          <cell r="AB262" t="str">
            <v>Liver</v>
          </cell>
        </row>
        <row r="263">
          <cell r="A263" t="str">
            <v>in storage</v>
          </cell>
          <cell r="K263" t="str">
            <v>ECOL</v>
          </cell>
          <cell r="AB263" t="str">
            <v>R- teste(s)</v>
          </cell>
        </row>
        <row r="264">
          <cell r="A264" t="str">
            <v>in storage</v>
          </cell>
          <cell r="K264" t="str">
            <v>ECOL</v>
          </cell>
          <cell r="AB264" t="str">
            <v>Muscle</v>
          </cell>
        </row>
        <row r="265">
          <cell r="A265" t="str">
            <v>in storage</v>
          </cell>
          <cell r="K265" t="str">
            <v>MMUR</v>
          </cell>
          <cell r="AB265" t="str">
            <v>Kidney</v>
          </cell>
        </row>
        <row r="266">
          <cell r="A266" t="str">
            <v>in storage</v>
          </cell>
          <cell r="K266" t="str">
            <v>MMUR</v>
          </cell>
          <cell r="AB266" t="str">
            <v>R- teste(s)</v>
          </cell>
        </row>
        <row r="267">
          <cell r="A267" t="str">
            <v>in storage</v>
          </cell>
          <cell r="K267" t="str">
            <v>MMUR</v>
          </cell>
          <cell r="AB267" t="str">
            <v>Spleen</v>
          </cell>
        </row>
        <row r="268">
          <cell r="A268" t="str">
            <v>in storage</v>
          </cell>
          <cell r="K268" t="str">
            <v>MMUR</v>
          </cell>
          <cell r="AB268" t="str">
            <v>Liver</v>
          </cell>
        </row>
        <row r="269">
          <cell r="A269" t="str">
            <v>in storage</v>
          </cell>
          <cell r="K269" t="str">
            <v>VRUB</v>
          </cell>
          <cell r="AB269" t="str">
            <v>Kidney</v>
          </cell>
        </row>
        <row r="270">
          <cell r="A270" t="str">
            <v>in storage</v>
          </cell>
          <cell r="K270" t="str">
            <v>VRUB</v>
          </cell>
          <cell r="AB270" t="str">
            <v>Spleen</v>
          </cell>
        </row>
        <row r="271">
          <cell r="A271" t="str">
            <v>in storage</v>
          </cell>
          <cell r="K271" t="str">
            <v>VRUB</v>
          </cell>
          <cell r="AB271" t="str">
            <v>Liver</v>
          </cell>
        </row>
        <row r="272">
          <cell r="A272" t="str">
            <v>in storage</v>
          </cell>
          <cell r="K272" t="str">
            <v>VRUB</v>
          </cell>
          <cell r="AB272" t="str">
            <v>Muscle</v>
          </cell>
        </row>
        <row r="273">
          <cell r="A273" t="str">
            <v>in storage</v>
          </cell>
          <cell r="K273" t="str">
            <v>ECOL</v>
          </cell>
          <cell r="AB273" t="str">
            <v>Kidney</v>
          </cell>
        </row>
        <row r="274">
          <cell r="A274" t="str">
            <v>in storage</v>
          </cell>
          <cell r="K274" t="str">
            <v>ECOL</v>
          </cell>
          <cell r="AB274" t="str">
            <v>Liver</v>
          </cell>
        </row>
        <row r="275">
          <cell r="A275" t="str">
            <v>in storage</v>
          </cell>
          <cell r="K275" t="str">
            <v>ECOL</v>
          </cell>
          <cell r="AB275" t="str">
            <v>Muscle</v>
          </cell>
        </row>
        <row r="276">
          <cell r="A276" t="str">
            <v>in storage</v>
          </cell>
          <cell r="K276" t="str">
            <v>PCOQ</v>
          </cell>
          <cell r="AB276" t="str">
            <v>Lung</v>
          </cell>
        </row>
        <row r="277">
          <cell r="A277" t="str">
            <v>in storage</v>
          </cell>
          <cell r="K277" t="str">
            <v>PCOQ</v>
          </cell>
          <cell r="AB277" t="str">
            <v>Liver</v>
          </cell>
        </row>
        <row r="278">
          <cell r="A278" t="str">
            <v>unk</v>
          </cell>
          <cell r="K278" t="str">
            <v>DMAD</v>
          </cell>
          <cell r="AB278" t="str">
            <v>Kidney</v>
          </cell>
        </row>
        <row r="279">
          <cell r="A279" t="str">
            <v>unk</v>
          </cell>
          <cell r="K279" t="str">
            <v>DMAD</v>
          </cell>
          <cell r="AB279" t="str">
            <v>Liver</v>
          </cell>
        </row>
        <row r="280">
          <cell r="A280" t="str">
            <v>in storage</v>
          </cell>
          <cell r="K280" t="str">
            <v>PCOQ</v>
          </cell>
          <cell r="AB280" t="str">
            <v>Kidney</v>
          </cell>
        </row>
        <row r="281">
          <cell r="A281" t="str">
            <v>in storage</v>
          </cell>
          <cell r="K281" t="str">
            <v>PCOQ</v>
          </cell>
          <cell r="AB281" t="str">
            <v>Lung</v>
          </cell>
        </row>
        <row r="282">
          <cell r="A282" t="str">
            <v>in storage</v>
          </cell>
          <cell r="K282" t="str">
            <v>ECOR</v>
          </cell>
          <cell r="AB282" t="str">
            <v>Liver</v>
          </cell>
        </row>
        <row r="283">
          <cell r="A283" t="str">
            <v>in storage</v>
          </cell>
          <cell r="K283" t="str">
            <v>NCOU</v>
          </cell>
          <cell r="AB283" t="str">
            <v>Kidney</v>
          </cell>
        </row>
        <row r="284">
          <cell r="A284" t="str">
            <v>in storage</v>
          </cell>
          <cell r="K284" t="str">
            <v>NCOU</v>
          </cell>
          <cell r="AB284" t="str">
            <v>Liver</v>
          </cell>
        </row>
        <row r="285">
          <cell r="A285" t="str">
            <v>in storage</v>
          </cell>
          <cell r="K285" t="str">
            <v>CMED</v>
          </cell>
          <cell r="AB285" t="str">
            <v>GI Contents- cecum</v>
          </cell>
        </row>
        <row r="286">
          <cell r="A286" t="str">
            <v>in storage</v>
          </cell>
          <cell r="K286" t="str">
            <v>PCOQ</v>
          </cell>
          <cell r="AB286" t="str">
            <v>Kidney</v>
          </cell>
        </row>
        <row r="287">
          <cell r="A287" t="str">
            <v>in storage</v>
          </cell>
          <cell r="K287" t="str">
            <v>PCOQ</v>
          </cell>
          <cell r="AB287" t="str">
            <v>Spleen</v>
          </cell>
        </row>
        <row r="288">
          <cell r="A288" t="str">
            <v>in storage</v>
          </cell>
          <cell r="K288" t="str">
            <v>PCOQ</v>
          </cell>
          <cell r="AB288" t="str">
            <v>Heart</v>
          </cell>
        </row>
        <row r="289">
          <cell r="A289" t="str">
            <v>in storage</v>
          </cell>
          <cell r="K289" t="str">
            <v>PCOQ</v>
          </cell>
          <cell r="AB289" t="str">
            <v>Lung</v>
          </cell>
        </row>
        <row r="290">
          <cell r="A290" t="str">
            <v>in storage</v>
          </cell>
          <cell r="K290" t="str">
            <v>PCOQ</v>
          </cell>
          <cell r="AB290" t="str">
            <v>Liver</v>
          </cell>
        </row>
        <row r="291">
          <cell r="A291" t="str">
            <v>in storage</v>
          </cell>
          <cell r="K291" t="str">
            <v>CMED</v>
          </cell>
          <cell r="AB291" t="str">
            <v>GI- cecum</v>
          </cell>
        </row>
        <row r="292">
          <cell r="A292" t="str">
            <v>in storage</v>
          </cell>
          <cell r="K292" t="str">
            <v>CMED</v>
          </cell>
          <cell r="AB292" t="str">
            <v>GI- duodenum</v>
          </cell>
        </row>
        <row r="293">
          <cell r="A293" t="str">
            <v>in storage</v>
          </cell>
          <cell r="K293" t="str">
            <v>CMED</v>
          </cell>
          <cell r="AB293" t="str">
            <v>GI- large intestine</v>
          </cell>
        </row>
        <row r="294">
          <cell r="A294" t="str">
            <v>in storage</v>
          </cell>
          <cell r="K294" t="str">
            <v>ERUF</v>
          </cell>
          <cell r="AB294" t="str">
            <v>Kidney</v>
          </cell>
        </row>
        <row r="295">
          <cell r="A295" t="str">
            <v>in storage</v>
          </cell>
          <cell r="K295" t="str">
            <v>ERUF</v>
          </cell>
          <cell r="AB295" t="str">
            <v>Spleen</v>
          </cell>
        </row>
        <row r="296">
          <cell r="A296" t="str">
            <v>in storage</v>
          </cell>
          <cell r="K296" t="str">
            <v>ERUF</v>
          </cell>
          <cell r="AB296" t="str">
            <v>Lung</v>
          </cell>
        </row>
        <row r="297">
          <cell r="A297" t="str">
            <v>in storage</v>
          </cell>
          <cell r="K297" t="str">
            <v>ERUF</v>
          </cell>
          <cell r="AB297" t="str">
            <v>Liver</v>
          </cell>
        </row>
        <row r="298">
          <cell r="A298" t="str">
            <v>in storage</v>
          </cell>
          <cell r="K298" t="str">
            <v>LCAT</v>
          </cell>
          <cell r="AB298" t="str">
            <v>Kidney</v>
          </cell>
        </row>
        <row r="299">
          <cell r="A299" t="str">
            <v>in storage</v>
          </cell>
          <cell r="K299" t="str">
            <v>LCAT</v>
          </cell>
          <cell r="AB299" t="str">
            <v>Spleen</v>
          </cell>
        </row>
        <row r="300">
          <cell r="A300" t="str">
            <v>in storage</v>
          </cell>
          <cell r="K300" t="str">
            <v>LCAT</v>
          </cell>
          <cell r="AB300" t="str">
            <v>Heart</v>
          </cell>
        </row>
        <row r="301">
          <cell r="A301" t="str">
            <v>in storage</v>
          </cell>
          <cell r="K301" t="str">
            <v>LCAT</v>
          </cell>
          <cell r="AB301" t="str">
            <v>Lung</v>
          </cell>
        </row>
        <row r="302">
          <cell r="A302" t="str">
            <v>in storage</v>
          </cell>
          <cell r="K302" t="str">
            <v>LCAT</v>
          </cell>
          <cell r="AB302" t="str">
            <v>Liver</v>
          </cell>
        </row>
        <row r="303">
          <cell r="A303" t="str">
            <v>in storage</v>
          </cell>
          <cell r="K303" t="str">
            <v>LCAT</v>
          </cell>
          <cell r="AB303" t="str">
            <v>R- teste(s)</v>
          </cell>
        </row>
        <row r="304">
          <cell r="A304" t="str">
            <v>in storage</v>
          </cell>
          <cell r="K304" t="str">
            <v>LCAT</v>
          </cell>
          <cell r="AB304" t="str">
            <v>Muscle</v>
          </cell>
        </row>
        <row r="305">
          <cell r="A305" t="str">
            <v>in storage</v>
          </cell>
          <cell r="K305" t="str">
            <v>EALB</v>
          </cell>
          <cell r="AB305" t="str">
            <v>Kidney</v>
          </cell>
        </row>
        <row r="306">
          <cell r="A306" t="str">
            <v>in storage</v>
          </cell>
          <cell r="K306" t="str">
            <v>EALB</v>
          </cell>
          <cell r="AB306" t="str">
            <v>Heart</v>
          </cell>
        </row>
        <row r="307">
          <cell r="A307" t="str">
            <v>in storage</v>
          </cell>
          <cell r="K307" t="str">
            <v>EALB</v>
          </cell>
          <cell r="AB307" t="str">
            <v>Lung</v>
          </cell>
        </row>
        <row r="308">
          <cell r="A308" t="str">
            <v>in storage</v>
          </cell>
          <cell r="K308" t="str">
            <v>EALB</v>
          </cell>
          <cell r="AB308" t="str">
            <v>Liver</v>
          </cell>
        </row>
        <row r="309">
          <cell r="A309" t="str">
            <v>in storage</v>
          </cell>
          <cell r="K309" t="str">
            <v>VVV</v>
          </cell>
          <cell r="AB309" t="str">
            <v>Mass</v>
          </cell>
        </row>
        <row r="310">
          <cell r="A310" t="str">
            <v>in storage</v>
          </cell>
          <cell r="K310" t="str">
            <v>VVV</v>
          </cell>
          <cell r="AB310" t="str">
            <v>Kidney</v>
          </cell>
        </row>
        <row r="311">
          <cell r="A311" t="str">
            <v>in storage</v>
          </cell>
          <cell r="K311" t="str">
            <v>VVV</v>
          </cell>
          <cell r="AB311" t="str">
            <v>Heart</v>
          </cell>
        </row>
        <row r="312">
          <cell r="A312" t="str">
            <v>in storage</v>
          </cell>
          <cell r="K312" t="str">
            <v>VVV</v>
          </cell>
          <cell r="AB312" t="str">
            <v>Liver</v>
          </cell>
        </row>
        <row r="313">
          <cell r="A313" t="str">
            <v>in storage</v>
          </cell>
          <cell r="K313" t="str">
            <v>VVV</v>
          </cell>
          <cell r="AB313" t="str">
            <v>Lung</v>
          </cell>
        </row>
        <row r="314">
          <cell r="A314" t="str">
            <v>in storage</v>
          </cell>
          <cell r="K314" t="str">
            <v>VVV</v>
          </cell>
          <cell r="AB314" t="str">
            <v>Muscle</v>
          </cell>
        </row>
        <row r="315">
          <cell r="A315" t="str">
            <v>in storage</v>
          </cell>
          <cell r="K315" t="str">
            <v>LCAT</v>
          </cell>
          <cell r="AB315" t="str">
            <v>Kidney</v>
          </cell>
        </row>
        <row r="316">
          <cell r="A316" t="str">
            <v>in storage</v>
          </cell>
          <cell r="K316" t="str">
            <v>LCAT</v>
          </cell>
          <cell r="AB316" t="str">
            <v>Heart</v>
          </cell>
        </row>
        <row r="317">
          <cell r="A317" t="str">
            <v>in storage</v>
          </cell>
          <cell r="K317" t="str">
            <v>LCAT</v>
          </cell>
          <cell r="AB317" t="str">
            <v>Lung</v>
          </cell>
        </row>
        <row r="318">
          <cell r="A318" t="str">
            <v>in storage</v>
          </cell>
          <cell r="K318" t="str">
            <v>LCAT</v>
          </cell>
          <cell r="AB318" t="str">
            <v>Liver</v>
          </cell>
        </row>
        <row r="319">
          <cell r="A319" t="str">
            <v>in storage</v>
          </cell>
          <cell r="K319" t="str">
            <v>NPYG</v>
          </cell>
          <cell r="AB319" t="str">
            <v>Kidney</v>
          </cell>
        </row>
        <row r="320">
          <cell r="A320" t="str">
            <v>in storage</v>
          </cell>
          <cell r="K320" t="str">
            <v>NPYG</v>
          </cell>
          <cell r="AB320" t="str">
            <v>Spleen</v>
          </cell>
        </row>
        <row r="321">
          <cell r="A321" t="str">
            <v>in storage</v>
          </cell>
          <cell r="K321" t="str">
            <v>NPYG</v>
          </cell>
          <cell r="AB321" t="str">
            <v>Liver</v>
          </cell>
        </row>
        <row r="322">
          <cell r="A322" t="str">
            <v>in storage</v>
          </cell>
          <cell r="K322" t="str">
            <v>NPYG</v>
          </cell>
          <cell r="AB322" t="str">
            <v>Muscle</v>
          </cell>
        </row>
        <row r="323">
          <cell r="A323" t="str">
            <v>in storage</v>
          </cell>
          <cell r="K323" t="str">
            <v>DMAD</v>
          </cell>
          <cell r="AB323" t="str">
            <v>Lung</v>
          </cell>
        </row>
        <row r="324">
          <cell r="A324" t="str">
            <v>in storage</v>
          </cell>
          <cell r="K324" t="str">
            <v>PCOQ</v>
          </cell>
          <cell r="AB324" t="str">
            <v>Adrenal gland</v>
          </cell>
        </row>
        <row r="325">
          <cell r="A325" t="str">
            <v>in storage</v>
          </cell>
          <cell r="K325" t="str">
            <v>PCOQ</v>
          </cell>
          <cell r="AB325" t="str">
            <v>Kidney</v>
          </cell>
        </row>
        <row r="326">
          <cell r="A326" t="str">
            <v>in storage</v>
          </cell>
          <cell r="K326" t="str">
            <v>PCOQ</v>
          </cell>
          <cell r="AB326" t="str">
            <v>Spleen</v>
          </cell>
        </row>
        <row r="327">
          <cell r="A327" t="str">
            <v>in storage</v>
          </cell>
          <cell r="K327" t="str">
            <v>PCOQ</v>
          </cell>
          <cell r="AB327" t="str">
            <v>Lung</v>
          </cell>
        </row>
        <row r="328">
          <cell r="A328" t="str">
            <v>in storage</v>
          </cell>
          <cell r="K328" t="str">
            <v>VRUB</v>
          </cell>
          <cell r="AB328" t="str">
            <v>Kidney</v>
          </cell>
        </row>
        <row r="329">
          <cell r="A329" t="str">
            <v>in storage</v>
          </cell>
          <cell r="K329" t="str">
            <v>VRUB</v>
          </cell>
          <cell r="AB329" t="str">
            <v>Spleen</v>
          </cell>
        </row>
        <row r="330">
          <cell r="A330" t="str">
            <v>in storage</v>
          </cell>
          <cell r="K330" t="str">
            <v>VRUB</v>
          </cell>
          <cell r="AB330" t="str">
            <v>Liver</v>
          </cell>
        </row>
        <row r="331">
          <cell r="A331" t="str">
            <v>in storage</v>
          </cell>
          <cell r="K331" t="str">
            <v>MZAZ</v>
          </cell>
          <cell r="AB331" t="str">
            <v>Liver</v>
          </cell>
        </row>
        <row r="332">
          <cell r="A332" t="str">
            <v>in storage</v>
          </cell>
          <cell r="K332" t="str">
            <v>EMAC</v>
          </cell>
          <cell r="AB332" t="str">
            <v>Kidney</v>
          </cell>
        </row>
        <row r="333">
          <cell r="A333" t="str">
            <v>in storage</v>
          </cell>
          <cell r="K333" t="str">
            <v>EMAC</v>
          </cell>
          <cell r="AB333" t="str">
            <v>Spleen</v>
          </cell>
        </row>
        <row r="334">
          <cell r="A334" t="str">
            <v>in storage</v>
          </cell>
          <cell r="K334" t="str">
            <v>EMAC</v>
          </cell>
          <cell r="AB334" t="str">
            <v>Lung</v>
          </cell>
        </row>
        <row r="335">
          <cell r="A335" t="str">
            <v>in storage</v>
          </cell>
          <cell r="K335" t="str">
            <v>EMAC</v>
          </cell>
          <cell r="AB335" t="str">
            <v>Liver</v>
          </cell>
        </row>
        <row r="336">
          <cell r="A336" t="str">
            <v>in storage</v>
          </cell>
          <cell r="K336" t="str">
            <v>VVV</v>
          </cell>
          <cell r="AB336" t="str">
            <v>Liver</v>
          </cell>
        </row>
        <row r="337">
          <cell r="A337" t="str">
            <v>in storage</v>
          </cell>
          <cell r="K337" t="str">
            <v>NPYG</v>
          </cell>
          <cell r="AB337" t="str">
            <v>Kidney</v>
          </cell>
        </row>
        <row r="338">
          <cell r="A338" t="str">
            <v>in storage</v>
          </cell>
          <cell r="K338" t="str">
            <v>NPYG</v>
          </cell>
          <cell r="AB338" t="str">
            <v>Spleen</v>
          </cell>
        </row>
        <row r="339">
          <cell r="A339" t="str">
            <v>in storage</v>
          </cell>
          <cell r="K339" t="str">
            <v>NPYG</v>
          </cell>
          <cell r="AB339" t="str">
            <v>Lung</v>
          </cell>
        </row>
        <row r="340">
          <cell r="A340" t="str">
            <v>in storage</v>
          </cell>
          <cell r="K340" t="str">
            <v>NPYG</v>
          </cell>
          <cell r="AB340" t="str">
            <v>Liver</v>
          </cell>
        </row>
        <row r="341">
          <cell r="A341" t="str">
            <v>in storage</v>
          </cell>
          <cell r="K341" t="str">
            <v>LCAT</v>
          </cell>
          <cell r="AB341" t="str">
            <v>Kidney</v>
          </cell>
        </row>
        <row r="342">
          <cell r="A342" t="str">
            <v>in storage</v>
          </cell>
          <cell r="K342" t="str">
            <v>LCAT</v>
          </cell>
          <cell r="AB342" t="str">
            <v>Lung</v>
          </cell>
        </row>
        <row r="343">
          <cell r="A343" t="str">
            <v>in storage</v>
          </cell>
          <cell r="K343" t="str">
            <v>LCAT</v>
          </cell>
          <cell r="AB343" t="str">
            <v>Liver</v>
          </cell>
        </row>
        <row r="344">
          <cell r="A344" t="str">
            <v>in storage</v>
          </cell>
          <cell r="K344" t="str">
            <v>EMON</v>
          </cell>
          <cell r="AB344" t="str">
            <v>Liver</v>
          </cell>
        </row>
        <row r="345">
          <cell r="A345" t="str">
            <v>in storage</v>
          </cell>
          <cell r="K345" t="str">
            <v>OGG</v>
          </cell>
          <cell r="AB345" t="str">
            <v>Lung</v>
          </cell>
        </row>
        <row r="346">
          <cell r="A346" t="str">
            <v>in storage</v>
          </cell>
          <cell r="K346" t="str">
            <v>OGG</v>
          </cell>
          <cell r="AB346" t="str">
            <v>Liver</v>
          </cell>
        </row>
        <row r="347">
          <cell r="A347" t="str">
            <v>in storage</v>
          </cell>
          <cell r="K347" t="str">
            <v>OGG</v>
          </cell>
          <cell r="AB347" t="str">
            <v>Liver</v>
          </cell>
        </row>
        <row r="348">
          <cell r="A348" t="str">
            <v>in storage</v>
          </cell>
          <cell r="K348" t="str">
            <v>OGG</v>
          </cell>
          <cell r="AB348" t="str">
            <v>Liver</v>
          </cell>
        </row>
        <row r="349">
          <cell r="A349" t="str">
            <v>in storage</v>
          </cell>
          <cell r="K349" t="str">
            <v>EMON</v>
          </cell>
          <cell r="AB349" t="str">
            <v>Kidney</v>
          </cell>
        </row>
        <row r="350">
          <cell r="A350" t="str">
            <v>in storage</v>
          </cell>
          <cell r="K350" t="str">
            <v>EMON</v>
          </cell>
          <cell r="AB350" t="str">
            <v>Spleen</v>
          </cell>
        </row>
        <row r="351">
          <cell r="A351" t="str">
            <v>in storage</v>
          </cell>
          <cell r="K351" t="str">
            <v>MZAZ</v>
          </cell>
          <cell r="AB351" t="str">
            <v>Kidney</v>
          </cell>
        </row>
        <row r="352">
          <cell r="A352" t="str">
            <v>in storage</v>
          </cell>
          <cell r="K352" t="str">
            <v>MZAZ</v>
          </cell>
          <cell r="AB352" t="str">
            <v>Spleen</v>
          </cell>
        </row>
        <row r="353">
          <cell r="A353" t="str">
            <v>in storage</v>
          </cell>
          <cell r="K353" t="str">
            <v>MZAZ</v>
          </cell>
          <cell r="AB353" t="str">
            <v>Liver</v>
          </cell>
        </row>
        <row r="354">
          <cell r="A354" t="str">
            <v>in storage</v>
          </cell>
          <cell r="K354" t="str">
            <v>MZAZ</v>
          </cell>
          <cell r="AB354" t="str">
            <v>R- teste(s)</v>
          </cell>
        </row>
        <row r="355">
          <cell r="A355" t="str">
            <v>in storage</v>
          </cell>
          <cell r="K355" t="str">
            <v>CMED</v>
          </cell>
          <cell r="AB355" t="str">
            <v>GI- small intestine</v>
          </cell>
        </row>
        <row r="356">
          <cell r="A356" t="str">
            <v>in storage</v>
          </cell>
          <cell r="K356" t="str">
            <v>CMED</v>
          </cell>
          <cell r="AB356" t="str">
            <v>Liver</v>
          </cell>
        </row>
        <row r="357">
          <cell r="A357" t="str">
            <v>in storage</v>
          </cell>
          <cell r="K357" t="str">
            <v>MMUR</v>
          </cell>
          <cell r="AB357" t="str">
            <v>Spleen</v>
          </cell>
        </row>
        <row r="358">
          <cell r="A358" t="str">
            <v>in storage</v>
          </cell>
          <cell r="K358" t="str">
            <v>MMUR</v>
          </cell>
          <cell r="AB358" t="str">
            <v>Lung</v>
          </cell>
        </row>
        <row r="359">
          <cell r="A359" t="str">
            <v>in storage</v>
          </cell>
          <cell r="K359" t="str">
            <v>MMUR</v>
          </cell>
          <cell r="AB359" t="str">
            <v>Kidney</v>
          </cell>
        </row>
        <row r="360">
          <cell r="A360" t="str">
            <v>in storage</v>
          </cell>
          <cell r="K360" t="str">
            <v>CMED</v>
          </cell>
          <cell r="AB360" t="str">
            <v>Kidney</v>
          </cell>
        </row>
        <row r="361">
          <cell r="A361" t="str">
            <v>in storage</v>
          </cell>
          <cell r="K361" t="str">
            <v>CMED</v>
          </cell>
          <cell r="AB361" t="str">
            <v>Lung</v>
          </cell>
        </row>
        <row r="362">
          <cell r="A362" t="str">
            <v>in storage</v>
          </cell>
          <cell r="K362" t="str">
            <v>CMED</v>
          </cell>
          <cell r="AB362" t="str">
            <v>Liver</v>
          </cell>
        </row>
        <row r="363">
          <cell r="A363" t="str">
            <v>unk</v>
          </cell>
          <cell r="K363" t="str">
            <v>CMED</v>
          </cell>
          <cell r="AB363" t="str">
            <v>Spleen</v>
          </cell>
        </row>
        <row r="364">
          <cell r="A364" t="str">
            <v>in storage</v>
          </cell>
          <cell r="K364" t="str">
            <v>MMUR</v>
          </cell>
          <cell r="AB364" t="str">
            <v>Liver</v>
          </cell>
        </row>
        <row r="365">
          <cell r="A365" t="str">
            <v>in storage</v>
          </cell>
          <cell r="K365" t="str">
            <v>MMUR</v>
          </cell>
          <cell r="AB365" t="str">
            <v>Heart</v>
          </cell>
        </row>
        <row r="366">
          <cell r="A366" t="str">
            <v>in storage</v>
          </cell>
          <cell r="K366" t="str">
            <v>MMUR</v>
          </cell>
          <cell r="AB366" t="str">
            <v>Kidney</v>
          </cell>
        </row>
        <row r="367">
          <cell r="A367" t="str">
            <v>in storage</v>
          </cell>
          <cell r="K367" t="str">
            <v>NCOU</v>
          </cell>
          <cell r="AB367" t="str">
            <v>Kidney</v>
          </cell>
        </row>
        <row r="368">
          <cell r="A368" t="str">
            <v>in storage</v>
          </cell>
          <cell r="K368" t="str">
            <v>NCOU</v>
          </cell>
          <cell r="AB368" t="str">
            <v>Spleen</v>
          </cell>
        </row>
        <row r="369">
          <cell r="A369" t="str">
            <v>in storage</v>
          </cell>
          <cell r="K369" t="str">
            <v>NCOU</v>
          </cell>
          <cell r="AB369" t="str">
            <v>Lung</v>
          </cell>
        </row>
        <row r="370">
          <cell r="A370" t="str">
            <v>in storage</v>
          </cell>
          <cell r="K370" t="str">
            <v>NCOU</v>
          </cell>
          <cell r="AB370" t="str">
            <v>Liver</v>
          </cell>
        </row>
        <row r="371">
          <cell r="A371" t="str">
            <v>in storage</v>
          </cell>
          <cell r="K371" t="str">
            <v>NCOU</v>
          </cell>
          <cell r="AB371" t="str">
            <v>Liver</v>
          </cell>
        </row>
        <row r="372">
          <cell r="A372" t="str">
            <v>in storage</v>
          </cell>
          <cell r="K372" t="str">
            <v>VVV</v>
          </cell>
          <cell r="AB372" t="str">
            <v>Kidney</v>
          </cell>
        </row>
        <row r="373">
          <cell r="A373" t="str">
            <v>in storage</v>
          </cell>
          <cell r="K373" t="str">
            <v>VVV</v>
          </cell>
          <cell r="AB373" t="str">
            <v>Spleen</v>
          </cell>
        </row>
        <row r="374">
          <cell r="A374" t="str">
            <v>in storage</v>
          </cell>
          <cell r="K374" t="str">
            <v>VVV</v>
          </cell>
          <cell r="AB374" t="str">
            <v>Lung</v>
          </cell>
        </row>
        <row r="375">
          <cell r="A375" t="str">
            <v>in storage</v>
          </cell>
          <cell r="K375" t="str">
            <v>VVV</v>
          </cell>
          <cell r="AB375" t="str">
            <v>Liver</v>
          </cell>
        </row>
        <row r="376">
          <cell r="A376" t="str">
            <v>in storage</v>
          </cell>
          <cell r="K376" t="str">
            <v>LCAT</v>
          </cell>
          <cell r="AB376" t="str">
            <v>Kidney</v>
          </cell>
        </row>
        <row r="377">
          <cell r="A377" t="str">
            <v>in storage</v>
          </cell>
          <cell r="K377" t="str">
            <v>LCAT</v>
          </cell>
          <cell r="AB377" t="str">
            <v>Spleen</v>
          </cell>
        </row>
        <row r="378">
          <cell r="A378" t="str">
            <v>in storage</v>
          </cell>
          <cell r="K378" t="str">
            <v>LCAT</v>
          </cell>
          <cell r="AB378" t="str">
            <v>Lung</v>
          </cell>
        </row>
        <row r="379">
          <cell r="A379" t="str">
            <v>in storage</v>
          </cell>
          <cell r="K379" t="str">
            <v>LCAT</v>
          </cell>
          <cell r="AB379" t="str">
            <v>Liver</v>
          </cell>
        </row>
        <row r="380">
          <cell r="A380" t="str">
            <v>in storage</v>
          </cell>
          <cell r="K380" t="str">
            <v>LCAT</v>
          </cell>
          <cell r="AB380" t="str">
            <v>Muscle</v>
          </cell>
        </row>
        <row r="381">
          <cell r="A381" t="str">
            <v>in storage</v>
          </cell>
          <cell r="K381" t="str">
            <v>EFLA</v>
          </cell>
          <cell r="AB381" t="str">
            <v>Kidney</v>
          </cell>
        </row>
        <row r="382">
          <cell r="A382" t="str">
            <v>in storage</v>
          </cell>
          <cell r="K382" t="str">
            <v>EFLA</v>
          </cell>
          <cell r="AB382" t="str">
            <v>Spleen</v>
          </cell>
        </row>
        <row r="383">
          <cell r="A383" t="str">
            <v>in storage</v>
          </cell>
          <cell r="K383" t="str">
            <v>EFLA</v>
          </cell>
          <cell r="AB383" t="str">
            <v>Lung</v>
          </cell>
        </row>
        <row r="384">
          <cell r="A384" t="str">
            <v>in storage</v>
          </cell>
          <cell r="K384" t="str">
            <v>EFLA</v>
          </cell>
          <cell r="AB384" t="str">
            <v>Liver</v>
          </cell>
        </row>
        <row r="385">
          <cell r="A385" t="str">
            <v>in storage</v>
          </cell>
          <cell r="K385" t="str">
            <v>EFLA</v>
          </cell>
          <cell r="AB385" t="str">
            <v>R- teste(s)</v>
          </cell>
        </row>
        <row r="386">
          <cell r="A386" t="str">
            <v>in storage</v>
          </cell>
          <cell r="K386" t="str">
            <v>PCOQ</v>
          </cell>
          <cell r="AB386" t="str">
            <v>Kidney</v>
          </cell>
        </row>
        <row r="387">
          <cell r="A387" t="str">
            <v>in storage</v>
          </cell>
          <cell r="K387" t="str">
            <v>PCOQ</v>
          </cell>
          <cell r="AB387" t="str">
            <v>Spleen</v>
          </cell>
        </row>
        <row r="388">
          <cell r="A388" t="str">
            <v>in storage</v>
          </cell>
          <cell r="K388" t="str">
            <v>PCOQ</v>
          </cell>
          <cell r="AB388" t="str">
            <v>Lung</v>
          </cell>
        </row>
        <row r="389">
          <cell r="A389" t="str">
            <v>in storage</v>
          </cell>
          <cell r="K389" t="str">
            <v>PCOQ</v>
          </cell>
          <cell r="AB389" t="str">
            <v>Liver</v>
          </cell>
        </row>
        <row r="390">
          <cell r="A390" t="str">
            <v>in storage</v>
          </cell>
          <cell r="K390" t="str">
            <v>PCOQ</v>
          </cell>
          <cell r="AB390" t="str">
            <v>Liver</v>
          </cell>
        </row>
        <row r="391">
          <cell r="A391" t="str">
            <v>in storage</v>
          </cell>
          <cell r="K391" t="str">
            <v>PCOQ</v>
          </cell>
          <cell r="AB391" t="str">
            <v>Liver</v>
          </cell>
        </row>
        <row r="392">
          <cell r="A392" t="str">
            <v>in storage</v>
          </cell>
          <cell r="K392" t="str">
            <v>ECOL</v>
          </cell>
          <cell r="AB392" t="str">
            <v>Kidney</v>
          </cell>
        </row>
        <row r="393">
          <cell r="A393" t="str">
            <v>in storage</v>
          </cell>
          <cell r="K393" t="str">
            <v>ECOL</v>
          </cell>
          <cell r="AB393" t="str">
            <v>Spleen</v>
          </cell>
        </row>
        <row r="394">
          <cell r="A394" t="str">
            <v>in storage</v>
          </cell>
          <cell r="K394" t="str">
            <v>ECOL</v>
          </cell>
          <cell r="AB394" t="str">
            <v>Lung</v>
          </cell>
        </row>
        <row r="395">
          <cell r="A395" t="str">
            <v>in storage</v>
          </cell>
          <cell r="K395" t="str">
            <v>ECOL</v>
          </cell>
          <cell r="AB395" t="str">
            <v>Liver</v>
          </cell>
        </row>
        <row r="396">
          <cell r="A396" t="str">
            <v>in storage</v>
          </cell>
          <cell r="K396" t="str">
            <v>ECOL</v>
          </cell>
          <cell r="AB396" t="str">
            <v>Liver</v>
          </cell>
        </row>
        <row r="397">
          <cell r="A397" t="str">
            <v>in storage</v>
          </cell>
          <cell r="K397" t="str">
            <v>ECOL</v>
          </cell>
          <cell r="AB397" t="str">
            <v>R- teste(s)</v>
          </cell>
        </row>
        <row r="398">
          <cell r="A398" t="str">
            <v>in storage</v>
          </cell>
          <cell r="K398" t="str">
            <v>HGRI</v>
          </cell>
          <cell r="AB398" t="str">
            <v>Kidney</v>
          </cell>
        </row>
        <row r="399">
          <cell r="A399" t="str">
            <v>in storage</v>
          </cell>
          <cell r="K399" t="str">
            <v>HGRI</v>
          </cell>
          <cell r="AB399" t="str">
            <v>Spleen</v>
          </cell>
        </row>
        <row r="400">
          <cell r="A400" t="str">
            <v>in storage</v>
          </cell>
          <cell r="K400" t="str">
            <v>HGRI</v>
          </cell>
          <cell r="AB400" t="str">
            <v>Lung</v>
          </cell>
        </row>
        <row r="401">
          <cell r="A401" t="str">
            <v>in storage</v>
          </cell>
          <cell r="K401" t="str">
            <v>HGRI</v>
          </cell>
          <cell r="AB401" t="str">
            <v>Liver</v>
          </cell>
        </row>
        <row r="402">
          <cell r="A402" t="str">
            <v>in storage</v>
          </cell>
          <cell r="K402" t="str">
            <v>HGRI</v>
          </cell>
          <cell r="AB402" t="str">
            <v>Liver</v>
          </cell>
        </row>
        <row r="403">
          <cell r="A403" t="str">
            <v>in storage</v>
          </cell>
          <cell r="K403" t="str">
            <v>HGRI</v>
          </cell>
          <cell r="AB403" t="str">
            <v>R- teste(s)</v>
          </cell>
        </row>
        <row r="404">
          <cell r="A404" t="str">
            <v>in storage</v>
          </cell>
          <cell r="K404" t="str">
            <v>PCOQ</v>
          </cell>
          <cell r="AB404" t="str">
            <v>Kidney</v>
          </cell>
        </row>
        <row r="405">
          <cell r="A405" t="str">
            <v>in storage</v>
          </cell>
          <cell r="K405" t="str">
            <v>PCOQ</v>
          </cell>
          <cell r="AB405" t="str">
            <v>Lung</v>
          </cell>
        </row>
        <row r="406">
          <cell r="A406" t="str">
            <v>in storage</v>
          </cell>
          <cell r="K406" t="str">
            <v>PCOQ</v>
          </cell>
          <cell r="AB406" t="str">
            <v>Liver</v>
          </cell>
        </row>
        <row r="407">
          <cell r="A407" t="str">
            <v>in storage</v>
          </cell>
          <cell r="K407" t="str">
            <v>PDIA</v>
          </cell>
          <cell r="AB407" t="str">
            <v>Kidney</v>
          </cell>
        </row>
        <row r="408">
          <cell r="A408" t="str">
            <v>in storage</v>
          </cell>
          <cell r="K408" t="str">
            <v>PDIA</v>
          </cell>
          <cell r="AB408" t="str">
            <v>Kidney</v>
          </cell>
        </row>
        <row r="409">
          <cell r="A409" t="str">
            <v>in storage</v>
          </cell>
          <cell r="K409" t="str">
            <v>PDIA</v>
          </cell>
          <cell r="AB409" t="str">
            <v>Spleen</v>
          </cell>
        </row>
        <row r="410">
          <cell r="A410" t="str">
            <v>in storage</v>
          </cell>
          <cell r="K410" t="str">
            <v>PDIA</v>
          </cell>
          <cell r="AB410" t="str">
            <v>Lung</v>
          </cell>
        </row>
        <row r="411">
          <cell r="A411" t="str">
            <v>in storage</v>
          </cell>
          <cell r="K411" t="str">
            <v>PDIA</v>
          </cell>
          <cell r="AB411" t="str">
            <v>Liver</v>
          </cell>
        </row>
        <row r="412">
          <cell r="A412" t="str">
            <v>in storage</v>
          </cell>
          <cell r="K412" t="str">
            <v>PDIA</v>
          </cell>
          <cell r="AB412" t="str">
            <v>Liver</v>
          </cell>
        </row>
        <row r="413">
          <cell r="A413" t="str">
            <v>in storage</v>
          </cell>
          <cell r="K413" t="str">
            <v>MMUR</v>
          </cell>
          <cell r="AB413" t="str">
            <v>Spleen</v>
          </cell>
        </row>
        <row r="414">
          <cell r="A414" t="str">
            <v>in storage</v>
          </cell>
          <cell r="K414" t="str">
            <v>MMUR</v>
          </cell>
          <cell r="AB414" t="str">
            <v>Heart</v>
          </cell>
        </row>
        <row r="415">
          <cell r="A415" t="str">
            <v>in storage</v>
          </cell>
          <cell r="K415" t="str">
            <v>MMUR</v>
          </cell>
          <cell r="AB415" t="str">
            <v>Lung</v>
          </cell>
        </row>
        <row r="416">
          <cell r="A416" t="str">
            <v>in storage</v>
          </cell>
          <cell r="K416" t="str">
            <v>MMUR</v>
          </cell>
          <cell r="AB416" t="str">
            <v>Kidney</v>
          </cell>
        </row>
        <row r="417">
          <cell r="A417" t="str">
            <v>in storage</v>
          </cell>
          <cell r="K417" t="str">
            <v>MMUR</v>
          </cell>
          <cell r="AB417" t="str">
            <v>R- teste(s)</v>
          </cell>
        </row>
        <row r="418">
          <cell r="A418" t="str">
            <v>in storage</v>
          </cell>
          <cell r="K418" t="str">
            <v>CMED</v>
          </cell>
          <cell r="AB418" t="str">
            <v>Kidney</v>
          </cell>
        </row>
        <row r="419">
          <cell r="A419" t="str">
            <v>in storage</v>
          </cell>
          <cell r="K419" t="str">
            <v>CMED</v>
          </cell>
          <cell r="AB419" t="str">
            <v>Lung</v>
          </cell>
        </row>
        <row r="420">
          <cell r="A420" t="str">
            <v>in storage</v>
          </cell>
          <cell r="K420" t="str">
            <v>CMED</v>
          </cell>
          <cell r="AB420" t="str">
            <v>Liver</v>
          </cell>
        </row>
        <row r="421">
          <cell r="A421" t="str">
            <v>in storage</v>
          </cell>
          <cell r="K421" t="str">
            <v>CMED</v>
          </cell>
          <cell r="AB421" t="str">
            <v>Liver</v>
          </cell>
        </row>
        <row r="422">
          <cell r="A422" t="str">
            <v>in storage</v>
          </cell>
          <cell r="K422" t="str">
            <v>CMED</v>
          </cell>
          <cell r="AB422" t="str">
            <v>Liver</v>
          </cell>
        </row>
        <row r="423">
          <cell r="A423" t="str">
            <v>in storage</v>
          </cell>
          <cell r="K423" t="str">
            <v>CMED</v>
          </cell>
          <cell r="AB423" t="str">
            <v>R- teste(s)</v>
          </cell>
        </row>
        <row r="424">
          <cell r="A424" t="str">
            <v>in storage</v>
          </cell>
          <cell r="K424" t="str">
            <v>PCOQ</v>
          </cell>
          <cell r="AB424" t="str">
            <v>Kidney</v>
          </cell>
        </row>
        <row r="425">
          <cell r="A425" t="str">
            <v>in storage</v>
          </cell>
          <cell r="K425" t="str">
            <v>PCOQ</v>
          </cell>
          <cell r="AB425" t="str">
            <v>Spleen</v>
          </cell>
        </row>
        <row r="426">
          <cell r="A426" t="str">
            <v>in storage</v>
          </cell>
          <cell r="K426" t="str">
            <v>PCOQ</v>
          </cell>
          <cell r="AB426" t="str">
            <v>Lung</v>
          </cell>
        </row>
        <row r="427">
          <cell r="A427" t="str">
            <v>in storage</v>
          </cell>
          <cell r="K427" t="str">
            <v>PCOQ</v>
          </cell>
          <cell r="AB427" t="str">
            <v>Liver</v>
          </cell>
        </row>
        <row r="428">
          <cell r="A428" t="str">
            <v>in storage</v>
          </cell>
          <cell r="K428" t="str">
            <v>PCOQ</v>
          </cell>
          <cell r="AB428" t="str">
            <v>Liver</v>
          </cell>
        </row>
        <row r="429">
          <cell r="A429" t="str">
            <v>in storage</v>
          </cell>
          <cell r="K429" t="str">
            <v>CMAJ</v>
          </cell>
          <cell r="AB429" t="str">
            <v>Spleen</v>
          </cell>
        </row>
        <row r="430">
          <cell r="A430" t="str">
            <v>in storage</v>
          </cell>
          <cell r="K430" t="str">
            <v>CMAJ</v>
          </cell>
          <cell r="AB430" t="str">
            <v>Lung</v>
          </cell>
        </row>
        <row r="431">
          <cell r="A431" t="str">
            <v>in storage</v>
          </cell>
          <cell r="K431" t="str">
            <v>EMON</v>
          </cell>
          <cell r="AB431" t="str">
            <v>Liver</v>
          </cell>
        </row>
        <row r="432">
          <cell r="A432" t="str">
            <v>unk</v>
          </cell>
          <cell r="K432" t="str">
            <v>EMON</v>
          </cell>
          <cell r="AB432" t="str">
            <v>Blood</v>
          </cell>
        </row>
        <row r="433">
          <cell r="A433" t="str">
            <v>unk</v>
          </cell>
          <cell r="K433" t="str">
            <v>EMON</v>
          </cell>
          <cell r="AB433" t="str">
            <v>Plasma</v>
          </cell>
        </row>
        <row r="434">
          <cell r="A434" t="str">
            <v>unk</v>
          </cell>
          <cell r="K434" t="str">
            <v>EMON</v>
          </cell>
          <cell r="AB434" t="str">
            <v>Spleen</v>
          </cell>
        </row>
        <row r="435">
          <cell r="A435" t="str">
            <v>in storage</v>
          </cell>
          <cell r="K435" t="str">
            <v>HGG</v>
          </cell>
          <cell r="AB435" t="str">
            <v>Kidney</v>
          </cell>
        </row>
        <row r="436">
          <cell r="A436" t="str">
            <v>in storage</v>
          </cell>
          <cell r="K436" t="str">
            <v>HGG</v>
          </cell>
          <cell r="AB436" t="str">
            <v>Spleen</v>
          </cell>
        </row>
        <row r="437">
          <cell r="A437" t="str">
            <v>in storage</v>
          </cell>
          <cell r="K437" t="str">
            <v>HGG</v>
          </cell>
          <cell r="AB437" t="str">
            <v>Liver</v>
          </cell>
        </row>
        <row r="438">
          <cell r="A438" t="str">
            <v>in storage</v>
          </cell>
          <cell r="K438" t="str">
            <v>HGG</v>
          </cell>
          <cell r="AB438" t="str">
            <v>Liver</v>
          </cell>
        </row>
        <row r="439">
          <cell r="A439" t="str">
            <v>in storage</v>
          </cell>
          <cell r="K439" t="str">
            <v>PTAT</v>
          </cell>
          <cell r="AB439" t="str">
            <v>Spleen</v>
          </cell>
        </row>
        <row r="440">
          <cell r="A440" t="str">
            <v>in storage</v>
          </cell>
          <cell r="K440" t="str">
            <v>PTAT</v>
          </cell>
          <cell r="AB440" t="str">
            <v>Lung</v>
          </cell>
        </row>
        <row r="441">
          <cell r="A441" t="str">
            <v>in storage</v>
          </cell>
          <cell r="K441" t="str">
            <v>PTAT</v>
          </cell>
          <cell r="AB441" t="str">
            <v>Liver</v>
          </cell>
        </row>
        <row r="442">
          <cell r="A442" t="str">
            <v>in storage</v>
          </cell>
          <cell r="K442" t="str">
            <v>PTAT</v>
          </cell>
          <cell r="AB442" t="str">
            <v>Liver</v>
          </cell>
        </row>
        <row r="443">
          <cell r="A443" t="str">
            <v>in storage</v>
          </cell>
          <cell r="K443" t="str">
            <v>PDIA</v>
          </cell>
          <cell r="AB443" t="str">
            <v>Kidney</v>
          </cell>
        </row>
        <row r="444">
          <cell r="A444" t="str">
            <v>in storage</v>
          </cell>
          <cell r="K444" t="str">
            <v>PDIA</v>
          </cell>
          <cell r="AB444" t="str">
            <v>Spleen</v>
          </cell>
        </row>
        <row r="445">
          <cell r="A445" t="str">
            <v>in storage</v>
          </cell>
          <cell r="K445" t="str">
            <v>PDIA</v>
          </cell>
          <cell r="AB445" t="str">
            <v>Lung</v>
          </cell>
        </row>
        <row r="446">
          <cell r="A446" t="str">
            <v>in storage</v>
          </cell>
          <cell r="K446" t="str">
            <v>PDIA</v>
          </cell>
          <cell r="AB446" t="str">
            <v>Liver</v>
          </cell>
        </row>
        <row r="447">
          <cell r="A447" t="str">
            <v>in storage</v>
          </cell>
          <cell r="K447" t="str">
            <v>PDIA</v>
          </cell>
          <cell r="AB447" t="str">
            <v>Adrenal gland</v>
          </cell>
        </row>
        <row r="448">
          <cell r="A448" t="str">
            <v>in storage</v>
          </cell>
          <cell r="K448" t="str">
            <v>PDIA</v>
          </cell>
          <cell r="AB448" t="str">
            <v>R- teste(s)</v>
          </cell>
        </row>
        <row r="449">
          <cell r="A449" t="str">
            <v>in storage</v>
          </cell>
          <cell r="K449" t="str">
            <v>MMUR</v>
          </cell>
          <cell r="AB449" t="str">
            <v>Liver</v>
          </cell>
        </row>
        <row r="450">
          <cell r="A450" t="str">
            <v>in storage</v>
          </cell>
          <cell r="K450" t="str">
            <v>MMUR</v>
          </cell>
          <cell r="AB450" t="str">
            <v>Liver</v>
          </cell>
        </row>
        <row r="451">
          <cell r="A451" t="str">
            <v>in storage</v>
          </cell>
          <cell r="K451" t="str">
            <v>MMUR</v>
          </cell>
          <cell r="AB451" t="str">
            <v>Lung</v>
          </cell>
        </row>
        <row r="452">
          <cell r="A452" t="str">
            <v>in storage</v>
          </cell>
          <cell r="K452" t="str">
            <v>MMUR</v>
          </cell>
          <cell r="AB452" t="str">
            <v>Kidney</v>
          </cell>
        </row>
        <row r="453">
          <cell r="A453" t="str">
            <v>in storage</v>
          </cell>
          <cell r="K453" t="str">
            <v>HGG</v>
          </cell>
          <cell r="AB453" t="str">
            <v>Kidney</v>
          </cell>
        </row>
        <row r="454">
          <cell r="A454" t="str">
            <v>in storage</v>
          </cell>
          <cell r="K454" t="str">
            <v>HGG</v>
          </cell>
          <cell r="AB454" t="str">
            <v>Spleen</v>
          </cell>
        </row>
        <row r="455">
          <cell r="A455" t="str">
            <v>in storage</v>
          </cell>
          <cell r="K455" t="str">
            <v>HGG</v>
          </cell>
          <cell r="AB455" t="str">
            <v>Liver</v>
          </cell>
        </row>
        <row r="456">
          <cell r="A456" t="str">
            <v>in storage</v>
          </cell>
          <cell r="K456" t="str">
            <v>HGG</v>
          </cell>
          <cell r="AB456" t="str">
            <v>Kidney</v>
          </cell>
        </row>
        <row r="457">
          <cell r="A457" t="str">
            <v>in storage</v>
          </cell>
          <cell r="K457" t="str">
            <v>HGG</v>
          </cell>
          <cell r="AB457" t="str">
            <v>Spleen</v>
          </cell>
        </row>
        <row r="458">
          <cell r="A458" t="str">
            <v>in storage</v>
          </cell>
          <cell r="K458" t="str">
            <v>HGG</v>
          </cell>
          <cell r="AB458" t="str">
            <v>Liver</v>
          </cell>
        </row>
        <row r="459">
          <cell r="A459" t="str">
            <v>in storage</v>
          </cell>
          <cell r="K459" t="str">
            <v>HGG</v>
          </cell>
          <cell r="AB459" t="str">
            <v>Liver</v>
          </cell>
        </row>
        <row r="460">
          <cell r="A460" t="str">
            <v>in storage</v>
          </cell>
          <cell r="K460" t="str">
            <v>CMED</v>
          </cell>
          <cell r="AB460" t="str">
            <v>Spleen</v>
          </cell>
        </row>
        <row r="461">
          <cell r="A461" t="str">
            <v>in storage</v>
          </cell>
          <cell r="K461" t="str">
            <v>CMED</v>
          </cell>
          <cell r="AB461" t="str">
            <v>Lung</v>
          </cell>
        </row>
        <row r="462">
          <cell r="A462" t="str">
            <v>in storage</v>
          </cell>
          <cell r="K462" t="str">
            <v>HGG</v>
          </cell>
          <cell r="AB462" t="str">
            <v>Kidney</v>
          </cell>
        </row>
        <row r="463">
          <cell r="A463" t="str">
            <v>in storage</v>
          </cell>
          <cell r="K463" t="str">
            <v>HGG</v>
          </cell>
          <cell r="AB463" t="str">
            <v>Spleen</v>
          </cell>
        </row>
        <row r="464">
          <cell r="A464" t="str">
            <v>in storage</v>
          </cell>
          <cell r="K464" t="str">
            <v>HGG</v>
          </cell>
          <cell r="AB464" t="str">
            <v>Lung</v>
          </cell>
        </row>
        <row r="465">
          <cell r="A465" t="str">
            <v>in storage</v>
          </cell>
          <cell r="K465" t="str">
            <v>HGG</v>
          </cell>
          <cell r="AB465" t="str">
            <v>Liver</v>
          </cell>
        </row>
        <row r="466">
          <cell r="A466" t="str">
            <v>in storage</v>
          </cell>
          <cell r="K466" t="str">
            <v>HGG</v>
          </cell>
          <cell r="AB466" t="str">
            <v>Liver</v>
          </cell>
        </row>
        <row r="467">
          <cell r="A467" t="str">
            <v>in storage</v>
          </cell>
          <cell r="K467" t="str">
            <v>LTAR</v>
          </cell>
          <cell r="AB467" t="str">
            <v>Kidney</v>
          </cell>
        </row>
        <row r="468">
          <cell r="A468" t="str">
            <v>in storage</v>
          </cell>
          <cell r="K468" t="str">
            <v>LTAR</v>
          </cell>
          <cell r="AB468" t="str">
            <v>Spleen</v>
          </cell>
        </row>
        <row r="469">
          <cell r="A469" t="str">
            <v>in storage</v>
          </cell>
          <cell r="K469" t="str">
            <v>LTAR</v>
          </cell>
          <cell r="AB469" t="str">
            <v>Lung</v>
          </cell>
        </row>
        <row r="470">
          <cell r="A470" t="str">
            <v>in storage</v>
          </cell>
          <cell r="K470" t="str">
            <v>LTAR</v>
          </cell>
          <cell r="AB470" t="str">
            <v>Liver</v>
          </cell>
        </row>
        <row r="471">
          <cell r="A471" t="str">
            <v>in storage</v>
          </cell>
          <cell r="K471" t="str">
            <v>EMAC</v>
          </cell>
          <cell r="AB471" t="str">
            <v>Kidney</v>
          </cell>
        </row>
        <row r="472">
          <cell r="A472" t="str">
            <v>in storage</v>
          </cell>
          <cell r="K472" t="str">
            <v>EMAC</v>
          </cell>
          <cell r="AB472" t="str">
            <v>Spleen</v>
          </cell>
        </row>
        <row r="473">
          <cell r="A473" t="str">
            <v>in storage</v>
          </cell>
          <cell r="K473" t="str">
            <v>EMAC</v>
          </cell>
          <cell r="AB473" t="str">
            <v>Lung</v>
          </cell>
        </row>
        <row r="474">
          <cell r="A474" t="str">
            <v>in storage</v>
          </cell>
          <cell r="K474" t="str">
            <v>EMAC</v>
          </cell>
          <cell r="AB474" t="str">
            <v>Liver</v>
          </cell>
        </row>
        <row r="475">
          <cell r="A475" t="str">
            <v>in storage</v>
          </cell>
          <cell r="K475" t="str">
            <v>EMAC</v>
          </cell>
          <cell r="AB475" t="str">
            <v>Liver</v>
          </cell>
        </row>
        <row r="476">
          <cell r="A476" t="str">
            <v>in storage</v>
          </cell>
          <cell r="K476" t="str">
            <v>VRUB</v>
          </cell>
          <cell r="AB476" t="str">
            <v>Kidney</v>
          </cell>
        </row>
        <row r="477">
          <cell r="A477" t="str">
            <v>in storage</v>
          </cell>
          <cell r="K477" t="str">
            <v>VRUB</v>
          </cell>
          <cell r="AB477" t="str">
            <v>Spleen</v>
          </cell>
        </row>
        <row r="478">
          <cell r="A478" t="str">
            <v>in storage</v>
          </cell>
          <cell r="K478" t="str">
            <v>VRUB</v>
          </cell>
          <cell r="AB478" t="str">
            <v>Lung</v>
          </cell>
        </row>
        <row r="479">
          <cell r="A479" t="str">
            <v>in storage</v>
          </cell>
          <cell r="K479" t="str">
            <v>VRUB</v>
          </cell>
          <cell r="AB479" t="str">
            <v>Liver</v>
          </cell>
        </row>
        <row r="480">
          <cell r="A480" t="str">
            <v>in storage</v>
          </cell>
          <cell r="K480" t="str">
            <v>VRUB</v>
          </cell>
          <cell r="AB480" t="str">
            <v>Liver</v>
          </cell>
        </row>
        <row r="481">
          <cell r="A481" t="str">
            <v>in storage</v>
          </cell>
          <cell r="K481" t="str">
            <v>NCOU</v>
          </cell>
          <cell r="AB481" t="str">
            <v>Kidney</v>
          </cell>
        </row>
        <row r="482">
          <cell r="A482" t="str">
            <v>in storage</v>
          </cell>
          <cell r="K482" t="str">
            <v>NCOU</v>
          </cell>
          <cell r="AB482" t="str">
            <v>Spleen</v>
          </cell>
        </row>
        <row r="483">
          <cell r="A483" t="str">
            <v>in storage</v>
          </cell>
          <cell r="K483" t="str">
            <v>NCOU</v>
          </cell>
          <cell r="AB483" t="str">
            <v>Lung</v>
          </cell>
        </row>
        <row r="484">
          <cell r="A484" t="str">
            <v>in storage</v>
          </cell>
          <cell r="K484" t="str">
            <v>NCOU</v>
          </cell>
          <cell r="AB484" t="str">
            <v>Liver</v>
          </cell>
        </row>
        <row r="485">
          <cell r="A485" t="str">
            <v>in storage</v>
          </cell>
          <cell r="K485" t="str">
            <v>NCOU</v>
          </cell>
          <cell r="AB485" t="str">
            <v>Kidney</v>
          </cell>
        </row>
        <row r="486">
          <cell r="A486" t="str">
            <v>in storage</v>
          </cell>
          <cell r="K486" t="str">
            <v>NCOU</v>
          </cell>
          <cell r="AB486" t="str">
            <v>Spleen</v>
          </cell>
        </row>
        <row r="487">
          <cell r="A487" t="str">
            <v>in storage</v>
          </cell>
          <cell r="K487" t="str">
            <v>NCOU</v>
          </cell>
          <cell r="AB487" t="str">
            <v>Liver</v>
          </cell>
        </row>
        <row r="488">
          <cell r="A488" t="str">
            <v>in storage</v>
          </cell>
          <cell r="K488" t="str">
            <v>MMUR</v>
          </cell>
          <cell r="AB488" t="str">
            <v>Spleen</v>
          </cell>
        </row>
        <row r="489">
          <cell r="A489" t="str">
            <v>in storage</v>
          </cell>
          <cell r="K489" t="str">
            <v>MMUR</v>
          </cell>
          <cell r="AB489" t="str">
            <v>Lung</v>
          </cell>
        </row>
        <row r="490">
          <cell r="A490" t="str">
            <v>in storage</v>
          </cell>
          <cell r="K490" t="str">
            <v>MMUR</v>
          </cell>
          <cell r="AB490" t="str">
            <v>Liver</v>
          </cell>
        </row>
        <row r="491">
          <cell r="A491" t="str">
            <v>in storage</v>
          </cell>
          <cell r="K491" t="str">
            <v>PTAT</v>
          </cell>
          <cell r="AB491" t="str">
            <v>Kidney</v>
          </cell>
        </row>
        <row r="492">
          <cell r="A492" t="str">
            <v>in storage</v>
          </cell>
          <cell r="K492" t="str">
            <v>PTAT</v>
          </cell>
          <cell r="AB492" t="str">
            <v>Spleen</v>
          </cell>
        </row>
        <row r="493">
          <cell r="A493" t="str">
            <v>in storage</v>
          </cell>
          <cell r="K493" t="str">
            <v>PTAT</v>
          </cell>
          <cell r="AB493" t="str">
            <v>Lung</v>
          </cell>
        </row>
        <row r="494">
          <cell r="A494" t="str">
            <v>in storage</v>
          </cell>
          <cell r="K494" t="str">
            <v>PTAT</v>
          </cell>
          <cell r="AB494" t="str">
            <v>Liver</v>
          </cell>
        </row>
        <row r="495">
          <cell r="A495" t="str">
            <v>in storage</v>
          </cell>
          <cell r="K495" t="str">
            <v>PTAT</v>
          </cell>
          <cell r="AB495" t="str">
            <v>Liver</v>
          </cell>
        </row>
        <row r="496">
          <cell r="A496" t="str">
            <v>in storage</v>
          </cell>
          <cell r="K496" t="str">
            <v>PCOQ</v>
          </cell>
          <cell r="AB496" t="str">
            <v>Kidney</v>
          </cell>
        </row>
        <row r="497">
          <cell r="A497" t="str">
            <v>in storage</v>
          </cell>
          <cell r="K497" t="str">
            <v>PCOQ</v>
          </cell>
          <cell r="AB497" t="str">
            <v>Spleen</v>
          </cell>
        </row>
        <row r="498">
          <cell r="A498" t="str">
            <v>in storage</v>
          </cell>
          <cell r="K498" t="str">
            <v>PCOQ</v>
          </cell>
          <cell r="AB498" t="str">
            <v>Heart</v>
          </cell>
        </row>
        <row r="499">
          <cell r="A499" t="str">
            <v>in storage</v>
          </cell>
          <cell r="K499" t="str">
            <v>PCOQ</v>
          </cell>
          <cell r="AB499" t="str">
            <v>Lung</v>
          </cell>
        </row>
        <row r="500">
          <cell r="A500" t="str">
            <v>in storage</v>
          </cell>
          <cell r="K500" t="str">
            <v>PCOQ</v>
          </cell>
          <cell r="AB500" t="str">
            <v>Liver</v>
          </cell>
        </row>
        <row r="501">
          <cell r="A501" t="str">
            <v>in storage</v>
          </cell>
          <cell r="K501" t="str">
            <v>PCOQ</v>
          </cell>
          <cell r="AB501" t="str">
            <v>Liver</v>
          </cell>
        </row>
        <row r="502">
          <cell r="A502" t="str">
            <v>in storage</v>
          </cell>
          <cell r="K502" t="str">
            <v>PCOQ</v>
          </cell>
          <cell r="AB502" t="str">
            <v>Tongue</v>
          </cell>
        </row>
        <row r="503">
          <cell r="A503" t="str">
            <v>in storage</v>
          </cell>
          <cell r="K503" t="str">
            <v>PPOT</v>
          </cell>
          <cell r="AB503" t="str">
            <v>Kidney</v>
          </cell>
        </row>
        <row r="504">
          <cell r="A504" t="str">
            <v>in storage</v>
          </cell>
          <cell r="K504" t="str">
            <v>PPOT</v>
          </cell>
          <cell r="AB504" t="str">
            <v>Spleen</v>
          </cell>
        </row>
        <row r="505">
          <cell r="A505" t="str">
            <v>in storage</v>
          </cell>
          <cell r="K505" t="str">
            <v>PPOT</v>
          </cell>
          <cell r="AB505" t="str">
            <v>Lung</v>
          </cell>
        </row>
        <row r="506">
          <cell r="A506" t="str">
            <v>in storage</v>
          </cell>
          <cell r="K506" t="str">
            <v>PPOT</v>
          </cell>
          <cell r="AB506" t="str">
            <v>Liver</v>
          </cell>
        </row>
        <row r="507">
          <cell r="A507" t="str">
            <v>in storage</v>
          </cell>
          <cell r="K507" t="str">
            <v>PPOT</v>
          </cell>
          <cell r="AB507" t="str">
            <v>Liver</v>
          </cell>
        </row>
        <row r="508">
          <cell r="A508" t="str">
            <v>in storage</v>
          </cell>
          <cell r="K508" t="str">
            <v>CMED</v>
          </cell>
          <cell r="AB508" t="str">
            <v>Kidney</v>
          </cell>
        </row>
        <row r="509">
          <cell r="A509" t="str">
            <v>in storage</v>
          </cell>
          <cell r="K509" t="str">
            <v>CMED</v>
          </cell>
          <cell r="AB509" t="str">
            <v>Lung</v>
          </cell>
        </row>
        <row r="510">
          <cell r="A510" t="str">
            <v>in storage</v>
          </cell>
          <cell r="K510" t="str">
            <v>CMED</v>
          </cell>
          <cell r="AB510" t="str">
            <v>Liver</v>
          </cell>
        </row>
        <row r="511">
          <cell r="A511" t="str">
            <v>in storage</v>
          </cell>
          <cell r="K511" t="str">
            <v>HGG</v>
          </cell>
          <cell r="AB511" t="str">
            <v>Spleen</v>
          </cell>
        </row>
        <row r="512">
          <cell r="A512" t="str">
            <v>in storage</v>
          </cell>
          <cell r="K512" t="str">
            <v>HGG</v>
          </cell>
          <cell r="AB512" t="str">
            <v>Lung</v>
          </cell>
        </row>
        <row r="513">
          <cell r="A513" t="str">
            <v>in storage</v>
          </cell>
          <cell r="K513" t="str">
            <v>HGG</v>
          </cell>
          <cell r="AB513" t="str">
            <v>Liver</v>
          </cell>
        </row>
        <row r="514">
          <cell r="A514" t="str">
            <v>in storage</v>
          </cell>
          <cell r="K514" t="str">
            <v>MMUR</v>
          </cell>
          <cell r="AB514" t="str">
            <v>Spleen</v>
          </cell>
        </row>
        <row r="515">
          <cell r="A515" t="str">
            <v>in storage</v>
          </cell>
          <cell r="K515" t="str">
            <v>MMUR</v>
          </cell>
          <cell r="AB515" t="str">
            <v>Lung</v>
          </cell>
        </row>
        <row r="516">
          <cell r="A516" t="str">
            <v>in storage</v>
          </cell>
          <cell r="K516" t="str">
            <v>MMUR</v>
          </cell>
          <cell r="AB516" t="str">
            <v>Kidney</v>
          </cell>
        </row>
        <row r="517">
          <cell r="A517" t="str">
            <v>in storage</v>
          </cell>
          <cell r="K517" t="str">
            <v>MMUR</v>
          </cell>
          <cell r="AB517" t="str">
            <v>Liver</v>
          </cell>
        </row>
        <row r="518">
          <cell r="A518" t="str">
            <v>in storage</v>
          </cell>
          <cell r="K518" t="str">
            <v>PCOQ</v>
          </cell>
          <cell r="AB518" t="str">
            <v>Kidney</v>
          </cell>
        </row>
        <row r="519">
          <cell r="A519" t="str">
            <v>in storage</v>
          </cell>
          <cell r="K519" t="str">
            <v>ERUB</v>
          </cell>
          <cell r="AB519" t="str">
            <v>Lung</v>
          </cell>
        </row>
        <row r="520">
          <cell r="A520" t="str">
            <v>unk</v>
          </cell>
          <cell r="K520" t="str">
            <v>ERUB</v>
          </cell>
          <cell r="AB520" t="str">
            <v>Liver</v>
          </cell>
        </row>
        <row r="521">
          <cell r="A521" t="str">
            <v>in storage</v>
          </cell>
          <cell r="K521" t="str">
            <v>MMUR</v>
          </cell>
          <cell r="AB521" t="str">
            <v>Liver</v>
          </cell>
        </row>
        <row r="522">
          <cell r="A522" t="str">
            <v>in storage</v>
          </cell>
          <cell r="K522" t="str">
            <v>MMUR</v>
          </cell>
          <cell r="AB522" t="str">
            <v>Spleen</v>
          </cell>
        </row>
        <row r="523">
          <cell r="A523" t="str">
            <v>in storage</v>
          </cell>
          <cell r="K523" t="str">
            <v>MMUR</v>
          </cell>
          <cell r="AB523" t="str">
            <v>Lung</v>
          </cell>
        </row>
        <row r="524">
          <cell r="A524" t="str">
            <v>in storage</v>
          </cell>
          <cell r="K524" t="str">
            <v>MMUR</v>
          </cell>
          <cell r="AB524" t="str">
            <v>Kidney</v>
          </cell>
        </row>
        <row r="525">
          <cell r="A525" t="str">
            <v>in storage</v>
          </cell>
          <cell r="K525" t="str">
            <v>MMUR</v>
          </cell>
          <cell r="AB525" t="str">
            <v>Spleen</v>
          </cell>
        </row>
        <row r="526">
          <cell r="A526" t="str">
            <v>in storage</v>
          </cell>
          <cell r="K526" t="str">
            <v>ECOR</v>
          </cell>
          <cell r="AB526" t="str">
            <v>Spleen</v>
          </cell>
        </row>
        <row r="527">
          <cell r="A527" t="str">
            <v>in storage</v>
          </cell>
          <cell r="K527" t="str">
            <v>ECOR</v>
          </cell>
          <cell r="AB527" t="str">
            <v>Lung</v>
          </cell>
        </row>
        <row r="528">
          <cell r="A528" t="str">
            <v>in storage</v>
          </cell>
          <cell r="K528" t="str">
            <v>ECOR</v>
          </cell>
          <cell r="AB528" t="str">
            <v>Liver</v>
          </cell>
        </row>
        <row r="529">
          <cell r="A529" t="str">
            <v>unk</v>
          </cell>
          <cell r="K529" t="str">
            <v>ECOR</v>
          </cell>
          <cell r="AB529" t="str">
            <v>Kidney</v>
          </cell>
        </row>
        <row r="530">
          <cell r="A530" t="str">
            <v>in storage</v>
          </cell>
          <cell r="K530" t="str">
            <v>VVV</v>
          </cell>
          <cell r="AB530" t="str">
            <v>Kidney</v>
          </cell>
        </row>
        <row r="531">
          <cell r="A531" t="str">
            <v>in storage</v>
          </cell>
          <cell r="K531" t="str">
            <v>VVV</v>
          </cell>
          <cell r="AB531" t="str">
            <v>Spleen</v>
          </cell>
        </row>
        <row r="532">
          <cell r="A532" t="str">
            <v>in storage</v>
          </cell>
          <cell r="K532" t="str">
            <v>VVV</v>
          </cell>
          <cell r="AB532" t="str">
            <v>Lung</v>
          </cell>
        </row>
        <row r="533">
          <cell r="A533" t="str">
            <v>in storage</v>
          </cell>
          <cell r="K533" t="str">
            <v>VVV</v>
          </cell>
          <cell r="AB533" t="str">
            <v>Liver</v>
          </cell>
        </row>
        <row r="534">
          <cell r="A534" t="str">
            <v>in storage</v>
          </cell>
          <cell r="K534" t="str">
            <v>PCOQ</v>
          </cell>
          <cell r="AB534" t="str">
            <v>Kidney</v>
          </cell>
        </row>
        <row r="535">
          <cell r="A535" t="str">
            <v>in storage</v>
          </cell>
          <cell r="K535" t="str">
            <v>PCOQ</v>
          </cell>
          <cell r="AB535" t="str">
            <v>Spleen</v>
          </cell>
        </row>
        <row r="536">
          <cell r="A536" t="str">
            <v>in storage</v>
          </cell>
          <cell r="K536" t="str">
            <v>PCOQ</v>
          </cell>
          <cell r="AB536" t="str">
            <v>Lung</v>
          </cell>
        </row>
        <row r="537">
          <cell r="A537" t="str">
            <v>in storage</v>
          </cell>
          <cell r="K537" t="str">
            <v>PCOQ</v>
          </cell>
          <cell r="AB537" t="str">
            <v>Liver</v>
          </cell>
        </row>
        <row r="538">
          <cell r="A538" t="str">
            <v>in storage</v>
          </cell>
          <cell r="K538" t="str">
            <v>PCOQ</v>
          </cell>
          <cell r="AB538" t="str">
            <v>Liver</v>
          </cell>
        </row>
        <row r="539">
          <cell r="A539" t="str">
            <v>in storage</v>
          </cell>
          <cell r="K539" t="str">
            <v>PCOQ</v>
          </cell>
          <cell r="AB539" t="str">
            <v>Kidney</v>
          </cell>
        </row>
        <row r="540">
          <cell r="A540" t="str">
            <v>in storage</v>
          </cell>
          <cell r="K540" t="str">
            <v>PCOQ</v>
          </cell>
          <cell r="AB540" t="str">
            <v>Spleen</v>
          </cell>
        </row>
        <row r="541">
          <cell r="A541" t="str">
            <v>in storage</v>
          </cell>
          <cell r="K541" t="str">
            <v>PCOQ</v>
          </cell>
          <cell r="AB541" t="str">
            <v>Liver</v>
          </cell>
        </row>
        <row r="542">
          <cell r="A542" t="str">
            <v>in storage</v>
          </cell>
          <cell r="K542" t="str">
            <v>PCOQ</v>
          </cell>
          <cell r="AB542" t="str">
            <v>Liver</v>
          </cell>
        </row>
        <row r="543">
          <cell r="A543" t="str">
            <v>in storage</v>
          </cell>
          <cell r="K543" t="str">
            <v>PCOQ</v>
          </cell>
          <cell r="AB543" t="str">
            <v>Kidney</v>
          </cell>
        </row>
        <row r="544">
          <cell r="A544" t="str">
            <v>in storage</v>
          </cell>
          <cell r="K544" t="str">
            <v>PCOQ</v>
          </cell>
          <cell r="AB544" t="str">
            <v>Spleen</v>
          </cell>
        </row>
        <row r="545">
          <cell r="A545" t="str">
            <v>in storage</v>
          </cell>
          <cell r="K545" t="str">
            <v>PCOQ</v>
          </cell>
          <cell r="AB545" t="str">
            <v>Lung</v>
          </cell>
        </row>
        <row r="546">
          <cell r="A546" t="str">
            <v>in storage</v>
          </cell>
          <cell r="K546" t="str">
            <v>PCOQ</v>
          </cell>
          <cell r="AB546" t="str">
            <v>Liver</v>
          </cell>
        </row>
        <row r="547">
          <cell r="A547" t="str">
            <v>in storage</v>
          </cell>
          <cell r="K547" t="str">
            <v>LTAR</v>
          </cell>
          <cell r="AB547" t="str">
            <v>Kidney</v>
          </cell>
        </row>
        <row r="548">
          <cell r="A548" t="str">
            <v>in storage</v>
          </cell>
          <cell r="K548" t="str">
            <v>LTAR</v>
          </cell>
          <cell r="AB548" t="str">
            <v>Spleen</v>
          </cell>
        </row>
        <row r="549">
          <cell r="A549" t="str">
            <v>in storage</v>
          </cell>
          <cell r="K549" t="str">
            <v>LTAR</v>
          </cell>
          <cell r="AB549" t="str">
            <v>Lung</v>
          </cell>
        </row>
        <row r="550">
          <cell r="A550" t="str">
            <v>in storage</v>
          </cell>
          <cell r="K550" t="str">
            <v>LTAR</v>
          </cell>
          <cell r="AB550" t="str">
            <v>Kidney</v>
          </cell>
        </row>
        <row r="551">
          <cell r="A551" t="str">
            <v>in storage</v>
          </cell>
          <cell r="K551" t="str">
            <v>LTAR</v>
          </cell>
          <cell r="AB551" t="str">
            <v>Spleen</v>
          </cell>
        </row>
        <row r="552">
          <cell r="A552" t="str">
            <v>in storage</v>
          </cell>
          <cell r="K552" t="str">
            <v>LTAR</v>
          </cell>
          <cell r="AB552" t="str">
            <v>Liver</v>
          </cell>
        </row>
        <row r="553">
          <cell r="A553" t="str">
            <v>in storage</v>
          </cell>
          <cell r="K553" t="str">
            <v>ECOR</v>
          </cell>
          <cell r="AB553" t="str">
            <v>Kidney</v>
          </cell>
        </row>
        <row r="554">
          <cell r="A554" t="str">
            <v>in storage</v>
          </cell>
          <cell r="K554" t="str">
            <v>ECOR</v>
          </cell>
          <cell r="AB554" t="str">
            <v>Spleen</v>
          </cell>
        </row>
        <row r="555">
          <cell r="A555" t="str">
            <v>in storage</v>
          </cell>
          <cell r="K555" t="str">
            <v>ECOR</v>
          </cell>
          <cell r="AB555" t="str">
            <v>Lung</v>
          </cell>
        </row>
        <row r="556">
          <cell r="A556" t="str">
            <v>in storage</v>
          </cell>
          <cell r="K556" t="str">
            <v>ECOR</v>
          </cell>
          <cell r="AB556" t="str">
            <v>Liver</v>
          </cell>
        </row>
        <row r="557">
          <cell r="A557" t="str">
            <v>in storage</v>
          </cell>
          <cell r="K557" t="str">
            <v>ECOR</v>
          </cell>
          <cell r="AB557" t="str">
            <v>Liver</v>
          </cell>
        </row>
        <row r="558">
          <cell r="A558" t="str">
            <v>in storage</v>
          </cell>
          <cell r="K558" t="str">
            <v>MZAZ</v>
          </cell>
          <cell r="AB558" t="str">
            <v>Kidney</v>
          </cell>
        </row>
        <row r="559">
          <cell r="A559" t="str">
            <v>in storage</v>
          </cell>
          <cell r="K559" t="str">
            <v>MZAZ</v>
          </cell>
          <cell r="AB559" t="str">
            <v>Spleen</v>
          </cell>
        </row>
        <row r="560">
          <cell r="A560" t="str">
            <v>in storage</v>
          </cell>
          <cell r="K560" t="str">
            <v>MZAZ</v>
          </cell>
          <cell r="AB560" t="str">
            <v>Lung</v>
          </cell>
        </row>
        <row r="561">
          <cell r="A561" t="str">
            <v>in storage</v>
          </cell>
          <cell r="K561" t="str">
            <v>MZAZ</v>
          </cell>
          <cell r="AB561" t="str">
            <v>Liver</v>
          </cell>
        </row>
        <row r="562">
          <cell r="A562" t="str">
            <v>in storage</v>
          </cell>
          <cell r="K562" t="str">
            <v>ECOL</v>
          </cell>
          <cell r="AB562" t="str">
            <v>Kidney</v>
          </cell>
        </row>
        <row r="563">
          <cell r="A563" t="str">
            <v>in storage</v>
          </cell>
          <cell r="K563" t="str">
            <v>ECOL</v>
          </cell>
          <cell r="AB563" t="str">
            <v>Spleen</v>
          </cell>
        </row>
        <row r="564">
          <cell r="A564" t="str">
            <v>in storage</v>
          </cell>
          <cell r="K564" t="str">
            <v>ECOL</v>
          </cell>
          <cell r="AB564" t="str">
            <v>Lung</v>
          </cell>
        </row>
        <row r="565">
          <cell r="A565" t="str">
            <v>in storage</v>
          </cell>
          <cell r="K565" t="str">
            <v>ECOL</v>
          </cell>
          <cell r="AB565" t="str">
            <v>Liver</v>
          </cell>
        </row>
        <row r="566">
          <cell r="A566" t="str">
            <v>in storage</v>
          </cell>
          <cell r="K566" t="str">
            <v>DMAD</v>
          </cell>
          <cell r="AB566" t="str">
            <v>Kidney</v>
          </cell>
        </row>
        <row r="567">
          <cell r="A567" t="str">
            <v>in storage</v>
          </cell>
          <cell r="K567" t="str">
            <v>DMAD</v>
          </cell>
          <cell r="AB567" t="str">
            <v>Spleen</v>
          </cell>
        </row>
        <row r="568">
          <cell r="A568" t="str">
            <v>in storage</v>
          </cell>
          <cell r="K568" t="str">
            <v>DMAD</v>
          </cell>
          <cell r="AB568" t="str">
            <v>Lung</v>
          </cell>
        </row>
        <row r="569">
          <cell r="A569" t="str">
            <v>in storage</v>
          </cell>
          <cell r="K569" t="str">
            <v>DMAD</v>
          </cell>
          <cell r="AB569" t="str">
            <v>Liver</v>
          </cell>
        </row>
        <row r="570">
          <cell r="A570" t="str">
            <v>in storage</v>
          </cell>
          <cell r="K570" t="str">
            <v>MMUR</v>
          </cell>
          <cell r="AB570" t="str">
            <v>Lung</v>
          </cell>
        </row>
        <row r="571">
          <cell r="A571" t="str">
            <v>in storage</v>
          </cell>
          <cell r="K571" t="str">
            <v>MMUR</v>
          </cell>
          <cell r="AB571" t="str">
            <v>Kidney</v>
          </cell>
        </row>
        <row r="572">
          <cell r="A572" t="str">
            <v>in storage</v>
          </cell>
          <cell r="K572" t="str">
            <v>CMED</v>
          </cell>
          <cell r="AB572" t="str">
            <v>Kidney</v>
          </cell>
        </row>
        <row r="573">
          <cell r="A573" t="str">
            <v>in storage</v>
          </cell>
          <cell r="K573" t="str">
            <v>CMED</v>
          </cell>
          <cell r="AB573" t="str">
            <v>Liver</v>
          </cell>
        </row>
        <row r="574">
          <cell r="A574" t="str">
            <v>in storage</v>
          </cell>
          <cell r="K574" t="str">
            <v>DMAD</v>
          </cell>
          <cell r="AB574" t="str">
            <v>Kidney</v>
          </cell>
        </row>
        <row r="575">
          <cell r="A575" t="str">
            <v>in storage</v>
          </cell>
          <cell r="K575" t="str">
            <v>DMAD</v>
          </cell>
          <cell r="AB575" t="str">
            <v>Spleen</v>
          </cell>
        </row>
        <row r="576">
          <cell r="A576" t="str">
            <v>in storage</v>
          </cell>
          <cell r="K576" t="str">
            <v>DMAD</v>
          </cell>
          <cell r="AB576" t="str">
            <v>Lung</v>
          </cell>
        </row>
        <row r="577">
          <cell r="A577" t="str">
            <v>in storage</v>
          </cell>
          <cell r="K577" t="str">
            <v>DMAD</v>
          </cell>
          <cell r="AB577" t="str">
            <v>Liver</v>
          </cell>
        </row>
        <row r="578">
          <cell r="A578" t="str">
            <v>in storage</v>
          </cell>
          <cell r="K578" t="str">
            <v>PCOQ</v>
          </cell>
          <cell r="AB578" t="str">
            <v>Kidney</v>
          </cell>
        </row>
        <row r="579">
          <cell r="A579" t="str">
            <v>in storage</v>
          </cell>
          <cell r="K579" t="str">
            <v>PCOQ</v>
          </cell>
          <cell r="AB579" t="str">
            <v>Spleen</v>
          </cell>
        </row>
        <row r="580">
          <cell r="A580" t="str">
            <v>in storage</v>
          </cell>
          <cell r="K580" t="str">
            <v>PCOQ</v>
          </cell>
          <cell r="AB580" t="str">
            <v>Lung</v>
          </cell>
        </row>
        <row r="581">
          <cell r="A581" t="str">
            <v>in storage</v>
          </cell>
          <cell r="K581" t="str">
            <v>PCOQ</v>
          </cell>
          <cell r="AB581" t="str">
            <v>Liver</v>
          </cell>
        </row>
        <row r="582">
          <cell r="A582" t="str">
            <v>in storage</v>
          </cell>
          <cell r="K582" t="str">
            <v>PCOQ</v>
          </cell>
          <cell r="AB582" t="str">
            <v>Kidney</v>
          </cell>
        </row>
        <row r="583">
          <cell r="A583" t="str">
            <v>in storage</v>
          </cell>
          <cell r="K583" t="str">
            <v>PCOQ</v>
          </cell>
          <cell r="AB583" t="str">
            <v>Spleen</v>
          </cell>
        </row>
        <row r="584">
          <cell r="A584" t="str">
            <v>in storage</v>
          </cell>
          <cell r="K584" t="str">
            <v>PCOQ</v>
          </cell>
          <cell r="AB584" t="str">
            <v>Lung</v>
          </cell>
        </row>
        <row r="585">
          <cell r="A585" t="str">
            <v>in storage</v>
          </cell>
          <cell r="K585" t="str">
            <v>MMUR</v>
          </cell>
          <cell r="AB585" t="str">
            <v>Spleen</v>
          </cell>
        </row>
        <row r="586">
          <cell r="A586" t="str">
            <v>in storage</v>
          </cell>
          <cell r="K586" t="str">
            <v>MMUR</v>
          </cell>
          <cell r="AB586" t="str">
            <v>Lung</v>
          </cell>
        </row>
        <row r="587">
          <cell r="A587" t="str">
            <v>in storage</v>
          </cell>
          <cell r="K587" t="str">
            <v>LTAR</v>
          </cell>
          <cell r="AB587" t="str">
            <v>Kidney</v>
          </cell>
        </row>
        <row r="588">
          <cell r="A588" t="str">
            <v>in storage</v>
          </cell>
          <cell r="K588" t="str">
            <v>LTAR</v>
          </cell>
          <cell r="AB588" t="str">
            <v>Spleen</v>
          </cell>
        </row>
        <row r="589">
          <cell r="A589" t="str">
            <v>in storage</v>
          </cell>
          <cell r="K589" t="str">
            <v>LTAR</v>
          </cell>
          <cell r="AB589" t="str">
            <v>Lung</v>
          </cell>
        </row>
        <row r="590">
          <cell r="A590" t="str">
            <v>gone</v>
          </cell>
          <cell r="K590" t="str">
            <v>LTAR</v>
          </cell>
          <cell r="AB590" t="str">
            <v>Liver</v>
          </cell>
        </row>
        <row r="591">
          <cell r="A591" t="str">
            <v>in storage</v>
          </cell>
          <cell r="K591" t="str">
            <v>ECOR</v>
          </cell>
          <cell r="AB591" t="str">
            <v>Kidney</v>
          </cell>
        </row>
        <row r="592">
          <cell r="A592" t="str">
            <v>in storage</v>
          </cell>
          <cell r="K592" t="str">
            <v>ECOR</v>
          </cell>
          <cell r="AB592" t="str">
            <v>Spleen</v>
          </cell>
        </row>
        <row r="593">
          <cell r="A593" t="str">
            <v>in storage</v>
          </cell>
          <cell r="K593" t="str">
            <v>ECOR</v>
          </cell>
          <cell r="AB593" t="str">
            <v>Lung</v>
          </cell>
        </row>
        <row r="594">
          <cell r="A594" t="str">
            <v>in storage</v>
          </cell>
          <cell r="K594" t="str">
            <v>ECOR</v>
          </cell>
          <cell r="AB594" t="str">
            <v>Liver</v>
          </cell>
        </row>
        <row r="595">
          <cell r="A595" t="str">
            <v>in storage</v>
          </cell>
          <cell r="K595" t="str">
            <v>ECOR</v>
          </cell>
          <cell r="AB595" t="str">
            <v>Kidney</v>
          </cell>
        </row>
        <row r="596">
          <cell r="A596" t="str">
            <v>in storage</v>
          </cell>
          <cell r="K596" t="str">
            <v>ECOR</v>
          </cell>
          <cell r="AB596" t="str">
            <v>Spleen</v>
          </cell>
        </row>
        <row r="597">
          <cell r="A597" t="str">
            <v>in storage</v>
          </cell>
          <cell r="K597" t="str">
            <v>ECOR</v>
          </cell>
          <cell r="AB597" t="str">
            <v>Lung</v>
          </cell>
        </row>
        <row r="598">
          <cell r="A598" t="str">
            <v>in storage</v>
          </cell>
          <cell r="K598" t="str">
            <v>ECOR</v>
          </cell>
          <cell r="AB598" t="str">
            <v>Liver</v>
          </cell>
        </row>
        <row r="599">
          <cell r="A599" t="str">
            <v>in storage</v>
          </cell>
          <cell r="K599" t="str">
            <v>LTAR</v>
          </cell>
          <cell r="AB599" t="str">
            <v>Kidney</v>
          </cell>
        </row>
        <row r="600">
          <cell r="A600" t="str">
            <v>in storage</v>
          </cell>
          <cell r="K600" t="str">
            <v>LTAR</v>
          </cell>
          <cell r="AB600" t="str">
            <v>Lung</v>
          </cell>
        </row>
        <row r="601">
          <cell r="A601" t="str">
            <v>unk</v>
          </cell>
          <cell r="K601" t="str">
            <v>LTAR</v>
          </cell>
          <cell r="AB601" t="str">
            <v>Liver</v>
          </cell>
        </row>
        <row r="602">
          <cell r="A602" t="str">
            <v>in storage</v>
          </cell>
          <cell r="K602" t="str">
            <v>PPOT</v>
          </cell>
          <cell r="AB602" t="str">
            <v>Spleen</v>
          </cell>
        </row>
        <row r="603">
          <cell r="A603" t="str">
            <v>in storage</v>
          </cell>
          <cell r="K603" t="str">
            <v>PPOT</v>
          </cell>
          <cell r="AB603" t="str">
            <v>Heart</v>
          </cell>
        </row>
        <row r="604">
          <cell r="A604" t="str">
            <v>unk</v>
          </cell>
          <cell r="K604" t="str">
            <v>PPOT</v>
          </cell>
          <cell r="AB604" t="str">
            <v>Kidney</v>
          </cell>
        </row>
        <row r="605">
          <cell r="A605" t="str">
            <v>unk</v>
          </cell>
          <cell r="K605" t="str">
            <v>PPOT</v>
          </cell>
          <cell r="AB605" t="str">
            <v>Lung</v>
          </cell>
        </row>
        <row r="606">
          <cell r="A606" t="str">
            <v>in storage</v>
          </cell>
          <cell r="K606" t="str">
            <v>EFLA</v>
          </cell>
          <cell r="AB606" t="str">
            <v>Kidney</v>
          </cell>
        </row>
        <row r="607">
          <cell r="A607" t="str">
            <v>in storage</v>
          </cell>
          <cell r="K607" t="str">
            <v>EFLA</v>
          </cell>
          <cell r="AB607" t="str">
            <v>Spleen</v>
          </cell>
        </row>
        <row r="608">
          <cell r="A608" t="str">
            <v>in storage</v>
          </cell>
          <cell r="K608" t="str">
            <v>EFLA</v>
          </cell>
          <cell r="AB608" t="str">
            <v>Lung</v>
          </cell>
        </row>
        <row r="609">
          <cell r="A609" t="str">
            <v>in storage</v>
          </cell>
          <cell r="K609" t="str">
            <v>EFLA</v>
          </cell>
          <cell r="AB609" t="str">
            <v>Liver</v>
          </cell>
        </row>
        <row r="610">
          <cell r="A610" t="str">
            <v>in storage</v>
          </cell>
          <cell r="K610" t="str">
            <v>LCAT</v>
          </cell>
          <cell r="AB610" t="str">
            <v>Lung</v>
          </cell>
        </row>
        <row r="611">
          <cell r="A611" t="str">
            <v>in storage</v>
          </cell>
          <cell r="K611" t="str">
            <v>LCAT</v>
          </cell>
          <cell r="AB611" t="str">
            <v>Liver</v>
          </cell>
        </row>
        <row r="612">
          <cell r="A612" t="str">
            <v>in storage</v>
          </cell>
          <cell r="K612" t="str">
            <v>LCAT</v>
          </cell>
          <cell r="AB612" t="str">
            <v>Kidney</v>
          </cell>
        </row>
        <row r="613">
          <cell r="A613" t="str">
            <v>in storage</v>
          </cell>
          <cell r="K613" t="str">
            <v>PCOQ</v>
          </cell>
          <cell r="AB613" t="str">
            <v>Kidney</v>
          </cell>
        </row>
        <row r="614">
          <cell r="A614" t="str">
            <v>in storage</v>
          </cell>
          <cell r="K614" t="str">
            <v>PCOQ</v>
          </cell>
          <cell r="AB614" t="str">
            <v>Spleen</v>
          </cell>
        </row>
        <row r="615">
          <cell r="A615" t="str">
            <v>in storage</v>
          </cell>
          <cell r="K615" t="str">
            <v>PCOQ</v>
          </cell>
          <cell r="AB615" t="str">
            <v>Lung</v>
          </cell>
        </row>
        <row r="616">
          <cell r="A616" t="str">
            <v>in storage</v>
          </cell>
          <cell r="K616" t="str">
            <v>PCOQ</v>
          </cell>
          <cell r="AB616" t="str">
            <v>Liver</v>
          </cell>
        </row>
        <row r="617">
          <cell r="A617" t="str">
            <v>in storage</v>
          </cell>
          <cell r="K617" t="str">
            <v>PPOT</v>
          </cell>
          <cell r="AB617" t="str">
            <v>Spleen</v>
          </cell>
        </row>
        <row r="618">
          <cell r="A618" t="str">
            <v>in storage</v>
          </cell>
          <cell r="K618" t="str">
            <v>PPOT</v>
          </cell>
          <cell r="AB618" t="str">
            <v>Liver</v>
          </cell>
        </row>
        <row r="619">
          <cell r="A619" t="str">
            <v>unk</v>
          </cell>
          <cell r="K619" t="str">
            <v>PPOT</v>
          </cell>
          <cell r="AB619" t="str">
            <v>Kidney</v>
          </cell>
        </row>
        <row r="620">
          <cell r="A620" t="str">
            <v>in storage</v>
          </cell>
          <cell r="K620" t="str">
            <v>MMUR</v>
          </cell>
          <cell r="AB620" t="str">
            <v>Lung</v>
          </cell>
        </row>
        <row r="621">
          <cell r="A621" t="str">
            <v>gone</v>
          </cell>
          <cell r="K621" t="str">
            <v>MMUR</v>
          </cell>
          <cell r="AB621" t="str">
            <v>Spleen</v>
          </cell>
        </row>
        <row r="622">
          <cell r="A622" t="str">
            <v>in storage</v>
          </cell>
          <cell r="K622" t="str">
            <v>EFLA</v>
          </cell>
          <cell r="AB622" t="str">
            <v>Kidney</v>
          </cell>
        </row>
        <row r="623">
          <cell r="A623" t="str">
            <v>in storage</v>
          </cell>
          <cell r="K623" t="str">
            <v>EFLA</v>
          </cell>
          <cell r="AB623" t="str">
            <v>Spleen</v>
          </cell>
        </row>
        <row r="624">
          <cell r="A624" t="str">
            <v>in storage</v>
          </cell>
          <cell r="K624" t="str">
            <v>EFLA</v>
          </cell>
          <cell r="AB624" t="str">
            <v>Heart</v>
          </cell>
        </row>
        <row r="625">
          <cell r="A625" t="str">
            <v>in storage</v>
          </cell>
          <cell r="K625" t="str">
            <v>EFLA</v>
          </cell>
          <cell r="AB625" t="str">
            <v>Lung</v>
          </cell>
        </row>
        <row r="626">
          <cell r="A626" t="str">
            <v>in storage</v>
          </cell>
          <cell r="K626" t="str">
            <v>EFLA</v>
          </cell>
          <cell r="AB626" t="str">
            <v>Liver</v>
          </cell>
        </row>
        <row r="627">
          <cell r="A627" t="str">
            <v>in storage</v>
          </cell>
          <cell r="K627" t="str">
            <v>LTAR</v>
          </cell>
          <cell r="AB627" t="str">
            <v>Kidney</v>
          </cell>
        </row>
        <row r="628">
          <cell r="A628" t="str">
            <v>in storage</v>
          </cell>
          <cell r="K628" t="str">
            <v>LTAR</v>
          </cell>
          <cell r="AB628" t="str">
            <v>Spleen</v>
          </cell>
        </row>
        <row r="629">
          <cell r="A629" t="str">
            <v>in storage</v>
          </cell>
          <cell r="K629" t="str">
            <v>LTAR</v>
          </cell>
          <cell r="AB629" t="str">
            <v>Lung</v>
          </cell>
        </row>
        <row r="630">
          <cell r="A630" t="str">
            <v>in storage</v>
          </cell>
          <cell r="K630" t="str">
            <v>LTAR</v>
          </cell>
          <cell r="AB630" t="str">
            <v>Liver</v>
          </cell>
        </row>
        <row r="631">
          <cell r="A631" t="str">
            <v>in storage</v>
          </cell>
          <cell r="K631" t="str">
            <v>MMUR</v>
          </cell>
          <cell r="AB631" t="str">
            <v>Spleen</v>
          </cell>
        </row>
        <row r="632">
          <cell r="A632" t="str">
            <v>in storage</v>
          </cell>
          <cell r="K632" t="str">
            <v>MMUR</v>
          </cell>
          <cell r="AB632" t="str">
            <v>Lung</v>
          </cell>
        </row>
        <row r="633">
          <cell r="A633" t="str">
            <v>in storage</v>
          </cell>
          <cell r="K633" t="str">
            <v>MMUR</v>
          </cell>
          <cell r="AB633" t="str">
            <v>Kidney</v>
          </cell>
        </row>
        <row r="634">
          <cell r="A634" t="str">
            <v>in storage</v>
          </cell>
          <cell r="K634" t="str">
            <v>MMUR</v>
          </cell>
          <cell r="AB634" t="str">
            <v>Liver</v>
          </cell>
        </row>
        <row r="635">
          <cell r="A635" t="str">
            <v>in storage</v>
          </cell>
          <cell r="K635" t="str">
            <v>MZAZ</v>
          </cell>
          <cell r="AB635" t="str">
            <v>Kidney</v>
          </cell>
        </row>
        <row r="636">
          <cell r="A636" t="str">
            <v>in storage</v>
          </cell>
          <cell r="K636" t="str">
            <v>MZAZ</v>
          </cell>
          <cell r="AB636" t="str">
            <v>Spleen</v>
          </cell>
        </row>
        <row r="637">
          <cell r="A637" t="str">
            <v>in storage</v>
          </cell>
          <cell r="K637" t="str">
            <v>MZAZ</v>
          </cell>
          <cell r="AB637" t="str">
            <v>Lung</v>
          </cell>
        </row>
        <row r="638">
          <cell r="A638" t="str">
            <v>in storage</v>
          </cell>
          <cell r="K638" t="str">
            <v>MZAZ</v>
          </cell>
          <cell r="AB638" t="str">
            <v>Liver</v>
          </cell>
        </row>
        <row r="639">
          <cell r="A639" t="str">
            <v>in storage</v>
          </cell>
          <cell r="K639" t="str">
            <v>NPYG</v>
          </cell>
          <cell r="AB639" t="str">
            <v>Kidney</v>
          </cell>
        </row>
        <row r="640">
          <cell r="A640" t="str">
            <v>in storage</v>
          </cell>
          <cell r="K640" t="str">
            <v>NPYG</v>
          </cell>
          <cell r="AB640" t="str">
            <v>Spleen</v>
          </cell>
        </row>
        <row r="641">
          <cell r="A641" t="str">
            <v>in storage</v>
          </cell>
          <cell r="K641" t="str">
            <v>NPYG</v>
          </cell>
          <cell r="AB641" t="str">
            <v>Liver</v>
          </cell>
        </row>
        <row r="642">
          <cell r="A642" t="str">
            <v>unk</v>
          </cell>
          <cell r="K642" t="str">
            <v>HGG</v>
          </cell>
          <cell r="AB642" t="str">
            <v>Liver</v>
          </cell>
        </row>
        <row r="643">
          <cell r="A643" t="str">
            <v>unk</v>
          </cell>
          <cell r="K643" t="str">
            <v>HGG</v>
          </cell>
          <cell r="AB643" t="str">
            <v>Kidney</v>
          </cell>
        </row>
        <row r="644">
          <cell r="A644" t="str">
            <v>unk</v>
          </cell>
          <cell r="K644" t="str">
            <v>HGG</v>
          </cell>
          <cell r="AB644" t="str">
            <v>Lung</v>
          </cell>
        </row>
        <row r="645">
          <cell r="A645" t="str">
            <v>unk</v>
          </cell>
          <cell r="K645" t="str">
            <v>HGG</v>
          </cell>
          <cell r="AB645" t="str">
            <v>Spleen</v>
          </cell>
        </row>
        <row r="646">
          <cell r="A646" t="str">
            <v>unk</v>
          </cell>
          <cell r="K646" t="str">
            <v>CMED</v>
          </cell>
          <cell r="AB646" t="str">
            <v>Kidney</v>
          </cell>
        </row>
        <row r="647">
          <cell r="A647" t="str">
            <v>in storage</v>
          </cell>
          <cell r="K647" t="str">
            <v>CMED</v>
          </cell>
          <cell r="AB647" t="str">
            <v>Spleen</v>
          </cell>
        </row>
        <row r="648">
          <cell r="A648" t="str">
            <v>unk</v>
          </cell>
          <cell r="K648" t="str">
            <v>CMED</v>
          </cell>
          <cell r="AB648" t="str">
            <v>Mass- abdominal</v>
          </cell>
        </row>
        <row r="649">
          <cell r="A649" t="str">
            <v>in storage</v>
          </cell>
          <cell r="K649" t="str">
            <v>HGG</v>
          </cell>
          <cell r="AB649" t="str">
            <v>Kidney</v>
          </cell>
        </row>
        <row r="650">
          <cell r="A650" t="str">
            <v>in storage</v>
          </cell>
          <cell r="K650" t="str">
            <v>HGG</v>
          </cell>
          <cell r="AB650" t="str">
            <v>Spleen</v>
          </cell>
        </row>
        <row r="651">
          <cell r="A651" t="str">
            <v>in storage</v>
          </cell>
          <cell r="K651" t="str">
            <v>HGG</v>
          </cell>
          <cell r="AB651" t="str">
            <v>Lung</v>
          </cell>
        </row>
        <row r="652">
          <cell r="A652" t="str">
            <v>in storage</v>
          </cell>
          <cell r="K652" t="str">
            <v>HGG</v>
          </cell>
          <cell r="AB652" t="str">
            <v>Liver</v>
          </cell>
        </row>
        <row r="653">
          <cell r="A653" t="str">
            <v>in storage</v>
          </cell>
          <cell r="K653" t="str">
            <v>MMUR</v>
          </cell>
          <cell r="AB653" t="str">
            <v>Spleen</v>
          </cell>
        </row>
        <row r="654">
          <cell r="A654" t="str">
            <v>in storage</v>
          </cell>
          <cell r="K654" t="str">
            <v>MMUR</v>
          </cell>
          <cell r="AB654" t="str">
            <v>Lung</v>
          </cell>
        </row>
        <row r="655">
          <cell r="A655" t="str">
            <v>in storage</v>
          </cell>
          <cell r="K655" t="str">
            <v>MMUR</v>
          </cell>
          <cell r="AB655" t="str">
            <v>Kidney</v>
          </cell>
        </row>
        <row r="656">
          <cell r="A656" t="str">
            <v>in storage</v>
          </cell>
          <cell r="K656" t="str">
            <v>MMUR</v>
          </cell>
          <cell r="AB656" t="str">
            <v>Liver</v>
          </cell>
        </row>
        <row r="657">
          <cell r="A657" t="str">
            <v>in storage</v>
          </cell>
          <cell r="K657" t="str">
            <v>PCOQ</v>
          </cell>
          <cell r="AB657" t="str">
            <v>Kidney</v>
          </cell>
        </row>
        <row r="658">
          <cell r="A658" t="str">
            <v>in storage</v>
          </cell>
          <cell r="K658" t="str">
            <v>PCOQ</v>
          </cell>
          <cell r="AB658" t="str">
            <v>Spleen</v>
          </cell>
        </row>
        <row r="659">
          <cell r="A659" t="str">
            <v>in storage</v>
          </cell>
          <cell r="K659" t="str">
            <v>PCOQ</v>
          </cell>
          <cell r="AB659" t="str">
            <v>Lung</v>
          </cell>
        </row>
        <row r="660">
          <cell r="A660" t="str">
            <v>in storage</v>
          </cell>
          <cell r="K660" t="str">
            <v>PCOQ</v>
          </cell>
          <cell r="AB660" t="str">
            <v>Liver</v>
          </cell>
        </row>
        <row r="661">
          <cell r="A661" t="str">
            <v>in storage</v>
          </cell>
          <cell r="K661" t="str">
            <v>ECOL</v>
          </cell>
          <cell r="AB661" t="str">
            <v>Spleen</v>
          </cell>
        </row>
        <row r="662">
          <cell r="A662" t="str">
            <v>in storage</v>
          </cell>
          <cell r="K662" t="str">
            <v>ECOL</v>
          </cell>
          <cell r="AB662" t="str">
            <v>Kidney</v>
          </cell>
        </row>
        <row r="663">
          <cell r="A663" t="str">
            <v>in storage</v>
          </cell>
          <cell r="K663" t="str">
            <v>ECOL</v>
          </cell>
          <cell r="AB663" t="str">
            <v>Liver</v>
          </cell>
        </row>
        <row r="664">
          <cell r="A664" t="str">
            <v>in storage</v>
          </cell>
          <cell r="K664" t="str">
            <v>EMON</v>
          </cell>
          <cell r="AB664" t="str">
            <v>Kidney</v>
          </cell>
        </row>
        <row r="665">
          <cell r="A665" t="str">
            <v>in storage</v>
          </cell>
          <cell r="K665" t="str">
            <v>EMON</v>
          </cell>
          <cell r="AB665" t="str">
            <v>Spleen</v>
          </cell>
        </row>
        <row r="666">
          <cell r="A666" t="str">
            <v>in storage</v>
          </cell>
          <cell r="K666" t="str">
            <v>EMON</v>
          </cell>
          <cell r="AB666" t="str">
            <v>Lung</v>
          </cell>
        </row>
        <row r="667">
          <cell r="A667" t="str">
            <v>in storage</v>
          </cell>
          <cell r="K667" t="str">
            <v>EMON</v>
          </cell>
          <cell r="AB667" t="str">
            <v>Liver</v>
          </cell>
        </row>
        <row r="668">
          <cell r="A668" t="str">
            <v>in storage</v>
          </cell>
          <cell r="K668" t="str">
            <v>NCOU</v>
          </cell>
          <cell r="AB668" t="str">
            <v>Kidney</v>
          </cell>
        </row>
        <row r="669">
          <cell r="A669" t="str">
            <v>in storage</v>
          </cell>
          <cell r="K669" t="str">
            <v>NCOU</v>
          </cell>
          <cell r="AB669" t="str">
            <v>Spleen</v>
          </cell>
        </row>
        <row r="670">
          <cell r="A670" t="str">
            <v>in storage</v>
          </cell>
          <cell r="K670" t="str">
            <v>NCOU</v>
          </cell>
          <cell r="AB670" t="str">
            <v>Lung</v>
          </cell>
        </row>
        <row r="671">
          <cell r="A671" t="str">
            <v>in storage</v>
          </cell>
          <cell r="K671" t="str">
            <v>NCOU</v>
          </cell>
          <cell r="AB671" t="str">
            <v>Liver</v>
          </cell>
        </row>
        <row r="672">
          <cell r="A672" t="str">
            <v>in storage</v>
          </cell>
          <cell r="K672" t="str">
            <v>MMUR</v>
          </cell>
          <cell r="AB672" t="str">
            <v>Liver</v>
          </cell>
        </row>
        <row r="673">
          <cell r="A673" t="str">
            <v>in storage</v>
          </cell>
          <cell r="K673" t="str">
            <v>MMUR</v>
          </cell>
          <cell r="AB673" t="str">
            <v>Spleen</v>
          </cell>
        </row>
        <row r="674">
          <cell r="A674" t="str">
            <v>in storage</v>
          </cell>
          <cell r="K674" t="str">
            <v>MMUR</v>
          </cell>
          <cell r="AB674" t="str">
            <v>Lung</v>
          </cell>
        </row>
        <row r="675">
          <cell r="A675" t="str">
            <v>in storage</v>
          </cell>
          <cell r="K675" t="str">
            <v>HALA</v>
          </cell>
          <cell r="AB675" t="str">
            <v>Spleen</v>
          </cell>
        </row>
        <row r="676">
          <cell r="A676" t="str">
            <v>in storage</v>
          </cell>
          <cell r="K676" t="str">
            <v>HALA</v>
          </cell>
          <cell r="AB676" t="str">
            <v>Lung</v>
          </cell>
        </row>
        <row r="677">
          <cell r="A677" t="str">
            <v>in storage</v>
          </cell>
          <cell r="K677" t="str">
            <v>HALA</v>
          </cell>
          <cell r="AB677" t="str">
            <v>Liver</v>
          </cell>
        </row>
        <row r="678">
          <cell r="A678" t="str">
            <v>in storage</v>
          </cell>
          <cell r="K678" t="str">
            <v>EMAC</v>
          </cell>
          <cell r="AB678" t="str">
            <v>Spleen</v>
          </cell>
        </row>
        <row r="679">
          <cell r="A679" t="str">
            <v>in storage</v>
          </cell>
          <cell r="K679" t="str">
            <v>EMAC</v>
          </cell>
          <cell r="AB679" t="str">
            <v>Liver</v>
          </cell>
        </row>
        <row r="680">
          <cell r="A680" t="str">
            <v>in storage</v>
          </cell>
          <cell r="K680" t="str">
            <v>EMAC</v>
          </cell>
          <cell r="AB680" t="str">
            <v>Liver</v>
          </cell>
        </row>
        <row r="681">
          <cell r="A681" t="str">
            <v>in storage</v>
          </cell>
          <cell r="K681" t="e">
            <v>#N/A</v>
          </cell>
          <cell r="AB681" t="str">
            <v>Liver</v>
          </cell>
        </row>
        <row r="682">
          <cell r="A682" t="str">
            <v>in storage</v>
          </cell>
          <cell r="K682" t="str">
            <v>HGG</v>
          </cell>
          <cell r="AB682" t="str">
            <v>Spleen</v>
          </cell>
        </row>
        <row r="683">
          <cell r="A683" t="str">
            <v>in storage</v>
          </cell>
          <cell r="K683" t="str">
            <v>HGG</v>
          </cell>
          <cell r="AB683" t="str">
            <v>Lung</v>
          </cell>
        </row>
        <row r="684">
          <cell r="A684" t="str">
            <v>in storage</v>
          </cell>
          <cell r="K684" t="str">
            <v>HGG</v>
          </cell>
          <cell r="AB684" t="str">
            <v>Liver</v>
          </cell>
        </row>
        <row r="685">
          <cell r="A685" t="str">
            <v>in storage</v>
          </cell>
          <cell r="K685" t="str">
            <v>CMED</v>
          </cell>
          <cell r="AB685" t="str">
            <v>Kidney</v>
          </cell>
        </row>
        <row r="686">
          <cell r="A686" t="str">
            <v>in storage</v>
          </cell>
          <cell r="K686" t="str">
            <v>CMED</v>
          </cell>
          <cell r="AB686" t="str">
            <v>Spleen</v>
          </cell>
        </row>
        <row r="687">
          <cell r="A687" t="str">
            <v>in storage</v>
          </cell>
          <cell r="K687" t="str">
            <v>CMED</v>
          </cell>
          <cell r="AB687" t="str">
            <v>Lung</v>
          </cell>
        </row>
        <row r="688">
          <cell r="A688" t="str">
            <v>in storage</v>
          </cell>
          <cell r="K688" t="str">
            <v>CMED</v>
          </cell>
          <cell r="AB688" t="str">
            <v>Liver</v>
          </cell>
        </row>
        <row r="689">
          <cell r="A689" t="str">
            <v>in storage</v>
          </cell>
          <cell r="K689" t="str">
            <v>ECOR</v>
          </cell>
          <cell r="AB689" t="str">
            <v>Spleen</v>
          </cell>
        </row>
        <row r="690">
          <cell r="A690" t="str">
            <v>in storage</v>
          </cell>
          <cell r="K690" t="str">
            <v>ECOR</v>
          </cell>
          <cell r="AB690" t="str">
            <v>Lung</v>
          </cell>
        </row>
        <row r="691">
          <cell r="A691" t="str">
            <v>in storage</v>
          </cell>
          <cell r="K691" t="str">
            <v>ECOR</v>
          </cell>
          <cell r="AB691" t="str">
            <v>Liver</v>
          </cell>
        </row>
        <row r="692">
          <cell r="A692" t="str">
            <v>unk</v>
          </cell>
          <cell r="K692" t="str">
            <v>ECOR</v>
          </cell>
          <cell r="AB692" t="str">
            <v>Diaphragm/ Pancreas</v>
          </cell>
        </row>
        <row r="693">
          <cell r="A693" t="str">
            <v>in storage</v>
          </cell>
          <cell r="K693" t="str">
            <v>VRUB</v>
          </cell>
          <cell r="AB693" t="str">
            <v>Liver</v>
          </cell>
        </row>
        <row r="694">
          <cell r="A694" t="str">
            <v>in storage</v>
          </cell>
          <cell r="K694" t="str">
            <v>VRUB</v>
          </cell>
          <cell r="AB694" t="str">
            <v>Kidney</v>
          </cell>
        </row>
        <row r="695">
          <cell r="A695" t="str">
            <v>in storage</v>
          </cell>
          <cell r="K695" t="str">
            <v>VRUB</v>
          </cell>
          <cell r="AB695" t="str">
            <v>Spleen</v>
          </cell>
        </row>
        <row r="696">
          <cell r="A696" t="str">
            <v>in storage</v>
          </cell>
          <cell r="K696" t="str">
            <v>VRUB</v>
          </cell>
          <cell r="AB696" t="str">
            <v>Lung</v>
          </cell>
        </row>
        <row r="697">
          <cell r="A697" t="str">
            <v>in storage</v>
          </cell>
          <cell r="K697" t="str">
            <v>CMED</v>
          </cell>
          <cell r="AB697" t="str">
            <v>Spleen</v>
          </cell>
        </row>
        <row r="698">
          <cell r="A698" t="str">
            <v>in storage</v>
          </cell>
          <cell r="K698" t="str">
            <v>LCAT</v>
          </cell>
          <cell r="AB698" t="str">
            <v>Kidney</v>
          </cell>
        </row>
        <row r="699">
          <cell r="A699" t="str">
            <v>in storage</v>
          </cell>
          <cell r="K699" t="str">
            <v>LCAT</v>
          </cell>
          <cell r="AB699" t="str">
            <v>Lung</v>
          </cell>
        </row>
        <row r="700">
          <cell r="A700" t="str">
            <v>in storage</v>
          </cell>
          <cell r="K700" t="str">
            <v>LCAT</v>
          </cell>
          <cell r="AB700" t="str">
            <v>Liver</v>
          </cell>
        </row>
        <row r="701">
          <cell r="A701" t="str">
            <v>in storage</v>
          </cell>
          <cell r="K701" t="str">
            <v>LCAT</v>
          </cell>
          <cell r="AB701" t="str">
            <v>Liver</v>
          </cell>
        </row>
        <row r="702">
          <cell r="A702" t="str">
            <v>in storage</v>
          </cell>
          <cell r="K702" t="str">
            <v>EMAC</v>
          </cell>
          <cell r="AB702" t="str">
            <v>Kidney</v>
          </cell>
        </row>
        <row r="703">
          <cell r="A703" t="str">
            <v>in storage</v>
          </cell>
          <cell r="K703" t="str">
            <v>EMAC</v>
          </cell>
          <cell r="AB703" t="str">
            <v>Spleen</v>
          </cell>
        </row>
        <row r="704">
          <cell r="A704" t="str">
            <v>in storage</v>
          </cell>
          <cell r="K704" t="str">
            <v>EMAC</v>
          </cell>
          <cell r="AB704" t="str">
            <v>Lung</v>
          </cell>
        </row>
        <row r="705">
          <cell r="A705" t="str">
            <v>in storage</v>
          </cell>
          <cell r="K705" t="str">
            <v>EMAC</v>
          </cell>
          <cell r="AB705" t="str">
            <v>Liver</v>
          </cell>
        </row>
        <row r="706">
          <cell r="A706" t="str">
            <v>in storage</v>
          </cell>
          <cell r="K706" t="str">
            <v>EMAC</v>
          </cell>
          <cell r="AB706" t="str">
            <v>Liver</v>
          </cell>
        </row>
        <row r="707">
          <cell r="A707" t="str">
            <v>in storage</v>
          </cell>
          <cell r="K707" t="str">
            <v>CMED</v>
          </cell>
          <cell r="AB707" t="str">
            <v>GI- stomach</v>
          </cell>
        </row>
        <row r="708">
          <cell r="A708" t="str">
            <v>in storage</v>
          </cell>
          <cell r="K708" t="str">
            <v>MZAZ</v>
          </cell>
          <cell r="AB708" t="str">
            <v>Kidney</v>
          </cell>
        </row>
        <row r="709">
          <cell r="A709" t="str">
            <v>in storage</v>
          </cell>
          <cell r="K709" t="str">
            <v>MZAZ</v>
          </cell>
          <cell r="AB709" t="str">
            <v>Spleen</v>
          </cell>
        </row>
        <row r="710">
          <cell r="A710" t="str">
            <v>in storage</v>
          </cell>
          <cell r="K710" t="str">
            <v>MZAZ</v>
          </cell>
          <cell r="AB710" t="str">
            <v>Liver</v>
          </cell>
        </row>
        <row r="711">
          <cell r="A711" t="str">
            <v>in storage</v>
          </cell>
          <cell r="K711" t="str">
            <v>PTAT</v>
          </cell>
          <cell r="AB711" t="str">
            <v>Kidney</v>
          </cell>
        </row>
        <row r="712">
          <cell r="A712" t="str">
            <v>in storage</v>
          </cell>
          <cell r="K712" t="str">
            <v>PTAT</v>
          </cell>
          <cell r="AB712" t="str">
            <v>Spleen</v>
          </cell>
        </row>
        <row r="713">
          <cell r="A713" t="str">
            <v>in storage</v>
          </cell>
          <cell r="K713" t="str">
            <v>PTAT</v>
          </cell>
          <cell r="AB713" t="str">
            <v>Lung</v>
          </cell>
        </row>
        <row r="714">
          <cell r="A714" t="str">
            <v>in storage</v>
          </cell>
          <cell r="K714" t="str">
            <v>PTAT</v>
          </cell>
          <cell r="AB714" t="str">
            <v>Liver</v>
          </cell>
        </row>
        <row r="715">
          <cell r="A715" t="str">
            <v>in storage</v>
          </cell>
          <cell r="K715" t="str">
            <v>LCAT</v>
          </cell>
          <cell r="AB715" t="str">
            <v>Kidney</v>
          </cell>
        </row>
        <row r="716">
          <cell r="A716" t="str">
            <v>in storage</v>
          </cell>
          <cell r="K716" t="str">
            <v>LCAT</v>
          </cell>
          <cell r="AB716" t="str">
            <v>Liver</v>
          </cell>
        </row>
        <row r="717">
          <cell r="A717" t="str">
            <v>in storage</v>
          </cell>
          <cell r="K717" t="str">
            <v>HGG</v>
          </cell>
          <cell r="AB717" t="str">
            <v>Kidney</v>
          </cell>
        </row>
        <row r="718">
          <cell r="A718" t="str">
            <v>in storage</v>
          </cell>
          <cell r="K718" t="str">
            <v>HGG</v>
          </cell>
          <cell r="AB718" t="str">
            <v>Spleen</v>
          </cell>
        </row>
        <row r="719">
          <cell r="A719" t="str">
            <v>in storage</v>
          </cell>
          <cell r="K719" t="str">
            <v>HGG</v>
          </cell>
          <cell r="AB719" t="str">
            <v>Lung</v>
          </cell>
        </row>
        <row r="720">
          <cell r="A720" t="str">
            <v>in storage</v>
          </cell>
          <cell r="K720" t="str">
            <v>HGG</v>
          </cell>
          <cell r="AB720" t="str">
            <v>Liver</v>
          </cell>
        </row>
        <row r="721">
          <cell r="A721" t="str">
            <v>in storage</v>
          </cell>
          <cell r="K721" t="str">
            <v>LCAT</v>
          </cell>
          <cell r="AB721" t="str">
            <v>Adrenal gland</v>
          </cell>
        </row>
        <row r="722">
          <cell r="A722" t="str">
            <v>in storage</v>
          </cell>
          <cell r="K722" t="str">
            <v>LCAT</v>
          </cell>
          <cell r="AB722" t="str">
            <v>Kidney</v>
          </cell>
        </row>
        <row r="723">
          <cell r="A723" t="str">
            <v>in storage</v>
          </cell>
          <cell r="K723" t="str">
            <v>LCAT</v>
          </cell>
          <cell r="AB723" t="str">
            <v>Heart</v>
          </cell>
        </row>
        <row r="724">
          <cell r="A724" t="str">
            <v>in storage</v>
          </cell>
          <cell r="K724" t="str">
            <v>LCAT</v>
          </cell>
          <cell r="AB724" t="str">
            <v>Lung</v>
          </cell>
        </row>
        <row r="725">
          <cell r="A725" t="str">
            <v>in storage</v>
          </cell>
          <cell r="K725" t="str">
            <v>LCAT</v>
          </cell>
          <cell r="AB725" t="str">
            <v>Liver</v>
          </cell>
        </row>
        <row r="726">
          <cell r="A726" t="str">
            <v>in storage</v>
          </cell>
          <cell r="K726" t="str">
            <v>LCAT</v>
          </cell>
          <cell r="AB726" t="str">
            <v>Lymph node</v>
          </cell>
        </row>
        <row r="727">
          <cell r="A727" t="str">
            <v>in storage</v>
          </cell>
          <cell r="K727" t="str">
            <v>LCAT</v>
          </cell>
          <cell r="AB727" t="str">
            <v>Lymph node/ thyroid</v>
          </cell>
        </row>
        <row r="728">
          <cell r="A728" t="str">
            <v>in storage</v>
          </cell>
          <cell r="K728" t="str">
            <v>MMUR</v>
          </cell>
          <cell r="AB728" t="str">
            <v>Spleen</v>
          </cell>
        </row>
        <row r="729">
          <cell r="A729" t="str">
            <v>in storage</v>
          </cell>
          <cell r="K729" t="str">
            <v>MMUR</v>
          </cell>
          <cell r="AB729" t="str">
            <v>Lung</v>
          </cell>
        </row>
        <row r="730">
          <cell r="A730" t="str">
            <v>in storage</v>
          </cell>
          <cell r="K730" t="str">
            <v>MMUR</v>
          </cell>
          <cell r="AB730" t="str">
            <v>Kidney</v>
          </cell>
        </row>
        <row r="731">
          <cell r="A731" t="str">
            <v>in storage</v>
          </cell>
          <cell r="K731" t="str">
            <v>EMON</v>
          </cell>
          <cell r="AB731" t="str">
            <v>Kidney</v>
          </cell>
        </row>
        <row r="732">
          <cell r="A732" t="str">
            <v>in storage</v>
          </cell>
          <cell r="K732" t="str">
            <v>EMON</v>
          </cell>
          <cell r="AB732" t="str">
            <v>Liver</v>
          </cell>
        </row>
        <row r="733">
          <cell r="A733" t="str">
            <v>in storage</v>
          </cell>
          <cell r="K733" t="str">
            <v>EMON</v>
          </cell>
          <cell r="AB733" t="str">
            <v>Liver</v>
          </cell>
        </row>
        <row r="734">
          <cell r="A734" t="str">
            <v>in storage</v>
          </cell>
          <cell r="K734" t="str">
            <v>ECOL</v>
          </cell>
          <cell r="AB734" t="str">
            <v>Kidney</v>
          </cell>
        </row>
        <row r="735">
          <cell r="A735" t="str">
            <v>in storage</v>
          </cell>
          <cell r="K735" t="str">
            <v>ECOL</v>
          </cell>
          <cell r="AB735" t="str">
            <v>Liver</v>
          </cell>
        </row>
        <row r="736">
          <cell r="A736" t="str">
            <v>in storage</v>
          </cell>
          <cell r="K736" t="str">
            <v>CMED</v>
          </cell>
          <cell r="AB736" t="str">
            <v>Liver</v>
          </cell>
        </row>
        <row r="737">
          <cell r="A737" t="str">
            <v>unk</v>
          </cell>
          <cell r="K737" t="str">
            <v>VVV</v>
          </cell>
          <cell r="AB737" t="str">
            <v>Liver</v>
          </cell>
        </row>
        <row r="738">
          <cell r="A738" t="str">
            <v>in storage</v>
          </cell>
          <cell r="K738" t="str">
            <v>DMAD</v>
          </cell>
          <cell r="AB738" t="str">
            <v>Kidney</v>
          </cell>
        </row>
        <row r="739">
          <cell r="A739" t="str">
            <v>in storage</v>
          </cell>
          <cell r="K739" t="str">
            <v>DMAD</v>
          </cell>
          <cell r="AB739" t="str">
            <v>Spleen</v>
          </cell>
        </row>
        <row r="740">
          <cell r="A740" t="str">
            <v>in storage</v>
          </cell>
          <cell r="K740" t="str">
            <v>DMAD</v>
          </cell>
          <cell r="AB740" t="str">
            <v>Liver</v>
          </cell>
        </row>
        <row r="741">
          <cell r="A741" t="str">
            <v>in storage</v>
          </cell>
          <cell r="K741" t="str">
            <v>MZAZ</v>
          </cell>
          <cell r="AB741" t="str">
            <v>Kidney</v>
          </cell>
        </row>
        <row r="742">
          <cell r="A742" t="str">
            <v>in storage</v>
          </cell>
          <cell r="K742" t="str">
            <v>MZAZ</v>
          </cell>
          <cell r="AB742" t="str">
            <v>Liver</v>
          </cell>
        </row>
        <row r="743">
          <cell r="A743" t="str">
            <v>in storage</v>
          </cell>
          <cell r="K743" t="str">
            <v>PCOQ</v>
          </cell>
          <cell r="AB743" t="str">
            <v>R- placenta</v>
          </cell>
        </row>
        <row r="744">
          <cell r="A744" t="str">
            <v>in storage</v>
          </cell>
          <cell r="K744" t="str">
            <v>PCOQ</v>
          </cell>
          <cell r="AB744" t="str">
            <v>Liver</v>
          </cell>
        </row>
        <row r="745">
          <cell r="A745" t="str">
            <v>in storage</v>
          </cell>
          <cell r="K745" t="str">
            <v>OGG</v>
          </cell>
          <cell r="AB745" t="str">
            <v>Kidney</v>
          </cell>
        </row>
        <row r="746">
          <cell r="A746" t="str">
            <v>in storage</v>
          </cell>
          <cell r="K746" t="str">
            <v>OGG</v>
          </cell>
          <cell r="AB746" t="str">
            <v>Liver</v>
          </cell>
        </row>
        <row r="747">
          <cell r="A747" t="str">
            <v>in storage</v>
          </cell>
          <cell r="K747" t="str">
            <v>CMED</v>
          </cell>
          <cell r="AB747" t="str">
            <v>Kidney</v>
          </cell>
        </row>
        <row r="748">
          <cell r="A748" t="str">
            <v>in storage</v>
          </cell>
          <cell r="K748" t="str">
            <v>CMED</v>
          </cell>
          <cell r="AB748" t="str">
            <v>Spleen</v>
          </cell>
        </row>
        <row r="749">
          <cell r="A749" t="str">
            <v>in storage</v>
          </cell>
          <cell r="K749" t="str">
            <v>CMED</v>
          </cell>
          <cell r="AB749" t="str">
            <v>Liver</v>
          </cell>
        </row>
        <row r="750">
          <cell r="A750" t="str">
            <v>unk</v>
          </cell>
          <cell r="K750" t="str">
            <v>CMED</v>
          </cell>
          <cell r="AB750" t="str">
            <v>Mass- nasal</v>
          </cell>
        </row>
        <row r="751">
          <cell r="A751" t="str">
            <v>in storage</v>
          </cell>
          <cell r="K751" t="str">
            <v>GMOH</v>
          </cell>
          <cell r="AB751" t="str">
            <v>Kidney</v>
          </cell>
        </row>
        <row r="752">
          <cell r="A752" t="str">
            <v>in storage</v>
          </cell>
          <cell r="K752" t="str">
            <v>HGG</v>
          </cell>
          <cell r="AB752" t="str">
            <v>Kidney</v>
          </cell>
        </row>
        <row r="753">
          <cell r="A753" t="str">
            <v>in storage</v>
          </cell>
          <cell r="K753" t="str">
            <v>HGG</v>
          </cell>
          <cell r="AB753" t="str">
            <v>Spleen</v>
          </cell>
        </row>
        <row r="754">
          <cell r="A754" t="str">
            <v>in storage</v>
          </cell>
          <cell r="K754" t="str">
            <v>HGG</v>
          </cell>
          <cell r="AB754" t="str">
            <v>Lung</v>
          </cell>
        </row>
        <row r="755">
          <cell r="A755" t="str">
            <v>in storage</v>
          </cell>
          <cell r="K755" t="str">
            <v>HGG</v>
          </cell>
          <cell r="AB755" t="str">
            <v>Liver</v>
          </cell>
        </row>
        <row r="756">
          <cell r="A756" t="str">
            <v>in storage</v>
          </cell>
          <cell r="K756" t="str">
            <v>EUL</v>
          </cell>
          <cell r="AB756" t="str">
            <v>R- teste(s)</v>
          </cell>
        </row>
        <row r="757">
          <cell r="A757" t="str">
            <v>in storage</v>
          </cell>
          <cell r="K757" t="str">
            <v>CMED</v>
          </cell>
          <cell r="AB757" t="str">
            <v>GI- cecum/ colon</v>
          </cell>
        </row>
        <row r="758">
          <cell r="A758" t="str">
            <v>in storage</v>
          </cell>
          <cell r="K758" t="str">
            <v>CMED</v>
          </cell>
          <cell r="AB758" t="str">
            <v>GI- small intestine</v>
          </cell>
        </row>
        <row r="759">
          <cell r="A759" t="str">
            <v>in storage</v>
          </cell>
          <cell r="K759" t="str">
            <v>CMED</v>
          </cell>
          <cell r="AB759" t="str">
            <v>GI- stomach</v>
          </cell>
        </row>
        <row r="760">
          <cell r="A760" t="str">
            <v>in storage</v>
          </cell>
          <cell r="K760" t="str">
            <v>CMED</v>
          </cell>
          <cell r="AB760" t="str">
            <v>GI Tract</v>
          </cell>
        </row>
        <row r="761">
          <cell r="A761" t="str">
            <v>in storage</v>
          </cell>
          <cell r="K761" t="str">
            <v>PCOQ</v>
          </cell>
          <cell r="AB761" t="str">
            <v>Spleen</v>
          </cell>
        </row>
        <row r="762">
          <cell r="A762" t="str">
            <v>in storage</v>
          </cell>
          <cell r="K762" t="str">
            <v>PCOQ</v>
          </cell>
          <cell r="AB762" t="str">
            <v>Liver</v>
          </cell>
        </row>
        <row r="763">
          <cell r="A763" t="str">
            <v>in storage</v>
          </cell>
          <cell r="K763" t="str">
            <v>PCOQ</v>
          </cell>
          <cell r="AB763" t="str">
            <v>Liver</v>
          </cell>
        </row>
        <row r="764">
          <cell r="A764" t="str">
            <v>unk</v>
          </cell>
          <cell r="K764" t="str">
            <v>PCOQ</v>
          </cell>
          <cell r="AB764" t="str">
            <v>Kidney</v>
          </cell>
        </row>
        <row r="765">
          <cell r="A765" t="str">
            <v>unk</v>
          </cell>
          <cell r="K765" t="str">
            <v>PCOQ</v>
          </cell>
          <cell r="AB765" t="str">
            <v>Lung</v>
          </cell>
        </row>
        <row r="766">
          <cell r="A766" t="str">
            <v>in storage</v>
          </cell>
          <cell r="K766" t="str">
            <v>CMED</v>
          </cell>
          <cell r="AB766" t="str">
            <v>GI Contents- cecum</v>
          </cell>
        </row>
        <row r="767">
          <cell r="A767" t="str">
            <v>in storage</v>
          </cell>
          <cell r="K767" t="str">
            <v>CMED</v>
          </cell>
          <cell r="AB767" t="str">
            <v>GI- cecum</v>
          </cell>
        </row>
        <row r="768">
          <cell r="A768" t="str">
            <v>in storage</v>
          </cell>
          <cell r="K768" t="str">
            <v>CMED</v>
          </cell>
          <cell r="AB768" t="str">
            <v>GI- esophagus</v>
          </cell>
        </row>
        <row r="769">
          <cell r="A769" t="str">
            <v>in storage</v>
          </cell>
          <cell r="K769" t="str">
            <v>NPYG</v>
          </cell>
          <cell r="AB769" t="str">
            <v>Kidney</v>
          </cell>
        </row>
        <row r="770">
          <cell r="A770" t="str">
            <v>in storage</v>
          </cell>
          <cell r="K770" t="str">
            <v>NPYG</v>
          </cell>
          <cell r="AB770" t="str">
            <v>Liver</v>
          </cell>
        </row>
        <row r="771">
          <cell r="A771" t="str">
            <v>in storage</v>
          </cell>
          <cell r="K771" t="str">
            <v>NPYG</v>
          </cell>
          <cell r="AB771" t="str">
            <v>Liver</v>
          </cell>
        </row>
        <row r="772">
          <cell r="A772" t="str">
            <v>in storage</v>
          </cell>
          <cell r="K772" t="str">
            <v>CMED</v>
          </cell>
          <cell r="AB772" t="str">
            <v>GI- large intestine</v>
          </cell>
        </row>
        <row r="773">
          <cell r="A773" t="str">
            <v>in storage</v>
          </cell>
          <cell r="K773" t="str">
            <v>NPYG</v>
          </cell>
          <cell r="AB773" t="str">
            <v>Kidney</v>
          </cell>
        </row>
        <row r="774">
          <cell r="A774" t="str">
            <v>in storage</v>
          </cell>
          <cell r="K774" t="str">
            <v>NPYG</v>
          </cell>
          <cell r="AB774" t="str">
            <v>Spleen</v>
          </cell>
        </row>
        <row r="775">
          <cell r="A775" t="str">
            <v>in storage</v>
          </cell>
          <cell r="K775" t="str">
            <v>NPYG</v>
          </cell>
          <cell r="AB775" t="str">
            <v>Lung</v>
          </cell>
        </row>
        <row r="776">
          <cell r="A776" t="str">
            <v>in storage</v>
          </cell>
          <cell r="K776" t="str">
            <v>NPYG</v>
          </cell>
          <cell r="AB776" t="str">
            <v>Liver</v>
          </cell>
        </row>
        <row r="777">
          <cell r="A777" t="str">
            <v>in storage</v>
          </cell>
          <cell r="K777" t="str">
            <v>NPYG</v>
          </cell>
          <cell r="AB777" t="str">
            <v>Lymph node</v>
          </cell>
        </row>
        <row r="778">
          <cell r="A778" t="str">
            <v>in storage</v>
          </cell>
          <cell r="K778" t="str">
            <v>NPYG</v>
          </cell>
          <cell r="AB778" t="str">
            <v>R- teste(s)</v>
          </cell>
        </row>
        <row r="779">
          <cell r="A779" t="str">
            <v>in storage</v>
          </cell>
          <cell r="K779" t="str">
            <v>EUL</v>
          </cell>
          <cell r="AB779" t="str">
            <v>R- teste(s)</v>
          </cell>
        </row>
        <row r="780">
          <cell r="A780" t="str">
            <v>in storage</v>
          </cell>
          <cell r="K780" t="str">
            <v>EUL</v>
          </cell>
          <cell r="AB780" t="str">
            <v>R- teste(s)</v>
          </cell>
        </row>
        <row r="781">
          <cell r="A781" t="str">
            <v>in storage</v>
          </cell>
          <cell r="K781" t="str">
            <v>PTAT</v>
          </cell>
          <cell r="AB781" t="str">
            <v>Kidney</v>
          </cell>
        </row>
        <row r="782">
          <cell r="A782" t="str">
            <v>in storage</v>
          </cell>
          <cell r="K782" t="str">
            <v>PTAT</v>
          </cell>
          <cell r="AB782" t="str">
            <v>Spleen</v>
          </cell>
        </row>
        <row r="783">
          <cell r="A783" t="str">
            <v>in storage</v>
          </cell>
          <cell r="K783" t="str">
            <v>PTAT</v>
          </cell>
          <cell r="AB783" t="str">
            <v>Lung</v>
          </cell>
        </row>
        <row r="784">
          <cell r="A784" t="str">
            <v>in storage</v>
          </cell>
          <cell r="K784" t="str">
            <v>PTAT</v>
          </cell>
          <cell r="AB784" t="str">
            <v>Liver</v>
          </cell>
        </row>
        <row r="785">
          <cell r="A785" t="str">
            <v>in storage</v>
          </cell>
          <cell r="K785" t="str">
            <v>PTAT</v>
          </cell>
          <cell r="AB785" t="str">
            <v>Liver</v>
          </cell>
        </row>
        <row r="786">
          <cell r="A786" t="str">
            <v>in storage</v>
          </cell>
          <cell r="K786" t="str">
            <v>PTAT</v>
          </cell>
          <cell r="AB786" t="str">
            <v>Liver</v>
          </cell>
        </row>
        <row r="787">
          <cell r="A787" t="str">
            <v>in storage</v>
          </cell>
          <cell r="K787" t="str">
            <v>CMED</v>
          </cell>
          <cell r="AB787" t="str">
            <v>Kidney</v>
          </cell>
        </row>
        <row r="788">
          <cell r="A788" t="str">
            <v>in storage</v>
          </cell>
          <cell r="K788" t="str">
            <v>CMED</v>
          </cell>
          <cell r="AB788" t="str">
            <v>Liver</v>
          </cell>
        </row>
        <row r="789">
          <cell r="A789" t="str">
            <v>in storage</v>
          </cell>
          <cell r="K789" t="str">
            <v>GMOH</v>
          </cell>
          <cell r="AB789" t="str">
            <v>Kidney</v>
          </cell>
        </row>
        <row r="790">
          <cell r="A790" t="str">
            <v>in storage</v>
          </cell>
          <cell r="K790" t="str">
            <v>GMOH</v>
          </cell>
          <cell r="AB790" t="str">
            <v>Liver</v>
          </cell>
        </row>
        <row r="791">
          <cell r="A791" t="str">
            <v>in storage</v>
          </cell>
          <cell r="K791" t="str">
            <v>PPOT</v>
          </cell>
          <cell r="AB791" t="str">
            <v>Liver</v>
          </cell>
        </row>
        <row r="792">
          <cell r="A792" t="str">
            <v>unk</v>
          </cell>
          <cell r="K792" t="str">
            <v>PPOT</v>
          </cell>
          <cell r="AB792" t="str">
            <v>Kidney</v>
          </cell>
        </row>
        <row r="793">
          <cell r="A793" t="str">
            <v>in storage</v>
          </cell>
          <cell r="K793" t="str">
            <v>HGG</v>
          </cell>
          <cell r="AB793" t="str">
            <v>Kidney</v>
          </cell>
        </row>
        <row r="794">
          <cell r="A794" t="str">
            <v>in storage</v>
          </cell>
          <cell r="K794" t="str">
            <v>HGG</v>
          </cell>
          <cell r="AB794" t="str">
            <v>Spleen</v>
          </cell>
        </row>
        <row r="795">
          <cell r="A795" t="str">
            <v>in storage</v>
          </cell>
          <cell r="K795" t="str">
            <v>HGG</v>
          </cell>
          <cell r="AB795" t="str">
            <v>Liver</v>
          </cell>
        </row>
        <row r="796">
          <cell r="A796" t="str">
            <v>in storage</v>
          </cell>
          <cell r="K796" t="str">
            <v>GMOH</v>
          </cell>
          <cell r="AB796" t="str">
            <v>Kidney</v>
          </cell>
        </row>
        <row r="797">
          <cell r="A797" t="str">
            <v>in storage</v>
          </cell>
          <cell r="K797" t="str">
            <v>GMOH</v>
          </cell>
          <cell r="AB797" t="str">
            <v>Liver</v>
          </cell>
        </row>
        <row r="798">
          <cell r="A798" t="str">
            <v>in storage</v>
          </cell>
          <cell r="K798" t="str">
            <v>MZAZ</v>
          </cell>
          <cell r="AB798" t="str">
            <v>Kidney</v>
          </cell>
        </row>
        <row r="799">
          <cell r="A799" t="str">
            <v>in storage</v>
          </cell>
          <cell r="K799" t="str">
            <v>MZAZ</v>
          </cell>
          <cell r="AB799" t="str">
            <v>Liver</v>
          </cell>
        </row>
        <row r="800">
          <cell r="A800" t="str">
            <v>in storage</v>
          </cell>
          <cell r="K800" t="str">
            <v>MZAZ</v>
          </cell>
          <cell r="AB800" t="str">
            <v>R- reproductive tract</v>
          </cell>
        </row>
        <row r="801">
          <cell r="A801" t="str">
            <v>in storage</v>
          </cell>
          <cell r="K801" t="str">
            <v>OGG</v>
          </cell>
          <cell r="AB801" t="str">
            <v>R- teste(s)</v>
          </cell>
        </row>
        <row r="802">
          <cell r="A802" t="str">
            <v>in storage</v>
          </cell>
          <cell r="K802" t="str">
            <v>LCAT</v>
          </cell>
          <cell r="AB802" t="str">
            <v>Kidney</v>
          </cell>
        </row>
        <row r="803">
          <cell r="A803" t="str">
            <v>in storage</v>
          </cell>
          <cell r="K803" t="str">
            <v>LCAT</v>
          </cell>
          <cell r="AB803" t="str">
            <v>Heart</v>
          </cell>
        </row>
        <row r="804">
          <cell r="A804" t="str">
            <v>in storage</v>
          </cell>
          <cell r="K804" t="str">
            <v>LCAT</v>
          </cell>
          <cell r="AB804" t="str">
            <v>Liver</v>
          </cell>
        </row>
        <row r="805">
          <cell r="A805" t="str">
            <v>in storage</v>
          </cell>
          <cell r="K805" t="str">
            <v>HGG</v>
          </cell>
          <cell r="AB805" t="str">
            <v>Kidney</v>
          </cell>
        </row>
        <row r="806">
          <cell r="A806" t="str">
            <v>in storage</v>
          </cell>
          <cell r="K806" t="str">
            <v>HGG</v>
          </cell>
          <cell r="AB806" t="str">
            <v>Spleen</v>
          </cell>
        </row>
        <row r="807">
          <cell r="A807" t="str">
            <v>in storage</v>
          </cell>
          <cell r="K807" t="str">
            <v>HGG</v>
          </cell>
          <cell r="AB807" t="str">
            <v>Liver</v>
          </cell>
        </row>
        <row r="808">
          <cell r="A808" t="str">
            <v>in storage</v>
          </cell>
          <cell r="K808" t="str">
            <v>MMUR</v>
          </cell>
          <cell r="AB808" t="str">
            <v>Spleen</v>
          </cell>
        </row>
        <row r="809">
          <cell r="A809" t="str">
            <v>in storage</v>
          </cell>
          <cell r="K809" t="str">
            <v>MMUR</v>
          </cell>
          <cell r="AB809" t="str">
            <v>Kidney</v>
          </cell>
        </row>
        <row r="810">
          <cell r="A810" t="str">
            <v>in storage</v>
          </cell>
          <cell r="K810" t="str">
            <v>MMUR</v>
          </cell>
          <cell r="AB810" t="str">
            <v>Liver</v>
          </cell>
        </row>
        <row r="811">
          <cell r="A811" t="str">
            <v>in storage</v>
          </cell>
          <cell r="K811" t="str">
            <v>MMUR</v>
          </cell>
          <cell r="AB811" t="str">
            <v>Mass- liver</v>
          </cell>
        </row>
        <row r="812">
          <cell r="A812" t="str">
            <v>unk</v>
          </cell>
          <cell r="K812" t="str">
            <v>EFLA</v>
          </cell>
          <cell r="AB812" t="str">
            <v>R- placenta</v>
          </cell>
        </row>
        <row r="813">
          <cell r="A813" t="str">
            <v>in storage</v>
          </cell>
          <cell r="K813" t="str">
            <v>MZAZ</v>
          </cell>
          <cell r="AB813" t="str">
            <v>Kidney</v>
          </cell>
        </row>
        <row r="814">
          <cell r="A814" t="str">
            <v>in storage</v>
          </cell>
          <cell r="K814" t="str">
            <v>MZAZ</v>
          </cell>
          <cell r="AB814" t="str">
            <v>Spleen</v>
          </cell>
        </row>
        <row r="815">
          <cell r="A815" t="str">
            <v>in storage</v>
          </cell>
          <cell r="K815" t="str">
            <v>MZAZ</v>
          </cell>
          <cell r="AB815" t="str">
            <v>Liver</v>
          </cell>
        </row>
        <row r="816">
          <cell r="A816" t="str">
            <v>unk</v>
          </cell>
          <cell r="K816" t="str">
            <v>MZAZ</v>
          </cell>
          <cell r="AB816" t="str">
            <v>bile</v>
          </cell>
        </row>
        <row r="817">
          <cell r="A817" t="str">
            <v>in storage</v>
          </cell>
          <cell r="K817" t="str">
            <v>CMED</v>
          </cell>
          <cell r="AB817" t="str">
            <v>Kidney</v>
          </cell>
        </row>
        <row r="818">
          <cell r="A818" t="str">
            <v>in storage</v>
          </cell>
          <cell r="K818" t="str">
            <v>CMED</v>
          </cell>
          <cell r="AB818" t="str">
            <v>Spleen</v>
          </cell>
        </row>
        <row r="819">
          <cell r="A819" t="str">
            <v>in storage</v>
          </cell>
          <cell r="K819" t="str">
            <v>CMED</v>
          </cell>
          <cell r="AB819" t="str">
            <v>Liver</v>
          </cell>
        </row>
        <row r="820">
          <cell r="A820" t="str">
            <v>in storage</v>
          </cell>
          <cell r="K820" t="str">
            <v>EFLA</v>
          </cell>
          <cell r="AB820" t="str">
            <v>Kidney</v>
          </cell>
        </row>
        <row r="821">
          <cell r="A821" t="str">
            <v>in storage</v>
          </cell>
          <cell r="K821" t="str">
            <v>EFLA</v>
          </cell>
          <cell r="AB821" t="str">
            <v>Spleen</v>
          </cell>
        </row>
        <row r="822">
          <cell r="A822" t="str">
            <v>in storage</v>
          </cell>
          <cell r="K822" t="str">
            <v>EFLA</v>
          </cell>
          <cell r="AB822" t="str">
            <v>Heart</v>
          </cell>
        </row>
        <row r="823">
          <cell r="A823" t="str">
            <v>in storage</v>
          </cell>
          <cell r="K823" t="str">
            <v>EFLA</v>
          </cell>
          <cell r="AB823" t="str">
            <v>Liver</v>
          </cell>
        </row>
        <row r="824">
          <cell r="A824" t="str">
            <v>in storage</v>
          </cell>
          <cell r="K824" t="str">
            <v>EUL</v>
          </cell>
          <cell r="AB824" t="str">
            <v>Kidney</v>
          </cell>
        </row>
        <row r="825">
          <cell r="A825" t="str">
            <v>in storage</v>
          </cell>
          <cell r="K825" t="str">
            <v>EUL</v>
          </cell>
          <cell r="AB825" t="str">
            <v>Spleen</v>
          </cell>
        </row>
        <row r="826">
          <cell r="A826" t="str">
            <v>in storage</v>
          </cell>
          <cell r="K826" t="str">
            <v>EUL</v>
          </cell>
          <cell r="AB826" t="str">
            <v>Heart</v>
          </cell>
        </row>
        <row r="827">
          <cell r="A827" t="str">
            <v>in storage</v>
          </cell>
          <cell r="K827" t="str">
            <v>EUL</v>
          </cell>
          <cell r="AB827" t="str">
            <v>Liver</v>
          </cell>
        </row>
        <row r="828">
          <cell r="A828" t="str">
            <v>in storage</v>
          </cell>
          <cell r="K828" t="str">
            <v>LTAR</v>
          </cell>
          <cell r="AB828" t="str">
            <v>bile</v>
          </cell>
        </row>
        <row r="829">
          <cell r="A829" t="str">
            <v>in storage</v>
          </cell>
          <cell r="K829" t="str">
            <v>LTAR</v>
          </cell>
          <cell r="AB829" t="str">
            <v>Kidney</v>
          </cell>
        </row>
        <row r="830">
          <cell r="A830" t="str">
            <v>in storage</v>
          </cell>
          <cell r="K830" t="str">
            <v>LTAR</v>
          </cell>
          <cell r="AB830" t="str">
            <v>Liver</v>
          </cell>
        </row>
        <row r="831">
          <cell r="A831" t="str">
            <v>in storage</v>
          </cell>
          <cell r="K831" t="str">
            <v>LTAR</v>
          </cell>
          <cell r="AB831" t="str">
            <v>Spleen</v>
          </cell>
        </row>
        <row r="832">
          <cell r="A832" t="str">
            <v>in storage</v>
          </cell>
          <cell r="K832" t="str">
            <v>LTAR</v>
          </cell>
          <cell r="AB832" t="str">
            <v>Kidney</v>
          </cell>
        </row>
        <row r="833">
          <cell r="A833" t="str">
            <v>in storage</v>
          </cell>
          <cell r="K833" t="str">
            <v>LTAR</v>
          </cell>
          <cell r="AB833" t="str">
            <v>Spleen</v>
          </cell>
        </row>
        <row r="834">
          <cell r="A834" t="str">
            <v>in storage</v>
          </cell>
          <cell r="K834" t="str">
            <v>LTAR</v>
          </cell>
          <cell r="AB834" t="str">
            <v>Lung</v>
          </cell>
        </row>
        <row r="835">
          <cell r="A835" t="str">
            <v>in storage</v>
          </cell>
          <cell r="K835" t="str">
            <v>LTAR</v>
          </cell>
          <cell r="AB835" t="str">
            <v>Liver</v>
          </cell>
        </row>
        <row r="836">
          <cell r="A836" t="str">
            <v>in storage</v>
          </cell>
          <cell r="K836" t="str">
            <v>ERUF</v>
          </cell>
          <cell r="AB836" t="str">
            <v>Kidney</v>
          </cell>
        </row>
        <row r="837">
          <cell r="A837" t="str">
            <v>in storage</v>
          </cell>
          <cell r="K837" t="str">
            <v>ERUF</v>
          </cell>
          <cell r="AB837" t="str">
            <v>Spleen</v>
          </cell>
        </row>
        <row r="838">
          <cell r="A838" t="str">
            <v>in storage</v>
          </cell>
          <cell r="K838" t="str">
            <v>ERUF</v>
          </cell>
          <cell r="AB838" t="str">
            <v>Liver</v>
          </cell>
        </row>
        <row r="839">
          <cell r="A839" t="str">
            <v>in storage</v>
          </cell>
          <cell r="K839" t="str">
            <v>PCOQ</v>
          </cell>
          <cell r="AB839" t="str">
            <v>Kidney</v>
          </cell>
        </row>
        <row r="840">
          <cell r="A840" t="str">
            <v>in storage</v>
          </cell>
          <cell r="K840" t="str">
            <v>PCOQ</v>
          </cell>
          <cell r="AB840" t="str">
            <v>Spleen</v>
          </cell>
        </row>
        <row r="841">
          <cell r="A841" t="str">
            <v>in storage</v>
          </cell>
          <cell r="K841" t="str">
            <v>PCOQ</v>
          </cell>
          <cell r="AB841" t="str">
            <v>Liver</v>
          </cell>
        </row>
        <row r="842">
          <cell r="A842" t="str">
            <v>in storage</v>
          </cell>
          <cell r="K842" t="str">
            <v>CMED</v>
          </cell>
          <cell r="AB842" t="str">
            <v>GI- small intestine</v>
          </cell>
        </row>
        <row r="843">
          <cell r="A843" t="str">
            <v>in storage</v>
          </cell>
          <cell r="K843" t="str">
            <v>MZAZ</v>
          </cell>
          <cell r="AB843" t="str">
            <v>Kidney</v>
          </cell>
        </row>
        <row r="844">
          <cell r="A844" t="str">
            <v>in storage</v>
          </cell>
          <cell r="K844" t="str">
            <v>MZAZ</v>
          </cell>
          <cell r="AB844" t="str">
            <v>Spleen</v>
          </cell>
        </row>
        <row r="845">
          <cell r="A845" t="str">
            <v>in storage</v>
          </cell>
          <cell r="K845" t="str">
            <v>MZAZ</v>
          </cell>
          <cell r="AB845" t="str">
            <v>Liver</v>
          </cell>
        </row>
        <row r="846">
          <cell r="A846" t="str">
            <v>in storage</v>
          </cell>
          <cell r="K846" t="str">
            <v>HGRI</v>
          </cell>
          <cell r="AB846" t="str">
            <v>R- teste(s)</v>
          </cell>
        </row>
        <row r="847">
          <cell r="A847" t="str">
            <v>in storage</v>
          </cell>
          <cell r="K847" t="str">
            <v>HGRI</v>
          </cell>
          <cell r="AB847" t="str">
            <v>R- teste(s)</v>
          </cell>
        </row>
        <row r="848">
          <cell r="A848" t="str">
            <v>in storage</v>
          </cell>
          <cell r="K848" t="str">
            <v>HGG</v>
          </cell>
          <cell r="AB848" t="str">
            <v>R- teste(s)</v>
          </cell>
        </row>
        <row r="849">
          <cell r="A849" t="str">
            <v>in storage</v>
          </cell>
          <cell r="K849" t="str">
            <v>GMOH</v>
          </cell>
          <cell r="AB849" t="str">
            <v>Liver</v>
          </cell>
        </row>
        <row r="850">
          <cell r="A850" t="str">
            <v>unk</v>
          </cell>
          <cell r="K850" t="str">
            <v>GMOH</v>
          </cell>
          <cell r="AB850" t="str">
            <v>Kidney</v>
          </cell>
        </row>
        <row r="851">
          <cell r="A851" t="str">
            <v>in storage</v>
          </cell>
          <cell r="K851" t="str">
            <v>PCOQ</v>
          </cell>
          <cell r="AB851" t="str">
            <v>Kidney</v>
          </cell>
        </row>
        <row r="852">
          <cell r="A852" t="str">
            <v>in storage</v>
          </cell>
          <cell r="K852" t="str">
            <v>PCOQ</v>
          </cell>
          <cell r="AB852" t="str">
            <v>Spleen</v>
          </cell>
        </row>
        <row r="853">
          <cell r="A853" t="str">
            <v>in storage</v>
          </cell>
          <cell r="K853" t="str">
            <v>PCOQ</v>
          </cell>
          <cell r="AB853" t="str">
            <v>Liver</v>
          </cell>
        </row>
        <row r="854">
          <cell r="A854" t="str">
            <v>in storage</v>
          </cell>
          <cell r="K854" t="str">
            <v>PCOQ</v>
          </cell>
          <cell r="AB854" t="str">
            <v>Liver</v>
          </cell>
        </row>
        <row r="855">
          <cell r="A855" t="str">
            <v>in storage</v>
          </cell>
          <cell r="K855" t="str">
            <v>PCOQ</v>
          </cell>
          <cell r="AB855" t="str">
            <v>Liver</v>
          </cell>
        </row>
        <row r="856">
          <cell r="A856" t="str">
            <v>unk</v>
          </cell>
          <cell r="K856" t="str">
            <v>PDIA</v>
          </cell>
          <cell r="AB856" t="str">
            <v>Liver</v>
          </cell>
        </row>
        <row r="857">
          <cell r="A857" t="str">
            <v>unk</v>
          </cell>
          <cell r="K857" t="str">
            <v>PDIA</v>
          </cell>
          <cell r="AB857" t="str">
            <v>Blood</v>
          </cell>
        </row>
        <row r="858">
          <cell r="A858" t="str">
            <v>unk</v>
          </cell>
          <cell r="K858" t="str">
            <v>PDIA</v>
          </cell>
          <cell r="AB858" t="str">
            <v>Kidney</v>
          </cell>
        </row>
        <row r="859">
          <cell r="A859" t="str">
            <v>unk</v>
          </cell>
          <cell r="K859" t="str">
            <v>PDIA</v>
          </cell>
          <cell r="AB859" t="str">
            <v>Spleen</v>
          </cell>
        </row>
        <row r="860">
          <cell r="A860" t="str">
            <v>in storage</v>
          </cell>
          <cell r="K860" t="str">
            <v>CMED</v>
          </cell>
          <cell r="AB860" t="str">
            <v>GI- stomach</v>
          </cell>
        </row>
        <row r="861">
          <cell r="A861" t="str">
            <v>in storage</v>
          </cell>
          <cell r="K861" t="str">
            <v>CMED</v>
          </cell>
          <cell r="AB861" t="str">
            <v>GI- esophagus</v>
          </cell>
        </row>
        <row r="862">
          <cell r="A862" t="str">
            <v>in storage</v>
          </cell>
          <cell r="K862" t="str">
            <v>CMED</v>
          </cell>
          <cell r="AB862" t="str">
            <v>GI Tract</v>
          </cell>
        </row>
        <row r="863">
          <cell r="A863" t="str">
            <v>in storage</v>
          </cell>
          <cell r="K863" t="str">
            <v>EUL</v>
          </cell>
          <cell r="AB863" t="str">
            <v>Kidney</v>
          </cell>
        </row>
        <row r="864">
          <cell r="A864" t="str">
            <v>in storage</v>
          </cell>
          <cell r="K864" t="str">
            <v>EUL</v>
          </cell>
          <cell r="AB864" t="str">
            <v>Spleen</v>
          </cell>
        </row>
        <row r="865">
          <cell r="A865" t="str">
            <v>in storage</v>
          </cell>
          <cell r="K865" t="str">
            <v>EUL</v>
          </cell>
          <cell r="AB865" t="str">
            <v>Lung</v>
          </cell>
        </row>
        <row r="866">
          <cell r="A866" t="str">
            <v>in storage</v>
          </cell>
          <cell r="K866" t="str">
            <v>EUL</v>
          </cell>
          <cell r="AB866" t="str">
            <v>Liver</v>
          </cell>
        </row>
        <row r="867">
          <cell r="A867" t="str">
            <v>in storage</v>
          </cell>
          <cell r="K867" t="str">
            <v>EUL</v>
          </cell>
          <cell r="AB867" t="str">
            <v>R- uterus</v>
          </cell>
        </row>
        <row r="868">
          <cell r="A868" t="str">
            <v>in storage</v>
          </cell>
          <cell r="K868" t="str">
            <v>EUL</v>
          </cell>
          <cell r="AB868" t="str">
            <v>R- reproductive tract</v>
          </cell>
        </row>
        <row r="869">
          <cell r="A869" t="str">
            <v>in storage</v>
          </cell>
          <cell r="K869" t="str">
            <v>PCOQ</v>
          </cell>
          <cell r="AB869" t="str">
            <v>R- placenta</v>
          </cell>
        </row>
        <row r="870">
          <cell r="A870" t="str">
            <v>in storage</v>
          </cell>
          <cell r="K870" t="str">
            <v>EUL</v>
          </cell>
          <cell r="AB870" t="str">
            <v>R- teste(s)</v>
          </cell>
        </row>
        <row r="871">
          <cell r="A871" t="str">
            <v>in storage</v>
          </cell>
          <cell r="K871" t="str">
            <v>EUL</v>
          </cell>
          <cell r="AB871" t="str">
            <v>R- uterus</v>
          </cell>
        </row>
        <row r="872">
          <cell r="A872" t="str">
            <v>in storage</v>
          </cell>
          <cell r="K872" t="str">
            <v>LTAR</v>
          </cell>
          <cell r="AB872" t="str">
            <v>Kidney</v>
          </cell>
        </row>
        <row r="873">
          <cell r="A873" t="str">
            <v>in storage</v>
          </cell>
          <cell r="K873" t="str">
            <v>LTAR</v>
          </cell>
          <cell r="AB873" t="str">
            <v>Spleen</v>
          </cell>
        </row>
        <row r="874">
          <cell r="A874" t="str">
            <v>in storage</v>
          </cell>
          <cell r="K874" t="str">
            <v>LTAR</v>
          </cell>
          <cell r="AB874" t="str">
            <v>Lung</v>
          </cell>
        </row>
        <row r="875">
          <cell r="A875" t="str">
            <v>in storage</v>
          </cell>
          <cell r="K875" t="str">
            <v>LTAR</v>
          </cell>
          <cell r="AB875" t="str">
            <v>Liver</v>
          </cell>
        </row>
        <row r="876">
          <cell r="A876" t="str">
            <v>in storage</v>
          </cell>
          <cell r="K876" t="str">
            <v>LTAR</v>
          </cell>
          <cell r="AB876" t="str">
            <v>R- teste(s)</v>
          </cell>
        </row>
        <row r="877">
          <cell r="A877" t="str">
            <v>in storage</v>
          </cell>
          <cell r="K877" t="str">
            <v>HGG</v>
          </cell>
          <cell r="AB877" t="str">
            <v>Spleen</v>
          </cell>
        </row>
        <row r="878">
          <cell r="A878" t="str">
            <v>in storage</v>
          </cell>
          <cell r="K878" t="str">
            <v>HGG</v>
          </cell>
          <cell r="AB878" t="str">
            <v>Liver</v>
          </cell>
        </row>
        <row r="879">
          <cell r="A879" t="str">
            <v>unk</v>
          </cell>
          <cell r="K879" t="str">
            <v>HGG</v>
          </cell>
          <cell r="AB879" t="str">
            <v>Lymph nodes/ glands</v>
          </cell>
        </row>
        <row r="880">
          <cell r="A880" t="str">
            <v>in storage</v>
          </cell>
          <cell r="K880" t="str">
            <v>PCOQ</v>
          </cell>
          <cell r="AB880" t="str">
            <v>RU- bladder/ reproductive tract</v>
          </cell>
        </row>
        <row r="881">
          <cell r="A881" t="str">
            <v>in storage</v>
          </cell>
          <cell r="K881" t="str">
            <v>CMED</v>
          </cell>
          <cell r="AB881" t="str">
            <v>GI Tract</v>
          </cell>
        </row>
        <row r="882">
          <cell r="A882" t="str">
            <v>in storage</v>
          </cell>
          <cell r="K882" t="str">
            <v>CMED</v>
          </cell>
          <cell r="AB882" t="str">
            <v>GI- cecum</v>
          </cell>
        </row>
        <row r="883">
          <cell r="A883" t="str">
            <v>in storage</v>
          </cell>
          <cell r="K883" t="str">
            <v>CMED</v>
          </cell>
          <cell r="AB883" t="str">
            <v>GI- esophagus</v>
          </cell>
        </row>
        <row r="884">
          <cell r="A884" t="str">
            <v>in storage</v>
          </cell>
          <cell r="K884" t="str">
            <v>CMED</v>
          </cell>
          <cell r="AB884" t="str">
            <v>GI- large intestine</v>
          </cell>
        </row>
        <row r="885">
          <cell r="A885" t="str">
            <v>in storage</v>
          </cell>
          <cell r="K885" t="str">
            <v>PCOQ</v>
          </cell>
          <cell r="AB885" t="str">
            <v>Pancreas</v>
          </cell>
        </row>
        <row r="886">
          <cell r="A886" t="str">
            <v>in storage</v>
          </cell>
          <cell r="K886" t="str">
            <v>PCOQ</v>
          </cell>
          <cell r="AB886" t="str">
            <v>Kidney</v>
          </cell>
        </row>
        <row r="887">
          <cell r="A887" t="str">
            <v>in storage</v>
          </cell>
          <cell r="K887" t="str">
            <v>PCOQ</v>
          </cell>
          <cell r="AB887" t="str">
            <v>Spleen</v>
          </cell>
        </row>
        <row r="888">
          <cell r="A888" t="str">
            <v>in storage</v>
          </cell>
          <cell r="K888" t="str">
            <v>PCOQ</v>
          </cell>
          <cell r="AB888" t="str">
            <v>Heart</v>
          </cell>
        </row>
        <row r="889">
          <cell r="A889" t="str">
            <v>in storage</v>
          </cell>
          <cell r="K889" t="str">
            <v>PCOQ</v>
          </cell>
          <cell r="AB889" t="str">
            <v>Lung</v>
          </cell>
        </row>
        <row r="890">
          <cell r="A890" t="str">
            <v>in storage</v>
          </cell>
          <cell r="K890" t="str">
            <v>PCOQ</v>
          </cell>
          <cell r="AB890" t="str">
            <v>Liver</v>
          </cell>
        </row>
        <row r="891">
          <cell r="A891" t="str">
            <v>in storage</v>
          </cell>
          <cell r="K891" t="str">
            <v>PCOQ</v>
          </cell>
          <cell r="AB891" t="str">
            <v>Lymph node- mesenteric</v>
          </cell>
        </row>
        <row r="892">
          <cell r="A892" t="str">
            <v>in storage</v>
          </cell>
          <cell r="K892" t="str">
            <v>PCOQ</v>
          </cell>
          <cell r="AB892" t="str">
            <v>Salivary gland</v>
          </cell>
        </row>
        <row r="893">
          <cell r="A893" t="str">
            <v>in storage</v>
          </cell>
          <cell r="K893" t="str">
            <v>PCOQ</v>
          </cell>
          <cell r="AB893" t="str">
            <v>Thyroid</v>
          </cell>
        </row>
        <row r="894">
          <cell r="A894" t="str">
            <v>in storage</v>
          </cell>
          <cell r="K894" t="str">
            <v>CMED</v>
          </cell>
          <cell r="AB894" t="str">
            <v>GI- small intestine</v>
          </cell>
        </row>
        <row r="895">
          <cell r="A895" t="str">
            <v>in storage</v>
          </cell>
          <cell r="K895" t="str">
            <v>NCOU</v>
          </cell>
          <cell r="AB895" t="str">
            <v>Kidney</v>
          </cell>
        </row>
        <row r="896">
          <cell r="A896" t="str">
            <v>in storage</v>
          </cell>
          <cell r="K896" t="str">
            <v>NCOU</v>
          </cell>
          <cell r="AB896" t="str">
            <v>Spleen</v>
          </cell>
        </row>
        <row r="897">
          <cell r="A897" t="str">
            <v>in storage</v>
          </cell>
          <cell r="K897" t="str">
            <v>NCOU</v>
          </cell>
          <cell r="AB897" t="str">
            <v>Heart</v>
          </cell>
        </row>
        <row r="898">
          <cell r="A898" t="str">
            <v>in storage</v>
          </cell>
          <cell r="K898" t="str">
            <v>NCOU</v>
          </cell>
          <cell r="AB898" t="str">
            <v>Liver</v>
          </cell>
        </row>
        <row r="899">
          <cell r="A899" t="str">
            <v>unk</v>
          </cell>
          <cell r="K899" t="str">
            <v>NCOU</v>
          </cell>
          <cell r="AB899" t="str">
            <v>Lung</v>
          </cell>
        </row>
        <row r="900">
          <cell r="A900" t="str">
            <v>in storage</v>
          </cell>
          <cell r="K900" t="str">
            <v>NCOU</v>
          </cell>
          <cell r="AB900" t="str">
            <v>Mass- liver</v>
          </cell>
        </row>
        <row r="901">
          <cell r="A901" t="str">
            <v>gone</v>
          </cell>
          <cell r="K901" t="str">
            <v>VVV</v>
          </cell>
          <cell r="AB901" t="str">
            <v>Fluid- abdominal effusion</v>
          </cell>
        </row>
        <row r="902">
          <cell r="A902" t="str">
            <v>in storage</v>
          </cell>
          <cell r="K902" t="str">
            <v>CMED</v>
          </cell>
          <cell r="AB902" t="str">
            <v>GI- stomach</v>
          </cell>
        </row>
        <row r="903">
          <cell r="A903" t="str">
            <v>in storage</v>
          </cell>
          <cell r="K903" t="str">
            <v>EMON</v>
          </cell>
          <cell r="AB903" t="str">
            <v>Lung</v>
          </cell>
        </row>
        <row r="904">
          <cell r="A904" t="str">
            <v>in storage</v>
          </cell>
          <cell r="K904" t="str">
            <v>VVV</v>
          </cell>
          <cell r="AB904" t="str">
            <v>Liver</v>
          </cell>
        </row>
        <row r="905">
          <cell r="A905" t="str">
            <v>in storage</v>
          </cell>
          <cell r="K905" t="str">
            <v>VVV</v>
          </cell>
          <cell r="AB905" t="str">
            <v>Kidney</v>
          </cell>
        </row>
        <row r="906">
          <cell r="A906" t="str">
            <v>in storage</v>
          </cell>
          <cell r="K906" t="str">
            <v>VVV</v>
          </cell>
          <cell r="AB906" t="str">
            <v>Spleen</v>
          </cell>
        </row>
        <row r="907">
          <cell r="A907" t="str">
            <v>unk</v>
          </cell>
          <cell r="K907" t="str">
            <v>VVV</v>
          </cell>
          <cell r="AB907" t="str">
            <v>bile</v>
          </cell>
        </row>
        <row r="908">
          <cell r="A908" t="str">
            <v>unk</v>
          </cell>
          <cell r="K908" t="str">
            <v>VVV</v>
          </cell>
          <cell r="AB908" t="str">
            <v>Heart</v>
          </cell>
        </row>
        <row r="909">
          <cell r="A909" t="str">
            <v>unk</v>
          </cell>
          <cell r="K909" t="str">
            <v>VVV</v>
          </cell>
          <cell r="AB909" t="str">
            <v>Kidney</v>
          </cell>
        </row>
        <row r="910">
          <cell r="A910" t="str">
            <v>in storage</v>
          </cell>
          <cell r="K910" t="str">
            <v>EMON</v>
          </cell>
          <cell r="AB910" t="str">
            <v>Liver</v>
          </cell>
        </row>
        <row r="911">
          <cell r="A911" t="str">
            <v>in storage</v>
          </cell>
          <cell r="K911" t="str">
            <v>EFLA</v>
          </cell>
          <cell r="AB911" t="str">
            <v>R- sperm plug</v>
          </cell>
        </row>
        <row r="912">
          <cell r="A912" t="str">
            <v>in storage</v>
          </cell>
          <cell r="K912" t="str">
            <v>CMED</v>
          </cell>
          <cell r="AB912" t="str">
            <v>Tooth</v>
          </cell>
        </row>
        <row r="913">
          <cell r="A913" t="str">
            <v>in storage</v>
          </cell>
          <cell r="K913" t="str">
            <v>CMED</v>
          </cell>
          <cell r="AB913" t="str">
            <v>Kidney</v>
          </cell>
        </row>
        <row r="914">
          <cell r="A914" t="str">
            <v>in storage</v>
          </cell>
          <cell r="K914" t="str">
            <v>LCAT</v>
          </cell>
          <cell r="AB914" t="str">
            <v>Spleen</v>
          </cell>
        </row>
        <row r="915">
          <cell r="A915" t="str">
            <v>in storage</v>
          </cell>
          <cell r="K915" t="str">
            <v>CMED</v>
          </cell>
          <cell r="AB915" t="str">
            <v>Liver</v>
          </cell>
        </row>
        <row r="916">
          <cell r="A916" t="str">
            <v>in storage</v>
          </cell>
          <cell r="K916" t="str">
            <v>MZAZ</v>
          </cell>
          <cell r="AB916" t="str">
            <v>Kidney</v>
          </cell>
        </row>
        <row r="917">
          <cell r="A917" t="str">
            <v>in storage</v>
          </cell>
          <cell r="K917" t="str">
            <v>MZAZ</v>
          </cell>
          <cell r="AB917" t="str">
            <v>Spleen</v>
          </cell>
        </row>
        <row r="918">
          <cell r="A918" t="str">
            <v>in storage</v>
          </cell>
          <cell r="K918" t="str">
            <v>MZAZ</v>
          </cell>
          <cell r="AB918" t="str">
            <v>Liver</v>
          </cell>
        </row>
        <row r="919">
          <cell r="A919" t="str">
            <v>in storage</v>
          </cell>
          <cell r="K919" t="str">
            <v>LCAT</v>
          </cell>
          <cell r="AB919" t="str">
            <v>Liver</v>
          </cell>
        </row>
        <row r="920">
          <cell r="A920" t="str">
            <v>in storage</v>
          </cell>
          <cell r="K920" t="str">
            <v>MZAZ</v>
          </cell>
          <cell r="AB920" t="str">
            <v>R- reproductive tract</v>
          </cell>
        </row>
        <row r="921">
          <cell r="A921" t="str">
            <v>in storage</v>
          </cell>
          <cell r="K921" t="str">
            <v>GMOH</v>
          </cell>
          <cell r="AB921" t="str">
            <v>Mass</v>
          </cell>
        </row>
        <row r="922">
          <cell r="A922" t="str">
            <v>in storage</v>
          </cell>
          <cell r="K922" t="str">
            <v>EMAC</v>
          </cell>
          <cell r="AB922" t="str">
            <v>Kidney</v>
          </cell>
        </row>
        <row r="923">
          <cell r="A923" t="str">
            <v>in storage</v>
          </cell>
          <cell r="K923" t="str">
            <v>EMAC</v>
          </cell>
          <cell r="AB923" t="str">
            <v>Spleen</v>
          </cell>
        </row>
        <row r="924">
          <cell r="A924" t="str">
            <v>in storage</v>
          </cell>
          <cell r="K924" t="str">
            <v>EMAC</v>
          </cell>
          <cell r="AB924" t="str">
            <v>Liver</v>
          </cell>
        </row>
        <row r="925">
          <cell r="A925" t="str">
            <v>in storage</v>
          </cell>
          <cell r="K925" t="str">
            <v>EMAC</v>
          </cell>
          <cell r="AB925" t="str">
            <v>Liver</v>
          </cell>
        </row>
        <row r="926">
          <cell r="A926" t="str">
            <v>in storage</v>
          </cell>
          <cell r="K926" t="str">
            <v>EMAC</v>
          </cell>
          <cell r="AB926" t="str">
            <v>Mass- liver</v>
          </cell>
        </row>
        <row r="927">
          <cell r="A927" t="str">
            <v>in storage</v>
          </cell>
          <cell r="K927" t="str">
            <v>ECOL</v>
          </cell>
          <cell r="AB927" t="str">
            <v>Kidney</v>
          </cell>
        </row>
        <row r="928">
          <cell r="A928" t="str">
            <v>in storage</v>
          </cell>
          <cell r="K928" t="str">
            <v>ECOL</v>
          </cell>
          <cell r="AB928" t="str">
            <v>Spleen</v>
          </cell>
        </row>
        <row r="929">
          <cell r="A929" t="str">
            <v>in storage</v>
          </cell>
          <cell r="K929" t="str">
            <v>ECOL</v>
          </cell>
          <cell r="AB929" t="str">
            <v>Heart</v>
          </cell>
        </row>
        <row r="930">
          <cell r="A930" t="str">
            <v>in storage</v>
          </cell>
          <cell r="K930" t="str">
            <v>ECOL</v>
          </cell>
          <cell r="AB930" t="str">
            <v>Liver</v>
          </cell>
        </row>
        <row r="931">
          <cell r="A931" t="str">
            <v>in storage</v>
          </cell>
          <cell r="K931" t="str">
            <v>GMOH</v>
          </cell>
          <cell r="AB931" t="str">
            <v>Kidney</v>
          </cell>
        </row>
        <row r="932">
          <cell r="A932" t="str">
            <v>in storage</v>
          </cell>
          <cell r="K932" t="str">
            <v>GMOH</v>
          </cell>
          <cell r="AB932" t="str">
            <v>Lung</v>
          </cell>
        </row>
        <row r="933">
          <cell r="A933" t="str">
            <v>in storage</v>
          </cell>
          <cell r="K933" t="str">
            <v>GMOH</v>
          </cell>
          <cell r="AB933" t="str">
            <v>Liver</v>
          </cell>
        </row>
        <row r="934">
          <cell r="A934" t="str">
            <v>in storage</v>
          </cell>
          <cell r="K934" t="str">
            <v>GMOH</v>
          </cell>
          <cell r="AB934" t="str">
            <v>Kidney</v>
          </cell>
        </row>
        <row r="935">
          <cell r="A935" t="str">
            <v>in storage</v>
          </cell>
          <cell r="K935" t="str">
            <v>GMOH</v>
          </cell>
          <cell r="AB935" t="str">
            <v>Liver</v>
          </cell>
        </row>
        <row r="936">
          <cell r="A936" t="str">
            <v>in storage</v>
          </cell>
          <cell r="K936" t="str">
            <v>GMOH</v>
          </cell>
          <cell r="AB936" t="str">
            <v xml:space="preserve"> </v>
          </cell>
        </row>
        <row r="937">
          <cell r="A937" t="str">
            <v>in storage</v>
          </cell>
          <cell r="K937" t="str">
            <v>DMAD</v>
          </cell>
          <cell r="AB937" t="str">
            <v>Kidney</v>
          </cell>
        </row>
        <row r="938">
          <cell r="A938" t="str">
            <v>in storage</v>
          </cell>
          <cell r="K938" t="str">
            <v>DMAD</v>
          </cell>
          <cell r="AB938" t="str">
            <v>Spleen</v>
          </cell>
        </row>
        <row r="939">
          <cell r="A939" t="str">
            <v>in storage</v>
          </cell>
          <cell r="K939" t="str">
            <v>DMAD</v>
          </cell>
          <cell r="AB939" t="str">
            <v>Liver</v>
          </cell>
        </row>
        <row r="940">
          <cell r="A940" t="str">
            <v>in storage</v>
          </cell>
          <cell r="K940" t="str">
            <v>GMOH</v>
          </cell>
          <cell r="AB940" t="str">
            <v>Kidney</v>
          </cell>
        </row>
        <row r="941">
          <cell r="A941" t="str">
            <v>in storage</v>
          </cell>
          <cell r="K941" t="str">
            <v>GMOH</v>
          </cell>
          <cell r="AB941" t="str">
            <v>Liver</v>
          </cell>
        </row>
        <row r="942">
          <cell r="A942" t="str">
            <v>in storage</v>
          </cell>
          <cell r="K942" t="str">
            <v>GMOH</v>
          </cell>
          <cell r="AB942" t="str">
            <v>Muscle</v>
          </cell>
        </row>
        <row r="943">
          <cell r="A943" t="str">
            <v>in storage</v>
          </cell>
          <cell r="K943" t="str">
            <v>ECOR</v>
          </cell>
          <cell r="AB943" t="str">
            <v>Kidney</v>
          </cell>
        </row>
        <row r="944">
          <cell r="A944" t="str">
            <v>in storage</v>
          </cell>
          <cell r="K944" t="str">
            <v>ECOR</v>
          </cell>
          <cell r="AB944" t="str">
            <v>Kidney</v>
          </cell>
        </row>
        <row r="945">
          <cell r="A945" t="str">
            <v>in storage</v>
          </cell>
          <cell r="K945" t="str">
            <v>ECOR</v>
          </cell>
          <cell r="AB945" t="str">
            <v>Spleen</v>
          </cell>
        </row>
        <row r="946">
          <cell r="A946" t="str">
            <v>in storage</v>
          </cell>
          <cell r="K946" t="str">
            <v>ECOR</v>
          </cell>
          <cell r="AB946" t="str">
            <v>Heart</v>
          </cell>
        </row>
        <row r="947">
          <cell r="A947" t="str">
            <v>in storage</v>
          </cell>
          <cell r="K947" t="str">
            <v>ECOR</v>
          </cell>
          <cell r="AB947" t="str">
            <v>Liver</v>
          </cell>
        </row>
        <row r="948">
          <cell r="A948" t="str">
            <v>in storage</v>
          </cell>
          <cell r="K948" t="str">
            <v>VVV</v>
          </cell>
          <cell r="AB948" t="str">
            <v>Kidney</v>
          </cell>
        </row>
        <row r="949">
          <cell r="A949" t="str">
            <v>in storage</v>
          </cell>
          <cell r="K949" t="str">
            <v>VVV</v>
          </cell>
          <cell r="AB949" t="str">
            <v>Spleen</v>
          </cell>
        </row>
        <row r="950">
          <cell r="A950" t="str">
            <v>in storage</v>
          </cell>
          <cell r="K950" t="str">
            <v>VVV</v>
          </cell>
          <cell r="AB950" t="str">
            <v>Liver</v>
          </cell>
        </row>
        <row r="951">
          <cell r="A951" t="str">
            <v>in storage</v>
          </cell>
          <cell r="K951" t="str">
            <v>VVV</v>
          </cell>
          <cell r="AB951" t="str">
            <v>Heart</v>
          </cell>
        </row>
        <row r="952">
          <cell r="A952" t="str">
            <v>in storage</v>
          </cell>
          <cell r="K952" t="str">
            <v>VVV</v>
          </cell>
          <cell r="AB952" t="str">
            <v>Liver</v>
          </cell>
        </row>
        <row r="953">
          <cell r="A953" t="str">
            <v>in storage</v>
          </cell>
          <cell r="K953" t="str">
            <v>VRUB</v>
          </cell>
          <cell r="AB953" t="str">
            <v>R- milk</v>
          </cell>
        </row>
        <row r="954">
          <cell r="A954" t="str">
            <v>in storage</v>
          </cell>
          <cell r="K954" t="str">
            <v>VRUB</v>
          </cell>
          <cell r="AB954" t="str">
            <v>R- milk</v>
          </cell>
        </row>
        <row r="955">
          <cell r="A955" t="str">
            <v>in storage</v>
          </cell>
          <cell r="K955" t="str">
            <v>VVV</v>
          </cell>
          <cell r="AB955" t="str">
            <v>Kidney</v>
          </cell>
        </row>
        <row r="956">
          <cell r="A956" t="str">
            <v>in storage</v>
          </cell>
          <cell r="K956" t="str">
            <v>VVV</v>
          </cell>
          <cell r="AB956" t="str">
            <v>Spleen</v>
          </cell>
        </row>
        <row r="957">
          <cell r="A957" t="str">
            <v>in storage</v>
          </cell>
          <cell r="K957" t="str">
            <v>LCAT</v>
          </cell>
          <cell r="AB957" t="str">
            <v>Kidney</v>
          </cell>
        </row>
        <row r="958">
          <cell r="A958" t="str">
            <v>in storage</v>
          </cell>
          <cell r="K958" t="str">
            <v>LCAT</v>
          </cell>
          <cell r="AB958" t="str">
            <v>Spleen</v>
          </cell>
        </row>
        <row r="959">
          <cell r="A959" t="str">
            <v>in storage</v>
          </cell>
          <cell r="K959" t="str">
            <v>LCAT</v>
          </cell>
          <cell r="AB959" t="str">
            <v>Liver</v>
          </cell>
        </row>
        <row r="960">
          <cell r="A960" t="str">
            <v>in storage</v>
          </cell>
          <cell r="K960" t="str">
            <v>CMED</v>
          </cell>
          <cell r="AB960" t="str">
            <v>Kidney</v>
          </cell>
        </row>
        <row r="961">
          <cell r="A961" t="str">
            <v>in storage</v>
          </cell>
          <cell r="K961" t="str">
            <v>CMED</v>
          </cell>
          <cell r="AB961" t="str">
            <v>Spleen</v>
          </cell>
        </row>
        <row r="962">
          <cell r="A962" t="str">
            <v>in storage</v>
          </cell>
          <cell r="K962" t="str">
            <v>CMED</v>
          </cell>
          <cell r="AB962" t="str">
            <v>Liver</v>
          </cell>
        </row>
        <row r="963">
          <cell r="A963" t="str">
            <v>in storage</v>
          </cell>
          <cell r="K963" t="str">
            <v>LCAT</v>
          </cell>
          <cell r="AB963" t="str">
            <v>Kidney</v>
          </cell>
        </row>
        <row r="964">
          <cell r="A964" t="str">
            <v>unk</v>
          </cell>
          <cell r="K964" t="str">
            <v>LCAT</v>
          </cell>
          <cell r="AB964" t="str">
            <v>Heart</v>
          </cell>
        </row>
        <row r="965">
          <cell r="A965" t="str">
            <v>in storage</v>
          </cell>
          <cell r="K965" t="str">
            <v>LCAT</v>
          </cell>
          <cell r="AB965" t="str">
            <v>Liver</v>
          </cell>
        </row>
        <row r="966">
          <cell r="A966" t="str">
            <v>in storage</v>
          </cell>
          <cell r="K966" t="str">
            <v>LCAT</v>
          </cell>
          <cell r="AB966" t="str">
            <v>R- reproductive tract</v>
          </cell>
        </row>
        <row r="967">
          <cell r="A967" t="str">
            <v>in storage</v>
          </cell>
          <cell r="K967" t="str">
            <v>HGG</v>
          </cell>
          <cell r="AB967" t="str">
            <v>Kidney</v>
          </cell>
        </row>
        <row r="968">
          <cell r="A968" t="str">
            <v>in storage</v>
          </cell>
          <cell r="K968" t="str">
            <v>HGG</v>
          </cell>
          <cell r="AB968" t="str">
            <v>Spleen</v>
          </cell>
        </row>
        <row r="969">
          <cell r="A969" t="str">
            <v>in storage</v>
          </cell>
          <cell r="K969" t="str">
            <v>HGG</v>
          </cell>
          <cell r="AB969" t="str">
            <v>Heart</v>
          </cell>
        </row>
        <row r="970">
          <cell r="A970" t="str">
            <v>in storage</v>
          </cell>
          <cell r="K970" t="str">
            <v>HGG</v>
          </cell>
          <cell r="AB970" t="str">
            <v>Liver</v>
          </cell>
        </row>
        <row r="971">
          <cell r="A971" t="str">
            <v>in storage</v>
          </cell>
          <cell r="K971" t="str">
            <v>HGG</v>
          </cell>
          <cell r="AB971" t="str">
            <v>R- teste(s)</v>
          </cell>
        </row>
        <row r="972">
          <cell r="A972" t="str">
            <v>in storage</v>
          </cell>
          <cell r="K972" t="str">
            <v>EFLA</v>
          </cell>
          <cell r="AB972" t="str">
            <v>Kidney</v>
          </cell>
        </row>
        <row r="973">
          <cell r="A973" t="str">
            <v>in storage</v>
          </cell>
          <cell r="K973" t="str">
            <v>EFLA</v>
          </cell>
          <cell r="AB973" t="str">
            <v>Liver</v>
          </cell>
        </row>
        <row r="974">
          <cell r="A974" t="str">
            <v>in storage</v>
          </cell>
          <cell r="K974" t="str">
            <v>MMUR</v>
          </cell>
          <cell r="AB974" t="str">
            <v>Spleen</v>
          </cell>
        </row>
        <row r="975">
          <cell r="A975" t="str">
            <v>in storage</v>
          </cell>
          <cell r="K975" t="str">
            <v>MMUR</v>
          </cell>
          <cell r="AB975" t="str">
            <v>Kidney</v>
          </cell>
        </row>
        <row r="976">
          <cell r="A976" t="str">
            <v>in storage</v>
          </cell>
          <cell r="K976" t="str">
            <v>MMUR</v>
          </cell>
          <cell r="AB976" t="str">
            <v>Liver</v>
          </cell>
        </row>
        <row r="977">
          <cell r="A977" t="str">
            <v>in storage</v>
          </cell>
          <cell r="K977" t="str">
            <v>NCOU</v>
          </cell>
          <cell r="AB977" t="str">
            <v>Kidney</v>
          </cell>
        </row>
        <row r="978">
          <cell r="A978" t="str">
            <v>in storage</v>
          </cell>
          <cell r="K978" t="str">
            <v>NCOU</v>
          </cell>
          <cell r="AB978" t="str">
            <v>Spleen</v>
          </cell>
        </row>
        <row r="979">
          <cell r="A979" t="str">
            <v>in storage</v>
          </cell>
          <cell r="K979" t="str">
            <v>NCOU</v>
          </cell>
          <cell r="AB979" t="str">
            <v>Liver</v>
          </cell>
        </row>
        <row r="980">
          <cell r="A980" t="str">
            <v>in storage</v>
          </cell>
          <cell r="K980" t="str">
            <v>NCOU</v>
          </cell>
          <cell r="AB980" t="str">
            <v>Mass- uterine</v>
          </cell>
        </row>
        <row r="981">
          <cell r="A981" t="str">
            <v>in storage</v>
          </cell>
          <cell r="K981" t="str">
            <v>LTAR</v>
          </cell>
          <cell r="AB981" t="str">
            <v>Kidney</v>
          </cell>
        </row>
        <row r="982">
          <cell r="A982" t="str">
            <v>in storage</v>
          </cell>
          <cell r="K982" t="str">
            <v>LTAR</v>
          </cell>
          <cell r="AB982" t="str">
            <v>Liver</v>
          </cell>
        </row>
        <row r="983">
          <cell r="A983" t="str">
            <v>in storage</v>
          </cell>
          <cell r="K983" t="str">
            <v>LTAR</v>
          </cell>
          <cell r="AB983" t="str">
            <v>Kidney</v>
          </cell>
        </row>
        <row r="984">
          <cell r="A984" t="str">
            <v>in storage</v>
          </cell>
          <cell r="K984" t="str">
            <v>LTAR</v>
          </cell>
          <cell r="AB984" t="str">
            <v>Spleen</v>
          </cell>
        </row>
        <row r="985">
          <cell r="A985" t="str">
            <v>in storage</v>
          </cell>
          <cell r="K985" t="str">
            <v>LTAR</v>
          </cell>
          <cell r="AB985" t="str">
            <v>Heart</v>
          </cell>
        </row>
        <row r="986">
          <cell r="A986" t="str">
            <v>in storage</v>
          </cell>
          <cell r="K986" t="str">
            <v>LTAR</v>
          </cell>
          <cell r="AB986" t="str">
            <v>Liver</v>
          </cell>
        </row>
        <row r="987">
          <cell r="A987" t="str">
            <v>in storage</v>
          </cell>
          <cell r="K987" t="str">
            <v>HGG</v>
          </cell>
          <cell r="AB987" t="str">
            <v>Kidney</v>
          </cell>
        </row>
        <row r="988">
          <cell r="A988" t="str">
            <v>in storage</v>
          </cell>
          <cell r="K988" t="str">
            <v>HGG</v>
          </cell>
          <cell r="AB988" t="str">
            <v>Spleen</v>
          </cell>
        </row>
        <row r="989">
          <cell r="A989" t="str">
            <v>in storage</v>
          </cell>
          <cell r="K989" t="str">
            <v>HGG</v>
          </cell>
          <cell r="AB989" t="str">
            <v>Lung</v>
          </cell>
        </row>
        <row r="990">
          <cell r="A990" t="str">
            <v>in storage</v>
          </cell>
          <cell r="K990" t="str">
            <v>HGG</v>
          </cell>
          <cell r="AB990" t="str">
            <v>Liver</v>
          </cell>
        </row>
        <row r="991">
          <cell r="A991" t="str">
            <v>in storage</v>
          </cell>
          <cell r="K991" t="str">
            <v>HGG</v>
          </cell>
          <cell r="AB991" t="str">
            <v>R- reproductive tract</v>
          </cell>
        </row>
        <row r="992">
          <cell r="A992" t="str">
            <v>in storage</v>
          </cell>
          <cell r="K992" t="str">
            <v>NPYG</v>
          </cell>
          <cell r="AB992" t="str">
            <v>Kidney</v>
          </cell>
        </row>
        <row r="993">
          <cell r="A993" t="str">
            <v>in storage</v>
          </cell>
          <cell r="K993" t="str">
            <v>NPYG</v>
          </cell>
          <cell r="AB993" t="str">
            <v>Heart</v>
          </cell>
        </row>
        <row r="994">
          <cell r="A994" t="str">
            <v>in storage</v>
          </cell>
          <cell r="K994" t="str">
            <v>NPYG</v>
          </cell>
          <cell r="AB994" t="str">
            <v>Liver</v>
          </cell>
        </row>
        <row r="995">
          <cell r="A995" t="str">
            <v>gone</v>
          </cell>
          <cell r="K995" t="str">
            <v>LCAT</v>
          </cell>
          <cell r="AB995" t="str">
            <v>R- placenta</v>
          </cell>
        </row>
        <row r="996">
          <cell r="A996" t="str">
            <v>gone</v>
          </cell>
          <cell r="K996" t="str">
            <v>LCAT</v>
          </cell>
          <cell r="AB996" t="str">
            <v>R- placenta</v>
          </cell>
        </row>
        <row r="997">
          <cell r="A997" t="str">
            <v>in storage</v>
          </cell>
          <cell r="K997" t="str">
            <v>PCOQ</v>
          </cell>
          <cell r="AB997" t="str">
            <v>Kidney</v>
          </cell>
        </row>
        <row r="998">
          <cell r="A998" t="str">
            <v>in storage</v>
          </cell>
          <cell r="K998" t="str">
            <v>PCOQ</v>
          </cell>
          <cell r="AB998" t="str">
            <v>Spleen</v>
          </cell>
        </row>
        <row r="999">
          <cell r="A999" t="str">
            <v>in storage</v>
          </cell>
          <cell r="K999" t="str">
            <v>PCOQ</v>
          </cell>
          <cell r="AB999" t="str">
            <v>Lung</v>
          </cell>
        </row>
        <row r="1000">
          <cell r="A1000" t="str">
            <v>in storage</v>
          </cell>
          <cell r="K1000" t="str">
            <v>PCOQ</v>
          </cell>
          <cell r="AB1000" t="str">
            <v>Liver</v>
          </cell>
        </row>
        <row r="1001">
          <cell r="A1001" t="str">
            <v>in storage</v>
          </cell>
          <cell r="K1001" t="str">
            <v>GMOH</v>
          </cell>
          <cell r="AB1001" t="str">
            <v>Kidney</v>
          </cell>
        </row>
        <row r="1002">
          <cell r="A1002" t="str">
            <v>in storage</v>
          </cell>
          <cell r="K1002" t="str">
            <v>GMOH</v>
          </cell>
          <cell r="AB1002" t="str">
            <v>Lung</v>
          </cell>
        </row>
        <row r="1003">
          <cell r="A1003" t="str">
            <v>in storage</v>
          </cell>
          <cell r="K1003" t="str">
            <v>GMOH</v>
          </cell>
          <cell r="AB1003" t="str">
            <v>Liver</v>
          </cell>
        </row>
        <row r="1004">
          <cell r="A1004" t="str">
            <v>in storage</v>
          </cell>
          <cell r="K1004" t="str">
            <v>GMOH</v>
          </cell>
          <cell r="AB1004" t="str">
            <v>Eye</v>
          </cell>
        </row>
        <row r="1005">
          <cell r="A1005" t="str">
            <v>unk</v>
          </cell>
          <cell r="K1005" t="str">
            <v>MMUR</v>
          </cell>
          <cell r="AB1005" t="str">
            <v>R- accessory sex glands</v>
          </cell>
        </row>
        <row r="1006">
          <cell r="A1006" t="str">
            <v>in storage</v>
          </cell>
          <cell r="K1006" t="str">
            <v>MMUR</v>
          </cell>
          <cell r="AB1006" t="str">
            <v>Liver</v>
          </cell>
        </row>
        <row r="1007">
          <cell r="A1007" t="str">
            <v>in storage</v>
          </cell>
          <cell r="K1007" t="str">
            <v>MMUR</v>
          </cell>
          <cell r="AB1007" t="str">
            <v>Liver</v>
          </cell>
        </row>
        <row r="1008">
          <cell r="A1008" t="str">
            <v>in storage</v>
          </cell>
          <cell r="K1008" t="str">
            <v>MMUR</v>
          </cell>
          <cell r="AB1008" t="str">
            <v>Liver</v>
          </cell>
        </row>
        <row r="1009">
          <cell r="A1009" t="str">
            <v>unk</v>
          </cell>
          <cell r="K1009" t="str">
            <v>MMUR</v>
          </cell>
          <cell r="AB1009" t="str">
            <v>Eye</v>
          </cell>
        </row>
        <row r="1010">
          <cell r="A1010" t="str">
            <v>unk</v>
          </cell>
          <cell r="K1010" t="str">
            <v>MMUR</v>
          </cell>
          <cell r="AB1010" t="str">
            <v>Lung</v>
          </cell>
        </row>
        <row r="1011">
          <cell r="A1011" t="str">
            <v>unk</v>
          </cell>
          <cell r="K1011" t="str">
            <v>MMUR</v>
          </cell>
          <cell r="AB1011" t="str">
            <v>Spleen</v>
          </cell>
        </row>
        <row r="1012">
          <cell r="A1012" t="str">
            <v>in storage</v>
          </cell>
          <cell r="K1012" t="str">
            <v>ECOL</v>
          </cell>
          <cell r="AB1012" t="str">
            <v>R- placenta</v>
          </cell>
        </row>
        <row r="1013">
          <cell r="A1013" t="str">
            <v>in storage</v>
          </cell>
          <cell r="K1013" t="str">
            <v>ECOL</v>
          </cell>
          <cell r="AB1013" t="str">
            <v>Kidney</v>
          </cell>
        </row>
        <row r="1014">
          <cell r="A1014" t="str">
            <v>in storage</v>
          </cell>
          <cell r="K1014" t="str">
            <v>ECOL</v>
          </cell>
          <cell r="AB1014" t="str">
            <v>Lung</v>
          </cell>
        </row>
        <row r="1015">
          <cell r="A1015" t="str">
            <v>in storage</v>
          </cell>
          <cell r="K1015" t="str">
            <v>ECOL</v>
          </cell>
          <cell r="AB1015" t="str">
            <v>Liver</v>
          </cell>
        </row>
        <row r="1016">
          <cell r="A1016" t="str">
            <v>in storage</v>
          </cell>
          <cell r="K1016" t="str">
            <v>ECOL</v>
          </cell>
          <cell r="AB1016" t="str">
            <v>Kidney</v>
          </cell>
        </row>
        <row r="1017">
          <cell r="A1017" t="str">
            <v>in storage</v>
          </cell>
          <cell r="K1017" t="str">
            <v>ECOL</v>
          </cell>
          <cell r="AB1017" t="str">
            <v>Lung</v>
          </cell>
        </row>
        <row r="1018">
          <cell r="A1018" t="str">
            <v>in storage</v>
          </cell>
          <cell r="K1018" t="str">
            <v>ECOL</v>
          </cell>
          <cell r="AB1018" t="str">
            <v>Liver</v>
          </cell>
        </row>
        <row r="1019">
          <cell r="A1019" t="str">
            <v>in storage</v>
          </cell>
          <cell r="K1019" t="str">
            <v>ECOL</v>
          </cell>
          <cell r="AB1019" t="str">
            <v>R- milk</v>
          </cell>
        </row>
        <row r="1020">
          <cell r="A1020" t="str">
            <v>in storage</v>
          </cell>
          <cell r="K1020" t="str">
            <v>CMED</v>
          </cell>
          <cell r="AB1020" t="str">
            <v>Kidney</v>
          </cell>
        </row>
        <row r="1021">
          <cell r="A1021" t="str">
            <v>in storage</v>
          </cell>
          <cell r="K1021" t="str">
            <v>CMED</v>
          </cell>
          <cell r="AB1021" t="str">
            <v>Spleen</v>
          </cell>
        </row>
        <row r="1022">
          <cell r="A1022" t="str">
            <v>in storage</v>
          </cell>
          <cell r="K1022" t="str">
            <v>CMED</v>
          </cell>
          <cell r="AB1022" t="str">
            <v>Lung</v>
          </cell>
        </row>
        <row r="1023">
          <cell r="A1023" t="str">
            <v>in storage</v>
          </cell>
          <cell r="K1023" t="str">
            <v>CMED</v>
          </cell>
          <cell r="AB1023" t="str">
            <v>Liver</v>
          </cell>
        </row>
        <row r="1024">
          <cell r="A1024" t="str">
            <v>unk</v>
          </cell>
          <cell r="K1024" t="str">
            <v>CMED</v>
          </cell>
          <cell r="AB1024" t="str">
            <v>Eye</v>
          </cell>
        </row>
        <row r="1025">
          <cell r="A1025" t="str">
            <v>unk</v>
          </cell>
          <cell r="K1025" t="str">
            <v>CMED</v>
          </cell>
          <cell r="AB1025" t="str">
            <v>Heart</v>
          </cell>
        </row>
        <row r="1026">
          <cell r="A1026" t="str">
            <v>unk</v>
          </cell>
          <cell r="K1026" t="str">
            <v>CMED</v>
          </cell>
          <cell r="AB1026" t="str">
            <v>R- teste(s)</v>
          </cell>
        </row>
        <row r="1027">
          <cell r="A1027" t="str">
            <v>in storage</v>
          </cell>
          <cell r="K1027" t="str">
            <v>CMED</v>
          </cell>
          <cell r="AB1027" t="str">
            <v>Eye</v>
          </cell>
        </row>
        <row r="1028">
          <cell r="A1028" t="str">
            <v>in storage</v>
          </cell>
          <cell r="K1028" t="str">
            <v>ESAN</v>
          </cell>
          <cell r="AB1028" t="str">
            <v>Eye</v>
          </cell>
        </row>
        <row r="1029">
          <cell r="A1029" t="str">
            <v>in storage</v>
          </cell>
          <cell r="K1029" t="str">
            <v>EFLA</v>
          </cell>
          <cell r="AB1029" t="str">
            <v>R- uterus</v>
          </cell>
        </row>
        <row r="1030">
          <cell r="A1030" t="str">
            <v>in storage</v>
          </cell>
          <cell r="K1030" t="str">
            <v>LCAT</v>
          </cell>
          <cell r="AB1030" t="str">
            <v>Liver</v>
          </cell>
        </row>
        <row r="1031">
          <cell r="A1031" t="str">
            <v>in storage</v>
          </cell>
          <cell r="K1031" t="str">
            <v>DMAD</v>
          </cell>
          <cell r="AB1031" t="str">
            <v>GI- large intestine</v>
          </cell>
        </row>
        <row r="1032">
          <cell r="A1032" t="str">
            <v>in storage</v>
          </cell>
          <cell r="K1032" t="str">
            <v>LTAR</v>
          </cell>
          <cell r="AB1032" t="str">
            <v>Kidney</v>
          </cell>
        </row>
        <row r="1033">
          <cell r="A1033" t="str">
            <v>in storage</v>
          </cell>
          <cell r="K1033" t="str">
            <v>LTAR</v>
          </cell>
          <cell r="AB1033" t="str">
            <v>Spleen</v>
          </cell>
        </row>
        <row r="1034">
          <cell r="A1034" t="str">
            <v>in storage</v>
          </cell>
          <cell r="K1034" t="str">
            <v>LTAR</v>
          </cell>
          <cell r="AB1034" t="str">
            <v>Lung</v>
          </cell>
        </row>
        <row r="1035">
          <cell r="A1035" t="str">
            <v>in storage</v>
          </cell>
          <cell r="K1035" t="str">
            <v>LTAR</v>
          </cell>
          <cell r="AB1035" t="str">
            <v>Liver</v>
          </cell>
        </row>
        <row r="1036">
          <cell r="A1036" t="str">
            <v>in storage</v>
          </cell>
          <cell r="K1036" t="str">
            <v>LTAR</v>
          </cell>
          <cell r="AB1036" t="str">
            <v>R- teste(s)</v>
          </cell>
        </row>
        <row r="1037">
          <cell r="A1037" t="str">
            <v>in storage</v>
          </cell>
          <cell r="K1037" t="str">
            <v>ECOR</v>
          </cell>
          <cell r="AB1037" t="str">
            <v>parasite(s)</v>
          </cell>
        </row>
        <row r="1038">
          <cell r="A1038" t="str">
            <v>in storage</v>
          </cell>
          <cell r="K1038" t="str">
            <v>ECOR</v>
          </cell>
          <cell r="AB1038" t="str">
            <v>Eye</v>
          </cell>
        </row>
        <row r="1039">
          <cell r="A1039" t="str">
            <v>in storage</v>
          </cell>
          <cell r="K1039" t="str">
            <v>ECOR</v>
          </cell>
          <cell r="AB1039" t="str">
            <v>Kidney</v>
          </cell>
        </row>
        <row r="1040">
          <cell r="A1040" t="str">
            <v>in storage</v>
          </cell>
          <cell r="K1040" t="str">
            <v>ECOR</v>
          </cell>
          <cell r="AB1040" t="str">
            <v>Spleen</v>
          </cell>
        </row>
        <row r="1041">
          <cell r="A1041" t="str">
            <v>in storage</v>
          </cell>
          <cell r="K1041" t="str">
            <v>ECOR</v>
          </cell>
          <cell r="AB1041" t="str">
            <v>Heart</v>
          </cell>
        </row>
        <row r="1042">
          <cell r="A1042" t="str">
            <v>in storage</v>
          </cell>
          <cell r="K1042" t="str">
            <v>ECOR</v>
          </cell>
          <cell r="AB1042" t="str">
            <v>Liver</v>
          </cell>
        </row>
        <row r="1043">
          <cell r="A1043" t="str">
            <v>in storage</v>
          </cell>
          <cell r="K1043" t="str">
            <v>EFLA</v>
          </cell>
          <cell r="AB1043" t="str">
            <v>Skin</v>
          </cell>
        </row>
        <row r="1044">
          <cell r="A1044" t="str">
            <v>in storage</v>
          </cell>
          <cell r="K1044" t="str">
            <v>DMAD</v>
          </cell>
          <cell r="AB1044" t="str">
            <v>GI- small intestine</v>
          </cell>
        </row>
        <row r="1045">
          <cell r="A1045" t="str">
            <v>in storage</v>
          </cell>
          <cell r="K1045" t="str">
            <v>PCOQ</v>
          </cell>
          <cell r="AB1045" t="str">
            <v>Pancreas</v>
          </cell>
        </row>
        <row r="1046">
          <cell r="A1046" t="str">
            <v>in storage</v>
          </cell>
          <cell r="K1046" t="str">
            <v>PCOQ</v>
          </cell>
          <cell r="AB1046" t="str">
            <v>Kidney</v>
          </cell>
        </row>
        <row r="1047">
          <cell r="A1047" t="str">
            <v>in storage</v>
          </cell>
          <cell r="K1047" t="str">
            <v>PCOQ</v>
          </cell>
          <cell r="AB1047" t="str">
            <v>Spleen</v>
          </cell>
        </row>
        <row r="1048">
          <cell r="A1048" t="str">
            <v>in storage</v>
          </cell>
          <cell r="K1048" t="str">
            <v>PCOQ</v>
          </cell>
          <cell r="AB1048" t="str">
            <v>Heart</v>
          </cell>
        </row>
        <row r="1049">
          <cell r="A1049" t="str">
            <v>in storage</v>
          </cell>
          <cell r="K1049" t="str">
            <v>PCOQ</v>
          </cell>
          <cell r="AB1049" t="str">
            <v>Lung</v>
          </cell>
        </row>
        <row r="1050">
          <cell r="A1050" t="str">
            <v>in storage</v>
          </cell>
          <cell r="K1050" t="str">
            <v>PCOQ</v>
          </cell>
          <cell r="AB1050" t="str">
            <v>Liver</v>
          </cell>
        </row>
        <row r="1051">
          <cell r="A1051" t="str">
            <v>in storage</v>
          </cell>
          <cell r="K1051" t="str">
            <v>PCOQ</v>
          </cell>
          <cell r="AB1051" t="str">
            <v>Liver</v>
          </cell>
        </row>
        <row r="1052">
          <cell r="A1052" t="str">
            <v>in storage</v>
          </cell>
          <cell r="K1052" t="str">
            <v>PCOQ</v>
          </cell>
          <cell r="AB1052" t="str">
            <v>R- teste(s)</v>
          </cell>
        </row>
        <row r="1053">
          <cell r="A1053" t="str">
            <v>in storage</v>
          </cell>
          <cell r="K1053" t="str">
            <v>DMAD</v>
          </cell>
          <cell r="AB1053" t="str">
            <v>GI- stomach</v>
          </cell>
        </row>
        <row r="1054">
          <cell r="A1054" t="str">
            <v>in storage</v>
          </cell>
          <cell r="K1054" t="str">
            <v>PCOQ</v>
          </cell>
          <cell r="AB1054" t="str">
            <v>R- teste(s)</v>
          </cell>
        </row>
        <row r="1055">
          <cell r="A1055" t="str">
            <v>in storage</v>
          </cell>
          <cell r="K1055" t="str">
            <v>PCOQ</v>
          </cell>
          <cell r="AB1055" t="str">
            <v>Liver</v>
          </cell>
        </row>
        <row r="1056">
          <cell r="A1056" t="str">
            <v>in storage</v>
          </cell>
          <cell r="K1056" t="str">
            <v>LCAT</v>
          </cell>
          <cell r="AB1056" t="str">
            <v>Heart</v>
          </cell>
        </row>
        <row r="1057">
          <cell r="A1057" t="str">
            <v>in storage</v>
          </cell>
          <cell r="K1057" t="str">
            <v>LCAT</v>
          </cell>
          <cell r="AB1057" t="str">
            <v>Lung</v>
          </cell>
        </row>
        <row r="1058">
          <cell r="A1058" t="str">
            <v>in storage</v>
          </cell>
          <cell r="K1058" t="str">
            <v>LCAT</v>
          </cell>
          <cell r="AB1058" t="str">
            <v>Liver</v>
          </cell>
        </row>
        <row r="1059">
          <cell r="A1059" t="str">
            <v>in storage</v>
          </cell>
          <cell r="K1059" t="str">
            <v>LCAT</v>
          </cell>
          <cell r="AB1059" t="str">
            <v>Kidney</v>
          </cell>
        </row>
        <row r="1060">
          <cell r="A1060" t="str">
            <v>in storage</v>
          </cell>
          <cell r="K1060" t="str">
            <v>LCAT</v>
          </cell>
          <cell r="AB1060" t="str">
            <v>R- teste(s)</v>
          </cell>
        </row>
        <row r="1061">
          <cell r="A1061" t="str">
            <v>in storage</v>
          </cell>
          <cell r="K1061" t="str">
            <v>LCAT</v>
          </cell>
          <cell r="AB1061" t="str">
            <v>Eye</v>
          </cell>
        </row>
        <row r="1062">
          <cell r="A1062" t="str">
            <v>in storage</v>
          </cell>
          <cell r="K1062" t="str">
            <v>ECOR</v>
          </cell>
          <cell r="AB1062" t="str">
            <v>Eye</v>
          </cell>
        </row>
        <row r="1063">
          <cell r="A1063" t="str">
            <v>in storage</v>
          </cell>
          <cell r="K1063" t="str">
            <v>ECOR</v>
          </cell>
          <cell r="AB1063" t="str">
            <v>Kidney</v>
          </cell>
        </row>
        <row r="1064">
          <cell r="A1064" t="str">
            <v>in storage</v>
          </cell>
          <cell r="K1064" t="str">
            <v>ECOR</v>
          </cell>
          <cell r="AB1064" t="str">
            <v>Spleen</v>
          </cell>
        </row>
        <row r="1065">
          <cell r="A1065" t="str">
            <v>in storage</v>
          </cell>
          <cell r="K1065" t="str">
            <v>ECOR</v>
          </cell>
          <cell r="AB1065" t="str">
            <v>Heart</v>
          </cell>
        </row>
        <row r="1066">
          <cell r="A1066" t="str">
            <v>in storage</v>
          </cell>
          <cell r="K1066" t="str">
            <v>ECOR</v>
          </cell>
          <cell r="AB1066" t="str">
            <v>Lung</v>
          </cell>
        </row>
        <row r="1067">
          <cell r="A1067" t="str">
            <v>in storage</v>
          </cell>
          <cell r="K1067" t="str">
            <v>ECOR</v>
          </cell>
          <cell r="AB1067" t="str">
            <v>Liver</v>
          </cell>
        </row>
        <row r="1068">
          <cell r="A1068" t="str">
            <v>in storage</v>
          </cell>
          <cell r="K1068" t="str">
            <v>ECOR</v>
          </cell>
          <cell r="AB1068" t="str">
            <v>Liver</v>
          </cell>
        </row>
        <row r="1069">
          <cell r="A1069" t="str">
            <v>in storage</v>
          </cell>
          <cell r="K1069" t="str">
            <v>ECOR</v>
          </cell>
          <cell r="AB1069" t="str">
            <v>Liver</v>
          </cell>
        </row>
        <row r="1070">
          <cell r="A1070" t="str">
            <v>in storage</v>
          </cell>
          <cell r="K1070" t="str">
            <v>ECOR</v>
          </cell>
          <cell r="AB1070" t="str">
            <v>R- teste(s)</v>
          </cell>
        </row>
        <row r="1071">
          <cell r="A1071" t="str">
            <v>in storage</v>
          </cell>
          <cell r="K1071" t="str">
            <v>DMAD</v>
          </cell>
          <cell r="AB1071" t="str">
            <v>GI Contents- cecum/ colon</v>
          </cell>
        </row>
        <row r="1072">
          <cell r="A1072" t="str">
            <v>in storage</v>
          </cell>
          <cell r="K1072" t="str">
            <v>MZAZ</v>
          </cell>
          <cell r="AB1072" t="str">
            <v>Kidney</v>
          </cell>
        </row>
        <row r="1073">
          <cell r="A1073" t="str">
            <v>in storage</v>
          </cell>
          <cell r="K1073" t="str">
            <v>MZAZ</v>
          </cell>
          <cell r="AB1073" t="str">
            <v>Spleen</v>
          </cell>
        </row>
        <row r="1074">
          <cell r="A1074" t="str">
            <v>in storage</v>
          </cell>
          <cell r="K1074" t="str">
            <v>MZAZ</v>
          </cell>
          <cell r="AB1074" t="str">
            <v>Heart</v>
          </cell>
        </row>
        <row r="1075">
          <cell r="A1075" t="str">
            <v>in storage</v>
          </cell>
          <cell r="K1075" t="str">
            <v>MZAZ</v>
          </cell>
          <cell r="AB1075" t="str">
            <v>Lung</v>
          </cell>
        </row>
        <row r="1076">
          <cell r="A1076" t="str">
            <v>in storage</v>
          </cell>
          <cell r="K1076" t="str">
            <v>MZAZ</v>
          </cell>
          <cell r="AB1076" t="str">
            <v>Liver</v>
          </cell>
        </row>
        <row r="1077">
          <cell r="A1077" t="str">
            <v>in storage</v>
          </cell>
          <cell r="K1077" t="str">
            <v>MZAZ</v>
          </cell>
          <cell r="AB1077" t="str">
            <v>R- teste(s)</v>
          </cell>
        </row>
        <row r="1078">
          <cell r="A1078" t="str">
            <v>in storage</v>
          </cell>
          <cell r="K1078" t="str">
            <v>MZAZ</v>
          </cell>
          <cell r="AB1078" t="str">
            <v>Eye</v>
          </cell>
        </row>
        <row r="1079">
          <cell r="A1079" t="str">
            <v>unk</v>
          </cell>
          <cell r="K1079" t="str">
            <v>MZAZ</v>
          </cell>
          <cell r="AB1079" t="str">
            <v>Mass- seminal vesicle</v>
          </cell>
        </row>
        <row r="1080">
          <cell r="A1080" t="str">
            <v>in storage</v>
          </cell>
          <cell r="K1080" t="str">
            <v>ERUF</v>
          </cell>
          <cell r="AB1080" t="str">
            <v>Eye</v>
          </cell>
        </row>
        <row r="1081">
          <cell r="A1081" t="str">
            <v>in storage</v>
          </cell>
          <cell r="K1081" t="str">
            <v>DMAD</v>
          </cell>
          <cell r="AB1081" t="str">
            <v>GI Contents- duodenum</v>
          </cell>
        </row>
        <row r="1082">
          <cell r="A1082" t="str">
            <v>in storage</v>
          </cell>
          <cell r="K1082" t="str">
            <v>ERUF</v>
          </cell>
          <cell r="AB1082" t="str">
            <v>Kidney</v>
          </cell>
        </row>
        <row r="1083">
          <cell r="A1083" t="str">
            <v>in storage</v>
          </cell>
          <cell r="K1083" t="str">
            <v>ERUF</v>
          </cell>
          <cell r="AB1083" t="str">
            <v>Spleen</v>
          </cell>
        </row>
        <row r="1084">
          <cell r="A1084" t="str">
            <v>in storage</v>
          </cell>
          <cell r="K1084" t="str">
            <v>ERUF</v>
          </cell>
          <cell r="AB1084" t="str">
            <v>Heart</v>
          </cell>
        </row>
        <row r="1085">
          <cell r="A1085" t="str">
            <v>in storage</v>
          </cell>
          <cell r="K1085" t="str">
            <v>ERUF</v>
          </cell>
          <cell r="AB1085" t="str">
            <v>Lung</v>
          </cell>
        </row>
        <row r="1086">
          <cell r="A1086" t="str">
            <v>in storage</v>
          </cell>
          <cell r="K1086" t="str">
            <v>ERUF</v>
          </cell>
          <cell r="AB1086" t="str">
            <v>Liver</v>
          </cell>
        </row>
        <row r="1087">
          <cell r="A1087" t="str">
            <v>in storage</v>
          </cell>
          <cell r="K1087" t="str">
            <v>ERUF</v>
          </cell>
          <cell r="AB1087" t="str">
            <v>R- teste(s)</v>
          </cell>
        </row>
        <row r="1088">
          <cell r="A1088" t="str">
            <v>in storage</v>
          </cell>
          <cell r="K1088" t="str">
            <v>ERUF</v>
          </cell>
          <cell r="AB1088" t="str">
            <v>Tongue</v>
          </cell>
        </row>
        <row r="1089">
          <cell r="A1089" t="str">
            <v>in storage</v>
          </cell>
          <cell r="K1089" t="str">
            <v>DMAD</v>
          </cell>
          <cell r="AB1089" t="str">
            <v>GI Contents- ileum</v>
          </cell>
        </row>
        <row r="1090">
          <cell r="A1090" t="str">
            <v>in storage</v>
          </cell>
          <cell r="K1090" t="str">
            <v>DMAD</v>
          </cell>
          <cell r="AB1090" t="str">
            <v>GI Contents- jejunum</v>
          </cell>
        </row>
        <row r="1091">
          <cell r="A1091" t="str">
            <v>in storage</v>
          </cell>
          <cell r="K1091" t="str">
            <v>DMAD</v>
          </cell>
          <cell r="AB1091" t="str">
            <v>GI Contents- cecum</v>
          </cell>
        </row>
        <row r="1092">
          <cell r="A1092" t="str">
            <v>in storage</v>
          </cell>
          <cell r="K1092" t="str">
            <v>DMAD</v>
          </cell>
          <cell r="AB1092" t="str">
            <v>GI- cecum</v>
          </cell>
        </row>
        <row r="1093">
          <cell r="A1093" t="str">
            <v>in storage</v>
          </cell>
          <cell r="K1093" t="str">
            <v>DMAD</v>
          </cell>
          <cell r="AB1093" t="str">
            <v>GI- esophagus</v>
          </cell>
        </row>
        <row r="1094">
          <cell r="A1094" t="str">
            <v>in storage</v>
          </cell>
          <cell r="K1094" t="str">
            <v>ESAN</v>
          </cell>
          <cell r="AB1094" t="str">
            <v>Kidney</v>
          </cell>
        </row>
        <row r="1095">
          <cell r="A1095" t="str">
            <v>in storage</v>
          </cell>
          <cell r="K1095" t="str">
            <v>ESAN</v>
          </cell>
          <cell r="AB1095" t="str">
            <v>Spleen</v>
          </cell>
        </row>
        <row r="1096">
          <cell r="A1096" t="str">
            <v>in storage</v>
          </cell>
          <cell r="K1096" t="str">
            <v>ESAN</v>
          </cell>
          <cell r="AB1096" t="str">
            <v>Heart</v>
          </cell>
        </row>
        <row r="1097">
          <cell r="A1097" t="str">
            <v>in storage</v>
          </cell>
          <cell r="K1097" t="str">
            <v>ESAN</v>
          </cell>
          <cell r="AB1097" t="str">
            <v>Liver</v>
          </cell>
        </row>
        <row r="1098">
          <cell r="A1098" t="str">
            <v>in storage</v>
          </cell>
          <cell r="K1098" t="str">
            <v>ESAN</v>
          </cell>
          <cell r="AB1098" t="str">
            <v>Eye</v>
          </cell>
        </row>
        <row r="1099">
          <cell r="A1099" t="str">
            <v>in storage</v>
          </cell>
          <cell r="K1099" t="str">
            <v>ESAN</v>
          </cell>
          <cell r="AB1099" t="str">
            <v>Muscle</v>
          </cell>
        </row>
        <row r="1100">
          <cell r="A1100" t="str">
            <v>in storage</v>
          </cell>
          <cell r="K1100" t="str">
            <v>HGG</v>
          </cell>
          <cell r="AB1100" t="str">
            <v>Kidney</v>
          </cell>
        </row>
        <row r="1101">
          <cell r="A1101" t="str">
            <v>in storage</v>
          </cell>
          <cell r="K1101" t="str">
            <v>HGG</v>
          </cell>
          <cell r="AB1101" t="str">
            <v>Spleen</v>
          </cell>
        </row>
        <row r="1102">
          <cell r="A1102" t="str">
            <v>in storage</v>
          </cell>
          <cell r="K1102" t="str">
            <v>HGG</v>
          </cell>
          <cell r="AB1102" t="str">
            <v>Heart</v>
          </cell>
        </row>
        <row r="1103">
          <cell r="A1103" t="str">
            <v>in storage</v>
          </cell>
          <cell r="K1103" t="str">
            <v>HGG</v>
          </cell>
          <cell r="AB1103" t="str">
            <v>Liver</v>
          </cell>
        </row>
        <row r="1104">
          <cell r="A1104" t="str">
            <v>in storage</v>
          </cell>
          <cell r="K1104" t="str">
            <v>ESAN</v>
          </cell>
          <cell r="AB1104" t="str">
            <v>Kidney</v>
          </cell>
        </row>
        <row r="1105">
          <cell r="A1105" t="str">
            <v>in storage</v>
          </cell>
          <cell r="K1105" t="str">
            <v>ESAN</v>
          </cell>
          <cell r="AB1105" t="str">
            <v>Spleen</v>
          </cell>
        </row>
        <row r="1106">
          <cell r="A1106" t="str">
            <v>in storage</v>
          </cell>
          <cell r="K1106" t="str">
            <v>ESAN</v>
          </cell>
          <cell r="AB1106" t="str">
            <v>Heart</v>
          </cell>
        </row>
        <row r="1107">
          <cell r="A1107" t="str">
            <v>in storage</v>
          </cell>
          <cell r="K1107" t="str">
            <v>ESAN</v>
          </cell>
          <cell r="AB1107" t="str">
            <v>Liver</v>
          </cell>
        </row>
        <row r="1108">
          <cell r="A1108" t="str">
            <v>in storage</v>
          </cell>
          <cell r="K1108" t="str">
            <v>DMAD</v>
          </cell>
          <cell r="AB1108" t="str">
            <v>GI- large intestine</v>
          </cell>
        </row>
        <row r="1109">
          <cell r="A1109" t="str">
            <v>in storage</v>
          </cell>
          <cell r="K1109" t="str">
            <v>ESAN</v>
          </cell>
          <cell r="AB1109" t="str">
            <v>Mass- lung</v>
          </cell>
        </row>
        <row r="1110">
          <cell r="A1110" t="str">
            <v>in storage</v>
          </cell>
          <cell r="K1110" t="str">
            <v>GMOH</v>
          </cell>
          <cell r="AB1110" t="str">
            <v>Mass- abdominal</v>
          </cell>
        </row>
        <row r="1111">
          <cell r="A1111" t="str">
            <v>in storage</v>
          </cell>
          <cell r="K1111" t="str">
            <v>GMOH</v>
          </cell>
          <cell r="AB1111" t="str">
            <v>Kidney</v>
          </cell>
        </row>
        <row r="1112">
          <cell r="A1112" t="str">
            <v>in storage</v>
          </cell>
          <cell r="K1112" t="str">
            <v>GMOH</v>
          </cell>
          <cell r="AB1112" t="str">
            <v>Heart</v>
          </cell>
        </row>
        <row r="1113">
          <cell r="A1113" t="str">
            <v>in storage</v>
          </cell>
          <cell r="K1113" t="str">
            <v>GMOH</v>
          </cell>
          <cell r="AB1113" t="str">
            <v>Lung</v>
          </cell>
        </row>
        <row r="1114">
          <cell r="A1114" t="str">
            <v>in storage</v>
          </cell>
          <cell r="K1114" t="str">
            <v>GMOH</v>
          </cell>
          <cell r="AB1114" t="str">
            <v>Liver</v>
          </cell>
        </row>
        <row r="1115">
          <cell r="A1115" t="str">
            <v>in storage</v>
          </cell>
          <cell r="K1115" t="str">
            <v>EFLA</v>
          </cell>
          <cell r="AB1115" t="str">
            <v>Kidney</v>
          </cell>
        </row>
        <row r="1116">
          <cell r="A1116" t="str">
            <v>in storage</v>
          </cell>
          <cell r="K1116" t="str">
            <v>EFLA</v>
          </cell>
          <cell r="AB1116" t="str">
            <v>Spleen</v>
          </cell>
        </row>
        <row r="1117">
          <cell r="A1117" t="str">
            <v>in storage</v>
          </cell>
          <cell r="K1117" t="str">
            <v>EFLA</v>
          </cell>
          <cell r="AB1117" t="str">
            <v>Heart</v>
          </cell>
        </row>
        <row r="1118">
          <cell r="A1118" t="str">
            <v>in storage</v>
          </cell>
          <cell r="K1118" t="str">
            <v>EFLA</v>
          </cell>
          <cell r="AB1118" t="str">
            <v>Lung</v>
          </cell>
        </row>
        <row r="1119">
          <cell r="A1119" t="str">
            <v>in storage</v>
          </cell>
          <cell r="K1119" t="str">
            <v>EFLA</v>
          </cell>
          <cell r="AB1119" t="str">
            <v>Liver</v>
          </cell>
        </row>
        <row r="1120">
          <cell r="A1120" t="str">
            <v>in storage</v>
          </cell>
          <cell r="K1120" t="str">
            <v>EFLA</v>
          </cell>
          <cell r="AB1120" t="str">
            <v>R- teste(s)</v>
          </cell>
        </row>
        <row r="1121">
          <cell r="A1121" t="str">
            <v>in storage</v>
          </cell>
          <cell r="K1121" t="str">
            <v>DMAD</v>
          </cell>
          <cell r="AB1121" t="str">
            <v>GI- small intestine</v>
          </cell>
        </row>
        <row r="1122">
          <cell r="A1122" t="str">
            <v>in storage</v>
          </cell>
          <cell r="K1122" t="str">
            <v>ECOR</v>
          </cell>
          <cell r="AB1122" t="str">
            <v>Kidney</v>
          </cell>
        </row>
        <row r="1123">
          <cell r="A1123" t="str">
            <v>in storage</v>
          </cell>
          <cell r="K1123" t="str">
            <v>ECOR</v>
          </cell>
          <cell r="AB1123" t="str">
            <v>Spleen</v>
          </cell>
        </row>
        <row r="1124">
          <cell r="A1124" t="str">
            <v>in storage</v>
          </cell>
          <cell r="K1124" t="str">
            <v>ECOR</v>
          </cell>
          <cell r="AB1124" t="str">
            <v>Heart</v>
          </cell>
        </row>
        <row r="1125">
          <cell r="A1125" t="str">
            <v>in storage</v>
          </cell>
          <cell r="K1125" t="str">
            <v>ECOR</v>
          </cell>
          <cell r="AB1125" t="str">
            <v>Lung</v>
          </cell>
        </row>
        <row r="1126">
          <cell r="A1126" t="str">
            <v>in storage</v>
          </cell>
          <cell r="K1126" t="str">
            <v>ECOR</v>
          </cell>
          <cell r="AB1126" t="str">
            <v>Liver</v>
          </cell>
        </row>
        <row r="1127">
          <cell r="A1127" t="str">
            <v>in storage</v>
          </cell>
          <cell r="K1127" t="str">
            <v>ECOR</v>
          </cell>
          <cell r="AB1127" t="str">
            <v>Mass- GI tract</v>
          </cell>
        </row>
        <row r="1128">
          <cell r="A1128" t="str">
            <v>in storage</v>
          </cell>
          <cell r="K1128" t="str">
            <v>ECOR</v>
          </cell>
          <cell r="AB1128" t="str">
            <v>Mass- uterine</v>
          </cell>
        </row>
        <row r="1129">
          <cell r="A1129" t="str">
            <v>unk</v>
          </cell>
          <cell r="K1129" t="str">
            <v>LCAT</v>
          </cell>
          <cell r="AB1129" t="str">
            <v>R- placenta</v>
          </cell>
        </row>
        <row r="1130">
          <cell r="A1130" t="str">
            <v>in storage</v>
          </cell>
          <cell r="K1130" t="str">
            <v>HGG</v>
          </cell>
          <cell r="AB1130" t="str">
            <v>Kidney</v>
          </cell>
        </row>
        <row r="1131">
          <cell r="A1131" t="str">
            <v>in storage</v>
          </cell>
          <cell r="K1131" t="str">
            <v>HGG</v>
          </cell>
          <cell r="AB1131" t="str">
            <v>Spleen</v>
          </cell>
        </row>
        <row r="1132">
          <cell r="A1132" t="str">
            <v>in storage</v>
          </cell>
          <cell r="K1132" t="str">
            <v>HGG</v>
          </cell>
          <cell r="AB1132" t="str">
            <v>Heart</v>
          </cell>
        </row>
        <row r="1133">
          <cell r="A1133" t="str">
            <v>in storage</v>
          </cell>
          <cell r="K1133" t="str">
            <v>HGG</v>
          </cell>
          <cell r="AB1133" t="str">
            <v>Liver</v>
          </cell>
        </row>
        <row r="1134">
          <cell r="A1134" t="str">
            <v>in storage</v>
          </cell>
          <cell r="K1134" t="str">
            <v>HGG</v>
          </cell>
          <cell r="AB1134" t="str">
            <v>R- reproductive tract</v>
          </cell>
        </row>
        <row r="1135">
          <cell r="A1135" t="str">
            <v>in storage</v>
          </cell>
          <cell r="K1135" t="str">
            <v>HGG</v>
          </cell>
          <cell r="AB1135" t="str">
            <v>Eye</v>
          </cell>
        </row>
        <row r="1136">
          <cell r="A1136" t="str">
            <v>in storage</v>
          </cell>
          <cell r="K1136" t="str">
            <v>EALB</v>
          </cell>
          <cell r="AB1136" t="str">
            <v>Kidney</v>
          </cell>
        </row>
        <row r="1137">
          <cell r="A1137" t="str">
            <v>in storage</v>
          </cell>
          <cell r="K1137" t="str">
            <v>EALB</v>
          </cell>
          <cell r="AB1137" t="str">
            <v>Spleen</v>
          </cell>
        </row>
        <row r="1138">
          <cell r="A1138" t="str">
            <v>in storage</v>
          </cell>
          <cell r="K1138" t="str">
            <v>EALB</v>
          </cell>
          <cell r="AB1138" t="str">
            <v>Heart</v>
          </cell>
        </row>
        <row r="1139">
          <cell r="A1139" t="str">
            <v>in storage</v>
          </cell>
          <cell r="K1139" t="str">
            <v>EALB</v>
          </cell>
          <cell r="AB1139" t="str">
            <v>Lung</v>
          </cell>
        </row>
        <row r="1140">
          <cell r="A1140" t="str">
            <v>in storage</v>
          </cell>
          <cell r="K1140" t="str">
            <v>EALB</v>
          </cell>
          <cell r="AB1140" t="str">
            <v>Liver</v>
          </cell>
        </row>
        <row r="1141">
          <cell r="A1141" t="str">
            <v>unk</v>
          </cell>
          <cell r="K1141" t="str">
            <v>EALB</v>
          </cell>
          <cell r="AB1141" t="str">
            <v>parasite(s)</v>
          </cell>
        </row>
        <row r="1142">
          <cell r="A1142" t="str">
            <v>in storage</v>
          </cell>
          <cell r="K1142" t="str">
            <v>EALB</v>
          </cell>
          <cell r="AB1142" t="str">
            <v>R- teste(s)</v>
          </cell>
        </row>
        <row r="1143">
          <cell r="A1143" t="str">
            <v>in storage</v>
          </cell>
          <cell r="K1143" t="str">
            <v>EALB</v>
          </cell>
          <cell r="AB1143" t="str">
            <v>Mass- adrenal</v>
          </cell>
        </row>
        <row r="1144">
          <cell r="A1144" t="str">
            <v>in storage</v>
          </cell>
          <cell r="K1144" t="str">
            <v>EALB</v>
          </cell>
          <cell r="AB1144" t="str">
            <v>Mass- liver</v>
          </cell>
        </row>
        <row r="1145">
          <cell r="A1145" t="str">
            <v>in storage</v>
          </cell>
          <cell r="K1145" t="str">
            <v>VRUB</v>
          </cell>
          <cell r="AB1145" t="str">
            <v>Liver</v>
          </cell>
        </row>
        <row r="1146">
          <cell r="A1146" t="str">
            <v>in storage</v>
          </cell>
          <cell r="K1146" t="str">
            <v>VRUB</v>
          </cell>
          <cell r="AB1146" t="str">
            <v>Kidney</v>
          </cell>
        </row>
        <row r="1147">
          <cell r="A1147" t="str">
            <v>in storage</v>
          </cell>
          <cell r="K1147" t="str">
            <v>VRUB</v>
          </cell>
          <cell r="AB1147" t="str">
            <v>Heart</v>
          </cell>
        </row>
        <row r="1148">
          <cell r="A1148" t="str">
            <v>in storage</v>
          </cell>
          <cell r="K1148" t="str">
            <v>VRUB</v>
          </cell>
          <cell r="AB1148" t="str">
            <v>Muscle</v>
          </cell>
        </row>
        <row r="1149">
          <cell r="A1149" t="str">
            <v>in storage</v>
          </cell>
          <cell r="K1149" t="str">
            <v>MMUR</v>
          </cell>
          <cell r="AB1149" t="str">
            <v>Spleen</v>
          </cell>
        </row>
        <row r="1150">
          <cell r="A1150" t="str">
            <v>in storage</v>
          </cell>
          <cell r="K1150" t="str">
            <v>MMUR</v>
          </cell>
          <cell r="AB1150" t="str">
            <v>Kidney</v>
          </cell>
        </row>
        <row r="1151">
          <cell r="A1151" t="str">
            <v>in storage</v>
          </cell>
          <cell r="K1151" t="str">
            <v>MMUR</v>
          </cell>
          <cell r="AB1151" t="str">
            <v>Liver</v>
          </cell>
        </row>
        <row r="1152">
          <cell r="A1152" t="str">
            <v>in storage</v>
          </cell>
          <cell r="K1152" t="str">
            <v>MMUR</v>
          </cell>
          <cell r="AB1152" t="str">
            <v>Eye</v>
          </cell>
        </row>
        <row r="1153">
          <cell r="A1153" t="str">
            <v>in storage</v>
          </cell>
          <cell r="K1153" t="str">
            <v>DMAD</v>
          </cell>
          <cell r="AB1153" t="str">
            <v>GI- stomach</v>
          </cell>
        </row>
        <row r="1154">
          <cell r="A1154" t="str">
            <v>in storage</v>
          </cell>
          <cell r="K1154" t="str">
            <v>PCOQ</v>
          </cell>
          <cell r="AB1154" t="str">
            <v>Kidney</v>
          </cell>
        </row>
        <row r="1155">
          <cell r="A1155" t="str">
            <v>in storage</v>
          </cell>
          <cell r="K1155" t="str">
            <v>PCOQ</v>
          </cell>
          <cell r="AB1155" t="str">
            <v>Spleen</v>
          </cell>
        </row>
        <row r="1156">
          <cell r="A1156" t="str">
            <v>in storage</v>
          </cell>
          <cell r="K1156" t="str">
            <v>PCOQ</v>
          </cell>
          <cell r="AB1156" t="str">
            <v>Heart</v>
          </cell>
        </row>
        <row r="1157">
          <cell r="A1157" t="str">
            <v>in storage</v>
          </cell>
          <cell r="K1157" t="str">
            <v>PCOQ</v>
          </cell>
          <cell r="AB1157" t="str">
            <v>Lung</v>
          </cell>
        </row>
        <row r="1158">
          <cell r="A1158" t="str">
            <v>in storage</v>
          </cell>
          <cell r="K1158" t="str">
            <v>PCOQ</v>
          </cell>
          <cell r="AB1158" t="str">
            <v>Liver</v>
          </cell>
        </row>
        <row r="1159">
          <cell r="A1159" t="str">
            <v>in storage</v>
          </cell>
          <cell r="K1159" t="str">
            <v>LCAT</v>
          </cell>
          <cell r="AB1159" t="str">
            <v>Kidney</v>
          </cell>
        </row>
        <row r="1160">
          <cell r="A1160" t="str">
            <v>in storage</v>
          </cell>
          <cell r="K1160" t="str">
            <v>LCAT</v>
          </cell>
          <cell r="AB1160" t="str">
            <v>Spleen</v>
          </cell>
        </row>
        <row r="1161">
          <cell r="A1161" t="str">
            <v>in storage</v>
          </cell>
          <cell r="K1161" t="str">
            <v>LCAT</v>
          </cell>
          <cell r="AB1161" t="str">
            <v>Heart</v>
          </cell>
        </row>
        <row r="1162">
          <cell r="A1162" t="str">
            <v>in storage</v>
          </cell>
          <cell r="K1162" t="str">
            <v>LCAT</v>
          </cell>
          <cell r="AB1162" t="str">
            <v>Lung</v>
          </cell>
        </row>
        <row r="1163">
          <cell r="A1163" t="str">
            <v>in storage</v>
          </cell>
          <cell r="K1163" t="str">
            <v>LCAT</v>
          </cell>
          <cell r="AB1163" t="str">
            <v>Liver</v>
          </cell>
        </row>
        <row r="1164">
          <cell r="A1164" t="str">
            <v>in storage</v>
          </cell>
          <cell r="K1164" t="str">
            <v>LCAT</v>
          </cell>
          <cell r="AB1164" t="str">
            <v>R- teste(s)</v>
          </cell>
        </row>
        <row r="1165">
          <cell r="A1165" t="str">
            <v>in storage</v>
          </cell>
          <cell r="K1165" t="str">
            <v>LCAT</v>
          </cell>
          <cell r="AB1165" t="str">
            <v>Eye</v>
          </cell>
        </row>
        <row r="1166">
          <cell r="A1166" t="str">
            <v>in storage</v>
          </cell>
          <cell r="K1166" t="str">
            <v>ERUF</v>
          </cell>
          <cell r="AB1166" t="str">
            <v>Kidney</v>
          </cell>
        </row>
        <row r="1167">
          <cell r="A1167" t="str">
            <v>in storage</v>
          </cell>
          <cell r="K1167" t="str">
            <v>ERUF</v>
          </cell>
          <cell r="AB1167" t="str">
            <v>Spleen</v>
          </cell>
        </row>
        <row r="1168">
          <cell r="A1168" t="str">
            <v>in storage</v>
          </cell>
          <cell r="K1168" t="str">
            <v>ERUF</v>
          </cell>
          <cell r="AB1168" t="str">
            <v>Heart</v>
          </cell>
        </row>
        <row r="1169">
          <cell r="A1169" t="str">
            <v>in storage</v>
          </cell>
          <cell r="K1169" t="str">
            <v>ERUF</v>
          </cell>
          <cell r="AB1169" t="str">
            <v>Lung</v>
          </cell>
        </row>
        <row r="1170">
          <cell r="A1170" t="str">
            <v>in storage</v>
          </cell>
          <cell r="K1170" t="str">
            <v>ERUF</v>
          </cell>
          <cell r="AB1170" t="str">
            <v>Liver</v>
          </cell>
        </row>
        <row r="1171">
          <cell r="A1171" t="str">
            <v>in storage</v>
          </cell>
          <cell r="K1171" t="str">
            <v>ERUF</v>
          </cell>
          <cell r="AB1171" t="str">
            <v>R- teste(s)</v>
          </cell>
        </row>
        <row r="1172">
          <cell r="A1172" t="str">
            <v>in storage</v>
          </cell>
          <cell r="K1172" t="str">
            <v>ERUF</v>
          </cell>
          <cell r="AB1172" t="str">
            <v>Eye</v>
          </cell>
        </row>
        <row r="1173">
          <cell r="A1173" t="str">
            <v>in storage</v>
          </cell>
          <cell r="K1173" t="str">
            <v>CMED</v>
          </cell>
          <cell r="AB1173" t="str">
            <v>Kidney</v>
          </cell>
        </row>
        <row r="1174">
          <cell r="A1174" t="str">
            <v>in storage</v>
          </cell>
          <cell r="K1174" t="str">
            <v>CMED</v>
          </cell>
          <cell r="AB1174" t="str">
            <v>Spleen</v>
          </cell>
        </row>
        <row r="1175">
          <cell r="A1175" t="str">
            <v>in storage</v>
          </cell>
          <cell r="K1175" t="str">
            <v>CMED</v>
          </cell>
          <cell r="AB1175" t="str">
            <v>Heart</v>
          </cell>
        </row>
        <row r="1176">
          <cell r="A1176" t="str">
            <v>in storage</v>
          </cell>
          <cell r="K1176" t="str">
            <v>CMED</v>
          </cell>
          <cell r="AB1176" t="str">
            <v>Lung</v>
          </cell>
        </row>
        <row r="1177">
          <cell r="A1177" t="str">
            <v>in storage</v>
          </cell>
          <cell r="K1177" t="str">
            <v>CMED</v>
          </cell>
          <cell r="AB1177" t="str">
            <v>Liver</v>
          </cell>
        </row>
        <row r="1178">
          <cell r="A1178" t="str">
            <v>in storage</v>
          </cell>
          <cell r="K1178" t="str">
            <v>CMED</v>
          </cell>
          <cell r="AB1178" t="str">
            <v>R- teste(s)</v>
          </cell>
        </row>
        <row r="1179">
          <cell r="A1179" t="str">
            <v>in storage</v>
          </cell>
          <cell r="K1179" t="str">
            <v>CMED</v>
          </cell>
          <cell r="AB1179" t="str">
            <v>Eye</v>
          </cell>
        </row>
        <row r="1180">
          <cell r="A1180" t="str">
            <v>in storage</v>
          </cell>
          <cell r="K1180" t="str">
            <v>LCAT</v>
          </cell>
          <cell r="AB1180" t="str">
            <v>Kidney</v>
          </cell>
        </row>
        <row r="1181">
          <cell r="A1181" t="str">
            <v>in storage</v>
          </cell>
          <cell r="K1181" t="str">
            <v>LCAT</v>
          </cell>
          <cell r="AB1181" t="str">
            <v>Spleen</v>
          </cell>
        </row>
        <row r="1182">
          <cell r="A1182" t="str">
            <v>in storage</v>
          </cell>
          <cell r="K1182" t="str">
            <v>LCAT</v>
          </cell>
          <cell r="AB1182" t="str">
            <v>Heart</v>
          </cell>
        </row>
        <row r="1183">
          <cell r="A1183" t="str">
            <v>in storage</v>
          </cell>
          <cell r="K1183" t="str">
            <v>LCAT</v>
          </cell>
          <cell r="AB1183" t="str">
            <v>Lung</v>
          </cell>
        </row>
        <row r="1184">
          <cell r="A1184" t="str">
            <v>in storage</v>
          </cell>
          <cell r="K1184" t="str">
            <v>LCAT</v>
          </cell>
          <cell r="AB1184" t="str">
            <v>Liver</v>
          </cell>
        </row>
        <row r="1185">
          <cell r="A1185" t="str">
            <v>in storage</v>
          </cell>
          <cell r="K1185" t="str">
            <v>LCAT</v>
          </cell>
          <cell r="AB1185" t="str">
            <v>R- teste(s)</v>
          </cell>
        </row>
        <row r="1186">
          <cell r="A1186" t="str">
            <v>in storage</v>
          </cell>
          <cell r="K1186" t="str">
            <v>DMAD</v>
          </cell>
          <cell r="AB1186" t="str">
            <v>GI Contents- large intestine</v>
          </cell>
        </row>
        <row r="1187">
          <cell r="A1187" t="str">
            <v>in storage</v>
          </cell>
          <cell r="K1187" t="str">
            <v>ECOL</v>
          </cell>
          <cell r="AB1187" t="str">
            <v>Kidney</v>
          </cell>
        </row>
        <row r="1188">
          <cell r="A1188" t="str">
            <v>in storage</v>
          </cell>
          <cell r="K1188" t="str">
            <v>ECOL</v>
          </cell>
          <cell r="AB1188" t="str">
            <v>Spleen</v>
          </cell>
        </row>
        <row r="1189">
          <cell r="A1189" t="str">
            <v>in storage</v>
          </cell>
          <cell r="K1189" t="str">
            <v>ECOL</v>
          </cell>
          <cell r="AB1189" t="str">
            <v>Heart</v>
          </cell>
        </row>
        <row r="1190">
          <cell r="A1190" t="str">
            <v>in storage</v>
          </cell>
          <cell r="K1190" t="str">
            <v>ECOL</v>
          </cell>
          <cell r="AB1190" t="str">
            <v>Lung</v>
          </cell>
        </row>
        <row r="1191">
          <cell r="A1191" t="str">
            <v>in storage</v>
          </cell>
          <cell r="K1191" t="str">
            <v>ECOL</v>
          </cell>
          <cell r="AB1191" t="str">
            <v>Liver</v>
          </cell>
        </row>
        <row r="1192">
          <cell r="A1192" t="str">
            <v>in storage</v>
          </cell>
          <cell r="K1192" t="str">
            <v>LTAR</v>
          </cell>
          <cell r="AB1192" t="str">
            <v>Kidney</v>
          </cell>
        </row>
        <row r="1193">
          <cell r="A1193" t="str">
            <v>in storage</v>
          </cell>
          <cell r="K1193" t="str">
            <v>LTAR</v>
          </cell>
          <cell r="AB1193" t="str">
            <v>Spleen</v>
          </cell>
        </row>
        <row r="1194">
          <cell r="A1194" t="str">
            <v>in storage</v>
          </cell>
          <cell r="K1194" t="str">
            <v>LTAR</v>
          </cell>
          <cell r="AB1194" t="str">
            <v>Lung</v>
          </cell>
        </row>
        <row r="1195">
          <cell r="A1195" t="str">
            <v>in storage</v>
          </cell>
          <cell r="K1195" t="str">
            <v>LTAR</v>
          </cell>
          <cell r="AB1195" t="str">
            <v>Liver</v>
          </cell>
        </row>
        <row r="1196">
          <cell r="A1196" t="str">
            <v>in storage</v>
          </cell>
          <cell r="K1196" t="str">
            <v>PCOQ</v>
          </cell>
          <cell r="AB1196" t="str">
            <v>R- placenta</v>
          </cell>
        </row>
        <row r="1197">
          <cell r="A1197" t="str">
            <v>in storage</v>
          </cell>
          <cell r="K1197" t="str">
            <v>EMON</v>
          </cell>
          <cell r="AB1197" t="str">
            <v>Eye</v>
          </cell>
        </row>
        <row r="1198">
          <cell r="A1198" t="str">
            <v>in storage</v>
          </cell>
          <cell r="K1198" t="str">
            <v>DMAD</v>
          </cell>
          <cell r="AB1198" t="str">
            <v>GI Tract</v>
          </cell>
        </row>
        <row r="1199">
          <cell r="A1199" t="str">
            <v>in storage</v>
          </cell>
          <cell r="K1199" t="str">
            <v>EMON</v>
          </cell>
          <cell r="AB1199" t="str">
            <v>Kidney</v>
          </cell>
        </row>
        <row r="1200">
          <cell r="A1200" t="str">
            <v>in storage</v>
          </cell>
          <cell r="K1200" t="str">
            <v>EMON</v>
          </cell>
          <cell r="AB1200" t="str">
            <v>Spleen</v>
          </cell>
        </row>
        <row r="1201">
          <cell r="A1201" t="str">
            <v>in storage</v>
          </cell>
          <cell r="K1201" t="str">
            <v>EMON</v>
          </cell>
          <cell r="AB1201" t="str">
            <v>Heart</v>
          </cell>
        </row>
        <row r="1202">
          <cell r="A1202" t="str">
            <v>in storage</v>
          </cell>
          <cell r="K1202" t="str">
            <v>EMON</v>
          </cell>
          <cell r="AB1202" t="str">
            <v>Lung</v>
          </cell>
        </row>
        <row r="1203">
          <cell r="A1203" t="str">
            <v>in storage</v>
          </cell>
          <cell r="K1203" t="str">
            <v>EMON</v>
          </cell>
          <cell r="AB1203" t="str">
            <v>Liver</v>
          </cell>
        </row>
        <row r="1204">
          <cell r="A1204" t="str">
            <v>in storage</v>
          </cell>
          <cell r="K1204" t="str">
            <v>MZAZ</v>
          </cell>
          <cell r="AB1204" t="str">
            <v>Kidney</v>
          </cell>
        </row>
        <row r="1205">
          <cell r="A1205" t="str">
            <v>in storage</v>
          </cell>
          <cell r="K1205" t="str">
            <v>MZAZ</v>
          </cell>
          <cell r="AB1205" t="str">
            <v>Spleen</v>
          </cell>
        </row>
        <row r="1206">
          <cell r="A1206" t="str">
            <v>in storage</v>
          </cell>
          <cell r="K1206" t="str">
            <v>MZAZ</v>
          </cell>
          <cell r="AB1206" t="str">
            <v>Heart</v>
          </cell>
        </row>
        <row r="1207">
          <cell r="A1207" t="str">
            <v>in storage</v>
          </cell>
          <cell r="K1207" t="str">
            <v>MZAZ</v>
          </cell>
          <cell r="AB1207" t="str">
            <v>Lung</v>
          </cell>
        </row>
        <row r="1208">
          <cell r="A1208" t="str">
            <v>in storage</v>
          </cell>
          <cell r="K1208" t="str">
            <v>MZAZ</v>
          </cell>
          <cell r="AB1208" t="str">
            <v>Liver</v>
          </cell>
        </row>
        <row r="1209">
          <cell r="A1209" t="str">
            <v>in storage</v>
          </cell>
          <cell r="K1209" t="str">
            <v>MZAZ</v>
          </cell>
          <cell r="AB1209" t="str">
            <v>R- teste(s)</v>
          </cell>
        </row>
        <row r="1210">
          <cell r="A1210" t="str">
            <v>in storage</v>
          </cell>
          <cell r="K1210" t="str">
            <v>MZAZ</v>
          </cell>
          <cell r="AB1210" t="str">
            <v>R- accessory sex glands</v>
          </cell>
        </row>
        <row r="1211">
          <cell r="A1211" t="str">
            <v>in storage</v>
          </cell>
          <cell r="K1211" t="str">
            <v>EFUL</v>
          </cell>
          <cell r="AB1211" t="str">
            <v>Kidney</v>
          </cell>
        </row>
        <row r="1212">
          <cell r="A1212" t="str">
            <v>in storage</v>
          </cell>
          <cell r="K1212" t="str">
            <v>EFUL</v>
          </cell>
          <cell r="AB1212" t="str">
            <v>Spleen</v>
          </cell>
        </row>
        <row r="1213">
          <cell r="A1213" t="str">
            <v>in storage</v>
          </cell>
          <cell r="K1213" t="str">
            <v>EFUL</v>
          </cell>
          <cell r="AB1213" t="str">
            <v>Heart</v>
          </cell>
        </row>
        <row r="1214">
          <cell r="A1214" t="str">
            <v>in storage</v>
          </cell>
          <cell r="K1214" t="str">
            <v>EFUL</v>
          </cell>
          <cell r="AB1214" t="str">
            <v>Lung</v>
          </cell>
        </row>
        <row r="1215">
          <cell r="A1215" t="str">
            <v>in storage</v>
          </cell>
          <cell r="K1215" t="str">
            <v>EFUL</v>
          </cell>
          <cell r="AB1215" t="str">
            <v>Liver</v>
          </cell>
        </row>
        <row r="1216">
          <cell r="A1216" t="str">
            <v>in storage</v>
          </cell>
          <cell r="K1216" t="str">
            <v>EFUL</v>
          </cell>
          <cell r="AB1216" t="str">
            <v>R- teste(s)</v>
          </cell>
        </row>
        <row r="1217">
          <cell r="A1217" t="str">
            <v>in storage</v>
          </cell>
          <cell r="K1217" t="str">
            <v>NCOU</v>
          </cell>
          <cell r="AB1217" t="str">
            <v>Kidney</v>
          </cell>
        </row>
        <row r="1218">
          <cell r="A1218" t="str">
            <v>in storage</v>
          </cell>
          <cell r="K1218" t="str">
            <v>NCOU</v>
          </cell>
          <cell r="AB1218" t="str">
            <v>Spleen</v>
          </cell>
        </row>
        <row r="1219">
          <cell r="A1219" t="str">
            <v>in storage</v>
          </cell>
          <cell r="K1219" t="str">
            <v>NCOU</v>
          </cell>
          <cell r="AB1219" t="str">
            <v>Heart</v>
          </cell>
        </row>
        <row r="1220">
          <cell r="A1220" t="str">
            <v>in storage</v>
          </cell>
          <cell r="K1220" t="str">
            <v>NCOU</v>
          </cell>
          <cell r="AB1220" t="str">
            <v>Lung</v>
          </cell>
        </row>
        <row r="1221">
          <cell r="A1221" t="str">
            <v>in storage</v>
          </cell>
          <cell r="K1221" t="str">
            <v>NCOU</v>
          </cell>
          <cell r="AB1221" t="str">
            <v>Liver</v>
          </cell>
        </row>
        <row r="1222">
          <cell r="A1222" t="str">
            <v>in storage</v>
          </cell>
          <cell r="K1222" t="str">
            <v>DMAD</v>
          </cell>
          <cell r="AB1222" t="str">
            <v>GI Contents- cecum</v>
          </cell>
        </row>
        <row r="1223">
          <cell r="A1223" t="str">
            <v>in storage</v>
          </cell>
          <cell r="K1223" t="str">
            <v>PCOQ</v>
          </cell>
          <cell r="AB1223" t="str">
            <v>Kidney</v>
          </cell>
        </row>
        <row r="1224">
          <cell r="A1224" t="str">
            <v>in storage</v>
          </cell>
          <cell r="K1224" t="str">
            <v>PCOQ</v>
          </cell>
          <cell r="AB1224" t="str">
            <v>Spleen</v>
          </cell>
        </row>
        <row r="1225">
          <cell r="A1225" t="str">
            <v>in storage</v>
          </cell>
          <cell r="K1225" t="str">
            <v>PCOQ</v>
          </cell>
          <cell r="AB1225" t="str">
            <v>Heart</v>
          </cell>
        </row>
        <row r="1226">
          <cell r="A1226" t="str">
            <v>in storage</v>
          </cell>
          <cell r="K1226" t="str">
            <v>PCOQ</v>
          </cell>
          <cell r="AB1226" t="str">
            <v>Lung</v>
          </cell>
        </row>
        <row r="1227">
          <cell r="A1227" t="str">
            <v>in storage</v>
          </cell>
          <cell r="K1227" t="str">
            <v>PCOQ</v>
          </cell>
          <cell r="AB1227" t="str">
            <v>Liver</v>
          </cell>
        </row>
        <row r="1228">
          <cell r="A1228" t="str">
            <v>in storage</v>
          </cell>
          <cell r="K1228" t="str">
            <v>ECOL</v>
          </cell>
          <cell r="AB1228" t="str">
            <v>Kidney</v>
          </cell>
        </row>
        <row r="1229">
          <cell r="A1229" t="str">
            <v>in storage</v>
          </cell>
          <cell r="K1229" t="str">
            <v>ECOL</v>
          </cell>
          <cell r="AB1229" t="str">
            <v>Liver</v>
          </cell>
        </row>
        <row r="1230">
          <cell r="A1230" t="str">
            <v>in storage</v>
          </cell>
          <cell r="K1230" t="str">
            <v>VVV</v>
          </cell>
          <cell r="AB1230" t="str">
            <v>R- teste(s)</v>
          </cell>
        </row>
        <row r="1231">
          <cell r="A1231" t="str">
            <v>in storage</v>
          </cell>
          <cell r="K1231" t="str">
            <v>CMED</v>
          </cell>
          <cell r="AB1231" t="str">
            <v>Kidney</v>
          </cell>
        </row>
        <row r="1232">
          <cell r="A1232" t="str">
            <v>in storage</v>
          </cell>
          <cell r="K1232" t="str">
            <v>CMED</v>
          </cell>
          <cell r="AB1232" t="str">
            <v>Spleen</v>
          </cell>
        </row>
        <row r="1233">
          <cell r="A1233" t="str">
            <v>in storage</v>
          </cell>
          <cell r="K1233" t="str">
            <v>CMED</v>
          </cell>
          <cell r="AB1233" t="str">
            <v>Liver</v>
          </cell>
        </row>
        <row r="1234">
          <cell r="A1234" t="str">
            <v>in storage</v>
          </cell>
          <cell r="K1234" t="str">
            <v>ECOL</v>
          </cell>
          <cell r="AB1234" t="str">
            <v>Kidney</v>
          </cell>
        </row>
        <row r="1235">
          <cell r="A1235" t="str">
            <v>in storage</v>
          </cell>
          <cell r="K1235" t="str">
            <v>ECOL</v>
          </cell>
          <cell r="AB1235" t="str">
            <v>Spleen</v>
          </cell>
        </row>
        <row r="1236">
          <cell r="A1236" t="str">
            <v>in storage</v>
          </cell>
          <cell r="K1236" t="str">
            <v>ECOL</v>
          </cell>
          <cell r="AB1236" t="str">
            <v>Heart</v>
          </cell>
        </row>
        <row r="1237">
          <cell r="A1237" t="str">
            <v>in storage</v>
          </cell>
          <cell r="K1237" t="str">
            <v>ECOL</v>
          </cell>
          <cell r="AB1237" t="str">
            <v>Lung</v>
          </cell>
        </row>
        <row r="1238">
          <cell r="A1238" t="str">
            <v>in storage</v>
          </cell>
          <cell r="K1238" t="str">
            <v>ECOL</v>
          </cell>
          <cell r="AB1238" t="str">
            <v>Liver</v>
          </cell>
        </row>
        <row r="1239">
          <cell r="A1239" t="str">
            <v>in storage</v>
          </cell>
          <cell r="K1239" t="str">
            <v>EMON</v>
          </cell>
          <cell r="AB1239" t="str">
            <v>Kidney</v>
          </cell>
        </row>
        <row r="1240">
          <cell r="A1240" t="str">
            <v>in storage</v>
          </cell>
          <cell r="K1240" t="str">
            <v>EMON</v>
          </cell>
          <cell r="AB1240" t="str">
            <v>Spleen</v>
          </cell>
        </row>
        <row r="1241">
          <cell r="A1241" t="str">
            <v>in storage</v>
          </cell>
          <cell r="K1241" t="str">
            <v>EMON</v>
          </cell>
          <cell r="AB1241" t="str">
            <v>Heart</v>
          </cell>
        </row>
        <row r="1242">
          <cell r="A1242" t="str">
            <v>in storage</v>
          </cell>
          <cell r="K1242" t="str">
            <v>EMON</v>
          </cell>
          <cell r="AB1242" t="str">
            <v>Lung</v>
          </cell>
        </row>
        <row r="1243">
          <cell r="A1243" t="str">
            <v>in storage</v>
          </cell>
          <cell r="K1243" t="str">
            <v>EMON</v>
          </cell>
          <cell r="AB1243" t="str">
            <v>Liver</v>
          </cell>
        </row>
        <row r="1244">
          <cell r="A1244" t="str">
            <v>in storage</v>
          </cell>
          <cell r="K1244" t="str">
            <v>ERUB</v>
          </cell>
          <cell r="AB1244" t="str">
            <v>R- genital plaques</v>
          </cell>
        </row>
        <row r="1245">
          <cell r="A1245" t="str">
            <v>in storage</v>
          </cell>
          <cell r="K1245" t="str">
            <v>CMED</v>
          </cell>
          <cell r="AB1245" t="str">
            <v>Kidney</v>
          </cell>
        </row>
        <row r="1246">
          <cell r="A1246" t="str">
            <v>in storage</v>
          </cell>
          <cell r="K1246" t="str">
            <v>CMED</v>
          </cell>
          <cell r="AB1246" t="str">
            <v>Spleen</v>
          </cell>
        </row>
        <row r="1247">
          <cell r="A1247" t="str">
            <v>in storage</v>
          </cell>
          <cell r="K1247" t="str">
            <v>CMED</v>
          </cell>
          <cell r="AB1247" t="str">
            <v>Heart</v>
          </cell>
        </row>
        <row r="1248">
          <cell r="A1248" t="str">
            <v>in storage</v>
          </cell>
          <cell r="K1248" t="str">
            <v>CMED</v>
          </cell>
          <cell r="AB1248" t="str">
            <v>Lung</v>
          </cell>
        </row>
        <row r="1249">
          <cell r="A1249" t="str">
            <v>in storage</v>
          </cell>
          <cell r="K1249" t="str">
            <v>CMED</v>
          </cell>
          <cell r="AB1249" t="str">
            <v>Liver</v>
          </cell>
        </row>
        <row r="1250">
          <cell r="A1250" t="str">
            <v>in storage</v>
          </cell>
          <cell r="K1250" t="str">
            <v>CMED</v>
          </cell>
          <cell r="AB1250" t="str">
            <v>Mass- liver</v>
          </cell>
        </row>
        <row r="1251">
          <cell r="A1251" t="str">
            <v>in storage</v>
          </cell>
          <cell r="K1251" t="str">
            <v>CMED</v>
          </cell>
          <cell r="AB1251" t="str">
            <v>Mass- eye</v>
          </cell>
        </row>
        <row r="1252">
          <cell r="A1252" t="str">
            <v>in storage</v>
          </cell>
          <cell r="K1252" t="str">
            <v>DMAD</v>
          </cell>
          <cell r="AB1252" t="str">
            <v>GI Tract</v>
          </cell>
        </row>
        <row r="1253">
          <cell r="A1253" t="str">
            <v>in storage</v>
          </cell>
          <cell r="K1253" t="str">
            <v>DMAD</v>
          </cell>
          <cell r="AB1253" t="str">
            <v>GI Contents- stomach</v>
          </cell>
        </row>
        <row r="1254">
          <cell r="A1254" t="str">
            <v>in storage</v>
          </cell>
          <cell r="K1254" t="str">
            <v>DMAD</v>
          </cell>
          <cell r="AB1254" t="str">
            <v>GI Contents- cecum</v>
          </cell>
        </row>
        <row r="1255">
          <cell r="A1255" t="str">
            <v>in storage</v>
          </cell>
          <cell r="K1255" t="str">
            <v>PCOQ</v>
          </cell>
          <cell r="AB1255" t="str">
            <v>Kidney</v>
          </cell>
        </row>
        <row r="1256">
          <cell r="A1256" t="str">
            <v>in storage</v>
          </cell>
          <cell r="K1256" t="str">
            <v>PCOQ</v>
          </cell>
          <cell r="AB1256" t="str">
            <v>Spleen</v>
          </cell>
        </row>
        <row r="1257">
          <cell r="A1257" t="str">
            <v>in storage</v>
          </cell>
          <cell r="K1257" t="str">
            <v>PCOQ</v>
          </cell>
          <cell r="AB1257" t="str">
            <v>Heart</v>
          </cell>
        </row>
        <row r="1258">
          <cell r="A1258" t="str">
            <v>in storage</v>
          </cell>
          <cell r="K1258" t="str">
            <v>PCOQ</v>
          </cell>
          <cell r="AB1258" t="str">
            <v>Lung</v>
          </cell>
        </row>
        <row r="1259">
          <cell r="A1259" t="str">
            <v>in storage</v>
          </cell>
          <cell r="K1259" t="str">
            <v>PCOQ</v>
          </cell>
          <cell r="AB1259" t="str">
            <v>Liver</v>
          </cell>
        </row>
        <row r="1260">
          <cell r="A1260" t="str">
            <v>in storage</v>
          </cell>
          <cell r="K1260" t="str">
            <v>PCOQ</v>
          </cell>
          <cell r="AB1260" t="str">
            <v>Liver</v>
          </cell>
        </row>
        <row r="1261">
          <cell r="A1261" t="str">
            <v>in storage</v>
          </cell>
          <cell r="K1261" t="str">
            <v>PCOQ</v>
          </cell>
          <cell r="AB1261" t="str">
            <v>Kidney</v>
          </cell>
        </row>
        <row r="1262">
          <cell r="A1262" t="str">
            <v>in storage</v>
          </cell>
          <cell r="K1262" t="str">
            <v>PCOQ</v>
          </cell>
          <cell r="AB1262" t="str">
            <v>Spleen</v>
          </cell>
        </row>
        <row r="1263">
          <cell r="A1263" t="str">
            <v>in storage</v>
          </cell>
          <cell r="K1263" t="str">
            <v>PCOQ</v>
          </cell>
          <cell r="AB1263" t="str">
            <v>Heart</v>
          </cell>
        </row>
        <row r="1264">
          <cell r="A1264" t="str">
            <v>in storage</v>
          </cell>
          <cell r="K1264" t="str">
            <v>PCOQ</v>
          </cell>
          <cell r="AB1264" t="str">
            <v>Lung</v>
          </cell>
        </row>
        <row r="1265">
          <cell r="A1265" t="str">
            <v>in storage</v>
          </cell>
          <cell r="K1265" t="str">
            <v>PCOQ</v>
          </cell>
          <cell r="AB1265" t="str">
            <v>Liver</v>
          </cell>
        </row>
        <row r="1266">
          <cell r="A1266" t="str">
            <v>in storage</v>
          </cell>
          <cell r="K1266" t="str">
            <v>DMAD</v>
          </cell>
          <cell r="AB1266" t="str">
            <v>GI Contents- stomach</v>
          </cell>
        </row>
        <row r="1267">
          <cell r="A1267" t="str">
            <v>in storage</v>
          </cell>
          <cell r="K1267" t="str">
            <v>NCOU</v>
          </cell>
          <cell r="AB1267" t="str">
            <v>Kidney</v>
          </cell>
        </row>
        <row r="1268">
          <cell r="A1268" t="str">
            <v>in storage</v>
          </cell>
          <cell r="K1268" t="str">
            <v>NCOU</v>
          </cell>
          <cell r="AB1268" t="str">
            <v>Spleen</v>
          </cell>
        </row>
        <row r="1269">
          <cell r="A1269" t="str">
            <v>in storage</v>
          </cell>
          <cell r="K1269" t="str">
            <v>NCOU</v>
          </cell>
          <cell r="AB1269" t="str">
            <v>Heart</v>
          </cell>
        </row>
        <row r="1270">
          <cell r="A1270" t="str">
            <v>in storage</v>
          </cell>
          <cell r="K1270" t="str">
            <v>NCOU</v>
          </cell>
          <cell r="AB1270" t="str">
            <v>Lung</v>
          </cell>
        </row>
        <row r="1271">
          <cell r="A1271" t="str">
            <v>in storage</v>
          </cell>
          <cell r="K1271" t="str">
            <v>NCOU</v>
          </cell>
          <cell r="AB1271" t="str">
            <v>Liver</v>
          </cell>
        </row>
        <row r="1272">
          <cell r="A1272" t="str">
            <v>in storage</v>
          </cell>
          <cell r="K1272" t="str">
            <v>DMAD</v>
          </cell>
          <cell r="AB1272" t="str">
            <v>GI Contents- cecum</v>
          </cell>
        </row>
        <row r="1273">
          <cell r="A1273" t="str">
            <v>in storage</v>
          </cell>
          <cell r="K1273" t="str">
            <v>LCAT</v>
          </cell>
          <cell r="AB1273" t="str">
            <v>Kidney</v>
          </cell>
        </row>
        <row r="1274">
          <cell r="A1274" t="str">
            <v>in storage</v>
          </cell>
          <cell r="K1274" t="str">
            <v>LCAT</v>
          </cell>
          <cell r="AB1274" t="str">
            <v>Heart</v>
          </cell>
        </row>
        <row r="1275">
          <cell r="A1275" t="str">
            <v>in storage</v>
          </cell>
          <cell r="K1275" t="str">
            <v>LCAT</v>
          </cell>
          <cell r="AB1275" t="str">
            <v>Lung</v>
          </cell>
        </row>
        <row r="1276">
          <cell r="A1276" t="str">
            <v>in storage</v>
          </cell>
          <cell r="K1276" t="str">
            <v>LCAT</v>
          </cell>
          <cell r="AB1276" t="str">
            <v>Liver</v>
          </cell>
        </row>
        <row r="1277">
          <cell r="A1277" t="str">
            <v>in storage</v>
          </cell>
          <cell r="K1277" t="str">
            <v>DMAD</v>
          </cell>
          <cell r="AB1277" t="str">
            <v>GI Contents- cecum</v>
          </cell>
        </row>
        <row r="1278">
          <cell r="A1278" t="str">
            <v>in storage</v>
          </cell>
          <cell r="K1278" t="str">
            <v>LCAT</v>
          </cell>
          <cell r="AB1278" t="str">
            <v>Kidney</v>
          </cell>
        </row>
        <row r="1279">
          <cell r="A1279" t="str">
            <v>in storage</v>
          </cell>
          <cell r="K1279" t="str">
            <v>LCAT</v>
          </cell>
          <cell r="AB1279" t="str">
            <v>Spleen</v>
          </cell>
        </row>
        <row r="1280">
          <cell r="A1280" t="str">
            <v>in storage</v>
          </cell>
          <cell r="K1280" t="str">
            <v>LCAT</v>
          </cell>
          <cell r="AB1280" t="str">
            <v>Heart</v>
          </cell>
        </row>
        <row r="1281">
          <cell r="A1281" t="str">
            <v>in storage</v>
          </cell>
          <cell r="K1281" t="str">
            <v>LCAT</v>
          </cell>
          <cell r="AB1281" t="str">
            <v>Lung</v>
          </cell>
        </row>
        <row r="1282">
          <cell r="A1282" t="str">
            <v>in storage</v>
          </cell>
          <cell r="K1282" t="str">
            <v>LCAT</v>
          </cell>
          <cell r="AB1282" t="str">
            <v>Liver</v>
          </cell>
        </row>
        <row r="1283">
          <cell r="A1283" t="str">
            <v>in storage</v>
          </cell>
          <cell r="K1283" t="str">
            <v>LCAT</v>
          </cell>
          <cell r="AB1283" t="str">
            <v>Kidney</v>
          </cell>
        </row>
        <row r="1284">
          <cell r="A1284" t="str">
            <v>in storage</v>
          </cell>
          <cell r="K1284" t="str">
            <v>LCAT</v>
          </cell>
          <cell r="AB1284" t="str">
            <v>Spleen</v>
          </cell>
        </row>
        <row r="1285">
          <cell r="A1285" t="str">
            <v>in storage</v>
          </cell>
          <cell r="K1285" t="str">
            <v>LCAT</v>
          </cell>
          <cell r="AB1285" t="str">
            <v>Heart</v>
          </cell>
        </row>
        <row r="1286">
          <cell r="A1286" t="str">
            <v>in storage</v>
          </cell>
          <cell r="K1286" t="str">
            <v>LCAT</v>
          </cell>
          <cell r="AB1286" t="str">
            <v>Liver</v>
          </cell>
        </row>
        <row r="1287">
          <cell r="A1287" t="str">
            <v>in storage</v>
          </cell>
          <cell r="K1287" t="str">
            <v>LCAT</v>
          </cell>
          <cell r="AB1287" t="str">
            <v>Lung</v>
          </cell>
        </row>
        <row r="1288">
          <cell r="A1288" t="str">
            <v>in storage</v>
          </cell>
          <cell r="K1288" t="str">
            <v>LCAT</v>
          </cell>
          <cell r="AB1288" t="str">
            <v>Kidney</v>
          </cell>
        </row>
        <row r="1289">
          <cell r="A1289" t="str">
            <v>in storage</v>
          </cell>
          <cell r="K1289" t="str">
            <v>LCAT</v>
          </cell>
          <cell r="AB1289" t="str">
            <v>Heart</v>
          </cell>
        </row>
        <row r="1290">
          <cell r="A1290" t="str">
            <v>in storage</v>
          </cell>
          <cell r="K1290" t="str">
            <v>LCAT</v>
          </cell>
          <cell r="AB1290" t="str">
            <v>Lung</v>
          </cell>
        </row>
        <row r="1291">
          <cell r="A1291" t="str">
            <v>in storage</v>
          </cell>
          <cell r="K1291" t="str">
            <v>LCAT</v>
          </cell>
          <cell r="AB1291" t="str">
            <v>Liver</v>
          </cell>
        </row>
        <row r="1292">
          <cell r="A1292" t="str">
            <v>in storage</v>
          </cell>
          <cell r="K1292" t="str">
            <v>EMON</v>
          </cell>
          <cell r="AB1292" t="str">
            <v>Kidney</v>
          </cell>
        </row>
        <row r="1293">
          <cell r="A1293" t="str">
            <v>in storage</v>
          </cell>
          <cell r="K1293" t="str">
            <v>EMON</v>
          </cell>
          <cell r="AB1293" t="str">
            <v>Spleen</v>
          </cell>
        </row>
        <row r="1294">
          <cell r="A1294" t="str">
            <v>in storage</v>
          </cell>
          <cell r="K1294" t="str">
            <v>EMON</v>
          </cell>
          <cell r="AB1294" t="str">
            <v>Heart</v>
          </cell>
        </row>
        <row r="1295">
          <cell r="A1295" t="str">
            <v>in storage</v>
          </cell>
          <cell r="K1295" t="str">
            <v>EMON</v>
          </cell>
          <cell r="AB1295" t="str">
            <v>Lung</v>
          </cell>
        </row>
        <row r="1296">
          <cell r="A1296" t="str">
            <v>in storage</v>
          </cell>
          <cell r="K1296" t="str">
            <v>EMON</v>
          </cell>
          <cell r="AB1296" t="str">
            <v>U- bladder</v>
          </cell>
        </row>
        <row r="1297">
          <cell r="A1297" t="str">
            <v>in storage</v>
          </cell>
          <cell r="K1297" t="str">
            <v>EMON</v>
          </cell>
          <cell r="AB1297" t="str">
            <v>Liver</v>
          </cell>
        </row>
        <row r="1298">
          <cell r="A1298" t="str">
            <v>in storage</v>
          </cell>
          <cell r="K1298" t="str">
            <v>ECOR</v>
          </cell>
          <cell r="AB1298" t="str">
            <v>Kidney</v>
          </cell>
        </row>
        <row r="1299">
          <cell r="A1299" t="str">
            <v>in storage</v>
          </cell>
          <cell r="K1299" t="str">
            <v>ECOR</v>
          </cell>
          <cell r="AB1299" t="str">
            <v>Spleen</v>
          </cell>
        </row>
        <row r="1300">
          <cell r="A1300" t="str">
            <v>in storage</v>
          </cell>
          <cell r="K1300" t="str">
            <v>ECOR</v>
          </cell>
          <cell r="AB1300" t="str">
            <v>Heart</v>
          </cell>
        </row>
        <row r="1301">
          <cell r="A1301" t="str">
            <v>in storage</v>
          </cell>
          <cell r="K1301" t="str">
            <v>ECOR</v>
          </cell>
          <cell r="AB1301" t="str">
            <v>Lung</v>
          </cell>
        </row>
        <row r="1302">
          <cell r="A1302" t="str">
            <v>in storage</v>
          </cell>
          <cell r="K1302" t="str">
            <v>ECOR</v>
          </cell>
          <cell r="AB1302" t="str">
            <v>Liver</v>
          </cell>
        </row>
        <row r="1303">
          <cell r="A1303" t="str">
            <v>in storage</v>
          </cell>
          <cell r="K1303" t="str">
            <v>CMED</v>
          </cell>
          <cell r="AB1303" t="str">
            <v>Spleen</v>
          </cell>
        </row>
        <row r="1304">
          <cell r="A1304" t="str">
            <v>in storage</v>
          </cell>
          <cell r="K1304" t="str">
            <v>CMED</v>
          </cell>
          <cell r="AB1304" t="str">
            <v>Lung</v>
          </cell>
        </row>
        <row r="1305">
          <cell r="A1305" t="str">
            <v>in storage</v>
          </cell>
          <cell r="K1305" t="str">
            <v>CMED</v>
          </cell>
          <cell r="AB1305" t="str">
            <v>Liver</v>
          </cell>
        </row>
        <row r="1306">
          <cell r="A1306" t="str">
            <v>unk</v>
          </cell>
          <cell r="K1306" t="str">
            <v>CMED</v>
          </cell>
          <cell r="AB1306" t="str">
            <v>muscle</v>
          </cell>
        </row>
        <row r="1307">
          <cell r="A1307" t="str">
            <v>in storage</v>
          </cell>
          <cell r="K1307" t="str">
            <v>CMED</v>
          </cell>
          <cell r="AB1307" t="str">
            <v>Eye</v>
          </cell>
        </row>
        <row r="1308">
          <cell r="A1308" t="str">
            <v>in storage</v>
          </cell>
          <cell r="K1308" t="str">
            <v>MMUR</v>
          </cell>
          <cell r="AB1308" t="str">
            <v>Liver</v>
          </cell>
        </row>
        <row r="1309">
          <cell r="A1309" t="str">
            <v>in storage</v>
          </cell>
          <cell r="K1309" t="str">
            <v>MMUR</v>
          </cell>
          <cell r="AB1309" t="str">
            <v>Spleen</v>
          </cell>
        </row>
        <row r="1310">
          <cell r="A1310" t="str">
            <v>in storage</v>
          </cell>
          <cell r="K1310" t="str">
            <v>MMUR</v>
          </cell>
          <cell r="AB1310" t="str">
            <v>Lung</v>
          </cell>
        </row>
        <row r="1311">
          <cell r="A1311" t="str">
            <v>in storage</v>
          </cell>
          <cell r="K1311" t="str">
            <v>MMUR</v>
          </cell>
          <cell r="AB1311" t="str">
            <v>Spleen</v>
          </cell>
        </row>
        <row r="1312">
          <cell r="A1312" t="str">
            <v>in storage</v>
          </cell>
          <cell r="K1312" t="str">
            <v>MMUR</v>
          </cell>
          <cell r="AB1312" t="str">
            <v>Lung</v>
          </cell>
        </row>
        <row r="1313">
          <cell r="A1313" t="str">
            <v>in storage</v>
          </cell>
          <cell r="K1313" t="str">
            <v>MMUR</v>
          </cell>
          <cell r="AB1313" t="str">
            <v>Kidney</v>
          </cell>
        </row>
        <row r="1314">
          <cell r="A1314" t="str">
            <v>in storage</v>
          </cell>
          <cell r="K1314" t="str">
            <v>MMUR</v>
          </cell>
          <cell r="AB1314" t="str">
            <v>Liver</v>
          </cell>
        </row>
        <row r="1315">
          <cell r="A1315" t="str">
            <v>in storage</v>
          </cell>
          <cell r="K1315" t="str">
            <v>EMON</v>
          </cell>
          <cell r="AB1315" t="str">
            <v>Spleen</v>
          </cell>
        </row>
        <row r="1316">
          <cell r="A1316" t="str">
            <v>in storage</v>
          </cell>
          <cell r="K1316" t="str">
            <v>EMON</v>
          </cell>
          <cell r="AB1316" t="str">
            <v>Heart</v>
          </cell>
        </row>
        <row r="1317">
          <cell r="A1317" t="str">
            <v>in storage</v>
          </cell>
          <cell r="K1317" t="str">
            <v>EMON</v>
          </cell>
          <cell r="AB1317" t="str">
            <v>Lung</v>
          </cell>
        </row>
        <row r="1318">
          <cell r="A1318" t="str">
            <v>in storage</v>
          </cell>
          <cell r="K1318" t="str">
            <v>EMON</v>
          </cell>
          <cell r="AB1318" t="str">
            <v>Kidney</v>
          </cell>
        </row>
        <row r="1319">
          <cell r="A1319" t="str">
            <v>in storage</v>
          </cell>
          <cell r="K1319" t="str">
            <v>EMON</v>
          </cell>
          <cell r="AB1319" t="str">
            <v>Liver</v>
          </cell>
        </row>
        <row r="1320">
          <cell r="A1320" t="str">
            <v>in storage</v>
          </cell>
          <cell r="K1320" t="str">
            <v>DMAD</v>
          </cell>
          <cell r="AB1320" t="str">
            <v>GI- large intestine</v>
          </cell>
        </row>
        <row r="1321">
          <cell r="A1321" t="str">
            <v>in storage</v>
          </cell>
          <cell r="K1321" t="str">
            <v>DMAD</v>
          </cell>
          <cell r="AB1321" t="str">
            <v>GI- small intestine</v>
          </cell>
        </row>
        <row r="1322">
          <cell r="A1322" t="str">
            <v>in storage</v>
          </cell>
          <cell r="K1322" t="str">
            <v>PCOQ</v>
          </cell>
          <cell r="AB1322" t="str">
            <v>Kidney</v>
          </cell>
        </row>
        <row r="1323">
          <cell r="A1323" t="str">
            <v>in storage</v>
          </cell>
          <cell r="K1323" t="str">
            <v>PCOQ</v>
          </cell>
          <cell r="AB1323" t="str">
            <v>Spleen</v>
          </cell>
        </row>
        <row r="1324">
          <cell r="A1324" t="str">
            <v>in storage</v>
          </cell>
          <cell r="K1324" t="str">
            <v>PCOQ</v>
          </cell>
          <cell r="AB1324" t="str">
            <v>Heart</v>
          </cell>
        </row>
        <row r="1325">
          <cell r="A1325" t="str">
            <v>in storage</v>
          </cell>
          <cell r="K1325" t="str">
            <v>PCOQ</v>
          </cell>
          <cell r="AB1325" t="str">
            <v>Lung</v>
          </cell>
        </row>
        <row r="1326">
          <cell r="A1326" t="str">
            <v>in storage</v>
          </cell>
          <cell r="K1326" t="str">
            <v>PCOQ</v>
          </cell>
          <cell r="AB1326" t="str">
            <v>U- bladder</v>
          </cell>
        </row>
        <row r="1327">
          <cell r="A1327" t="str">
            <v>in storage</v>
          </cell>
          <cell r="K1327" t="str">
            <v>PCOQ</v>
          </cell>
          <cell r="AB1327" t="str">
            <v>Liver</v>
          </cell>
        </row>
        <row r="1328">
          <cell r="A1328" t="str">
            <v>in storage</v>
          </cell>
          <cell r="K1328" t="str">
            <v>PCOQ</v>
          </cell>
          <cell r="AB1328" t="str">
            <v>Liver</v>
          </cell>
        </row>
        <row r="1329">
          <cell r="A1329" t="str">
            <v>in storage</v>
          </cell>
          <cell r="K1329" t="str">
            <v>DMAD</v>
          </cell>
          <cell r="AB1329" t="str">
            <v>GI- stomach</v>
          </cell>
        </row>
        <row r="1330">
          <cell r="A1330" t="str">
            <v>in storage</v>
          </cell>
          <cell r="K1330" t="str">
            <v>EFLA</v>
          </cell>
          <cell r="AB1330" t="str">
            <v>Kidney</v>
          </cell>
        </row>
        <row r="1331">
          <cell r="A1331" t="str">
            <v>in storage</v>
          </cell>
          <cell r="K1331" t="str">
            <v>EFLA</v>
          </cell>
          <cell r="AB1331" t="str">
            <v>Spleen</v>
          </cell>
        </row>
        <row r="1332">
          <cell r="A1332" t="str">
            <v>in storage</v>
          </cell>
          <cell r="K1332" t="str">
            <v>EFLA</v>
          </cell>
          <cell r="AB1332" t="str">
            <v>Heart</v>
          </cell>
        </row>
        <row r="1333">
          <cell r="A1333" t="str">
            <v>in storage</v>
          </cell>
          <cell r="K1333" t="str">
            <v>EFLA</v>
          </cell>
          <cell r="AB1333" t="str">
            <v>Lung</v>
          </cell>
        </row>
        <row r="1334">
          <cell r="A1334" t="str">
            <v>in storage</v>
          </cell>
          <cell r="K1334" t="str">
            <v>EFLA</v>
          </cell>
          <cell r="AB1334" t="str">
            <v>U- bladder</v>
          </cell>
        </row>
        <row r="1335">
          <cell r="A1335" t="str">
            <v>in storage</v>
          </cell>
          <cell r="K1335" t="str">
            <v>EFLA</v>
          </cell>
          <cell r="AB1335" t="str">
            <v>Liver</v>
          </cell>
        </row>
        <row r="1336">
          <cell r="A1336" t="str">
            <v>in storage</v>
          </cell>
          <cell r="K1336" t="str">
            <v>EFLA</v>
          </cell>
          <cell r="AB1336" t="str">
            <v>Kidney</v>
          </cell>
        </row>
        <row r="1337">
          <cell r="A1337" t="str">
            <v>in storage</v>
          </cell>
          <cell r="K1337" t="str">
            <v>EFLA</v>
          </cell>
          <cell r="AB1337" t="str">
            <v>Spleen</v>
          </cell>
        </row>
        <row r="1338">
          <cell r="A1338" t="str">
            <v>in storage</v>
          </cell>
          <cell r="K1338" t="str">
            <v>EFLA</v>
          </cell>
          <cell r="AB1338" t="str">
            <v>Heart</v>
          </cell>
        </row>
        <row r="1339">
          <cell r="A1339" t="str">
            <v>in storage</v>
          </cell>
          <cell r="K1339" t="str">
            <v>EFLA</v>
          </cell>
          <cell r="AB1339" t="str">
            <v>Lung</v>
          </cell>
        </row>
        <row r="1340">
          <cell r="A1340" t="str">
            <v>in storage</v>
          </cell>
          <cell r="K1340" t="str">
            <v>EFLA</v>
          </cell>
          <cell r="AB1340" t="str">
            <v>Liver</v>
          </cell>
        </row>
        <row r="1341">
          <cell r="A1341" t="str">
            <v>in storage</v>
          </cell>
          <cell r="K1341" t="str">
            <v>MZAZ</v>
          </cell>
          <cell r="AB1341" t="str">
            <v>Kidney</v>
          </cell>
        </row>
        <row r="1342">
          <cell r="A1342" t="str">
            <v>in storage</v>
          </cell>
          <cell r="K1342" t="str">
            <v>MZAZ</v>
          </cell>
          <cell r="AB1342" t="str">
            <v>Lung</v>
          </cell>
        </row>
        <row r="1343">
          <cell r="A1343" t="str">
            <v>in storage</v>
          </cell>
          <cell r="K1343" t="str">
            <v>MZAZ</v>
          </cell>
          <cell r="AB1343" t="str">
            <v>Kidney</v>
          </cell>
        </row>
        <row r="1344">
          <cell r="A1344" t="str">
            <v>in storage</v>
          </cell>
          <cell r="K1344" t="str">
            <v>MZAZ</v>
          </cell>
          <cell r="AB1344" t="str">
            <v>Spleen</v>
          </cell>
        </row>
        <row r="1345">
          <cell r="A1345" t="str">
            <v>in storage</v>
          </cell>
          <cell r="K1345" t="str">
            <v>MZAZ</v>
          </cell>
          <cell r="AB1345" t="str">
            <v>Heart</v>
          </cell>
        </row>
        <row r="1346">
          <cell r="A1346" t="str">
            <v>in storage</v>
          </cell>
          <cell r="K1346" t="str">
            <v>MZAZ</v>
          </cell>
          <cell r="AB1346" t="str">
            <v>Lung</v>
          </cell>
        </row>
        <row r="1347">
          <cell r="A1347" t="str">
            <v>in storage</v>
          </cell>
          <cell r="K1347" t="str">
            <v>MZAZ</v>
          </cell>
          <cell r="AB1347" t="str">
            <v>Liver</v>
          </cell>
        </row>
        <row r="1348">
          <cell r="A1348" t="str">
            <v>in storage</v>
          </cell>
          <cell r="K1348" t="str">
            <v>LTAR</v>
          </cell>
          <cell r="AB1348" t="str">
            <v>Kidney</v>
          </cell>
        </row>
        <row r="1349">
          <cell r="A1349" t="str">
            <v>in storage</v>
          </cell>
          <cell r="K1349" t="str">
            <v>LTAR</v>
          </cell>
          <cell r="AB1349" t="str">
            <v>Spleen</v>
          </cell>
        </row>
        <row r="1350">
          <cell r="A1350" t="str">
            <v>in storage</v>
          </cell>
          <cell r="K1350" t="str">
            <v>LTAR</v>
          </cell>
          <cell r="AB1350" t="str">
            <v>Lung</v>
          </cell>
        </row>
        <row r="1351">
          <cell r="A1351" t="str">
            <v>in storage</v>
          </cell>
          <cell r="K1351" t="str">
            <v>LTAR</v>
          </cell>
          <cell r="AB1351" t="str">
            <v>Liver</v>
          </cell>
        </row>
        <row r="1352">
          <cell r="A1352" t="str">
            <v>in storage</v>
          </cell>
          <cell r="K1352" t="str">
            <v>LTAR</v>
          </cell>
          <cell r="AB1352" t="str">
            <v>Gallbladder</v>
          </cell>
        </row>
        <row r="1353">
          <cell r="A1353" t="str">
            <v>in storage</v>
          </cell>
          <cell r="K1353" t="str">
            <v>ERUF</v>
          </cell>
          <cell r="AB1353" t="str">
            <v>Kidney</v>
          </cell>
        </row>
        <row r="1354">
          <cell r="A1354" t="str">
            <v>in storage</v>
          </cell>
          <cell r="K1354" t="str">
            <v>ERUF</v>
          </cell>
          <cell r="AB1354" t="str">
            <v>Spleen</v>
          </cell>
        </row>
        <row r="1355">
          <cell r="A1355" t="str">
            <v>in storage</v>
          </cell>
          <cell r="K1355" t="str">
            <v>ERUF</v>
          </cell>
          <cell r="AB1355" t="str">
            <v>Heart</v>
          </cell>
        </row>
        <row r="1356">
          <cell r="A1356" t="str">
            <v>in storage</v>
          </cell>
          <cell r="K1356" t="str">
            <v>ERUF</v>
          </cell>
          <cell r="AB1356" t="str">
            <v>Lung</v>
          </cell>
        </row>
        <row r="1357">
          <cell r="A1357" t="str">
            <v>in storage</v>
          </cell>
          <cell r="K1357" t="str">
            <v>ERUF</v>
          </cell>
          <cell r="AB1357" t="str">
            <v>Liver</v>
          </cell>
        </row>
        <row r="1358">
          <cell r="A1358" t="str">
            <v>in storage</v>
          </cell>
          <cell r="K1358" t="str">
            <v>ERUF</v>
          </cell>
          <cell r="AB1358" t="str">
            <v>Mass- lymph node</v>
          </cell>
        </row>
        <row r="1359">
          <cell r="A1359" t="str">
            <v>in storage</v>
          </cell>
          <cell r="K1359" t="str">
            <v>MZAZ</v>
          </cell>
          <cell r="AB1359" t="str">
            <v>Kidney</v>
          </cell>
        </row>
        <row r="1360">
          <cell r="A1360" t="str">
            <v>in storage</v>
          </cell>
          <cell r="K1360" t="str">
            <v>MZAZ</v>
          </cell>
          <cell r="AB1360" t="str">
            <v>Spleen</v>
          </cell>
        </row>
        <row r="1361">
          <cell r="A1361" t="str">
            <v>in storage</v>
          </cell>
          <cell r="K1361" t="str">
            <v>MZAZ</v>
          </cell>
          <cell r="AB1361" t="str">
            <v>Heart</v>
          </cell>
        </row>
        <row r="1362">
          <cell r="A1362" t="str">
            <v>in storage</v>
          </cell>
          <cell r="K1362" t="str">
            <v>MZAZ</v>
          </cell>
          <cell r="AB1362" t="str">
            <v>Lung</v>
          </cell>
        </row>
        <row r="1363">
          <cell r="A1363" t="str">
            <v>in storage</v>
          </cell>
          <cell r="K1363" t="str">
            <v>MZAZ</v>
          </cell>
          <cell r="AB1363" t="str">
            <v>Liver</v>
          </cell>
        </row>
        <row r="1364">
          <cell r="A1364" t="str">
            <v>in storage</v>
          </cell>
          <cell r="K1364" t="str">
            <v>MZAZ</v>
          </cell>
          <cell r="AB1364" t="str">
            <v>Mass- vulvar</v>
          </cell>
        </row>
        <row r="1365">
          <cell r="A1365" t="str">
            <v>in storage</v>
          </cell>
          <cell r="K1365" t="str">
            <v>LCAT</v>
          </cell>
          <cell r="AB1365" t="str">
            <v>Kidney</v>
          </cell>
        </row>
        <row r="1366">
          <cell r="A1366" t="str">
            <v>in storage</v>
          </cell>
          <cell r="K1366" t="str">
            <v>LCAT</v>
          </cell>
          <cell r="AB1366" t="str">
            <v>Spleen</v>
          </cell>
        </row>
        <row r="1367">
          <cell r="A1367" t="str">
            <v>in storage</v>
          </cell>
          <cell r="K1367" t="str">
            <v>LCAT</v>
          </cell>
          <cell r="AB1367" t="str">
            <v>Heart</v>
          </cell>
        </row>
        <row r="1368">
          <cell r="A1368" t="str">
            <v>in storage</v>
          </cell>
          <cell r="K1368" t="str">
            <v>LCAT</v>
          </cell>
          <cell r="AB1368" t="str">
            <v>Lung</v>
          </cell>
        </row>
        <row r="1369">
          <cell r="A1369" t="str">
            <v>in storage</v>
          </cell>
          <cell r="K1369" t="str">
            <v>LCAT</v>
          </cell>
          <cell r="AB1369" t="str">
            <v>Gallbladder/ liver</v>
          </cell>
        </row>
        <row r="1370">
          <cell r="A1370" t="str">
            <v>in storage</v>
          </cell>
          <cell r="K1370" t="str">
            <v>LCAT</v>
          </cell>
          <cell r="AB1370" t="str">
            <v>R- reproductive tract</v>
          </cell>
        </row>
        <row r="1371">
          <cell r="A1371" t="str">
            <v>in storage</v>
          </cell>
          <cell r="K1371" t="str">
            <v>MMUR</v>
          </cell>
          <cell r="AB1371" t="str">
            <v>Liver</v>
          </cell>
        </row>
        <row r="1372">
          <cell r="A1372" t="str">
            <v>in storage</v>
          </cell>
          <cell r="K1372" t="str">
            <v>MMUR</v>
          </cell>
          <cell r="AB1372" t="str">
            <v>Spleen</v>
          </cell>
        </row>
        <row r="1373">
          <cell r="A1373" t="str">
            <v>in storage</v>
          </cell>
          <cell r="K1373" t="str">
            <v>MMUR</v>
          </cell>
          <cell r="AB1373" t="str">
            <v>Heart</v>
          </cell>
        </row>
        <row r="1374">
          <cell r="A1374" t="str">
            <v>in storage</v>
          </cell>
          <cell r="K1374" t="str">
            <v>MMUR</v>
          </cell>
          <cell r="AB1374" t="str">
            <v>Kidney</v>
          </cell>
        </row>
        <row r="1375">
          <cell r="A1375" t="str">
            <v>in storage</v>
          </cell>
          <cell r="K1375" t="str">
            <v>ECOR</v>
          </cell>
          <cell r="AB1375" t="str">
            <v>Kidney</v>
          </cell>
        </row>
        <row r="1376">
          <cell r="A1376" t="str">
            <v>in storage</v>
          </cell>
          <cell r="K1376" t="str">
            <v>ECOR</v>
          </cell>
          <cell r="AB1376" t="str">
            <v>Spleen</v>
          </cell>
        </row>
        <row r="1377">
          <cell r="A1377" t="str">
            <v>in storage</v>
          </cell>
          <cell r="K1377" t="str">
            <v>ECOR</v>
          </cell>
          <cell r="AB1377" t="str">
            <v>Heart</v>
          </cell>
        </row>
        <row r="1378">
          <cell r="A1378" t="str">
            <v>in storage</v>
          </cell>
          <cell r="K1378" t="str">
            <v>ECOR</v>
          </cell>
          <cell r="AB1378" t="str">
            <v>Lung</v>
          </cell>
        </row>
        <row r="1379">
          <cell r="A1379" t="str">
            <v>in storage</v>
          </cell>
          <cell r="K1379" t="str">
            <v>ECOR</v>
          </cell>
          <cell r="AB1379" t="str">
            <v>Liver</v>
          </cell>
        </row>
        <row r="1380">
          <cell r="A1380" t="str">
            <v>in storage</v>
          </cell>
          <cell r="K1380" t="str">
            <v>ECOL</v>
          </cell>
          <cell r="AB1380" t="str">
            <v>Kidney</v>
          </cell>
        </row>
        <row r="1381">
          <cell r="A1381" t="str">
            <v>in storage</v>
          </cell>
          <cell r="K1381" t="str">
            <v>ECOL</v>
          </cell>
          <cell r="AB1381" t="str">
            <v>Spleen</v>
          </cell>
        </row>
        <row r="1382">
          <cell r="A1382" t="str">
            <v>in storage</v>
          </cell>
          <cell r="K1382" t="str">
            <v>ECOL</v>
          </cell>
          <cell r="AB1382" t="str">
            <v>Lung</v>
          </cell>
        </row>
        <row r="1383">
          <cell r="A1383" t="str">
            <v>in storage</v>
          </cell>
          <cell r="K1383" t="str">
            <v>ECOL</v>
          </cell>
          <cell r="AB1383" t="str">
            <v>Liver</v>
          </cell>
        </row>
        <row r="1384">
          <cell r="A1384" t="str">
            <v>in storage</v>
          </cell>
          <cell r="K1384" t="str">
            <v>ECOL</v>
          </cell>
          <cell r="AB1384" t="str">
            <v>Mass- liver</v>
          </cell>
        </row>
        <row r="1385">
          <cell r="A1385" t="str">
            <v>in storage</v>
          </cell>
          <cell r="K1385" t="str">
            <v>ESAN</v>
          </cell>
          <cell r="AB1385" t="str">
            <v>Kidney</v>
          </cell>
        </row>
        <row r="1386">
          <cell r="A1386" t="str">
            <v>in storage</v>
          </cell>
          <cell r="K1386" t="str">
            <v>ESAN</v>
          </cell>
          <cell r="AB1386" t="str">
            <v>Spleen</v>
          </cell>
        </row>
        <row r="1387">
          <cell r="A1387" t="str">
            <v>in storage</v>
          </cell>
          <cell r="K1387" t="str">
            <v>ESAN</v>
          </cell>
          <cell r="AB1387" t="str">
            <v>Heart</v>
          </cell>
        </row>
        <row r="1388">
          <cell r="A1388" t="str">
            <v>in storage</v>
          </cell>
          <cell r="K1388" t="str">
            <v>ESAN</v>
          </cell>
          <cell r="AB1388" t="str">
            <v>Lung</v>
          </cell>
        </row>
        <row r="1389">
          <cell r="A1389" t="str">
            <v>in storage</v>
          </cell>
          <cell r="K1389" t="str">
            <v>ESAN</v>
          </cell>
          <cell r="AB1389" t="str">
            <v>Gallbladder/ liver</v>
          </cell>
        </row>
        <row r="1390">
          <cell r="A1390" t="str">
            <v>in storage</v>
          </cell>
          <cell r="K1390" t="str">
            <v>PTAT</v>
          </cell>
          <cell r="AB1390" t="str">
            <v>Kidney</v>
          </cell>
        </row>
        <row r="1391">
          <cell r="A1391" t="str">
            <v>in storage</v>
          </cell>
          <cell r="K1391" t="str">
            <v>PTAT</v>
          </cell>
          <cell r="AB1391" t="str">
            <v>Spleen</v>
          </cell>
        </row>
        <row r="1392">
          <cell r="A1392" t="str">
            <v>in storage</v>
          </cell>
          <cell r="K1392" t="str">
            <v>PTAT</v>
          </cell>
          <cell r="AB1392" t="str">
            <v>Lung</v>
          </cell>
        </row>
        <row r="1393">
          <cell r="A1393" t="str">
            <v>in storage</v>
          </cell>
          <cell r="K1393" t="str">
            <v>PTAT</v>
          </cell>
          <cell r="AB1393" t="str">
            <v>Heart</v>
          </cell>
        </row>
        <row r="1394">
          <cell r="A1394" t="str">
            <v>in storage</v>
          </cell>
          <cell r="K1394" t="str">
            <v>PTAT</v>
          </cell>
          <cell r="AB1394" t="str">
            <v>Liver</v>
          </cell>
        </row>
        <row r="1395">
          <cell r="A1395" t="str">
            <v>in storage</v>
          </cell>
          <cell r="K1395" t="str">
            <v>PTAT</v>
          </cell>
          <cell r="AB1395" t="str">
            <v>R- teste(s)</v>
          </cell>
        </row>
        <row r="1396">
          <cell r="A1396" t="str">
            <v>unk</v>
          </cell>
          <cell r="K1396" t="str">
            <v>PCOQ</v>
          </cell>
          <cell r="AB1396" t="str">
            <v>R- placenta</v>
          </cell>
        </row>
        <row r="1397">
          <cell r="A1397" t="str">
            <v>in storage</v>
          </cell>
          <cell r="K1397" t="str">
            <v>VRUB</v>
          </cell>
          <cell r="AB1397" t="str">
            <v>Liver</v>
          </cell>
        </row>
        <row r="1398">
          <cell r="A1398" t="str">
            <v>in storage</v>
          </cell>
          <cell r="K1398" t="str">
            <v>VRUB</v>
          </cell>
          <cell r="AB1398" t="str">
            <v>Kidney</v>
          </cell>
        </row>
        <row r="1399">
          <cell r="A1399" t="str">
            <v>in storage</v>
          </cell>
          <cell r="K1399" t="str">
            <v>VRUB</v>
          </cell>
          <cell r="AB1399" t="str">
            <v>Spleen</v>
          </cell>
        </row>
        <row r="1400">
          <cell r="A1400" t="str">
            <v>in storage</v>
          </cell>
          <cell r="K1400" t="str">
            <v>VRUB</v>
          </cell>
          <cell r="AB1400" t="str">
            <v>Heart</v>
          </cell>
        </row>
        <row r="1401">
          <cell r="A1401" t="str">
            <v>in storage</v>
          </cell>
          <cell r="K1401" t="str">
            <v>VRUB</v>
          </cell>
          <cell r="AB1401" t="str">
            <v>Lung</v>
          </cell>
        </row>
        <row r="1402">
          <cell r="A1402" t="str">
            <v>in storage</v>
          </cell>
          <cell r="K1402" t="str">
            <v>EFLA</v>
          </cell>
          <cell r="AB1402" t="str">
            <v>Kidney</v>
          </cell>
        </row>
        <row r="1403">
          <cell r="A1403" t="str">
            <v>in storage</v>
          </cell>
          <cell r="K1403" t="str">
            <v>EFLA</v>
          </cell>
          <cell r="AB1403" t="str">
            <v>Spleen</v>
          </cell>
        </row>
        <row r="1404">
          <cell r="A1404" t="str">
            <v>in storage</v>
          </cell>
          <cell r="K1404" t="str">
            <v>EFLA</v>
          </cell>
          <cell r="AB1404" t="str">
            <v>Heart</v>
          </cell>
        </row>
        <row r="1405">
          <cell r="A1405" t="str">
            <v>in storage</v>
          </cell>
          <cell r="K1405" t="str">
            <v>EFLA</v>
          </cell>
          <cell r="AB1405" t="str">
            <v>Lung</v>
          </cell>
        </row>
        <row r="1406">
          <cell r="A1406" t="str">
            <v>in storage</v>
          </cell>
          <cell r="K1406" t="str">
            <v>EFLA</v>
          </cell>
          <cell r="AB1406" t="str">
            <v>Liver</v>
          </cell>
        </row>
        <row r="1407">
          <cell r="A1407" t="str">
            <v>in storage</v>
          </cell>
          <cell r="K1407" t="str">
            <v>DMAD</v>
          </cell>
          <cell r="AB1407" t="str">
            <v>GI Contents- stomach</v>
          </cell>
        </row>
        <row r="1408">
          <cell r="A1408" t="str">
            <v>in storage</v>
          </cell>
          <cell r="K1408" t="str">
            <v>MZAZ</v>
          </cell>
          <cell r="AB1408" t="str">
            <v>Kidney</v>
          </cell>
        </row>
        <row r="1409">
          <cell r="A1409" t="str">
            <v>in storage</v>
          </cell>
          <cell r="K1409" t="str">
            <v>MZAZ</v>
          </cell>
          <cell r="AB1409" t="str">
            <v>Spleen</v>
          </cell>
        </row>
        <row r="1410">
          <cell r="A1410" t="str">
            <v>in storage</v>
          </cell>
          <cell r="K1410" t="str">
            <v>MZAZ</v>
          </cell>
          <cell r="AB1410" t="str">
            <v>Heart</v>
          </cell>
        </row>
        <row r="1411">
          <cell r="A1411" t="str">
            <v>in storage</v>
          </cell>
          <cell r="K1411" t="str">
            <v>MZAZ</v>
          </cell>
          <cell r="AB1411" t="str">
            <v>Lung</v>
          </cell>
        </row>
        <row r="1412">
          <cell r="A1412" t="str">
            <v>in storage</v>
          </cell>
          <cell r="K1412" t="str">
            <v>MZAZ</v>
          </cell>
          <cell r="AB1412" t="str">
            <v>Liver</v>
          </cell>
        </row>
        <row r="1413">
          <cell r="A1413" t="str">
            <v>in storage</v>
          </cell>
          <cell r="K1413" t="str">
            <v>MZAZ</v>
          </cell>
          <cell r="AB1413" t="str">
            <v>Skin</v>
          </cell>
        </row>
        <row r="1414">
          <cell r="A1414" t="str">
            <v>in storage</v>
          </cell>
          <cell r="K1414" t="str">
            <v>MZAZ</v>
          </cell>
          <cell r="AB1414" t="str">
            <v>R- reproductive tract</v>
          </cell>
        </row>
        <row r="1415">
          <cell r="A1415" t="str">
            <v>in storage</v>
          </cell>
          <cell r="K1415" t="str">
            <v>MZAZ</v>
          </cell>
          <cell r="AB1415" t="str">
            <v>Skin</v>
          </cell>
        </row>
        <row r="1416">
          <cell r="A1416" t="str">
            <v>in storage</v>
          </cell>
          <cell r="K1416" t="str">
            <v>VVV</v>
          </cell>
          <cell r="AB1416" t="str">
            <v>Liver</v>
          </cell>
        </row>
        <row r="1417">
          <cell r="A1417" t="str">
            <v>in storage</v>
          </cell>
          <cell r="K1417" t="str">
            <v>VVV</v>
          </cell>
          <cell r="AB1417" t="str">
            <v>Kidney</v>
          </cell>
        </row>
        <row r="1418">
          <cell r="A1418" t="str">
            <v>in storage</v>
          </cell>
          <cell r="K1418" t="str">
            <v>VVV</v>
          </cell>
          <cell r="AB1418" t="str">
            <v>Spleen</v>
          </cell>
        </row>
        <row r="1419">
          <cell r="A1419" t="str">
            <v>in storage</v>
          </cell>
          <cell r="K1419" t="str">
            <v>VVV</v>
          </cell>
          <cell r="AB1419" t="str">
            <v>Heart</v>
          </cell>
        </row>
        <row r="1420">
          <cell r="A1420" t="str">
            <v>in storage</v>
          </cell>
          <cell r="K1420" t="str">
            <v>VVV</v>
          </cell>
          <cell r="AB1420" t="str">
            <v>Lung</v>
          </cell>
        </row>
        <row r="1421">
          <cell r="A1421" t="str">
            <v>in storage</v>
          </cell>
          <cell r="K1421" t="str">
            <v>VVV</v>
          </cell>
          <cell r="AB1421" t="str">
            <v>Mass- liver</v>
          </cell>
        </row>
        <row r="1422">
          <cell r="A1422" t="str">
            <v>in storage</v>
          </cell>
          <cell r="K1422" t="str">
            <v>ERUB</v>
          </cell>
          <cell r="AB1422" t="str">
            <v>Kidney</v>
          </cell>
        </row>
        <row r="1423">
          <cell r="A1423" t="str">
            <v>in storage</v>
          </cell>
          <cell r="K1423" t="str">
            <v>ERUB</v>
          </cell>
          <cell r="AB1423" t="str">
            <v>Kidney</v>
          </cell>
        </row>
        <row r="1424">
          <cell r="A1424" t="str">
            <v>in storage</v>
          </cell>
          <cell r="K1424" t="str">
            <v>ERUB</v>
          </cell>
          <cell r="AB1424" t="str">
            <v>Spleen</v>
          </cell>
        </row>
        <row r="1425">
          <cell r="A1425" t="str">
            <v>in storage</v>
          </cell>
          <cell r="K1425" t="str">
            <v>ERUB</v>
          </cell>
          <cell r="AB1425" t="str">
            <v>Heart</v>
          </cell>
        </row>
        <row r="1426">
          <cell r="A1426" t="str">
            <v>in storage</v>
          </cell>
          <cell r="K1426" t="str">
            <v>ERUB</v>
          </cell>
          <cell r="AB1426" t="str">
            <v>Lung</v>
          </cell>
        </row>
        <row r="1427">
          <cell r="A1427" t="str">
            <v>in storage</v>
          </cell>
          <cell r="K1427" t="str">
            <v>ERUB</v>
          </cell>
          <cell r="AB1427" t="str">
            <v>Liver</v>
          </cell>
        </row>
        <row r="1428">
          <cell r="A1428" t="str">
            <v>in storage</v>
          </cell>
          <cell r="K1428" t="str">
            <v>CMED</v>
          </cell>
          <cell r="AB1428" t="str">
            <v>Kidney</v>
          </cell>
        </row>
        <row r="1429">
          <cell r="A1429" t="str">
            <v>in storage</v>
          </cell>
          <cell r="K1429" t="str">
            <v>CMED</v>
          </cell>
          <cell r="AB1429" t="str">
            <v>Spleen</v>
          </cell>
        </row>
        <row r="1430">
          <cell r="A1430" t="str">
            <v>in storage</v>
          </cell>
          <cell r="K1430" t="str">
            <v>CMED</v>
          </cell>
          <cell r="AB1430" t="str">
            <v>Heart</v>
          </cell>
        </row>
        <row r="1431">
          <cell r="A1431" t="str">
            <v>in storage</v>
          </cell>
          <cell r="K1431" t="str">
            <v>CMED</v>
          </cell>
          <cell r="AB1431" t="str">
            <v>Lung</v>
          </cell>
        </row>
        <row r="1432">
          <cell r="A1432" t="str">
            <v>in storage</v>
          </cell>
          <cell r="K1432" t="str">
            <v>CMED</v>
          </cell>
          <cell r="AB1432" t="str">
            <v>Liver</v>
          </cell>
        </row>
        <row r="1433">
          <cell r="A1433" t="str">
            <v>in storage</v>
          </cell>
          <cell r="K1433" t="str">
            <v>CMED</v>
          </cell>
          <cell r="AB1433" t="str">
            <v>Mass- liver</v>
          </cell>
        </row>
        <row r="1434">
          <cell r="A1434" t="str">
            <v>in storage</v>
          </cell>
          <cell r="K1434" t="str">
            <v>CMED</v>
          </cell>
          <cell r="AB1434" t="str">
            <v xml:space="preserve">Mass- ovarian </v>
          </cell>
        </row>
        <row r="1435">
          <cell r="A1435" t="str">
            <v>in storage</v>
          </cell>
          <cell r="K1435" t="str">
            <v>DMAD</v>
          </cell>
          <cell r="AB1435" t="str">
            <v>GI Contents- cecum</v>
          </cell>
        </row>
        <row r="1436">
          <cell r="A1436" t="str">
            <v>in storage</v>
          </cell>
          <cell r="K1436" t="str">
            <v>DMAD</v>
          </cell>
          <cell r="AB1436" t="str">
            <v>GI Contents- small intestine</v>
          </cell>
        </row>
        <row r="1437">
          <cell r="A1437" t="str">
            <v>in storage</v>
          </cell>
          <cell r="K1437" t="str">
            <v>DMAD</v>
          </cell>
          <cell r="AB1437" t="str">
            <v>GI- small intestine</v>
          </cell>
        </row>
        <row r="1438">
          <cell r="A1438" t="str">
            <v>in storage</v>
          </cell>
          <cell r="K1438" t="str">
            <v>EALB</v>
          </cell>
          <cell r="AB1438" t="str">
            <v>Kidney</v>
          </cell>
        </row>
        <row r="1439">
          <cell r="A1439" t="str">
            <v>in storage</v>
          </cell>
          <cell r="K1439" t="str">
            <v>EALB</v>
          </cell>
          <cell r="AB1439" t="str">
            <v>Spleen</v>
          </cell>
        </row>
        <row r="1440">
          <cell r="A1440" t="str">
            <v>in storage</v>
          </cell>
          <cell r="K1440" t="str">
            <v>EALB</v>
          </cell>
          <cell r="AB1440" t="str">
            <v>Heart</v>
          </cell>
        </row>
        <row r="1441">
          <cell r="A1441" t="str">
            <v>in storage</v>
          </cell>
          <cell r="K1441" t="str">
            <v>EALB</v>
          </cell>
          <cell r="AB1441" t="str">
            <v>Lung</v>
          </cell>
        </row>
        <row r="1442">
          <cell r="A1442" t="str">
            <v>in storage</v>
          </cell>
          <cell r="K1442" t="str">
            <v>EALB</v>
          </cell>
          <cell r="AB1442" t="str">
            <v>Liver</v>
          </cell>
        </row>
        <row r="1443">
          <cell r="A1443" t="str">
            <v>in storage</v>
          </cell>
          <cell r="K1443" t="str">
            <v>CMED</v>
          </cell>
          <cell r="AB1443" t="str">
            <v>Spleen</v>
          </cell>
        </row>
        <row r="1444">
          <cell r="A1444" t="str">
            <v>in storage</v>
          </cell>
          <cell r="K1444" t="str">
            <v>CMED</v>
          </cell>
          <cell r="AB1444" t="str">
            <v>Heart</v>
          </cell>
        </row>
        <row r="1445">
          <cell r="A1445" t="str">
            <v>in storage</v>
          </cell>
          <cell r="K1445" t="str">
            <v>CMED</v>
          </cell>
          <cell r="AB1445" t="str">
            <v>Lung</v>
          </cell>
        </row>
        <row r="1446">
          <cell r="A1446" t="str">
            <v>in storage</v>
          </cell>
          <cell r="K1446" t="str">
            <v>CMED</v>
          </cell>
          <cell r="AB1446" t="str">
            <v>Liver</v>
          </cell>
        </row>
        <row r="1447">
          <cell r="A1447" t="str">
            <v>in storage</v>
          </cell>
          <cell r="K1447" t="str">
            <v>VRUB</v>
          </cell>
          <cell r="AB1447" t="str">
            <v>Liver</v>
          </cell>
        </row>
        <row r="1448">
          <cell r="A1448" t="str">
            <v>in storage</v>
          </cell>
          <cell r="K1448" t="str">
            <v>VRUB</v>
          </cell>
          <cell r="AB1448" t="str">
            <v>Kidney</v>
          </cell>
        </row>
        <row r="1449">
          <cell r="A1449" t="str">
            <v>in storage</v>
          </cell>
          <cell r="K1449" t="str">
            <v>VRUB</v>
          </cell>
          <cell r="AB1449" t="str">
            <v>Spleen</v>
          </cell>
        </row>
        <row r="1450">
          <cell r="A1450" t="str">
            <v>in storage</v>
          </cell>
          <cell r="K1450" t="str">
            <v>VRUB</v>
          </cell>
          <cell r="AB1450" t="str">
            <v>Heart</v>
          </cell>
        </row>
        <row r="1451">
          <cell r="A1451" t="str">
            <v>in storage</v>
          </cell>
          <cell r="K1451" t="str">
            <v>VRUB</v>
          </cell>
          <cell r="AB1451" t="str">
            <v>Lung</v>
          </cell>
        </row>
        <row r="1452">
          <cell r="A1452" t="str">
            <v>in storage</v>
          </cell>
          <cell r="K1452" t="str">
            <v>VVV</v>
          </cell>
          <cell r="AB1452" t="str">
            <v>Liver</v>
          </cell>
        </row>
        <row r="1453">
          <cell r="A1453" t="str">
            <v>in storage</v>
          </cell>
          <cell r="K1453" t="str">
            <v>VVV</v>
          </cell>
          <cell r="AB1453" t="str">
            <v>Kidney</v>
          </cell>
        </row>
        <row r="1454">
          <cell r="A1454" t="str">
            <v>in storage</v>
          </cell>
          <cell r="K1454" t="str">
            <v>VVV</v>
          </cell>
          <cell r="AB1454" t="str">
            <v>Spleen</v>
          </cell>
        </row>
        <row r="1455">
          <cell r="A1455" t="str">
            <v>in storage</v>
          </cell>
          <cell r="K1455" t="str">
            <v>VVV</v>
          </cell>
          <cell r="AB1455" t="str">
            <v>Heart</v>
          </cell>
        </row>
        <row r="1456">
          <cell r="A1456" t="str">
            <v>in storage</v>
          </cell>
          <cell r="K1456" t="str">
            <v>VVV</v>
          </cell>
          <cell r="AB1456" t="str">
            <v>Lung</v>
          </cell>
        </row>
        <row r="1457">
          <cell r="A1457" t="str">
            <v>in storage</v>
          </cell>
          <cell r="K1457" t="str">
            <v>VVV</v>
          </cell>
          <cell r="AB1457" t="str">
            <v>Mass- cystic</v>
          </cell>
        </row>
        <row r="1458">
          <cell r="A1458" t="str">
            <v>in storage</v>
          </cell>
          <cell r="K1458" t="str">
            <v>MZAZ</v>
          </cell>
          <cell r="AB1458" t="str">
            <v>Kidney</v>
          </cell>
        </row>
        <row r="1459">
          <cell r="A1459" t="str">
            <v>in storage</v>
          </cell>
          <cell r="K1459" t="str">
            <v>MZAZ</v>
          </cell>
          <cell r="AB1459" t="str">
            <v>Spleen</v>
          </cell>
        </row>
        <row r="1460">
          <cell r="A1460" t="str">
            <v>in storage</v>
          </cell>
          <cell r="K1460" t="str">
            <v>MZAZ</v>
          </cell>
          <cell r="AB1460" t="str">
            <v>Heart</v>
          </cell>
        </row>
        <row r="1461">
          <cell r="A1461" t="str">
            <v>in storage</v>
          </cell>
          <cell r="K1461" t="str">
            <v>MZAZ</v>
          </cell>
          <cell r="AB1461" t="str">
            <v>Lung</v>
          </cell>
        </row>
        <row r="1462">
          <cell r="A1462" t="str">
            <v>in storage</v>
          </cell>
          <cell r="K1462" t="str">
            <v>MZAZ</v>
          </cell>
          <cell r="AB1462" t="str">
            <v>Liver</v>
          </cell>
        </row>
        <row r="1463">
          <cell r="A1463" t="str">
            <v>in storage</v>
          </cell>
          <cell r="K1463" t="str">
            <v>EFLA</v>
          </cell>
          <cell r="AB1463" t="str">
            <v>parasite(s)</v>
          </cell>
        </row>
        <row r="1464">
          <cell r="A1464" t="str">
            <v>in storage</v>
          </cell>
          <cell r="K1464" t="str">
            <v>EFLA</v>
          </cell>
          <cell r="AB1464" t="str">
            <v>Kidney</v>
          </cell>
        </row>
        <row r="1465">
          <cell r="A1465" t="str">
            <v>in storage</v>
          </cell>
          <cell r="K1465" t="str">
            <v>EFLA</v>
          </cell>
          <cell r="AB1465" t="str">
            <v>Spleen</v>
          </cell>
        </row>
        <row r="1466">
          <cell r="A1466" t="str">
            <v>in storage</v>
          </cell>
          <cell r="K1466" t="str">
            <v>EFLA</v>
          </cell>
          <cell r="AB1466" t="str">
            <v>Heart</v>
          </cell>
        </row>
        <row r="1467">
          <cell r="A1467" t="str">
            <v>in storage</v>
          </cell>
          <cell r="K1467" t="str">
            <v>EFLA</v>
          </cell>
          <cell r="AB1467" t="str">
            <v>Lung</v>
          </cell>
        </row>
        <row r="1468">
          <cell r="A1468" t="str">
            <v>in storage</v>
          </cell>
          <cell r="K1468" t="str">
            <v>EFLA</v>
          </cell>
          <cell r="AB1468" t="str">
            <v>Liver</v>
          </cell>
        </row>
        <row r="1469">
          <cell r="A1469" t="str">
            <v>in storage</v>
          </cell>
          <cell r="K1469" t="str">
            <v>NCOU</v>
          </cell>
          <cell r="AB1469" t="str">
            <v>Kidney</v>
          </cell>
        </row>
        <row r="1470">
          <cell r="A1470" t="str">
            <v>in storage</v>
          </cell>
          <cell r="K1470" t="str">
            <v>NCOU</v>
          </cell>
          <cell r="AB1470" t="str">
            <v>Kidney</v>
          </cell>
        </row>
        <row r="1471">
          <cell r="A1471" t="str">
            <v>in storage</v>
          </cell>
          <cell r="K1471" t="str">
            <v>NCOU</v>
          </cell>
          <cell r="AB1471" t="str">
            <v>Spleen</v>
          </cell>
        </row>
        <row r="1472">
          <cell r="A1472" t="str">
            <v>in storage</v>
          </cell>
          <cell r="K1472" t="str">
            <v>NCOU</v>
          </cell>
          <cell r="AB1472" t="str">
            <v>Heart</v>
          </cell>
        </row>
        <row r="1473">
          <cell r="A1473" t="str">
            <v>in storage</v>
          </cell>
          <cell r="K1473" t="str">
            <v>NCOU</v>
          </cell>
          <cell r="AB1473" t="str">
            <v>Lung</v>
          </cell>
        </row>
        <row r="1474">
          <cell r="A1474" t="str">
            <v>in storage</v>
          </cell>
          <cell r="K1474" t="str">
            <v>NCOU</v>
          </cell>
          <cell r="AB1474" t="str">
            <v>Liver</v>
          </cell>
        </row>
        <row r="1475">
          <cell r="A1475" t="str">
            <v>in storage</v>
          </cell>
          <cell r="K1475" t="str">
            <v>DMAD</v>
          </cell>
          <cell r="AB1475" t="str">
            <v>GI Tract</v>
          </cell>
        </row>
        <row r="1476">
          <cell r="A1476" t="str">
            <v>in storage</v>
          </cell>
          <cell r="K1476" t="str">
            <v>NCOU</v>
          </cell>
          <cell r="AB1476" t="str">
            <v>Kidney</v>
          </cell>
        </row>
        <row r="1477">
          <cell r="A1477" t="str">
            <v>in storage</v>
          </cell>
          <cell r="K1477" t="str">
            <v>NCOU</v>
          </cell>
          <cell r="AB1477" t="str">
            <v>Spleen</v>
          </cell>
        </row>
        <row r="1478">
          <cell r="A1478" t="str">
            <v>in storage</v>
          </cell>
          <cell r="K1478" t="str">
            <v>NCOU</v>
          </cell>
          <cell r="AB1478" t="str">
            <v>Heart</v>
          </cell>
        </row>
        <row r="1479">
          <cell r="A1479" t="str">
            <v>in storage</v>
          </cell>
          <cell r="K1479" t="str">
            <v>NCOU</v>
          </cell>
          <cell r="AB1479" t="str">
            <v>Lung</v>
          </cell>
        </row>
        <row r="1480">
          <cell r="A1480" t="str">
            <v>in storage</v>
          </cell>
          <cell r="K1480" t="str">
            <v>NCOU</v>
          </cell>
          <cell r="AB1480" t="str">
            <v>Liver</v>
          </cell>
        </row>
        <row r="1481">
          <cell r="A1481" t="str">
            <v>in storage</v>
          </cell>
          <cell r="K1481" t="str">
            <v>ERUF</v>
          </cell>
          <cell r="AB1481" t="str">
            <v>Kidney</v>
          </cell>
        </row>
        <row r="1482">
          <cell r="A1482" t="str">
            <v>in storage</v>
          </cell>
          <cell r="K1482" t="str">
            <v>ERUF</v>
          </cell>
          <cell r="AB1482" t="str">
            <v>Spleen</v>
          </cell>
        </row>
        <row r="1483">
          <cell r="A1483" t="str">
            <v>in storage</v>
          </cell>
          <cell r="K1483" t="str">
            <v>ERUF</v>
          </cell>
          <cell r="AB1483" t="str">
            <v>Heart</v>
          </cell>
        </row>
        <row r="1484">
          <cell r="A1484" t="str">
            <v>in storage</v>
          </cell>
          <cell r="K1484" t="str">
            <v>ERUF</v>
          </cell>
          <cell r="AB1484" t="str">
            <v>Lung</v>
          </cell>
        </row>
        <row r="1485">
          <cell r="A1485" t="str">
            <v>in storage</v>
          </cell>
          <cell r="K1485" t="str">
            <v>ERUF</v>
          </cell>
          <cell r="AB1485" t="str">
            <v>Liver</v>
          </cell>
        </row>
        <row r="1486">
          <cell r="A1486" t="str">
            <v>in storage</v>
          </cell>
          <cell r="K1486" t="str">
            <v>PCOQ</v>
          </cell>
          <cell r="AB1486" t="str">
            <v>Kidney</v>
          </cell>
        </row>
        <row r="1487">
          <cell r="A1487" t="str">
            <v>in storage</v>
          </cell>
          <cell r="K1487" t="str">
            <v>PCOQ</v>
          </cell>
          <cell r="AB1487" t="str">
            <v>Spleen</v>
          </cell>
        </row>
        <row r="1488">
          <cell r="A1488" t="str">
            <v>in storage</v>
          </cell>
          <cell r="K1488" t="str">
            <v>PCOQ</v>
          </cell>
          <cell r="AB1488" t="str">
            <v>Heart</v>
          </cell>
        </row>
        <row r="1489">
          <cell r="A1489" t="str">
            <v>in storage</v>
          </cell>
          <cell r="K1489" t="str">
            <v>PCOQ</v>
          </cell>
          <cell r="AB1489" t="str">
            <v>Lung</v>
          </cell>
        </row>
        <row r="1490">
          <cell r="A1490" t="str">
            <v>in storage</v>
          </cell>
          <cell r="K1490" t="str">
            <v>PCOQ</v>
          </cell>
          <cell r="AB1490" t="str">
            <v>Liver</v>
          </cell>
        </row>
        <row r="1491">
          <cell r="A1491" t="str">
            <v>in storage</v>
          </cell>
          <cell r="K1491" t="str">
            <v>DMAD</v>
          </cell>
          <cell r="AB1491" t="str">
            <v>GI Contents- colon</v>
          </cell>
        </row>
        <row r="1492">
          <cell r="A1492" t="str">
            <v>in storage</v>
          </cell>
          <cell r="K1492" t="str">
            <v>GMOH</v>
          </cell>
          <cell r="AB1492" t="str">
            <v>Kidney</v>
          </cell>
        </row>
        <row r="1493">
          <cell r="A1493" t="str">
            <v>in storage</v>
          </cell>
          <cell r="K1493" t="str">
            <v>GMOH</v>
          </cell>
          <cell r="AB1493" t="str">
            <v>Heart</v>
          </cell>
        </row>
        <row r="1494">
          <cell r="A1494" t="str">
            <v>in storage</v>
          </cell>
          <cell r="K1494" t="str">
            <v>GMOH</v>
          </cell>
          <cell r="AB1494" t="str">
            <v>Lung</v>
          </cell>
        </row>
        <row r="1495">
          <cell r="A1495" t="str">
            <v>in storage</v>
          </cell>
          <cell r="K1495" t="str">
            <v>GMOH</v>
          </cell>
          <cell r="AB1495" t="str">
            <v>Liver</v>
          </cell>
        </row>
        <row r="1496">
          <cell r="A1496" t="str">
            <v>in storage</v>
          </cell>
          <cell r="K1496" t="str">
            <v>EUL</v>
          </cell>
          <cell r="AB1496" t="str">
            <v>Kidney</v>
          </cell>
        </row>
        <row r="1497">
          <cell r="A1497" t="str">
            <v>in storage</v>
          </cell>
          <cell r="K1497" t="str">
            <v>EUL</v>
          </cell>
          <cell r="AB1497" t="str">
            <v>Spleen</v>
          </cell>
        </row>
        <row r="1498">
          <cell r="A1498" t="str">
            <v>in storage</v>
          </cell>
          <cell r="K1498" t="str">
            <v>EUL</v>
          </cell>
          <cell r="AB1498" t="str">
            <v>Heart</v>
          </cell>
        </row>
        <row r="1499">
          <cell r="A1499" t="str">
            <v>in storage</v>
          </cell>
          <cell r="K1499" t="str">
            <v>EUL</v>
          </cell>
          <cell r="AB1499" t="str">
            <v>Lung</v>
          </cell>
        </row>
        <row r="1500">
          <cell r="A1500" t="str">
            <v>in storage</v>
          </cell>
          <cell r="K1500" t="str">
            <v>EUL</v>
          </cell>
          <cell r="AB1500" t="str">
            <v>Liver</v>
          </cell>
        </row>
        <row r="1501">
          <cell r="A1501" t="str">
            <v>in storage</v>
          </cell>
          <cell r="K1501" t="str">
            <v>MMUR</v>
          </cell>
          <cell r="AB1501" t="str">
            <v>Spleen</v>
          </cell>
        </row>
        <row r="1502">
          <cell r="A1502" t="str">
            <v>in storage</v>
          </cell>
          <cell r="K1502" t="str">
            <v>MMUR</v>
          </cell>
          <cell r="AB1502" t="str">
            <v>Heart</v>
          </cell>
        </row>
        <row r="1503">
          <cell r="A1503" t="str">
            <v>in storage</v>
          </cell>
          <cell r="K1503" t="str">
            <v>MMUR</v>
          </cell>
          <cell r="AB1503" t="str">
            <v>Lung</v>
          </cell>
        </row>
        <row r="1504">
          <cell r="A1504" t="str">
            <v>in storage</v>
          </cell>
          <cell r="K1504" t="str">
            <v>MMUR</v>
          </cell>
          <cell r="AB1504" t="str">
            <v>R- teste(s)</v>
          </cell>
        </row>
        <row r="1505">
          <cell r="A1505" t="str">
            <v>in storage</v>
          </cell>
          <cell r="K1505" t="str">
            <v>ERUF</v>
          </cell>
          <cell r="AB1505" t="str">
            <v>Liver</v>
          </cell>
        </row>
        <row r="1506">
          <cell r="A1506" t="str">
            <v>in storage</v>
          </cell>
          <cell r="K1506" t="str">
            <v>ERUF</v>
          </cell>
          <cell r="AB1506" t="str">
            <v>Kidney</v>
          </cell>
        </row>
        <row r="1507">
          <cell r="A1507" t="str">
            <v>in storage</v>
          </cell>
          <cell r="K1507" t="str">
            <v>ERUF</v>
          </cell>
          <cell r="AB1507" t="str">
            <v>Heart/ Lung</v>
          </cell>
        </row>
        <row r="1508">
          <cell r="A1508" t="str">
            <v>unk</v>
          </cell>
          <cell r="K1508" t="str">
            <v>ERUF</v>
          </cell>
          <cell r="AB1508" t="str">
            <v>Spleen</v>
          </cell>
        </row>
        <row r="1509">
          <cell r="A1509" t="str">
            <v>in storage</v>
          </cell>
          <cell r="K1509" t="str">
            <v>CMED</v>
          </cell>
          <cell r="AB1509" t="str">
            <v>Muscle</v>
          </cell>
        </row>
        <row r="1510">
          <cell r="A1510" t="str">
            <v>in storage</v>
          </cell>
          <cell r="K1510" t="str">
            <v>CMED</v>
          </cell>
          <cell r="AB1510" t="str">
            <v>R- ovary</v>
          </cell>
        </row>
        <row r="1511">
          <cell r="A1511" t="str">
            <v>in storage</v>
          </cell>
          <cell r="K1511" t="str">
            <v>CMED</v>
          </cell>
          <cell r="AB1511" t="str">
            <v>Spleen</v>
          </cell>
        </row>
        <row r="1512">
          <cell r="A1512" t="str">
            <v>in storage</v>
          </cell>
          <cell r="K1512" t="str">
            <v>CMED</v>
          </cell>
          <cell r="AB1512" t="str">
            <v>Lung</v>
          </cell>
        </row>
        <row r="1513">
          <cell r="A1513" t="str">
            <v>in storage</v>
          </cell>
          <cell r="K1513" t="str">
            <v>CMED</v>
          </cell>
          <cell r="AB1513" t="str">
            <v>Liver</v>
          </cell>
        </row>
        <row r="1514">
          <cell r="A1514" t="str">
            <v>in storage</v>
          </cell>
          <cell r="K1514" t="str">
            <v>CMED</v>
          </cell>
          <cell r="AB1514" t="str">
            <v>Skin</v>
          </cell>
        </row>
        <row r="1515">
          <cell r="A1515" t="str">
            <v>in storage</v>
          </cell>
          <cell r="K1515" t="str">
            <v>CMED</v>
          </cell>
          <cell r="AB1515" t="str">
            <v>Heart</v>
          </cell>
        </row>
        <row r="1516">
          <cell r="A1516" t="str">
            <v>in storage</v>
          </cell>
          <cell r="K1516" t="str">
            <v>CMED</v>
          </cell>
          <cell r="AB1516" t="str">
            <v>Lung</v>
          </cell>
        </row>
        <row r="1517">
          <cell r="A1517" t="str">
            <v>in storage</v>
          </cell>
          <cell r="K1517" t="str">
            <v>CMED</v>
          </cell>
          <cell r="AB1517" t="str">
            <v>Pancreas</v>
          </cell>
        </row>
        <row r="1518">
          <cell r="A1518" t="str">
            <v>in storage</v>
          </cell>
          <cell r="K1518" t="str">
            <v>CMED</v>
          </cell>
          <cell r="AB1518" t="str">
            <v>Spleen</v>
          </cell>
        </row>
        <row r="1519">
          <cell r="A1519" t="str">
            <v>in storage</v>
          </cell>
          <cell r="K1519" t="str">
            <v>CMED</v>
          </cell>
          <cell r="AB1519" t="str">
            <v>Liver</v>
          </cell>
        </row>
        <row r="1520">
          <cell r="A1520" t="str">
            <v>in storage</v>
          </cell>
          <cell r="K1520" t="str">
            <v>CMED</v>
          </cell>
          <cell r="AB1520" t="str">
            <v>Kidney</v>
          </cell>
        </row>
        <row r="1521">
          <cell r="A1521" t="str">
            <v>in storage</v>
          </cell>
          <cell r="K1521" t="str">
            <v>CMED</v>
          </cell>
          <cell r="AB1521" t="str">
            <v>R- uterus</v>
          </cell>
        </row>
        <row r="1522">
          <cell r="A1522" t="str">
            <v>in storage</v>
          </cell>
          <cell r="K1522" t="str">
            <v>PCOQ</v>
          </cell>
          <cell r="AB1522" t="str">
            <v>R- placenta</v>
          </cell>
        </row>
        <row r="1523">
          <cell r="A1523" t="str">
            <v>in storage</v>
          </cell>
          <cell r="K1523" t="str">
            <v>DMAD</v>
          </cell>
          <cell r="AB1523" t="str">
            <v>GI Contents- stomach</v>
          </cell>
        </row>
        <row r="1524">
          <cell r="A1524" t="str">
            <v>in storage</v>
          </cell>
          <cell r="K1524" t="str">
            <v>DMAD</v>
          </cell>
          <cell r="AB1524" t="str">
            <v>GI- stomach</v>
          </cell>
        </row>
        <row r="1525">
          <cell r="A1525" t="str">
            <v>in storage</v>
          </cell>
          <cell r="K1525" t="str">
            <v>PTAT</v>
          </cell>
          <cell r="AB1525" t="str">
            <v>Kidney</v>
          </cell>
        </row>
        <row r="1526">
          <cell r="A1526" t="str">
            <v>in storage</v>
          </cell>
          <cell r="K1526" t="str">
            <v>PTAT</v>
          </cell>
          <cell r="AB1526" t="str">
            <v>Spleen</v>
          </cell>
        </row>
        <row r="1527">
          <cell r="A1527" t="str">
            <v>in storage</v>
          </cell>
          <cell r="K1527" t="str">
            <v>PTAT</v>
          </cell>
          <cell r="AB1527" t="str">
            <v>Lung</v>
          </cell>
        </row>
        <row r="1528">
          <cell r="A1528" t="str">
            <v>in storage</v>
          </cell>
          <cell r="K1528" t="str">
            <v>PTAT</v>
          </cell>
          <cell r="AB1528" t="str">
            <v>bile</v>
          </cell>
        </row>
        <row r="1529">
          <cell r="A1529" t="str">
            <v>in storage</v>
          </cell>
          <cell r="K1529" t="str">
            <v>PTAT</v>
          </cell>
          <cell r="AB1529" t="str">
            <v>Heart</v>
          </cell>
        </row>
        <row r="1530">
          <cell r="A1530" t="str">
            <v>in storage</v>
          </cell>
          <cell r="K1530" t="str">
            <v>PTAT</v>
          </cell>
          <cell r="AB1530" t="str">
            <v>Liver</v>
          </cell>
        </row>
        <row r="1531">
          <cell r="A1531" t="str">
            <v>in storage</v>
          </cell>
          <cell r="K1531" t="str">
            <v>PTAT</v>
          </cell>
          <cell r="AB1531" t="str">
            <v>Lymph node</v>
          </cell>
        </row>
        <row r="1532">
          <cell r="A1532" t="str">
            <v>in storage</v>
          </cell>
          <cell r="K1532" t="str">
            <v>PTAT</v>
          </cell>
          <cell r="AB1532" t="str">
            <v>Liver</v>
          </cell>
        </row>
        <row r="1533">
          <cell r="A1533" t="str">
            <v>in storage</v>
          </cell>
          <cell r="K1533" t="str">
            <v>PTAT</v>
          </cell>
          <cell r="AB1533" t="str">
            <v>Kidney</v>
          </cell>
        </row>
        <row r="1534">
          <cell r="A1534" t="str">
            <v>in storage</v>
          </cell>
          <cell r="K1534" t="str">
            <v>PTAT</v>
          </cell>
          <cell r="AB1534" t="str">
            <v>Heart</v>
          </cell>
        </row>
        <row r="1535">
          <cell r="A1535" t="str">
            <v>in storage</v>
          </cell>
          <cell r="K1535" t="str">
            <v>PTAT</v>
          </cell>
          <cell r="AB1535" t="str">
            <v>Lung</v>
          </cell>
        </row>
        <row r="1536">
          <cell r="A1536" t="str">
            <v>in storage</v>
          </cell>
          <cell r="K1536" t="str">
            <v>PTAT</v>
          </cell>
          <cell r="AB1536" t="str">
            <v>Skin</v>
          </cell>
        </row>
        <row r="1537">
          <cell r="A1537" t="str">
            <v>in storage</v>
          </cell>
          <cell r="K1537" t="str">
            <v>PTAT</v>
          </cell>
          <cell r="AB1537" t="str">
            <v>Spleen</v>
          </cell>
        </row>
        <row r="1538">
          <cell r="A1538" t="str">
            <v>in storage</v>
          </cell>
          <cell r="K1538" t="str">
            <v>PTAT</v>
          </cell>
          <cell r="AB1538" t="str">
            <v>R- teste(s)</v>
          </cell>
        </row>
        <row r="1539">
          <cell r="A1539" t="str">
            <v>in storage</v>
          </cell>
          <cell r="K1539" t="str">
            <v>DMAD</v>
          </cell>
          <cell r="AB1539" t="str">
            <v>GI Contents- cecum</v>
          </cell>
        </row>
        <row r="1540">
          <cell r="A1540" t="str">
            <v>in storage</v>
          </cell>
          <cell r="K1540" t="str">
            <v>PTAT</v>
          </cell>
          <cell r="AB1540" t="str">
            <v>Muscle</v>
          </cell>
        </row>
        <row r="1541">
          <cell r="A1541" t="str">
            <v>in storage</v>
          </cell>
          <cell r="K1541" t="str">
            <v>PTAT</v>
          </cell>
          <cell r="AB1541" t="str">
            <v>Muscle</v>
          </cell>
        </row>
        <row r="1542">
          <cell r="A1542" t="str">
            <v>in storage</v>
          </cell>
          <cell r="K1542" t="str">
            <v>EMON</v>
          </cell>
          <cell r="AB1542" t="str">
            <v>Mass - thoracic</v>
          </cell>
        </row>
        <row r="1543">
          <cell r="A1543" t="str">
            <v>in storage</v>
          </cell>
          <cell r="K1543" t="str">
            <v>DMAD</v>
          </cell>
          <cell r="AB1543" t="str">
            <v>GI- cecum</v>
          </cell>
        </row>
        <row r="1544">
          <cell r="A1544" t="str">
            <v>in storage</v>
          </cell>
          <cell r="K1544" t="str">
            <v>EMON</v>
          </cell>
          <cell r="AB1544" t="str">
            <v>Kidney</v>
          </cell>
        </row>
        <row r="1545">
          <cell r="A1545" t="str">
            <v>in storage</v>
          </cell>
          <cell r="K1545" t="str">
            <v>EMON</v>
          </cell>
          <cell r="AB1545" t="str">
            <v>Spleen</v>
          </cell>
        </row>
        <row r="1546">
          <cell r="A1546" t="str">
            <v>in storage</v>
          </cell>
          <cell r="K1546" t="str">
            <v>EMON</v>
          </cell>
          <cell r="AB1546" t="str">
            <v>Heart</v>
          </cell>
        </row>
        <row r="1547">
          <cell r="A1547" t="str">
            <v>in storage</v>
          </cell>
          <cell r="K1547" t="str">
            <v>EMON</v>
          </cell>
          <cell r="AB1547" t="str">
            <v>Lung</v>
          </cell>
        </row>
        <row r="1548">
          <cell r="A1548" t="str">
            <v>in storage</v>
          </cell>
          <cell r="K1548" t="str">
            <v>EMON</v>
          </cell>
          <cell r="AB1548" t="str">
            <v>Liver</v>
          </cell>
        </row>
        <row r="1549">
          <cell r="A1549" t="str">
            <v>in storage</v>
          </cell>
          <cell r="K1549" t="str">
            <v>EMON</v>
          </cell>
          <cell r="AB1549" t="str">
            <v>Liver</v>
          </cell>
        </row>
        <row r="1550">
          <cell r="A1550" t="str">
            <v>in storage</v>
          </cell>
          <cell r="K1550" t="str">
            <v>EMON</v>
          </cell>
          <cell r="AB1550" t="str">
            <v>Skin</v>
          </cell>
        </row>
        <row r="1551">
          <cell r="A1551" t="str">
            <v>in storage</v>
          </cell>
          <cell r="K1551" t="str">
            <v>EMON</v>
          </cell>
          <cell r="AB1551" t="str">
            <v>Kidney</v>
          </cell>
        </row>
        <row r="1552">
          <cell r="A1552" t="str">
            <v>in storage</v>
          </cell>
          <cell r="K1552" t="str">
            <v>EMON</v>
          </cell>
          <cell r="AB1552" t="str">
            <v>Blood</v>
          </cell>
        </row>
        <row r="1553">
          <cell r="A1553" t="str">
            <v>in storage</v>
          </cell>
          <cell r="K1553" t="str">
            <v>EMON</v>
          </cell>
          <cell r="AB1553" t="str">
            <v>Heart</v>
          </cell>
        </row>
        <row r="1554">
          <cell r="A1554" t="str">
            <v>in storage</v>
          </cell>
          <cell r="K1554" t="str">
            <v>EMON</v>
          </cell>
          <cell r="AB1554" t="str">
            <v>Lung</v>
          </cell>
        </row>
        <row r="1555">
          <cell r="A1555" t="str">
            <v>in storage</v>
          </cell>
          <cell r="K1555" t="str">
            <v>EMON</v>
          </cell>
          <cell r="AB1555" t="str">
            <v>Pancreas</v>
          </cell>
        </row>
        <row r="1556">
          <cell r="A1556" t="str">
            <v>in storage</v>
          </cell>
          <cell r="K1556" t="str">
            <v>EMON</v>
          </cell>
          <cell r="AB1556" t="str">
            <v>Skin</v>
          </cell>
        </row>
        <row r="1557">
          <cell r="A1557" t="str">
            <v>in storage</v>
          </cell>
          <cell r="K1557" t="str">
            <v>EMON</v>
          </cell>
          <cell r="AB1557" t="str">
            <v>Spleen</v>
          </cell>
        </row>
        <row r="1558">
          <cell r="A1558" t="str">
            <v>in storage</v>
          </cell>
          <cell r="K1558" t="str">
            <v>EMON</v>
          </cell>
          <cell r="AB1558" t="str">
            <v>Liver</v>
          </cell>
        </row>
        <row r="1559">
          <cell r="A1559" t="str">
            <v>in storage</v>
          </cell>
          <cell r="K1559" t="str">
            <v>EMON</v>
          </cell>
          <cell r="AB1559" t="str">
            <v>Lymph node</v>
          </cell>
        </row>
        <row r="1560">
          <cell r="A1560" t="str">
            <v>in storage</v>
          </cell>
          <cell r="K1560" t="str">
            <v>EMON</v>
          </cell>
          <cell r="AB1560" t="str">
            <v>R- teste(s)</v>
          </cell>
        </row>
        <row r="1561">
          <cell r="A1561" t="str">
            <v>gone</v>
          </cell>
          <cell r="K1561" t="str">
            <v>EMON</v>
          </cell>
          <cell r="AB1561" t="str">
            <v>R- teste(s)</v>
          </cell>
        </row>
        <row r="1562">
          <cell r="A1562" t="str">
            <v>in storage</v>
          </cell>
          <cell r="K1562" t="str">
            <v>EMON</v>
          </cell>
          <cell r="AB1562" t="str">
            <v>Muscle</v>
          </cell>
        </row>
        <row r="1563">
          <cell r="A1563" t="str">
            <v>in storage</v>
          </cell>
          <cell r="K1563" t="str">
            <v>EMON</v>
          </cell>
          <cell r="AB1563" t="str">
            <v>Mass- thoracic</v>
          </cell>
        </row>
        <row r="1564">
          <cell r="A1564" t="str">
            <v>in storage</v>
          </cell>
          <cell r="K1564" t="str">
            <v>GMOH</v>
          </cell>
          <cell r="AB1564" t="str">
            <v>Kidney</v>
          </cell>
        </row>
        <row r="1565">
          <cell r="A1565" t="str">
            <v>in storage</v>
          </cell>
          <cell r="K1565" t="str">
            <v>GMOH</v>
          </cell>
          <cell r="AB1565" t="str">
            <v>Heart</v>
          </cell>
        </row>
        <row r="1566">
          <cell r="A1566" t="str">
            <v>in storage</v>
          </cell>
          <cell r="K1566" t="str">
            <v>GMOH</v>
          </cell>
          <cell r="AB1566" t="str">
            <v>Lung</v>
          </cell>
        </row>
        <row r="1567">
          <cell r="A1567" t="str">
            <v>in storage</v>
          </cell>
          <cell r="K1567" t="str">
            <v>GMOH</v>
          </cell>
          <cell r="AB1567" t="str">
            <v>Liver</v>
          </cell>
        </row>
        <row r="1568">
          <cell r="A1568" t="str">
            <v>in storage</v>
          </cell>
          <cell r="K1568" t="str">
            <v>GMOH</v>
          </cell>
          <cell r="AB1568" t="str">
            <v>Skin</v>
          </cell>
        </row>
        <row r="1569">
          <cell r="A1569" t="str">
            <v>in storage</v>
          </cell>
          <cell r="K1569" t="str">
            <v>GMOH</v>
          </cell>
          <cell r="AB1569" t="str">
            <v>Pancreas</v>
          </cell>
        </row>
        <row r="1570">
          <cell r="A1570" t="str">
            <v>in storage</v>
          </cell>
          <cell r="K1570" t="str">
            <v>GMOH</v>
          </cell>
          <cell r="AB1570" t="str">
            <v>Liver</v>
          </cell>
        </row>
        <row r="1571">
          <cell r="A1571" t="str">
            <v>in storage</v>
          </cell>
          <cell r="K1571" t="str">
            <v>GMOH</v>
          </cell>
          <cell r="AB1571" t="str">
            <v>Kidney</v>
          </cell>
        </row>
        <row r="1572">
          <cell r="A1572" t="str">
            <v>in storage</v>
          </cell>
          <cell r="K1572" t="str">
            <v>GMOH</v>
          </cell>
          <cell r="AB1572" t="str">
            <v>Heart</v>
          </cell>
        </row>
        <row r="1573">
          <cell r="A1573" t="str">
            <v>in storage</v>
          </cell>
          <cell r="K1573" t="str">
            <v>GMOH</v>
          </cell>
          <cell r="AB1573" t="str">
            <v>Lung</v>
          </cell>
        </row>
        <row r="1574">
          <cell r="A1574" t="str">
            <v>in storage</v>
          </cell>
          <cell r="K1574" t="str">
            <v>GMOH</v>
          </cell>
          <cell r="AB1574" t="str">
            <v>Skin</v>
          </cell>
        </row>
        <row r="1575">
          <cell r="A1575" t="str">
            <v>in storage</v>
          </cell>
          <cell r="K1575" t="str">
            <v>GMOH</v>
          </cell>
          <cell r="AB1575" t="str">
            <v>Spleen</v>
          </cell>
        </row>
        <row r="1576">
          <cell r="A1576" t="str">
            <v>in storage</v>
          </cell>
          <cell r="K1576" t="str">
            <v>GMOH</v>
          </cell>
          <cell r="AB1576" t="str">
            <v>Lymph node</v>
          </cell>
        </row>
        <row r="1577">
          <cell r="A1577" t="str">
            <v>in storage</v>
          </cell>
          <cell r="K1577" t="str">
            <v>GMOH</v>
          </cell>
          <cell r="AB1577" t="str">
            <v>R- teste(s)</v>
          </cell>
        </row>
        <row r="1578">
          <cell r="A1578" t="str">
            <v>in storage</v>
          </cell>
          <cell r="K1578" t="str">
            <v>GMOH</v>
          </cell>
          <cell r="AB1578" t="str">
            <v>R- teste(s)</v>
          </cell>
        </row>
        <row r="1579">
          <cell r="A1579" t="str">
            <v>in storage</v>
          </cell>
          <cell r="K1579" t="str">
            <v>GMOH</v>
          </cell>
          <cell r="AB1579" t="str">
            <v>Muscle</v>
          </cell>
        </row>
        <row r="1580">
          <cell r="A1580" t="str">
            <v>gone</v>
          </cell>
          <cell r="K1580" t="str">
            <v>LCAT</v>
          </cell>
          <cell r="AB1580" t="str">
            <v>R- placenta</v>
          </cell>
        </row>
        <row r="1581">
          <cell r="A1581" t="str">
            <v>in storage</v>
          </cell>
          <cell r="K1581" t="str">
            <v>LCAT</v>
          </cell>
          <cell r="AB1581" t="str">
            <v>R- placenta</v>
          </cell>
        </row>
        <row r="1582">
          <cell r="A1582" t="str">
            <v>in storage</v>
          </cell>
          <cell r="K1582" t="str">
            <v>DMAD</v>
          </cell>
          <cell r="AB1582" t="str">
            <v>GI Contents- small intestine</v>
          </cell>
        </row>
        <row r="1583">
          <cell r="A1583" t="str">
            <v>in storage</v>
          </cell>
          <cell r="K1583" t="str">
            <v>EFLA</v>
          </cell>
          <cell r="AB1583" t="str">
            <v>Liver</v>
          </cell>
        </row>
        <row r="1584">
          <cell r="A1584" t="str">
            <v>in storage</v>
          </cell>
          <cell r="K1584" t="str">
            <v>EFLA</v>
          </cell>
          <cell r="AB1584" t="str">
            <v>Kidney</v>
          </cell>
        </row>
        <row r="1585">
          <cell r="A1585" t="str">
            <v>in storage</v>
          </cell>
          <cell r="K1585" t="str">
            <v>EFLA</v>
          </cell>
          <cell r="AB1585" t="str">
            <v>Spleen</v>
          </cell>
        </row>
        <row r="1586">
          <cell r="A1586" t="str">
            <v>in storage</v>
          </cell>
          <cell r="K1586" t="str">
            <v>EFLA</v>
          </cell>
          <cell r="AB1586" t="str">
            <v>Heart</v>
          </cell>
        </row>
        <row r="1587">
          <cell r="A1587" t="str">
            <v>in storage</v>
          </cell>
          <cell r="K1587" t="str">
            <v>EFLA</v>
          </cell>
          <cell r="AB1587" t="str">
            <v>Lung</v>
          </cell>
        </row>
        <row r="1588">
          <cell r="A1588" t="str">
            <v>in storage</v>
          </cell>
          <cell r="K1588" t="str">
            <v>EFLA</v>
          </cell>
          <cell r="AB1588" t="str">
            <v>Liver</v>
          </cell>
        </row>
        <row r="1589">
          <cell r="A1589" t="str">
            <v>in storage</v>
          </cell>
          <cell r="K1589" t="str">
            <v>EFLA</v>
          </cell>
          <cell r="AB1589" t="str">
            <v>Liver</v>
          </cell>
        </row>
        <row r="1590">
          <cell r="A1590" t="str">
            <v>in storage</v>
          </cell>
          <cell r="K1590" t="str">
            <v>EFLA</v>
          </cell>
          <cell r="AB1590" t="str">
            <v>Kidney</v>
          </cell>
        </row>
        <row r="1591">
          <cell r="A1591" t="str">
            <v>in storage</v>
          </cell>
          <cell r="K1591" t="str">
            <v>EFLA</v>
          </cell>
          <cell r="AB1591" t="str">
            <v>Blood</v>
          </cell>
        </row>
        <row r="1592">
          <cell r="A1592" t="str">
            <v>in storage</v>
          </cell>
          <cell r="K1592" t="str">
            <v>EFLA</v>
          </cell>
          <cell r="AB1592" t="str">
            <v>Heart</v>
          </cell>
        </row>
        <row r="1593">
          <cell r="A1593" t="str">
            <v>in storage</v>
          </cell>
          <cell r="K1593" t="str">
            <v>EFLA</v>
          </cell>
          <cell r="AB1593" t="str">
            <v>Lung</v>
          </cell>
        </row>
        <row r="1594">
          <cell r="A1594" t="str">
            <v>in storage</v>
          </cell>
          <cell r="K1594" t="str">
            <v>EFLA</v>
          </cell>
          <cell r="AB1594" t="str">
            <v>Pancreas</v>
          </cell>
        </row>
        <row r="1595">
          <cell r="A1595" t="str">
            <v>in storage</v>
          </cell>
          <cell r="K1595" t="str">
            <v>EFLA</v>
          </cell>
          <cell r="AB1595" t="str">
            <v>Skin</v>
          </cell>
        </row>
        <row r="1596">
          <cell r="A1596" t="str">
            <v>in storage</v>
          </cell>
          <cell r="K1596" t="str">
            <v>EFLA</v>
          </cell>
          <cell r="AB1596" t="str">
            <v>Spleen</v>
          </cell>
        </row>
        <row r="1597">
          <cell r="A1597" t="str">
            <v>in storage</v>
          </cell>
          <cell r="K1597" t="str">
            <v>EFLA</v>
          </cell>
          <cell r="AB1597" t="str">
            <v>Liver</v>
          </cell>
        </row>
        <row r="1598">
          <cell r="A1598" t="str">
            <v>in storage</v>
          </cell>
          <cell r="K1598" t="str">
            <v>EFLA</v>
          </cell>
          <cell r="AB1598" t="str">
            <v>Skin</v>
          </cell>
        </row>
        <row r="1599">
          <cell r="A1599" t="str">
            <v>in storage</v>
          </cell>
          <cell r="K1599" t="str">
            <v>EFLA</v>
          </cell>
          <cell r="AB1599" t="str">
            <v>R- teste(s)</v>
          </cell>
        </row>
        <row r="1600">
          <cell r="A1600" t="str">
            <v>in storage</v>
          </cell>
          <cell r="K1600" t="str">
            <v>EFLA</v>
          </cell>
          <cell r="AB1600" t="str">
            <v>R- teste(s)</v>
          </cell>
        </row>
        <row r="1601">
          <cell r="A1601" t="str">
            <v>in storage</v>
          </cell>
          <cell r="K1601" t="str">
            <v>EFLA</v>
          </cell>
          <cell r="AB1601" t="str">
            <v>Mass- liver</v>
          </cell>
        </row>
        <row r="1602">
          <cell r="A1602" t="str">
            <v>in storage</v>
          </cell>
          <cell r="K1602" t="str">
            <v>EFLA</v>
          </cell>
          <cell r="AB1602" t="str">
            <v>Muscle</v>
          </cell>
        </row>
        <row r="1603">
          <cell r="A1603" t="str">
            <v>in storage</v>
          </cell>
          <cell r="K1603" t="str">
            <v>EFLA</v>
          </cell>
          <cell r="AB1603" t="str">
            <v>Muscle</v>
          </cell>
        </row>
        <row r="1604">
          <cell r="A1604" t="str">
            <v>in storage</v>
          </cell>
          <cell r="K1604" t="str">
            <v>EFLA</v>
          </cell>
          <cell r="AB1604" t="str">
            <v>R- ovary</v>
          </cell>
        </row>
        <row r="1605">
          <cell r="A1605" t="str">
            <v>in storage</v>
          </cell>
          <cell r="K1605" t="str">
            <v>EFLA</v>
          </cell>
          <cell r="AB1605" t="str">
            <v>R- ovary</v>
          </cell>
        </row>
        <row r="1606">
          <cell r="A1606" t="str">
            <v>in storage</v>
          </cell>
          <cell r="K1606" t="str">
            <v>EFLA</v>
          </cell>
          <cell r="AB1606" t="str">
            <v>Kidney</v>
          </cell>
        </row>
        <row r="1607">
          <cell r="A1607" t="str">
            <v>in storage</v>
          </cell>
          <cell r="K1607" t="str">
            <v>EFLA</v>
          </cell>
          <cell r="AB1607" t="str">
            <v>Spleen</v>
          </cell>
        </row>
        <row r="1608">
          <cell r="A1608" t="str">
            <v>in storage</v>
          </cell>
          <cell r="K1608" t="str">
            <v>EFLA</v>
          </cell>
          <cell r="AB1608" t="str">
            <v>Heart</v>
          </cell>
        </row>
        <row r="1609">
          <cell r="A1609" t="str">
            <v>in storage</v>
          </cell>
          <cell r="K1609" t="str">
            <v>EFLA</v>
          </cell>
          <cell r="AB1609" t="str">
            <v>Lung</v>
          </cell>
        </row>
        <row r="1610">
          <cell r="A1610" t="str">
            <v>in storage</v>
          </cell>
          <cell r="K1610" t="str">
            <v>EFLA</v>
          </cell>
          <cell r="AB1610" t="str">
            <v>Skin</v>
          </cell>
        </row>
        <row r="1611">
          <cell r="A1611" t="str">
            <v>in storage</v>
          </cell>
          <cell r="K1611" t="str">
            <v>EFLA</v>
          </cell>
          <cell r="AB1611" t="str">
            <v>Liver</v>
          </cell>
        </row>
        <row r="1612">
          <cell r="A1612" t="str">
            <v>in storage</v>
          </cell>
          <cell r="K1612" t="str">
            <v>EFLA</v>
          </cell>
          <cell r="AB1612" t="str">
            <v>Liver</v>
          </cell>
        </row>
        <row r="1613">
          <cell r="A1613" t="str">
            <v>in storage</v>
          </cell>
          <cell r="K1613" t="str">
            <v>EFLA</v>
          </cell>
          <cell r="AB1613" t="str">
            <v>Kidney</v>
          </cell>
        </row>
        <row r="1614">
          <cell r="A1614" t="str">
            <v>in storage</v>
          </cell>
          <cell r="K1614" t="str">
            <v>EFLA</v>
          </cell>
          <cell r="AB1614" t="str">
            <v>Blood</v>
          </cell>
        </row>
        <row r="1615">
          <cell r="A1615" t="str">
            <v>in storage</v>
          </cell>
          <cell r="K1615" t="str">
            <v>EFLA</v>
          </cell>
          <cell r="AB1615" t="str">
            <v>Heart</v>
          </cell>
        </row>
        <row r="1616">
          <cell r="A1616" t="str">
            <v>in storage</v>
          </cell>
          <cell r="K1616" t="str">
            <v>EFLA</v>
          </cell>
          <cell r="AB1616" t="str">
            <v>Lung</v>
          </cell>
        </row>
        <row r="1617">
          <cell r="A1617" t="str">
            <v>in storage</v>
          </cell>
          <cell r="K1617" t="str">
            <v>EFLA</v>
          </cell>
          <cell r="AB1617" t="str">
            <v>Pancreas</v>
          </cell>
        </row>
        <row r="1618">
          <cell r="A1618" t="str">
            <v>in storage</v>
          </cell>
          <cell r="K1618" t="str">
            <v>EFLA</v>
          </cell>
          <cell r="AB1618" t="str">
            <v>Skin</v>
          </cell>
        </row>
        <row r="1619">
          <cell r="A1619" t="str">
            <v>in storage</v>
          </cell>
          <cell r="K1619" t="str">
            <v>EFLA</v>
          </cell>
          <cell r="AB1619" t="str">
            <v>Spleen</v>
          </cell>
        </row>
        <row r="1620">
          <cell r="A1620" t="str">
            <v>in storage</v>
          </cell>
          <cell r="K1620" t="str">
            <v>EFLA</v>
          </cell>
          <cell r="AB1620" t="str">
            <v>Liver</v>
          </cell>
        </row>
        <row r="1621">
          <cell r="A1621" t="str">
            <v>in storage</v>
          </cell>
          <cell r="K1621" t="str">
            <v>EFLA</v>
          </cell>
          <cell r="AB1621" t="str">
            <v>Kidney</v>
          </cell>
        </row>
        <row r="1622">
          <cell r="A1622" t="str">
            <v>in storage</v>
          </cell>
          <cell r="K1622" t="str">
            <v>EFLA</v>
          </cell>
          <cell r="AB1622" t="str">
            <v>Blood</v>
          </cell>
        </row>
        <row r="1623">
          <cell r="A1623" t="str">
            <v>in storage</v>
          </cell>
          <cell r="K1623" t="str">
            <v>EFLA</v>
          </cell>
          <cell r="AB1623" t="str">
            <v>Heart</v>
          </cell>
        </row>
        <row r="1624">
          <cell r="A1624" t="str">
            <v>in storage</v>
          </cell>
          <cell r="K1624" t="str">
            <v>EFLA</v>
          </cell>
          <cell r="AB1624" t="str">
            <v>Lung</v>
          </cell>
        </row>
        <row r="1625">
          <cell r="A1625" t="str">
            <v>in storage</v>
          </cell>
          <cell r="K1625" t="str">
            <v>EFLA</v>
          </cell>
          <cell r="AB1625" t="str">
            <v>Pancreas</v>
          </cell>
        </row>
        <row r="1626">
          <cell r="A1626" t="str">
            <v>in storage</v>
          </cell>
          <cell r="K1626" t="str">
            <v>EFLA</v>
          </cell>
          <cell r="AB1626" t="str">
            <v>Skin</v>
          </cell>
        </row>
        <row r="1627">
          <cell r="A1627" t="str">
            <v>in storage</v>
          </cell>
          <cell r="K1627" t="str">
            <v>EFLA</v>
          </cell>
          <cell r="AB1627" t="str">
            <v>Spleen</v>
          </cell>
        </row>
        <row r="1628">
          <cell r="A1628" t="str">
            <v>in storage</v>
          </cell>
          <cell r="K1628" t="str">
            <v>EFLA</v>
          </cell>
          <cell r="AB1628" t="str">
            <v>Liver</v>
          </cell>
        </row>
        <row r="1629">
          <cell r="A1629" t="str">
            <v>in storage</v>
          </cell>
          <cell r="K1629" t="str">
            <v>EFLA</v>
          </cell>
          <cell r="AB1629" t="str">
            <v>Lymph node</v>
          </cell>
        </row>
        <row r="1630">
          <cell r="A1630" t="str">
            <v>in storage</v>
          </cell>
          <cell r="K1630" t="str">
            <v>EFLA</v>
          </cell>
          <cell r="AB1630" t="str">
            <v>Muscle</v>
          </cell>
        </row>
        <row r="1631">
          <cell r="A1631" t="str">
            <v>in storage</v>
          </cell>
          <cell r="K1631" t="str">
            <v>EFLA</v>
          </cell>
          <cell r="AB1631" t="str">
            <v>Muscle</v>
          </cell>
        </row>
        <row r="1632">
          <cell r="A1632" t="str">
            <v>in storage</v>
          </cell>
          <cell r="K1632" t="str">
            <v>DMAD</v>
          </cell>
          <cell r="AB1632" t="str">
            <v>GI Contents- small intestine</v>
          </cell>
        </row>
        <row r="1633">
          <cell r="A1633" t="str">
            <v>in storage</v>
          </cell>
          <cell r="K1633" t="str">
            <v>PCOQ</v>
          </cell>
          <cell r="AB1633" t="str">
            <v>R- ovary</v>
          </cell>
        </row>
        <row r="1634">
          <cell r="A1634" t="str">
            <v>in storage</v>
          </cell>
          <cell r="K1634" t="str">
            <v>PCOQ</v>
          </cell>
          <cell r="AB1634" t="str">
            <v>R- ovary</v>
          </cell>
        </row>
        <row r="1635">
          <cell r="A1635" t="str">
            <v>in storage</v>
          </cell>
          <cell r="K1635" t="str">
            <v>DMAD</v>
          </cell>
          <cell r="AB1635" t="str">
            <v>GI- large intestine</v>
          </cell>
        </row>
        <row r="1636">
          <cell r="A1636" t="str">
            <v>in storage</v>
          </cell>
          <cell r="K1636" t="str">
            <v>PCOQ</v>
          </cell>
          <cell r="AB1636" t="str">
            <v>Kidney</v>
          </cell>
        </row>
        <row r="1637">
          <cell r="A1637" t="str">
            <v>in storage</v>
          </cell>
          <cell r="K1637" t="str">
            <v>PCOQ</v>
          </cell>
          <cell r="AB1637" t="str">
            <v>Spleen</v>
          </cell>
        </row>
        <row r="1638">
          <cell r="A1638" t="str">
            <v>in storage</v>
          </cell>
          <cell r="K1638" t="str">
            <v>PCOQ</v>
          </cell>
          <cell r="AB1638" t="str">
            <v>Heart</v>
          </cell>
        </row>
        <row r="1639">
          <cell r="A1639" t="str">
            <v>in storage</v>
          </cell>
          <cell r="K1639" t="str">
            <v>PCOQ</v>
          </cell>
          <cell r="AB1639" t="str">
            <v>Lung</v>
          </cell>
        </row>
        <row r="1640">
          <cell r="A1640" t="str">
            <v>in storage</v>
          </cell>
          <cell r="K1640" t="str">
            <v>PCOQ</v>
          </cell>
          <cell r="AB1640" t="str">
            <v>Liver</v>
          </cell>
        </row>
        <row r="1641">
          <cell r="A1641" t="str">
            <v>in storage</v>
          </cell>
          <cell r="K1641" t="str">
            <v>PCOQ</v>
          </cell>
          <cell r="AB1641" t="str">
            <v>Liver</v>
          </cell>
        </row>
        <row r="1642">
          <cell r="A1642" t="str">
            <v>in storage</v>
          </cell>
          <cell r="K1642" t="str">
            <v>PCOQ</v>
          </cell>
          <cell r="AB1642" t="str">
            <v>Skin</v>
          </cell>
        </row>
        <row r="1643">
          <cell r="A1643" t="str">
            <v>in storage</v>
          </cell>
          <cell r="K1643" t="str">
            <v>PCOQ</v>
          </cell>
          <cell r="AB1643" t="str">
            <v>Skin</v>
          </cell>
        </row>
        <row r="1644">
          <cell r="A1644" t="str">
            <v>in storage</v>
          </cell>
          <cell r="K1644" t="str">
            <v>PCOQ</v>
          </cell>
          <cell r="AB1644" t="str">
            <v>Kidney</v>
          </cell>
        </row>
        <row r="1645">
          <cell r="A1645" t="str">
            <v>in storage</v>
          </cell>
          <cell r="K1645" t="str">
            <v>PCOQ</v>
          </cell>
          <cell r="AB1645" t="str">
            <v>Heart</v>
          </cell>
        </row>
        <row r="1646">
          <cell r="A1646" t="str">
            <v>in storage</v>
          </cell>
          <cell r="K1646" t="str">
            <v>PCOQ</v>
          </cell>
          <cell r="AB1646" t="str">
            <v>Lung</v>
          </cell>
        </row>
        <row r="1647">
          <cell r="A1647" t="str">
            <v>in storage</v>
          </cell>
          <cell r="K1647" t="str">
            <v>PCOQ</v>
          </cell>
          <cell r="AB1647" t="str">
            <v>Lung</v>
          </cell>
        </row>
        <row r="1648">
          <cell r="A1648" t="str">
            <v>in storage</v>
          </cell>
          <cell r="K1648" t="str">
            <v>PCOQ</v>
          </cell>
          <cell r="AB1648" t="str">
            <v>Pancreas</v>
          </cell>
        </row>
        <row r="1649">
          <cell r="A1649" t="str">
            <v>in storage</v>
          </cell>
          <cell r="K1649" t="str">
            <v>PCOQ</v>
          </cell>
          <cell r="AB1649" t="str">
            <v>Pancreas</v>
          </cell>
        </row>
        <row r="1650">
          <cell r="A1650" t="str">
            <v>in storage</v>
          </cell>
          <cell r="K1650" t="str">
            <v>PCOQ</v>
          </cell>
          <cell r="AB1650" t="str">
            <v>Skin</v>
          </cell>
        </row>
        <row r="1651">
          <cell r="A1651" t="str">
            <v>in storage</v>
          </cell>
          <cell r="K1651" t="str">
            <v>PCOQ</v>
          </cell>
          <cell r="AB1651" t="str">
            <v>Spleen</v>
          </cell>
        </row>
        <row r="1652">
          <cell r="A1652" t="str">
            <v>in storage</v>
          </cell>
          <cell r="K1652" t="str">
            <v>PCOQ</v>
          </cell>
          <cell r="AB1652" t="str">
            <v>Spleen</v>
          </cell>
        </row>
        <row r="1653">
          <cell r="A1653" t="str">
            <v>in storage</v>
          </cell>
          <cell r="K1653" t="str">
            <v>PCOQ</v>
          </cell>
          <cell r="AB1653" t="str">
            <v>Kidney</v>
          </cell>
        </row>
        <row r="1654">
          <cell r="A1654" t="str">
            <v>in storage</v>
          </cell>
          <cell r="K1654" t="str">
            <v>PCOQ</v>
          </cell>
          <cell r="AB1654" t="str">
            <v>Liver</v>
          </cell>
        </row>
        <row r="1655">
          <cell r="A1655" t="str">
            <v>unk</v>
          </cell>
          <cell r="K1655" t="str">
            <v>PCOQ</v>
          </cell>
          <cell r="AB1655" t="str">
            <v>Heart</v>
          </cell>
        </row>
        <row r="1656">
          <cell r="A1656" t="str">
            <v>unk</v>
          </cell>
          <cell r="K1656" t="str">
            <v>PCOQ</v>
          </cell>
          <cell r="AB1656" t="str">
            <v>Liver</v>
          </cell>
        </row>
        <row r="1657">
          <cell r="A1657" t="str">
            <v>in storage</v>
          </cell>
          <cell r="K1657" t="str">
            <v>PCOQ</v>
          </cell>
          <cell r="AB1657" t="str">
            <v>Lymph node</v>
          </cell>
        </row>
        <row r="1658">
          <cell r="A1658" t="str">
            <v>in storage</v>
          </cell>
          <cell r="K1658" t="str">
            <v>DMAD</v>
          </cell>
          <cell r="AB1658" t="str">
            <v>GI- small intestine</v>
          </cell>
        </row>
        <row r="1659">
          <cell r="A1659" t="str">
            <v>in storage</v>
          </cell>
          <cell r="K1659" t="str">
            <v>PCOQ</v>
          </cell>
          <cell r="AB1659" t="str">
            <v>Muscle</v>
          </cell>
        </row>
        <row r="1660">
          <cell r="A1660" t="str">
            <v>in storage</v>
          </cell>
          <cell r="K1660" t="str">
            <v>PCOQ</v>
          </cell>
          <cell r="AB1660" t="str">
            <v>Muscle</v>
          </cell>
        </row>
        <row r="1661">
          <cell r="A1661" t="str">
            <v>in storage</v>
          </cell>
          <cell r="K1661" t="str">
            <v>DMAD</v>
          </cell>
          <cell r="AB1661" t="str">
            <v>GI- stomach</v>
          </cell>
        </row>
        <row r="1662">
          <cell r="A1662" t="str">
            <v>in storage</v>
          </cell>
          <cell r="K1662" t="str">
            <v>LCAT</v>
          </cell>
          <cell r="AB1662" t="str">
            <v>Kidney</v>
          </cell>
        </row>
        <row r="1663">
          <cell r="A1663" t="str">
            <v>in storage</v>
          </cell>
          <cell r="K1663" t="str">
            <v>LCAT</v>
          </cell>
          <cell r="AB1663" t="str">
            <v>Spleen</v>
          </cell>
        </row>
        <row r="1664">
          <cell r="A1664" t="str">
            <v>in storage</v>
          </cell>
          <cell r="K1664" t="str">
            <v>LCAT</v>
          </cell>
          <cell r="AB1664" t="str">
            <v>Heart</v>
          </cell>
        </row>
        <row r="1665">
          <cell r="A1665" t="str">
            <v>in storage</v>
          </cell>
          <cell r="K1665" t="str">
            <v>LCAT</v>
          </cell>
          <cell r="AB1665" t="str">
            <v>Lung</v>
          </cell>
        </row>
        <row r="1666">
          <cell r="A1666" t="str">
            <v>in storage</v>
          </cell>
          <cell r="K1666" t="str">
            <v>LCAT</v>
          </cell>
          <cell r="AB1666" t="str">
            <v>Liver</v>
          </cell>
        </row>
        <row r="1667">
          <cell r="A1667" t="str">
            <v>in storage</v>
          </cell>
          <cell r="K1667" t="str">
            <v>DMAD</v>
          </cell>
          <cell r="AB1667" t="str">
            <v>GI- esophagus</v>
          </cell>
        </row>
        <row r="1668">
          <cell r="A1668" t="str">
            <v>in storage</v>
          </cell>
          <cell r="K1668" t="str">
            <v>LCAT</v>
          </cell>
          <cell r="AB1668" t="str">
            <v>Muscle</v>
          </cell>
        </row>
        <row r="1669">
          <cell r="A1669" t="str">
            <v>in storage</v>
          </cell>
          <cell r="K1669" t="str">
            <v>ECOR</v>
          </cell>
          <cell r="AB1669" t="str">
            <v>Kidney</v>
          </cell>
        </row>
        <row r="1670">
          <cell r="A1670" t="str">
            <v>in storage</v>
          </cell>
          <cell r="K1670" t="str">
            <v>ECOR</v>
          </cell>
          <cell r="AB1670" t="str">
            <v>Spleen</v>
          </cell>
        </row>
        <row r="1671">
          <cell r="A1671" t="str">
            <v>in storage</v>
          </cell>
          <cell r="K1671" t="str">
            <v>ECOR</v>
          </cell>
          <cell r="AB1671" t="str">
            <v>Heart</v>
          </cell>
        </row>
        <row r="1672">
          <cell r="A1672" t="str">
            <v>in storage</v>
          </cell>
          <cell r="K1672" t="str">
            <v>ECOR</v>
          </cell>
          <cell r="AB1672" t="str">
            <v>Lung</v>
          </cell>
        </row>
        <row r="1673">
          <cell r="A1673" t="str">
            <v>in storage</v>
          </cell>
          <cell r="K1673" t="str">
            <v>ECOR</v>
          </cell>
          <cell r="AB1673" t="str">
            <v>Liver</v>
          </cell>
        </row>
        <row r="1674">
          <cell r="A1674" t="str">
            <v>in storage</v>
          </cell>
          <cell r="K1674" t="str">
            <v>ECOR</v>
          </cell>
          <cell r="AB1674" t="str">
            <v>Kidney</v>
          </cell>
        </row>
        <row r="1675">
          <cell r="A1675" t="str">
            <v>in storage</v>
          </cell>
          <cell r="K1675" t="str">
            <v>ECOR</v>
          </cell>
          <cell r="AB1675" t="str">
            <v>Heart</v>
          </cell>
        </row>
        <row r="1676">
          <cell r="A1676" t="str">
            <v>in storage</v>
          </cell>
          <cell r="K1676" t="str">
            <v>ECOR</v>
          </cell>
          <cell r="AB1676" t="str">
            <v>Lung</v>
          </cell>
        </row>
        <row r="1677">
          <cell r="A1677" t="str">
            <v>in storage</v>
          </cell>
          <cell r="K1677" t="str">
            <v>ECOR</v>
          </cell>
          <cell r="AB1677" t="str">
            <v>Spleen</v>
          </cell>
        </row>
        <row r="1678">
          <cell r="A1678" t="str">
            <v>in storage</v>
          </cell>
          <cell r="K1678" t="str">
            <v>ECOR</v>
          </cell>
          <cell r="AB1678" t="str">
            <v>Kidney</v>
          </cell>
        </row>
        <row r="1679">
          <cell r="A1679" t="str">
            <v>in storage</v>
          </cell>
          <cell r="K1679" t="str">
            <v>ECOR</v>
          </cell>
          <cell r="AB1679" t="str">
            <v>Heart</v>
          </cell>
        </row>
        <row r="1680">
          <cell r="A1680" t="str">
            <v>in storage</v>
          </cell>
          <cell r="K1680" t="str">
            <v>ECOR</v>
          </cell>
          <cell r="AB1680" t="str">
            <v>Lung</v>
          </cell>
        </row>
        <row r="1681">
          <cell r="A1681" t="str">
            <v>in storage</v>
          </cell>
          <cell r="K1681" t="str">
            <v>ECOR</v>
          </cell>
          <cell r="AB1681" t="str">
            <v>Spleen</v>
          </cell>
        </row>
        <row r="1682">
          <cell r="A1682" t="str">
            <v>in storage</v>
          </cell>
          <cell r="K1682" t="str">
            <v>ECOR</v>
          </cell>
          <cell r="AB1682" t="str">
            <v>Liver</v>
          </cell>
        </row>
        <row r="1683">
          <cell r="A1683" t="str">
            <v>in storage</v>
          </cell>
          <cell r="K1683" t="str">
            <v>ECOR</v>
          </cell>
          <cell r="AB1683" t="str">
            <v>Liver</v>
          </cell>
        </row>
        <row r="1684">
          <cell r="A1684" t="str">
            <v>in storage</v>
          </cell>
          <cell r="K1684" t="str">
            <v>DMAD</v>
          </cell>
          <cell r="AB1684" t="str">
            <v>GI Contents- stomach</v>
          </cell>
        </row>
        <row r="1685">
          <cell r="A1685" t="str">
            <v>in storage</v>
          </cell>
          <cell r="K1685" t="str">
            <v>VRUB</v>
          </cell>
          <cell r="AB1685" t="str">
            <v>R- ovary</v>
          </cell>
        </row>
        <row r="1686">
          <cell r="A1686" t="str">
            <v>in storage</v>
          </cell>
          <cell r="K1686" t="str">
            <v>VRUB</v>
          </cell>
          <cell r="AB1686" t="str">
            <v>Kidney</v>
          </cell>
        </row>
        <row r="1687">
          <cell r="A1687" t="str">
            <v>in storage</v>
          </cell>
          <cell r="K1687" t="str">
            <v>VRUB</v>
          </cell>
          <cell r="AB1687" t="str">
            <v>Spleen</v>
          </cell>
        </row>
        <row r="1688">
          <cell r="A1688" t="str">
            <v>in storage</v>
          </cell>
          <cell r="K1688" t="str">
            <v>VRUB</v>
          </cell>
          <cell r="AB1688" t="str">
            <v>Heart</v>
          </cell>
        </row>
        <row r="1689">
          <cell r="A1689" t="str">
            <v>in storage</v>
          </cell>
          <cell r="K1689" t="str">
            <v>VRUB</v>
          </cell>
          <cell r="AB1689" t="str">
            <v>Lung</v>
          </cell>
        </row>
        <row r="1690">
          <cell r="A1690" t="str">
            <v>in storage</v>
          </cell>
          <cell r="K1690" t="str">
            <v>VRUB</v>
          </cell>
          <cell r="AB1690" t="str">
            <v>Liver</v>
          </cell>
        </row>
        <row r="1691">
          <cell r="A1691" t="str">
            <v>in storage</v>
          </cell>
          <cell r="K1691" t="str">
            <v>DMAD</v>
          </cell>
          <cell r="AB1691" t="str">
            <v>GI Contents- cecum</v>
          </cell>
        </row>
        <row r="1692">
          <cell r="A1692" t="str">
            <v>in storage</v>
          </cell>
          <cell r="K1692" t="str">
            <v>VRUB</v>
          </cell>
          <cell r="AB1692" t="str">
            <v>Lymph node</v>
          </cell>
        </row>
        <row r="1693">
          <cell r="A1693" t="str">
            <v>in storage</v>
          </cell>
          <cell r="K1693" t="str">
            <v>VRUB</v>
          </cell>
          <cell r="AB1693" t="str">
            <v>Muscle</v>
          </cell>
        </row>
        <row r="1694">
          <cell r="A1694" t="str">
            <v>in storage</v>
          </cell>
          <cell r="K1694" t="str">
            <v>ECOL</v>
          </cell>
          <cell r="AB1694" t="str">
            <v>Kidney</v>
          </cell>
        </row>
        <row r="1695">
          <cell r="A1695" t="str">
            <v>in storage</v>
          </cell>
          <cell r="K1695" t="str">
            <v>ECOL</v>
          </cell>
          <cell r="AB1695" t="str">
            <v>Spleen</v>
          </cell>
        </row>
        <row r="1696">
          <cell r="A1696" t="str">
            <v>in storage</v>
          </cell>
          <cell r="K1696" t="str">
            <v>ECOL</v>
          </cell>
          <cell r="AB1696" t="str">
            <v>Lung</v>
          </cell>
        </row>
        <row r="1697">
          <cell r="A1697" t="str">
            <v>in storage</v>
          </cell>
          <cell r="K1697" t="str">
            <v>ECOL</v>
          </cell>
          <cell r="AB1697" t="str">
            <v>Liver</v>
          </cell>
        </row>
        <row r="1698">
          <cell r="A1698" t="str">
            <v>in storage</v>
          </cell>
          <cell r="K1698" t="str">
            <v>ECOL</v>
          </cell>
          <cell r="AB1698" t="str">
            <v>R- teste(s)</v>
          </cell>
        </row>
        <row r="1699">
          <cell r="A1699" t="str">
            <v>in storage</v>
          </cell>
          <cell r="K1699" t="str">
            <v>ECOL</v>
          </cell>
          <cell r="AB1699" t="str">
            <v>Muscle</v>
          </cell>
        </row>
        <row r="1700">
          <cell r="A1700" t="str">
            <v>in storage</v>
          </cell>
          <cell r="K1700" t="str">
            <v>CMED</v>
          </cell>
          <cell r="AB1700" t="str">
            <v>Muscle</v>
          </cell>
        </row>
        <row r="1701">
          <cell r="A1701" t="str">
            <v>in storage</v>
          </cell>
          <cell r="K1701" t="str">
            <v>CMED</v>
          </cell>
          <cell r="AB1701" t="str">
            <v>Muscle</v>
          </cell>
        </row>
        <row r="1702">
          <cell r="A1702" t="str">
            <v>in storage</v>
          </cell>
          <cell r="K1702" t="str">
            <v>CMED</v>
          </cell>
          <cell r="AB1702" t="str">
            <v>Muscle</v>
          </cell>
        </row>
        <row r="1703">
          <cell r="A1703" t="str">
            <v>in storage</v>
          </cell>
          <cell r="K1703" t="str">
            <v>CMED</v>
          </cell>
          <cell r="AB1703" t="str">
            <v>R- ovary</v>
          </cell>
        </row>
        <row r="1704">
          <cell r="A1704" t="str">
            <v>in storage</v>
          </cell>
          <cell r="K1704" t="str">
            <v>CMED</v>
          </cell>
          <cell r="AB1704" t="str">
            <v>R- ovary</v>
          </cell>
        </row>
        <row r="1705">
          <cell r="A1705" t="str">
            <v>in storage</v>
          </cell>
          <cell r="K1705" t="str">
            <v>CMED</v>
          </cell>
          <cell r="AB1705" t="str">
            <v>Skin</v>
          </cell>
        </row>
        <row r="1706">
          <cell r="A1706" t="str">
            <v>in storage</v>
          </cell>
          <cell r="K1706" t="str">
            <v>CMED</v>
          </cell>
          <cell r="AB1706" t="str">
            <v>Skin</v>
          </cell>
        </row>
        <row r="1707">
          <cell r="A1707" t="str">
            <v>gone</v>
          </cell>
          <cell r="K1707" t="str">
            <v>CMED</v>
          </cell>
          <cell r="AB1707" t="str">
            <v>Blood</v>
          </cell>
        </row>
        <row r="1708">
          <cell r="A1708" t="str">
            <v>in storage</v>
          </cell>
          <cell r="K1708" t="str">
            <v>CMED</v>
          </cell>
          <cell r="AB1708" t="str">
            <v>Blood</v>
          </cell>
        </row>
        <row r="1709">
          <cell r="A1709" t="str">
            <v>in storage</v>
          </cell>
          <cell r="K1709" t="str">
            <v>CMED</v>
          </cell>
          <cell r="AB1709" t="str">
            <v>Heart</v>
          </cell>
        </row>
        <row r="1710">
          <cell r="A1710" t="str">
            <v>in storage</v>
          </cell>
          <cell r="K1710" t="str">
            <v>CMED</v>
          </cell>
          <cell r="AB1710" t="str">
            <v>Lung</v>
          </cell>
        </row>
        <row r="1711">
          <cell r="A1711" t="str">
            <v>in storage</v>
          </cell>
          <cell r="K1711" t="str">
            <v>CMED</v>
          </cell>
          <cell r="AB1711" t="str">
            <v>Pancreas</v>
          </cell>
        </row>
        <row r="1712">
          <cell r="A1712" t="str">
            <v>in storage</v>
          </cell>
          <cell r="K1712" t="str">
            <v>CMED</v>
          </cell>
          <cell r="AB1712" t="str">
            <v>Liver</v>
          </cell>
        </row>
        <row r="1713">
          <cell r="A1713" t="str">
            <v>in storage</v>
          </cell>
          <cell r="K1713" t="str">
            <v>CMED</v>
          </cell>
          <cell r="AB1713" t="str">
            <v>Kidney</v>
          </cell>
        </row>
        <row r="1714">
          <cell r="A1714" t="str">
            <v>in storage</v>
          </cell>
          <cell r="K1714" t="str">
            <v>CMED</v>
          </cell>
          <cell r="AB1714" t="str">
            <v>Kidney</v>
          </cell>
        </row>
        <row r="1715">
          <cell r="A1715" t="str">
            <v>in storage</v>
          </cell>
          <cell r="K1715" t="str">
            <v>CMED</v>
          </cell>
          <cell r="AB1715" t="str">
            <v>Heart</v>
          </cell>
        </row>
        <row r="1716">
          <cell r="A1716" t="str">
            <v>in storage</v>
          </cell>
          <cell r="K1716" t="str">
            <v>CMED</v>
          </cell>
          <cell r="AB1716" t="str">
            <v>Lung</v>
          </cell>
        </row>
        <row r="1717">
          <cell r="A1717" t="str">
            <v>in storage</v>
          </cell>
          <cell r="K1717" t="str">
            <v>CMED</v>
          </cell>
          <cell r="AB1717" t="str">
            <v>Pancreas</v>
          </cell>
        </row>
        <row r="1718">
          <cell r="A1718" t="str">
            <v>in storage</v>
          </cell>
          <cell r="K1718" t="str">
            <v>CMED</v>
          </cell>
          <cell r="AB1718" t="str">
            <v>Spleen</v>
          </cell>
        </row>
        <row r="1719">
          <cell r="A1719" t="str">
            <v>in storage</v>
          </cell>
          <cell r="K1719" t="str">
            <v>CMED</v>
          </cell>
          <cell r="AB1719" t="str">
            <v>Liver</v>
          </cell>
        </row>
        <row r="1720">
          <cell r="A1720" t="str">
            <v>in storage</v>
          </cell>
          <cell r="K1720" t="str">
            <v>DMAD</v>
          </cell>
          <cell r="AB1720" t="str">
            <v>GI- cecum</v>
          </cell>
        </row>
        <row r="1721">
          <cell r="A1721" t="str">
            <v>in storage</v>
          </cell>
          <cell r="K1721" t="str">
            <v>CMED</v>
          </cell>
          <cell r="AB1721" t="str">
            <v>Kidney</v>
          </cell>
        </row>
        <row r="1722">
          <cell r="A1722" t="str">
            <v>in storage</v>
          </cell>
          <cell r="K1722" t="str">
            <v>CMED</v>
          </cell>
          <cell r="AB1722" t="str">
            <v>Spleen</v>
          </cell>
        </row>
        <row r="1723">
          <cell r="A1723" t="str">
            <v>in storage</v>
          </cell>
          <cell r="K1723" t="str">
            <v>CMED</v>
          </cell>
          <cell r="AB1723" t="str">
            <v>Lung</v>
          </cell>
        </row>
        <row r="1724">
          <cell r="A1724" t="str">
            <v>in storage</v>
          </cell>
          <cell r="K1724" t="str">
            <v>CMED</v>
          </cell>
          <cell r="AB1724" t="str">
            <v>Liver</v>
          </cell>
        </row>
        <row r="1725">
          <cell r="A1725" t="str">
            <v>in storage</v>
          </cell>
          <cell r="K1725" t="str">
            <v>CMED</v>
          </cell>
          <cell r="AB1725" t="str">
            <v>Liver</v>
          </cell>
        </row>
        <row r="1726">
          <cell r="A1726" t="str">
            <v>in storage</v>
          </cell>
          <cell r="K1726" t="str">
            <v>CMED</v>
          </cell>
          <cell r="AB1726" t="str">
            <v>Skin</v>
          </cell>
        </row>
        <row r="1727">
          <cell r="A1727" t="str">
            <v>gone</v>
          </cell>
          <cell r="K1727" t="str">
            <v>CMED</v>
          </cell>
          <cell r="AB1727" t="str">
            <v>Heart</v>
          </cell>
        </row>
        <row r="1728">
          <cell r="A1728" t="str">
            <v>in storage</v>
          </cell>
          <cell r="K1728" t="str">
            <v>CMED</v>
          </cell>
          <cell r="AB1728" t="str">
            <v>R- uterus</v>
          </cell>
        </row>
        <row r="1729">
          <cell r="A1729" t="str">
            <v>in storage</v>
          </cell>
          <cell r="K1729" t="str">
            <v>CMED</v>
          </cell>
          <cell r="AB1729" t="str">
            <v>Mass- kidney</v>
          </cell>
        </row>
        <row r="1730">
          <cell r="A1730" t="str">
            <v>in storage</v>
          </cell>
          <cell r="K1730" t="str">
            <v>ECOL</v>
          </cell>
          <cell r="AB1730" t="str">
            <v>R- ovary</v>
          </cell>
        </row>
        <row r="1731">
          <cell r="A1731" t="str">
            <v>in storage</v>
          </cell>
          <cell r="K1731" t="str">
            <v>ECOL</v>
          </cell>
          <cell r="AB1731" t="str">
            <v>R- ovary</v>
          </cell>
        </row>
        <row r="1732">
          <cell r="A1732" t="str">
            <v>in storage</v>
          </cell>
          <cell r="K1732" t="str">
            <v>ECOL</v>
          </cell>
          <cell r="AB1732" t="str">
            <v>Kidney</v>
          </cell>
        </row>
        <row r="1733">
          <cell r="A1733" t="str">
            <v>in storage</v>
          </cell>
          <cell r="K1733" t="str">
            <v>ECOL</v>
          </cell>
          <cell r="AB1733" t="str">
            <v>Kidney</v>
          </cell>
        </row>
        <row r="1734">
          <cell r="A1734" t="str">
            <v>in storage</v>
          </cell>
          <cell r="K1734" t="str">
            <v>ECOL</v>
          </cell>
          <cell r="AB1734" t="str">
            <v>Blood</v>
          </cell>
        </row>
        <row r="1735">
          <cell r="A1735" t="str">
            <v>in storage</v>
          </cell>
          <cell r="K1735" t="str">
            <v>ECOL</v>
          </cell>
          <cell r="AB1735" t="str">
            <v>Heart</v>
          </cell>
        </row>
        <row r="1736">
          <cell r="A1736" t="str">
            <v>in storage</v>
          </cell>
          <cell r="K1736" t="str">
            <v>ECOL</v>
          </cell>
          <cell r="AB1736" t="str">
            <v>Heart</v>
          </cell>
        </row>
        <row r="1737">
          <cell r="A1737" t="str">
            <v>in storage</v>
          </cell>
          <cell r="K1737" t="str">
            <v>ECOL</v>
          </cell>
          <cell r="AB1737" t="str">
            <v>Skin</v>
          </cell>
        </row>
        <row r="1738">
          <cell r="A1738" t="str">
            <v>in storage</v>
          </cell>
          <cell r="K1738" t="str">
            <v>ECOL</v>
          </cell>
          <cell r="AB1738" t="str">
            <v>Liver</v>
          </cell>
        </row>
        <row r="1739">
          <cell r="A1739" t="str">
            <v>in storage</v>
          </cell>
          <cell r="K1739" t="str">
            <v>ECOL</v>
          </cell>
          <cell r="AB1739" t="str">
            <v>Blood</v>
          </cell>
        </row>
        <row r="1740">
          <cell r="A1740" t="str">
            <v>in storage</v>
          </cell>
          <cell r="K1740" t="str">
            <v>ECOL</v>
          </cell>
          <cell r="AB1740" t="str">
            <v>Lung</v>
          </cell>
        </row>
        <row r="1741">
          <cell r="A1741" t="str">
            <v>in storage</v>
          </cell>
          <cell r="K1741" t="str">
            <v>ECOL</v>
          </cell>
          <cell r="AB1741" t="str">
            <v>Lung</v>
          </cell>
        </row>
        <row r="1742">
          <cell r="A1742" t="str">
            <v>in storage</v>
          </cell>
          <cell r="K1742" t="str">
            <v>ECOL</v>
          </cell>
          <cell r="AB1742" t="str">
            <v>Pancreas</v>
          </cell>
        </row>
        <row r="1743">
          <cell r="A1743" t="str">
            <v>in storage</v>
          </cell>
          <cell r="K1743" t="str">
            <v>ECOL</v>
          </cell>
          <cell r="AB1743" t="str">
            <v>Pancreas</v>
          </cell>
        </row>
        <row r="1744">
          <cell r="A1744" t="str">
            <v>in storage</v>
          </cell>
          <cell r="K1744" t="str">
            <v>ECOL</v>
          </cell>
          <cell r="AB1744" t="str">
            <v>Skin</v>
          </cell>
        </row>
        <row r="1745">
          <cell r="A1745" t="str">
            <v>in storage</v>
          </cell>
          <cell r="K1745" t="str">
            <v>ECOL</v>
          </cell>
          <cell r="AB1745" t="str">
            <v>Spleen</v>
          </cell>
        </row>
        <row r="1746">
          <cell r="A1746" t="str">
            <v>in storage</v>
          </cell>
          <cell r="K1746" t="str">
            <v>ECOL</v>
          </cell>
          <cell r="AB1746" t="str">
            <v>Spleen</v>
          </cell>
        </row>
        <row r="1747">
          <cell r="A1747" t="str">
            <v>in storage</v>
          </cell>
          <cell r="K1747" t="str">
            <v>ECOL</v>
          </cell>
          <cell r="AB1747" t="str">
            <v>Liver</v>
          </cell>
        </row>
        <row r="1748">
          <cell r="A1748" t="str">
            <v>in storage</v>
          </cell>
          <cell r="K1748" t="str">
            <v>DMAD</v>
          </cell>
          <cell r="AB1748" t="str">
            <v>GI- large intestine</v>
          </cell>
        </row>
        <row r="1749">
          <cell r="A1749" t="str">
            <v>in storage</v>
          </cell>
          <cell r="K1749" t="str">
            <v>ECOL</v>
          </cell>
          <cell r="AB1749" t="str">
            <v>Kidney</v>
          </cell>
        </row>
        <row r="1750">
          <cell r="A1750" t="str">
            <v>in storage</v>
          </cell>
          <cell r="K1750" t="str">
            <v>ECOL</v>
          </cell>
          <cell r="AB1750" t="str">
            <v>Heart</v>
          </cell>
        </row>
        <row r="1751">
          <cell r="A1751" t="str">
            <v>in storage</v>
          </cell>
          <cell r="K1751" t="str">
            <v>ECOL</v>
          </cell>
          <cell r="AB1751" t="str">
            <v>Lung</v>
          </cell>
        </row>
        <row r="1752">
          <cell r="A1752" t="str">
            <v>in storage</v>
          </cell>
          <cell r="K1752" t="str">
            <v>ECOL</v>
          </cell>
          <cell r="AB1752" t="str">
            <v>Liver</v>
          </cell>
        </row>
        <row r="1753">
          <cell r="A1753" t="str">
            <v>in storage</v>
          </cell>
          <cell r="K1753" t="str">
            <v>ECOL</v>
          </cell>
          <cell r="AB1753" t="str">
            <v>Liver</v>
          </cell>
        </row>
        <row r="1754">
          <cell r="A1754" t="str">
            <v>in storage</v>
          </cell>
          <cell r="K1754" t="str">
            <v>ECOL</v>
          </cell>
          <cell r="AB1754" t="str">
            <v>Skin</v>
          </cell>
        </row>
        <row r="1755">
          <cell r="A1755" t="str">
            <v>in storage</v>
          </cell>
          <cell r="K1755" t="str">
            <v>ECOL</v>
          </cell>
          <cell r="AB1755" t="str">
            <v>Liver</v>
          </cell>
        </row>
        <row r="1756">
          <cell r="A1756" t="str">
            <v>in storage</v>
          </cell>
          <cell r="K1756" t="str">
            <v>ECOL</v>
          </cell>
          <cell r="AB1756" t="str">
            <v>Muscle</v>
          </cell>
        </row>
        <row r="1757">
          <cell r="A1757" t="str">
            <v>in storage</v>
          </cell>
          <cell r="K1757" t="str">
            <v>ECOL</v>
          </cell>
          <cell r="AB1757" t="str">
            <v>Muscle</v>
          </cell>
        </row>
        <row r="1758">
          <cell r="A1758" t="str">
            <v>in storage</v>
          </cell>
          <cell r="K1758" t="str">
            <v>ECOL</v>
          </cell>
          <cell r="AB1758" t="str">
            <v>Muscle</v>
          </cell>
        </row>
        <row r="1759">
          <cell r="A1759" t="str">
            <v>in storage</v>
          </cell>
          <cell r="K1759" t="str">
            <v>PCOQ</v>
          </cell>
          <cell r="AB1759" t="str">
            <v>R- ovary</v>
          </cell>
        </row>
        <row r="1760">
          <cell r="A1760" t="str">
            <v>in storage</v>
          </cell>
          <cell r="K1760" t="str">
            <v>PCOQ</v>
          </cell>
          <cell r="AB1760" t="str">
            <v>R- ovary</v>
          </cell>
        </row>
        <row r="1761">
          <cell r="A1761" t="str">
            <v>in storage</v>
          </cell>
          <cell r="K1761" t="str">
            <v>PCOQ</v>
          </cell>
          <cell r="AB1761" t="str">
            <v>Pancreas</v>
          </cell>
        </row>
        <row r="1762">
          <cell r="A1762" t="str">
            <v>in storage</v>
          </cell>
          <cell r="K1762" t="str">
            <v>PCOQ</v>
          </cell>
          <cell r="AB1762" t="str">
            <v>Kidney</v>
          </cell>
        </row>
        <row r="1763">
          <cell r="A1763" t="str">
            <v>in storage</v>
          </cell>
          <cell r="K1763" t="str">
            <v>PCOQ</v>
          </cell>
          <cell r="AB1763" t="str">
            <v>Spleen</v>
          </cell>
        </row>
        <row r="1764">
          <cell r="A1764" t="str">
            <v>in storage</v>
          </cell>
          <cell r="K1764" t="str">
            <v>PCOQ</v>
          </cell>
          <cell r="AB1764" t="str">
            <v>Heart</v>
          </cell>
        </row>
        <row r="1765">
          <cell r="A1765" t="str">
            <v>in storage</v>
          </cell>
          <cell r="K1765" t="str">
            <v>PCOQ</v>
          </cell>
          <cell r="AB1765" t="str">
            <v>Lung</v>
          </cell>
        </row>
        <row r="1766">
          <cell r="A1766" t="str">
            <v>in storage</v>
          </cell>
          <cell r="K1766" t="str">
            <v>PCOQ</v>
          </cell>
          <cell r="AB1766" t="str">
            <v>Liver</v>
          </cell>
        </row>
        <row r="1767">
          <cell r="A1767" t="str">
            <v>in storage</v>
          </cell>
          <cell r="K1767" t="str">
            <v>PCOQ</v>
          </cell>
          <cell r="AB1767" t="str">
            <v>Heart</v>
          </cell>
        </row>
        <row r="1768">
          <cell r="A1768" t="str">
            <v>in storage</v>
          </cell>
          <cell r="K1768" t="str">
            <v>PCOQ</v>
          </cell>
          <cell r="AB1768" t="str">
            <v>Heart</v>
          </cell>
        </row>
        <row r="1769">
          <cell r="A1769" t="str">
            <v>in storage</v>
          </cell>
          <cell r="K1769" t="str">
            <v>PCOQ</v>
          </cell>
          <cell r="AB1769" t="str">
            <v>Lung</v>
          </cell>
        </row>
        <row r="1770">
          <cell r="A1770" t="str">
            <v>in storage</v>
          </cell>
          <cell r="K1770" t="str">
            <v>PCOQ</v>
          </cell>
          <cell r="AB1770" t="str">
            <v>Lung</v>
          </cell>
        </row>
        <row r="1771">
          <cell r="A1771" t="str">
            <v>in storage</v>
          </cell>
          <cell r="K1771" t="str">
            <v>PCOQ</v>
          </cell>
          <cell r="AB1771" t="str">
            <v>Pancreas</v>
          </cell>
        </row>
        <row r="1772">
          <cell r="A1772" t="str">
            <v>in storage</v>
          </cell>
          <cell r="K1772" t="str">
            <v>PCOQ</v>
          </cell>
          <cell r="AB1772" t="str">
            <v>Spleen</v>
          </cell>
        </row>
        <row r="1773">
          <cell r="A1773" t="str">
            <v>in storage</v>
          </cell>
          <cell r="K1773" t="str">
            <v>PCOQ</v>
          </cell>
          <cell r="AB1773" t="str">
            <v>Spleen</v>
          </cell>
        </row>
        <row r="1774">
          <cell r="A1774" t="str">
            <v>in storage</v>
          </cell>
          <cell r="K1774" t="str">
            <v>PCOQ</v>
          </cell>
          <cell r="AB1774" t="str">
            <v>Kidney</v>
          </cell>
        </row>
        <row r="1775">
          <cell r="A1775" t="str">
            <v>in storage</v>
          </cell>
          <cell r="K1775" t="str">
            <v>PCOQ</v>
          </cell>
          <cell r="AB1775" t="str">
            <v>Kidney</v>
          </cell>
        </row>
        <row r="1776">
          <cell r="A1776" t="str">
            <v>in storage</v>
          </cell>
          <cell r="K1776" t="str">
            <v>PCOQ</v>
          </cell>
          <cell r="AB1776" t="str">
            <v>Liver</v>
          </cell>
        </row>
        <row r="1777">
          <cell r="A1777" t="str">
            <v>in storage</v>
          </cell>
          <cell r="K1777" t="str">
            <v>PCOQ</v>
          </cell>
          <cell r="AB1777" t="str">
            <v>Liver</v>
          </cell>
        </row>
        <row r="1778">
          <cell r="A1778" t="str">
            <v>in storage</v>
          </cell>
          <cell r="K1778" t="str">
            <v>PCOQ</v>
          </cell>
          <cell r="AB1778" t="str">
            <v>Pancreas</v>
          </cell>
        </row>
        <row r="1779">
          <cell r="A1779" t="str">
            <v>in storage</v>
          </cell>
          <cell r="K1779" t="str">
            <v>PCOQ</v>
          </cell>
          <cell r="AB1779" t="str">
            <v>Skin</v>
          </cell>
        </row>
        <row r="1780">
          <cell r="A1780" t="str">
            <v>in storage</v>
          </cell>
          <cell r="K1780" t="str">
            <v>PCOQ</v>
          </cell>
          <cell r="AB1780" t="str">
            <v>Skin</v>
          </cell>
        </row>
        <row r="1781">
          <cell r="A1781" t="str">
            <v>in storage</v>
          </cell>
          <cell r="K1781" t="str">
            <v>PCOQ</v>
          </cell>
          <cell r="AB1781" t="str">
            <v>Muscle</v>
          </cell>
        </row>
        <row r="1782">
          <cell r="A1782" t="str">
            <v>in storage</v>
          </cell>
          <cell r="K1782" t="str">
            <v>PCOQ</v>
          </cell>
          <cell r="AB1782" t="str">
            <v>Muscle</v>
          </cell>
        </row>
        <row r="1783">
          <cell r="A1783" t="str">
            <v>in storage</v>
          </cell>
          <cell r="K1783" t="str">
            <v>EUL</v>
          </cell>
          <cell r="AB1783" t="str">
            <v>Kidney</v>
          </cell>
        </row>
        <row r="1784">
          <cell r="A1784" t="str">
            <v>in storage</v>
          </cell>
          <cell r="K1784" t="str">
            <v>EUL</v>
          </cell>
          <cell r="AB1784" t="str">
            <v>Liver</v>
          </cell>
        </row>
        <row r="1785">
          <cell r="A1785" t="str">
            <v>in storage</v>
          </cell>
          <cell r="K1785" t="str">
            <v>PCOQ</v>
          </cell>
          <cell r="AB1785" t="str">
            <v>R- umbilical cord</v>
          </cell>
        </row>
        <row r="1786">
          <cell r="A1786" t="str">
            <v>in storage</v>
          </cell>
          <cell r="K1786" t="str">
            <v>GMOH</v>
          </cell>
          <cell r="AB1786" t="str">
            <v>Kidney</v>
          </cell>
        </row>
        <row r="1787">
          <cell r="A1787" t="str">
            <v>in storage</v>
          </cell>
          <cell r="K1787" t="str">
            <v>GMOH</v>
          </cell>
          <cell r="AB1787" t="str">
            <v>Lung</v>
          </cell>
        </row>
        <row r="1788">
          <cell r="A1788" t="str">
            <v>in storage</v>
          </cell>
          <cell r="K1788" t="str">
            <v>GMOH</v>
          </cell>
          <cell r="AB1788" t="str">
            <v>Liver</v>
          </cell>
        </row>
        <row r="1789">
          <cell r="A1789" t="str">
            <v>in storage</v>
          </cell>
          <cell r="K1789" t="str">
            <v>GMOH</v>
          </cell>
          <cell r="AB1789" t="str">
            <v>Kidney</v>
          </cell>
        </row>
        <row r="1790">
          <cell r="A1790" t="str">
            <v>in storage</v>
          </cell>
          <cell r="K1790" t="str">
            <v>GMOH</v>
          </cell>
          <cell r="AB1790" t="str">
            <v>Lung</v>
          </cell>
        </row>
        <row r="1791">
          <cell r="A1791" t="str">
            <v>in storage</v>
          </cell>
          <cell r="K1791" t="str">
            <v>GMOH</v>
          </cell>
          <cell r="AB1791" t="str">
            <v>Spleen</v>
          </cell>
        </row>
        <row r="1792">
          <cell r="A1792" t="str">
            <v>in storage</v>
          </cell>
          <cell r="K1792" t="str">
            <v>GMOH</v>
          </cell>
          <cell r="AB1792" t="str">
            <v>Kidney</v>
          </cell>
        </row>
        <row r="1793">
          <cell r="A1793" t="str">
            <v>in storage</v>
          </cell>
          <cell r="K1793" t="str">
            <v>GMOH</v>
          </cell>
          <cell r="AB1793" t="str">
            <v>Lung</v>
          </cell>
        </row>
        <row r="1794">
          <cell r="A1794" t="str">
            <v>in storage</v>
          </cell>
          <cell r="K1794" t="str">
            <v>GMOH</v>
          </cell>
          <cell r="AB1794" t="str">
            <v>Pancreas</v>
          </cell>
        </row>
        <row r="1795">
          <cell r="A1795" t="str">
            <v>in storage</v>
          </cell>
          <cell r="K1795" t="str">
            <v>GMOH</v>
          </cell>
          <cell r="AB1795" t="str">
            <v>Skin</v>
          </cell>
        </row>
        <row r="1796">
          <cell r="A1796" t="str">
            <v>in storage</v>
          </cell>
          <cell r="K1796" t="str">
            <v>GMOH</v>
          </cell>
          <cell r="AB1796" t="str">
            <v>Skin</v>
          </cell>
        </row>
        <row r="1797">
          <cell r="A1797" t="str">
            <v>in storage</v>
          </cell>
          <cell r="K1797" t="str">
            <v>GMOH</v>
          </cell>
          <cell r="AB1797" t="str">
            <v>Spleen</v>
          </cell>
        </row>
        <row r="1798">
          <cell r="A1798" t="str">
            <v>in storage</v>
          </cell>
          <cell r="K1798" t="str">
            <v>GMOH</v>
          </cell>
          <cell r="AB1798" t="str">
            <v>Liver</v>
          </cell>
        </row>
        <row r="1799">
          <cell r="A1799" t="str">
            <v>in storage</v>
          </cell>
          <cell r="K1799" t="str">
            <v>GMOH</v>
          </cell>
          <cell r="AB1799" t="str">
            <v>Liver</v>
          </cell>
        </row>
        <row r="1800">
          <cell r="A1800" t="str">
            <v>in storage</v>
          </cell>
          <cell r="K1800" t="str">
            <v>GMOH</v>
          </cell>
          <cell r="AB1800" t="str">
            <v>R- teste(s)</v>
          </cell>
        </row>
        <row r="1801">
          <cell r="A1801" t="str">
            <v>in storage</v>
          </cell>
          <cell r="K1801" t="str">
            <v>GMOH</v>
          </cell>
          <cell r="AB1801" t="str">
            <v>R- teste(s)</v>
          </cell>
        </row>
        <row r="1802">
          <cell r="A1802" t="str">
            <v>in storage</v>
          </cell>
          <cell r="K1802" t="str">
            <v>GMOH</v>
          </cell>
          <cell r="AB1802" t="str">
            <v>R- teste(s)</v>
          </cell>
        </row>
        <row r="1803">
          <cell r="A1803" t="str">
            <v>in storage</v>
          </cell>
          <cell r="K1803" t="str">
            <v>EFLA</v>
          </cell>
          <cell r="AB1803" t="str">
            <v>Pancreas</v>
          </cell>
        </row>
        <row r="1804">
          <cell r="A1804" t="str">
            <v>in storage</v>
          </cell>
          <cell r="K1804" t="str">
            <v>EFLA</v>
          </cell>
          <cell r="AB1804" t="str">
            <v>Kidney</v>
          </cell>
        </row>
        <row r="1805">
          <cell r="A1805" t="str">
            <v>in storage</v>
          </cell>
          <cell r="K1805" t="str">
            <v>EFLA</v>
          </cell>
          <cell r="AB1805" t="str">
            <v>Spleen</v>
          </cell>
        </row>
        <row r="1806">
          <cell r="A1806" t="str">
            <v>in storage</v>
          </cell>
          <cell r="K1806" t="str">
            <v>EFLA</v>
          </cell>
          <cell r="AB1806" t="str">
            <v>Heart</v>
          </cell>
        </row>
        <row r="1807">
          <cell r="A1807" t="str">
            <v>in storage</v>
          </cell>
          <cell r="K1807" t="str">
            <v>EFLA</v>
          </cell>
          <cell r="AB1807" t="str">
            <v>Lung</v>
          </cell>
        </row>
        <row r="1808">
          <cell r="A1808" t="str">
            <v>in storage</v>
          </cell>
          <cell r="K1808" t="str">
            <v>EFLA</v>
          </cell>
          <cell r="AB1808" t="str">
            <v>Liver</v>
          </cell>
        </row>
        <row r="1809">
          <cell r="A1809" t="str">
            <v>in storage</v>
          </cell>
          <cell r="K1809" t="str">
            <v>EFLA</v>
          </cell>
          <cell r="AB1809" t="str">
            <v>Liver</v>
          </cell>
        </row>
        <row r="1810">
          <cell r="A1810" t="str">
            <v>in storage</v>
          </cell>
          <cell r="K1810" t="str">
            <v>EFLA</v>
          </cell>
          <cell r="AB1810" t="str">
            <v>Skin</v>
          </cell>
        </row>
        <row r="1811">
          <cell r="A1811" t="str">
            <v>unk</v>
          </cell>
          <cell r="K1811" t="str">
            <v>EFLA</v>
          </cell>
          <cell r="AB1811" t="str">
            <v>Liver</v>
          </cell>
        </row>
        <row r="1812">
          <cell r="A1812" t="str">
            <v>gone</v>
          </cell>
          <cell r="K1812" t="str">
            <v>EFLA</v>
          </cell>
          <cell r="AB1812" t="str">
            <v>Skin</v>
          </cell>
        </row>
        <row r="1813">
          <cell r="A1813" t="str">
            <v>in storage</v>
          </cell>
          <cell r="K1813" t="str">
            <v>EFLA</v>
          </cell>
          <cell r="AB1813" t="str">
            <v>Kidney</v>
          </cell>
        </row>
        <row r="1814">
          <cell r="A1814" t="str">
            <v>in storage</v>
          </cell>
          <cell r="K1814" t="str">
            <v>EFLA</v>
          </cell>
          <cell r="AB1814" t="str">
            <v>Kidney</v>
          </cell>
        </row>
        <row r="1815">
          <cell r="A1815" t="str">
            <v>in storage</v>
          </cell>
          <cell r="K1815" t="str">
            <v>EFLA</v>
          </cell>
          <cell r="AB1815" t="str">
            <v>Blood</v>
          </cell>
        </row>
        <row r="1816">
          <cell r="A1816" t="str">
            <v>in storage</v>
          </cell>
          <cell r="K1816" t="str">
            <v>EFLA</v>
          </cell>
          <cell r="AB1816" t="str">
            <v>Blood</v>
          </cell>
        </row>
        <row r="1817">
          <cell r="A1817" t="str">
            <v>in storage</v>
          </cell>
          <cell r="K1817" t="str">
            <v>EFLA</v>
          </cell>
          <cell r="AB1817" t="str">
            <v>Heart</v>
          </cell>
        </row>
        <row r="1818">
          <cell r="A1818" t="str">
            <v>in storage</v>
          </cell>
          <cell r="K1818" t="str">
            <v>EFLA</v>
          </cell>
          <cell r="AB1818" t="str">
            <v>Lung</v>
          </cell>
        </row>
        <row r="1819">
          <cell r="A1819" t="str">
            <v>in storage</v>
          </cell>
          <cell r="K1819" t="str">
            <v>EFLA</v>
          </cell>
          <cell r="AB1819" t="str">
            <v>Pancreas</v>
          </cell>
        </row>
        <row r="1820">
          <cell r="A1820" t="str">
            <v>in storage</v>
          </cell>
          <cell r="K1820" t="str">
            <v>EFLA</v>
          </cell>
          <cell r="AB1820" t="str">
            <v>Heart</v>
          </cell>
        </row>
        <row r="1821">
          <cell r="A1821" t="str">
            <v>in storage</v>
          </cell>
          <cell r="K1821" t="str">
            <v>EFLA</v>
          </cell>
          <cell r="AB1821" t="str">
            <v>Lung</v>
          </cell>
        </row>
        <row r="1822">
          <cell r="A1822" t="str">
            <v>in storage</v>
          </cell>
          <cell r="K1822" t="str">
            <v>EFLA</v>
          </cell>
          <cell r="AB1822" t="str">
            <v>Pancreas</v>
          </cell>
        </row>
        <row r="1823">
          <cell r="A1823" t="str">
            <v>in storage</v>
          </cell>
          <cell r="K1823" t="str">
            <v>EFLA</v>
          </cell>
          <cell r="AB1823" t="str">
            <v>Skin</v>
          </cell>
        </row>
        <row r="1824">
          <cell r="A1824" t="str">
            <v>in storage</v>
          </cell>
          <cell r="K1824" t="str">
            <v>EFLA</v>
          </cell>
          <cell r="AB1824" t="str">
            <v>Spleen</v>
          </cell>
        </row>
        <row r="1825">
          <cell r="A1825" t="str">
            <v>in storage</v>
          </cell>
          <cell r="K1825" t="str">
            <v>EFLA</v>
          </cell>
          <cell r="AB1825" t="str">
            <v>Spleen</v>
          </cell>
        </row>
        <row r="1826">
          <cell r="A1826" t="str">
            <v>in storage</v>
          </cell>
          <cell r="K1826" t="str">
            <v>EFLA</v>
          </cell>
          <cell r="AB1826" t="str">
            <v>Liver</v>
          </cell>
        </row>
        <row r="1827">
          <cell r="A1827" t="str">
            <v>in storage</v>
          </cell>
          <cell r="K1827" t="str">
            <v>EFLA</v>
          </cell>
          <cell r="AB1827" t="str">
            <v>Liver</v>
          </cell>
        </row>
        <row r="1828">
          <cell r="A1828" t="str">
            <v>in storage</v>
          </cell>
          <cell r="K1828" t="str">
            <v>EFLA</v>
          </cell>
          <cell r="AB1828" t="str">
            <v>Lymph node</v>
          </cell>
        </row>
        <row r="1829">
          <cell r="A1829" t="str">
            <v>in storage</v>
          </cell>
          <cell r="K1829" t="str">
            <v>EFLA</v>
          </cell>
          <cell r="AB1829" t="str">
            <v>R- teste(s)</v>
          </cell>
        </row>
        <row r="1830">
          <cell r="A1830" t="str">
            <v>in storage</v>
          </cell>
          <cell r="K1830" t="str">
            <v>EFLA</v>
          </cell>
          <cell r="AB1830" t="str">
            <v>R- teste(s)</v>
          </cell>
        </row>
        <row r="1831">
          <cell r="A1831" t="str">
            <v>in storage</v>
          </cell>
          <cell r="K1831" t="str">
            <v>EFLA</v>
          </cell>
          <cell r="AB1831" t="str">
            <v>R- teste(s)</v>
          </cell>
        </row>
        <row r="1832">
          <cell r="A1832" t="str">
            <v>in storage</v>
          </cell>
          <cell r="K1832" t="str">
            <v>DMAD</v>
          </cell>
          <cell r="AB1832" t="str">
            <v>GI- small intestine</v>
          </cell>
        </row>
        <row r="1833">
          <cell r="A1833" t="str">
            <v>in storage</v>
          </cell>
          <cell r="K1833" t="str">
            <v>EFLA</v>
          </cell>
          <cell r="AB1833" t="str">
            <v>Mass- liver</v>
          </cell>
        </row>
        <row r="1834">
          <cell r="A1834" t="str">
            <v>in storage</v>
          </cell>
          <cell r="K1834" t="str">
            <v>EFLA</v>
          </cell>
          <cell r="AB1834" t="str">
            <v>Muscle</v>
          </cell>
        </row>
        <row r="1835">
          <cell r="A1835" t="str">
            <v>in storage</v>
          </cell>
          <cell r="K1835" t="str">
            <v>EFLA</v>
          </cell>
          <cell r="AB1835" t="str">
            <v>Muscle</v>
          </cell>
        </row>
        <row r="1836">
          <cell r="A1836" t="str">
            <v>in storage</v>
          </cell>
          <cell r="K1836" t="str">
            <v>EFLA</v>
          </cell>
          <cell r="AB1836" t="str">
            <v>Muscle</v>
          </cell>
        </row>
        <row r="1837">
          <cell r="A1837" t="str">
            <v>in storage</v>
          </cell>
          <cell r="K1837" t="str">
            <v>GMOH</v>
          </cell>
          <cell r="AB1837" t="str">
            <v>Muscle</v>
          </cell>
        </row>
        <row r="1838">
          <cell r="A1838" t="str">
            <v>in storage</v>
          </cell>
          <cell r="K1838" t="str">
            <v>GMOH</v>
          </cell>
          <cell r="AB1838" t="str">
            <v>Muscle</v>
          </cell>
        </row>
        <row r="1839">
          <cell r="A1839" t="str">
            <v>in storage</v>
          </cell>
          <cell r="K1839" t="str">
            <v>PCOQ</v>
          </cell>
          <cell r="AB1839" t="str">
            <v>R- amniotic sac</v>
          </cell>
        </row>
        <row r="1840">
          <cell r="A1840" t="str">
            <v>in storage</v>
          </cell>
          <cell r="K1840" t="str">
            <v>PCOQ</v>
          </cell>
          <cell r="AB1840" t="str">
            <v>R- fetal membrane</v>
          </cell>
        </row>
        <row r="1841">
          <cell r="A1841" t="str">
            <v>in storage</v>
          </cell>
          <cell r="K1841" t="str">
            <v>PTAT</v>
          </cell>
          <cell r="AB1841" t="str">
            <v>Mass- abdominal</v>
          </cell>
        </row>
        <row r="1842">
          <cell r="A1842" t="str">
            <v>in storage</v>
          </cell>
          <cell r="K1842" t="str">
            <v>LCAT</v>
          </cell>
          <cell r="AB1842" t="str">
            <v>Blood clot</v>
          </cell>
        </row>
        <row r="1843">
          <cell r="A1843" t="str">
            <v>in storage</v>
          </cell>
          <cell r="K1843" t="str">
            <v>DMAD</v>
          </cell>
          <cell r="AB1843" t="str">
            <v>GI- stomach</v>
          </cell>
        </row>
        <row r="1844">
          <cell r="A1844" t="str">
            <v>in storage</v>
          </cell>
          <cell r="K1844" t="str">
            <v>LCAT</v>
          </cell>
          <cell r="AB1844" t="str">
            <v>Kidney</v>
          </cell>
        </row>
        <row r="1845">
          <cell r="A1845" t="str">
            <v>in storage</v>
          </cell>
          <cell r="K1845" t="str">
            <v>LCAT</v>
          </cell>
          <cell r="AB1845" t="str">
            <v>Spleen</v>
          </cell>
        </row>
        <row r="1846">
          <cell r="A1846" t="str">
            <v>in storage</v>
          </cell>
          <cell r="K1846" t="str">
            <v>LCAT</v>
          </cell>
          <cell r="AB1846" t="str">
            <v>Heart</v>
          </cell>
        </row>
        <row r="1847">
          <cell r="A1847" t="str">
            <v>in storage</v>
          </cell>
          <cell r="K1847" t="str">
            <v>LCAT</v>
          </cell>
          <cell r="AB1847" t="str">
            <v>Lung</v>
          </cell>
        </row>
        <row r="1848">
          <cell r="A1848" t="str">
            <v>in storage</v>
          </cell>
          <cell r="K1848" t="str">
            <v>LCAT</v>
          </cell>
          <cell r="AB1848" t="str">
            <v>Liver</v>
          </cell>
        </row>
        <row r="1849">
          <cell r="A1849" t="str">
            <v>in storage</v>
          </cell>
          <cell r="K1849" t="str">
            <v>LCAT</v>
          </cell>
          <cell r="AB1849" t="str">
            <v>Thymus</v>
          </cell>
        </row>
        <row r="1850">
          <cell r="A1850" t="str">
            <v>in storage</v>
          </cell>
          <cell r="K1850" t="str">
            <v>DMAD</v>
          </cell>
          <cell r="AB1850" t="str">
            <v>GI- cecum</v>
          </cell>
        </row>
        <row r="1851">
          <cell r="A1851" t="str">
            <v>in storage</v>
          </cell>
          <cell r="K1851" t="str">
            <v>PCOQ</v>
          </cell>
          <cell r="AB1851" t="str">
            <v>R- placenta</v>
          </cell>
        </row>
        <row r="1852">
          <cell r="A1852" t="str">
            <v>gone</v>
          </cell>
          <cell r="K1852" t="str">
            <v>PCOQ</v>
          </cell>
          <cell r="AB1852" t="str">
            <v>R- placenta</v>
          </cell>
        </row>
        <row r="1853">
          <cell r="A1853" t="str">
            <v>in storage</v>
          </cell>
          <cell r="K1853" t="str">
            <v>PCOQ</v>
          </cell>
          <cell r="AB1853" t="str">
            <v>R- placenta</v>
          </cell>
        </row>
        <row r="1854">
          <cell r="A1854" t="str">
            <v>in storage</v>
          </cell>
          <cell r="K1854" t="str">
            <v>EFLA</v>
          </cell>
          <cell r="AB1854" t="str">
            <v>Adrenal gland</v>
          </cell>
        </row>
        <row r="1855">
          <cell r="A1855" t="str">
            <v>in storage</v>
          </cell>
          <cell r="K1855" t="str">
            <v>EFLA</v>
          </cell>
          <cell r="AB1855" t="str">
            <v>Spleen</v>
          </cell>
        </row>
        <row r="1856">
          <cell r="A1856" t="str">
            <v>in storage</v>
          </cell>
          <cell r="K1856" t="str">
            <v>EFLA</v>
          </cell>
          <cell r="AB1856" t="str">
            <v>Heart</v>
          </cell>
        </row>
        <row r="1857">
          <cell r="A1857" t="str">
            <v>in storage</v>
          </cell>
          <cell r="K1857" t="str">
            <v>EFLA</v>
          </cell>
          <cell r="AB1857" t="str">
            <v>Lung</v>
          </cell>
        </row>
        <row r="1858">
          <cell r="A1858" t="str">
            <v>in storage</v>
          </cell>
          <cell r="K1858" t="str">
            <v>EFLA</v>
          </cell>
          <cell r="AB1858" t="str">
            <v>Liver</v>
          </cell>
        </row>
        <row r="1859">
          <cell r="A1859" t="str">
            <v>in storage</v>
          </cell>
          <cell r="K1859" t="str">
            <v>EFLA</v>
          </cell>
          <cell r="AB1859" t="str">
            <v>Kidney</v>
          </cell>
        </row>
        <row r="1860">
          <cell r="A1860" t="str">
            <v>in storage</v>
          </cell>
          <cell r="K1860" t="str">
            <v>EFLA</v>
          </cell>
          <cell r="AB1860" t="str">
            <v>R- teste(s)</v>
          </cell>
        </row>
        <row r="1861">
          <cell r="A1861" t="str">
            <v>in storage</v>
          </cell>
          <cell r="K1861" t="str">
            <v>DMAD</v>
          </cell>
          <cell r="AB1861" t="str">
            <v>GI- esophagus</v>
          </cell>
        </row>
        <row r="1862">
          <cell r="A1862" t="str">
            <v>in storage</v>
          </cell>
          <cell r="K1862" t="str">
            <v>DMAD</v>
          </cell>
          <cell r="AB1862" t="str">
            <v>GI- large intestine</v>
          </cell>
        </row>
        <row r="1863">
          <cell r="A1863" t="str">
            <v>in storage</v>
          </cell>
          <cell r="K1863" t="str">
            <v>DMAD</v>
          </cell>
          <cell r="AB1863" t="str">
            <v>GI- small intestine</v>
          </cell>
        </row>
        <row r="1864">
          <cell r="A1864" t="str">
            <v>in storage</v>
          </cell>
          <cell r="K1864" t="str">
            <v>PCOQ</v>
          </cell>
          <cell r="AB1864" t="str">
            <v>Pancreas</v>
          </cell>
        </row>
        <row r="1865">
          <cell r="A1865" t="str">
            <v>in storage</v>
          </cell>
          <cell r="K1865" t="str">
            <v>PCOQ</v>
          </cell>
          <cell r="AB1865" t="str">
            <v>Kidney</v>
          </cell>
        </row>
        <row r="1866">
          <cell r="A1866" t="str">
            <v>in storage</v>
          </cell>
          <cell r="K1866" t="str">
            <v>PCOQ</v>
          </cell>
          <cell r="AB1866" t="str">
            <v>Spleen</v>
          </cell>
        </row>
        <row r="1867">
          <cell r="A1867" t="str">
            <v>in storage</v>
          </cell>
          <cell r="K1867" t="str">
            <v>PCOQ</v>
          </cell>
          <cell r="AB1867" t="str">
            <v>Heart</v>
          </cell>
        </row>
        <row r="1868">
          <cell r="A1868" t="str">
            <v>in storage</v>
          </cell>
          <cell r="K1868" t="str">
            <v>PCOQ</v>
          </cell>
          <cell r="AB1868" t="str">
            <v>Lung</v>
          </cell>
        </row>
        <row r="1869">
          <cell r="A1869" t="str">
            <v>in storage</v>
          </cell>
          <cell r="K1869" t="str">
            <v>PCOQ</v>
          </cell>
          <cell r="AB1869" t="str">
            <v>Liver</v>
          </cell>
        </row>
        <row r="1870">
          <cell r="A1870" t="str">
            <v>in storage</v>
          </cell>
          <cell r="K1870" t="str">
            <v>PCOQ</v>
          </cell>
          <cell r="AB1870" t="str">
            <v>Skin</v>
          </cell>
        </row>
        <row r="1871">
          <cell r="A1871" t="str">
            <v>in storage</v>
          </cell>
          <cell r="K1871" t="str">
            <v>PCOQ</v>
          </cell>
          <cell r="AB1871" t="str">
            <v>Blood</v>
          </cell>
        </row>
        <row r="1872">
          <cell r="A1872" t="str">
            <v>in storage</v>
          </cell>
          <cell r="K1872" t="str">
            <v>PCOQ</v>
          </cell>
          <cell r="AB1872" t="str">
            <v>Heart</v>
          </cell>
        </row>
        <row r="1873">
          <cell r="A1873" t="str">
            <v>in storage</v>
          </cell>
          <cell r="K1873" t="str">
            <v>PCOQ</v>
          </cell>
          <cell r="AB1873" t="str">
            <v>Heart</v>
          </cell>
        </row>
        <row r="1874">
          <cell r="A1874" t="str">
            <v>in storage</v>
          </cell>
          <cell r="K1874" t="str">
            <v>PCOQ</v>
          </cell>
          <cell r="AB1874" t="str">
            <v>Lung</v>
          </cell>
        </row>
        <row r="1875">
          <cell r="A1875" t="str">
            <v>in storage</v>
          </cell>
          <cell r="K1875" t="str">
            <v>PCOQ</v>
          </cell>
          <cell r="AB1875" t="str">
            <v>Lung</v>
          </cell>
        </row>
        <row r="1876">
          <cell r="A1876" t="str">
            <v>in storage</v>
          </cell>
          <cell r="K1876" t="str">
            <v>PCOQ</v>
          </cell>
          <cell r="AB1876" t="str">
            <v>Pancreas</v>
          </cell>
        </row>
        <row r="1877">
          <cell r="A1877" t="str">
            <v>in storage</v>
          </cell>
          <cell r="K1877" t="str">
            <v>PCOQ</v>
          </cell>
          <cell r="AB1877" t="str">
            <v>Pancreas</v>
          </cell>
        </row>
        <row r="1878">
          <cell r="A1878" t="str">
            <v>in storage</v>
          </cell>
          <cell r="K1878" t="str">
            <v>PCOQ</v>
          </cell>
          <cell r="AB1878" t="str">
            <v>Skin</v>
          </cell>
        </row>
        <row r="1879">
          <cell r="A1879" t="str">
            <v>in storage</v>
          </cell>
          <cell r="K1879" t="str">
            <v>PCOQ</v>
          </cell>
          <cell r="AB1879" t="str">
            <v>Skin</v>
          </cell>
        </row>
        <row r="1880">
          <cell r="A1880" t="str">
            <v>in storage</v>
          </cell>
          <cell r="K1880" t="str">
            <v>PCOQ</v>
          </cell>
          <cell r="AB1880" t="str">
            <v>Spleen</v>
          </cell>
        </row>
        <row r="1881">
          <cell r="A1881" t="str">
            <v>in storage</v>
          </cell>
          <cell r="K1881" t="str">
            <v>PCOQ</v>
          </cell>
          <cell r="AB1881" t="str">
            <v>Liver</v>
          </cell>
        </row>
        <row r="1882">
          <cell r="A1882" t="str">
            <v>in storage</v>
          </cell>
          <cell r="K1882" t="str">
            <v>PCOQ</v>
          </cell>
          <cell r="AB1882" t="str">
            <v>Kidney</v>
          </cell>
        </row>
        <row r="1883">
          <cell r="A1883" t="str">
            <v>in storage</v>
          </cell>
          <cell r="K1883" t="str">
            <v>PCOQ</v>
          </cell>
          <cell r="AB1883" t="str">
            <v>Kidney</v>
          </cell>
        </row>
        <row r="1884">
          <cell r="A1884" t="str">
            <v>in storage</v>
          </cell>
          <cell r="K1884" t="str">
            <v>PCOQ</v>
          </cell>
          <cell r="AB1884" t="str">
            <v>Blood</v>
          </cell>
        </row>
        <row r="1885">
          <cell r="A1885" t="str">
            <v>in storage</v>
          </cell>
          <cell r="K1885" t="str">
            <v>PCOQ</v>
          </cell>
          <cell r="AB1885" t="str">
            <v>Spleen</v>
          </cell>
        </row>
        <row r="1886">
          <cell r="A1886" t="str">
            <v>in storage</v>
          </cell>
          <cell r="K1886" t="str">
            <v>PCOQ</v>
          </cell>
          <cell r="AB1886" t="str">
            <v>Liver</v>
          </cell>
        </row>
        <row r="1887">
          <cell r="A1887" t="str">
            <v>in storage</v>
          </cell>
          <cell r="K1887" t="str">
            <v>DMAD</v>
          </cell>
          <cell r="AB1887" t="str">
            <v>GI- stomach</v>
          </cell>
        </row>
        <row r="1888">
          <cell r="A1888" t="str">
            <v>in storage</v>
          </cell>
          <cell r="K1888" t="str">
            <v>PCOQ</v>
          </cell>
          <cell r="AB1888" t="str">
            <v>R- teste(s)</v>
          </cell>
        </row>
        <row r="1889">
          <cell r="A1889" t="str">
            <v>in storage</v>
          </cell>
          <cell r="K1889" t="str">
            <v>PCOQ</v>
          </cell>
          <cell r="AB1889" t="str">
            <v>R- teste(s)</v>
          </cell>
        </row>
        <row r="1890">
          <cell r="A1890" t="str">
            <v>in storage</v>
          </cell>
          <cell r="K1890" t="str">
            <v>PCOQ</v>
          </cell>
          <cell r="AB1890" t="str">
            <v>R- teste(s)</v>
          </cell>
        </row>
        <row r="1891">
          <cell r="A1891" t="str">
            <v>in storage</v>
          </cell>
          <cell r="K1891" t="str">
            <v>DMAD</v>
          </cell>
          <cell r="AB1891" t="str">
            <v>GI Contents- stomach</v>
          </cell>
        </row>
        <row r="1892">
          <cell r="A1892" t="str">
            <v>in storage</v>
          </cell>
          <cell r="K1892" t="str">
            <v>DMAD</v>
          </cell>
          <cell r="AB1892" t="str">
            <v>GI Contents- cecum</v>
          </cell>
        </row>
        <row r="1893">
          <cell r="A1893" t="str">
            <v>in storage</v>
          </cell>
          <cell r="K1893" t="str">
            <v>PCOQ</v>
          </cell>
          <cell r="AB1893" t="str">
            <v>Muscle</v>
          </cell>
        </row>
        <row r="1894">
          <cell r="A1894" t="str">
            <v>in storage</v>
          </cell>
          <cell r="K1894" t="str">
            <v>PCOQ</v>
          </cell>
          <cell r="AB1894" t="str">
            <v>Muscle</v>
          </cell>
        </row>
        <row r="1895">
          <cell r="A1895" t="str">
            <v>in storage</v>
          </cell>
          <cell r="K1895" t="str">
            <v>VRUB</v>
          </cell>
          <cell r="AB1895" t="str">
            <v>Blood</v>
          </cell>
        </row>
        <row r="1896">
          <cell r="A1896" t="str">
            <v>in storage</v>
          </cell>
          <cell r="K1896" t="str">
            <v>VRUB</v>
          </cell>
          <cell r="AB1896" t="str">
            <v>Blood</v>
          </cell>
        </row>
        <row r="1897">
          <cell r="A1897" t="str">
            <v>in storage</v>
          </cell>
          <cell r="K1897" t="str">
            <v>VRUB</v>
          </cell>
          <cell r="AB1897" t="str">
            <v>Skin</v>
          </cell>
        </row>
        <row r="1898">
          <cell r="A1898" t="str">
            <v>in storage</v>
          </cell>
          <cell r="K1898" t="str">
            <v>VRUB</v>
          </cell>
          <cell r="AB1898" t="str">
            <v>Muscle</v>
          </cell>
        </row>
        <row r="1899">
          <cell r="A1899" t="str">
            <v>in storage</v>
          </cell>
          <cell r="K1899" t="str">
            <v>VRUB</v>
          </cell>
          <cell r="AB1899" t="str">
            <v>Adrenal gland</v>
          </cell>
        </row>
        <row r="1900">
          <cell r="A1900" t="str">
            <v>in storage</v>
          </cell>
          <cell r="K1900" t="str">
            <v>VRUB</v>
          </cell>
          <cell r="AB1900" t="str">
            <v>Liver</v>
          </cell>
        </row>
        <row r="1901">
          <cell r="A1901" t="str">
            <v>in storage</v>
          </cell>
          <cell r="K1901" t="str">
            <v>DMAD</v>
          </cell>
          <cell r="AB1901" t="str">
            <v>GI- cecum</v>
          </cell>
        </row>
        <row r="1902">
          <cell r="A1902" t="str">
            <v>in storage</v>
          </cell>
          <cell r="K1902" t="str">
            <v>DMAD</v>
          </cell>
          <cell r="AB1902" t="str">
            <v>GI- esophagus</v>
          </cell>
        </row>
        <row r="1903">
          <cell r="A1903" t="str">
            <v>in storage</v>
          </cell>
          <cell r="K1903" t="str">
            <v>VRUB</v>
          </cell>
          <cell r="AB1903" t="str">
            <v>Kidney</v>
          </cell>
        </row>
        <row r="1904">
          <cell r="A1904" t="str">
            <v>in storage</v>
          </cell>
          <cell r="K1904" t="str">
            <v>VRUB</v>
          </cell>
          <cell r="AB1904" t="str">
            <v>Spleen</v>
          </cell>
        </row>
        <row r="1905">
          <cell r="A1905" t="str">
            <v>in storage</v>
          </cell>
          <cell r="K1905" t="str">
            <v>VRUB</v>
          </cell>
          <cell r="AB1905" t="str">
            <v>Heart</v>
          </cell>
        </row>
        <row r="1906">
          <cell r="A1906" t="str">
            <v>in storage</v>
          </cell>
          <cell r="K1906" t="str">
            <v>VRUB</v>
          </cell>
          <cell r="AB1906" t="str">
            <v>Lung</v>
          </cell>
        </row>
        <row r="1907">
          <cell r="A1907" t="str">
            <v>unk</v>
          </cell>
          <cell r="K1907" t="str">
            <v>VRUB</v>
          </cell>
          <cell r="AB1907" t="str">
            <v>Fluid- pericardial</v>
          </cell>
        </row>
        <row r="1908">
          <cell r="A1908" t="str">
            <v>in storage</v>
          </cell>
          <cell r="K1908" t="str">
            <v>VRUB</v>
          </cell>
          <cell r="AB1908" t="str">
            <v>Trachea</v>
          </cell>
        </row>
        <row r="1909">
          <cell r="A1909" t="str">
            <v>in storage</v>
          </cell>
          <cell r="K1909" t="str">
            <v>PCOQ</v>
          </cell>
          <cell r="AB1909" t="str">
            <v>Tooth</v>
          </cell>
        </row>
        <row r="1910">
          <cell r="A1910" t="str">
            <v>unk</v>
          </cell>
          <cell r="K1910" t="str">
            <v>MMUR</v>
          </cell>
          <cell r="AB1910" t="str">
            <v>R- sperm plug</v>
          </cell>
        </row>
        <row r="1911">
          <cell r="A1911" t="str">
            <v>in storage</v>
          </cell>
          <cell r="K1911" t="str">
            <v>ECOR</v>
          </cell>
          <cell r="AB1911" t="str">
            <v>Mass- adrenal</v>
          </cell>
        </row>
        <row r="1912">
          <cell r="A1912" t="str">
            <v>in storage</v>
          </cell>
          <cell r="K1912" t="str">
            <v>ECOR</v>
          </cell>
          <cell r="AB1912" t="str">
            <v>Blood</v>
          </cell>
        </row>
        <row r="1913">
          <cell r="A1913" t="str">
            <v>in storage</v>
          </cell>
          <cell r="K1913" t="str">
            <v>ECOR</v>
          </cell>
          <cell r="AB1913" t="str">
            <v>Heart</v>
          </cell>
        </row>
        <row r="1914">
          <cell r="A1914" t="str">
            <v>in storage</v>
          </cell>
          <cell r="K1914" t="str">
            <v>ECOR</v>
          </cell>
          <cell r="AB1914" t="str">
            <v>Lung</v>
          </cell>
        </row>
        <row r="1915">
          <cell r="A1915" t="str">
            <v>in storage</v>
          </cell>
          <cell r="K1915" t="str">
            <v>ECOR</v>
          </cell>
          <cell r="AB1915" t="str">
            <v>Pancreas</v>
          </cell>
        </row>
        <row r="1916">
          <cell r="A1916" t="str">
            <v>in storage</v>
          </cell>
          <cell r="K1916" t="str">
            <v>ECOR</v>
          </cell>
          <cell r="AB1916" t="str">
            <v>Pancreas</v>
          </cell>
        </row>
        <row r="1917">
          <cell r="A1917" t="str">
            <v>in storage</v>
          </cell>
          <cell r="K1917" t="str">
            <v>ECOR</v>
          </cell>
          <cell r="AB1917" t="str">
            <v>Skin</v>
          </cell>
        </row>
        <row r="1918">
          <cell r="A1918" t="str">
            <v>in storage</v>
          </cell>
          <cell r="K1918" t="str">
            <v>ECOR</v>
          </cell>
          <cell r="AB1918" t="str">
            <v>Skin</v>
          </cell>
        </row>
        <row r="1919">
          <cell r="A1919" t="str">
            <v>in storage</v>
          </cell>
          <cell r="K1919" t="str">
            <v>ECOR</v>
          </cell>
          <cell r="AB1919" t="str">
            <v>Liver</v>
          </cell>
        </row>
        <row r="1920">
          <cell r="A1920" t="str">
            <v>in storage</v>
          </cell>
          <cell r="K1920" t="str">
            <v>ECOR</v>
          </cell>
          <cell r="AB1920" t="str">
            <v>Kidney</v>
          </cell>
        </row>
        <row r="1921">
          <cell r="A1921" t="str">
            <v>in storage</v>
          </cell>
          <cell r="K1921" t="str">
            <v>ECOR</v>
          </cell>
          <cell r="AB1921" t="str">
            <v>Kidney</v>
          </cell>
        </row>
        <row r="1922">
          <cell r="A1922" t="str">
            <v>in storage</v>
          </cell>
          <cell r="K1922" t="str">
            <v>ECOR</v>
          </cell>
          <cell r="AB1922" t="str">
            <v>Blood</v>
          </cell>
        </row>
        <row r="1923">
          <cell r="A1923" t="str">
            <v>in storage</v>
          </cell>
          <cell r="K1923" t="str">
            <v>ECOR</v>
          </cell>
          <cell r="AB1923" t="str">
            <v>Heart</v>
          </cell>
        </row>
        <row r="1924">
          <cell r="A1924" t="str">
            <v>in storage</v>
          </cell>
          <cell r="K1924" t="str">
            <v>ECOR</v>
          </cell>
          <cell r="AB1924" t="str">
            <v>Lung</v>
          </cell>
        </row>
        <row r="1925">
          <cell r="A1925" t="str">
            <v>in storage</v>
          </cell>
          <cell r="K1925" t="str">
            <v>ECOR</v>
          </cell>
          <cell r="AB1925" t="str">
            <v>Liver</v>
          </cell>
        </row>
        <row r="1926">
          <cell r="A1926" t="str">
            <v>in storage</v>
          </cell>
          <cell r="K1926" t="str">
            <v>DMAD</v>
          </cell>
          <cell r="AB1926" t="str">
            <v>GI- large intestine</v>
          </cell>
        </row>
        <row r="1927">
          <cell r="A1927" t="str">
            <v>in storage</v>
          </cell>
          <cell r="K1927" t="str">
            <v>ECOR</v>
          </cell>
          <cell r="AB1927" t="str">
            <v>Kidney</v>
          </cell>
        </row>
        <row r="1928">
          <cell r="A1928" t="str">
            <v>in storage</v>
          </cell>
          <cell r="K1928" t="str">
            <v>ECOR</v>
          </cell>
          <cell r="AB1928" t="str">
            <v>Heart</v>
          </cell>
        </row>
        <row r="1929">
          <cell r="A1929" t="str">
            <v>in storage</v>
          </cell>
          <cell r="K1929" t="str">
            <v>ECOR</v>
          </cell>
          <cell r="AB1929" t="str">
            <v>Lung</v>
          </cell>
        </row>
        <row r="1930">
          <cell r="A1930" t="str">
            <v>in storage</v>
          </cell>
          <cell r="K1930" t="str">
            <v>ECOR</v>
          </cell>
          <cell r="AB1930" t="str">
            <v>Liver</v>
          </cell>
        </row>
        <row r="1931">
          <cell r="A1931" t="str">
            <v>unk</v>
          </cell>
          <cell r="K1931" t="str">
            <v>ECOR</v>
          </cell>
          <cell r="AB1931" t="str">
            <v>Skin</v>
          </cell>
        </row>
        <row r="1932">
          <cell r="A1932" t="str">
            <v>in storage</v>
          </cell>
          <cell r="K1932" t="str">
            <v>ECOR</v>
          </cell>
          <cell r="AB1932" t="str">
            <v>Trachea</v>
          </cell>
        </row>
        <row r="1933">
          <cell r="A1933" t="str">
            <v>in storage</v>
          </cell>
          <cell r="K1933" t="str">
            <v>ECOR</v>
          </cell>
          <cell r="AB1933" t="str">
            <v>Muscle</v>
          </cell>
        </row>
        <row r="1934">
          <cell r="A1934" t="str">
            <v>in storage</v>
          </cell>
          <cell r="K1934" t="str">
            <v>ECOR</v>
          </cell>
          <cell r="AB1934" t="str">
            <v>Muscle</v>
          </cell>
        </row>
        <row r="1935">
          <cell r="A1935" t="str">
            <v>in storage</v>
          </cell>
          <cell r="K1935" t="str">
            <v>ECOR</v>
          </cell>
          <cell r="AB1935" t="str">
            <v>Muscle</v>
          </cell>
        </row>
        <row r="1936">
          <cell r="A1936" t="str">
            <v>in storage</v>
          </cell>
          <cell r="K1936" t="str">
            <v>DMAD</v>
          </cell>
          <cell r="AB1936" t="str">
            <v>GI- small intestine</v>
          </cell>
        </row>
        <row r="1937">
          <cell r="A1937" t="str">
            <v>in storage</v>
          </cell>
          <cell r="K1937" t="str">
            <v>DMAD</v>
          </cell>
          <cell r="AB1937" t="str">
            <v>GI- stomach</v>
          </cell>
        </row>
        <row r="1938">
          <cell r="A1938" t="str">
            <v>in storage</v>
          </cell>
          <cell r="K1938" t="str">
            <v>DMAD</v>
          </cell>
          <cell r="AB1938" t="str">
            <v>GI Contents- stomach</v>
          </cell>
        </row>
        <row r="1939">
          <cell r="A1939" t="str">
            <v>in storage</v>
          </cell>
          <cell r="K1939" t="str">
            <v>NCOU</v>
          </cell>
          <cell r="AB1939" t="str">
            <v>Kidney</v>
          </cell>
        </row>
        <row r="1940">
          <cell r="A1940" t="str">
            <v>in storage</v>
          </cell>
          <cell r="K1940" t="str">
            <v>NCOU</v>
          </cell>
          <cell r="AB1940" t="str">
            <v>Spleen</v>
          </cell>
        </row>
        <row r="1941">
          <cell r="A1941" t="str">
            <v>in storage</v>
          </cell>
          <cell r="K1941" t="str">
            <v>NCOU</v>
          </cell>
          <cell r="AB1941" t="str">
            <v>Heart</v>
          </cell>
        </row>
        <row r="1942">
          <cell r="A1942" t="str">
            <v>in storage</v>
          </cell>
          <cell r="K1942" t="str">
            <v>NCOU</v>
          </cell>
          <cell r="AB1942" t="str">
            <v>Lung</v>
          </cell>
        </row>
        <row r="1943">
          <cell r="A1943" t="str">
            <v>in storage</v>
          </cell>
          <cell r="K1943" t="str">
            <v>NCOU</v>
          </cell>
          <cell r="AB1943" t="str">
            <v>Liver</v>
          </cell>
        </row>
        <row r="1944">
          <cell r="A1944" t="str">
            <v>in storage</v>
          </cell>
          <cell r="K1944" t="str">
            <v>NCOU</v>
          </cell>
          <cell r="AB1944" t="str">
            <v>Skin</v>
          </cell>
        </row>
        <row r="1945">
          <cell r="A1945" t="str">
            <v>in storage</v>
          </cell>
          <cell r="K1945" t="str">
            <v>NCOU</v>
          </cell>
          <cell r="AB1945" t="str">
            <v>Liver</v>
          </cell>
        </row>
        <row r="1946">
          <cell r="A1946" t="str">
            <v>in storage</v>
          </cell>
          <cell r="K1946" t="str">
            <v>NCOU</v>
          </cell>
          <cell r="AB1946" t="str">
            <v>Kidney</v>
          </cell>
        </row>
        <row r="1947">
          <cell r="A1947" t="str">
            <v>in storage</v>
          </cell>
          <cell r="K1947" t="str">
            <v>NCOU</v>
          </cell>
          <cell r="AB1947" t="str">
            <v>Kidney</v>
          </cell>
        </row>
        <row r="1948">
          <cell r="A1948" t="str">
            <v>unk</v>
          </cell>
          <cell r="K1948" t="str">
            <v>NCOU</v>
          </cell>
          <cell r="AB1948" t="str">
            <v>Blood</v>
          </cell>
        </row>
        <row r="1949">
          <cell r="A1949" t="str">
            <v>in storage</v>
          </cell>
          <cell r="K1949" t="str">
            <v>NCOU</v>
          </cell>
          <cell r="AB1949" t="str">
            <v>Blood</v>
          </cell>
        </row>
        <row r="1950">
          <cell r="A1950" t="str">
            <v>in storage</v>
          </cell>
          <cell r="K1950" t="str">
            <v>NCOU</v>
          </cell>
          <cell r="AB1950" t="str">
            <v>Heart</v>
          </cell>
        </row>
        <row r="1951">
          <cell r="A1951" t="str">
            <v>in storage</v>
          </cell>
          <cell r="K1951" t="str">
            <v>NCOU</v>
          </cell>
          <cell r="AB1951" t="str">
            <v>Heart</v>
          </cell>
        </row>
        <row r="1952">
          <cell r="A1952" t="str">
            <v>in storage</v>
          </cell>
          <cell r="K1952" t="str">
            <v>NCOU</v>
          </cell>
          <cell r="AB1952" t="str">
            <v>Lung</v>
          </cell>
        </row>
        <row r="1953">
          <cell r="A1953" t="str">
            <v>in storage</v>
          </cell>
          <cell r="K1953" t="str">
            <v>NCOU</v>
          </cell>
          <cell r="AB1953" t="str">
            <v>Lung</v>
          </cell>
        </row>
        <row r="1954">
          <cell r="A1954" t="str">
            <v>in storage</v>
          </cell>
          <cell r="K1954" t="str">
            <v>NCOU</v>
          </cell>
          <cell r="AB1954" t="str">
            <v>Pancreas</v>
          </cell>
        </row>
        <row r="1955">
          <cell r="A1955" t="str">
            <v>in storage</v>
          </cell>
          <cell r="K1955" t="str">
            <v>NCOU</v>
          </cell>
          <cell r="AB1955" t="str">
            <v>Skin</v>
          </cell>
        </row>
        <row r="1956">
          <cell r="A1956" t="str">
            <v>in storage</v>
          </cell>
          <cell r="K1956" t="str">
            <v>NCOU</v>
          </cell>
          <cell r="AB1956" t="str">
            <v>Spleen</v>
          </cell>
        </row>
        <row r="1957">
          <cell r="A1957" t="str">
            <v>in storage</v>
          </cell>
          <cell r="K1957" t="str">
            <v>NCOU</v>
          </cell>
          <cell r="AB1957" t="str">
            <v>Spleen</v>
          </cell>
        </row>
        <row r="1958">
          <cell r="A1958" t="str">
            <v>in storage</v>
          </cell>
          <cell r="K1958" t="str">
            <v>NCOU</v>
          </cell>
          <cell r="AB1958" t="str">
            <v>Liver</v>
          </cell>
        </row>
        <row r="1959">
          <cell r="A1959" t="str">
            <v>in storage</v>
          </cell>
          <cell r="K1959" t="str">
            <v>NCOU</v>
          </cell>
          <cell r="AB1959" t="str">
            <v>Lymph node</v>
          </cell>
        </row>
        <row r="1960">
          <cell r="A1960" t="str">
            <v>in storage</v>
          </cell>
          <cell r="K1960" t="str">
            <v>NCOU</v>
          </cell>
          <cell r="AB1960" t="str">
            <v>R- teste(s)</v>
          </cell>
        </row>
        <row r="1961">
          <cell r="A1961" t="str">
            <v>in storage</v>
          </cell>
          <cell r="K1961" t="str">
            <v>NCOU</v>
          </cell>
          <cell r="AB1961" t="str">
            <v>R- teste(s)</v>
          </cell>
        </row>
        <row r="1962">
          <cell r="A1962" t="str">
            <v>in storage</v>
          </cell>
          <cell r="K1962" t="str">
            <v>NCOU</v>
          </cell>
          <cell r="AB1962" t="str">
            <v>R- teste(s)</v>
          </cell>
        </row>
        <row r="1963">
          <cell r="A1963" t="str">
            <v>in storage</v>
          </cell>
          <cell r="K1963" t="str">
            <v>NCOU</v>
          </cell>
          <cell r="AB1963" t="str">
            <v>Muscle</v>
          </cell>
        </row>
        <row r="1964">
          <cell r="A1964" t="str">
            <v>in storage</v>
          </cell>
          <cell r="K1964" t="str">
            <v>NCOU</v>
          </cell>
          <cell r="AB1964" t="str">
            <v>Muscle</v>
          </cell>
        </row>
        <row r="1965">
          <cell r="A1965" t="str">
            <v>in storage</v>
          </cell>
          <cell r="K1965" t="str">
            <v>DMAD</v>
          </cell>
          <cell r="AB1965" t="str">
            <v>GI- cecum/ colon</v>
          </cell>
        </row>
        <row r="1966">
          <cell r="A1966" t="str">
            <v>in storage</v>
          </cell>
          <cell r="K1966" t="str">
            <v>DMAD</v>
          </cell>
          <cell r="AB1966" t="str">
            <v>GI- small intestine/ stomach</v>
          </cell>
        </row>
        <row r="1967">
          <cell r="A1967" t="str">
            <v>in storage</v>
          </cell>
          <cell r="K1967" t="str">
            <v>ECOL</v>
          </cell>
          <cell r="AB1967" t="str">
            <v>Kidney</v>
          </cell>
        </row>
        <row r="1968">
          <cell r="A1968" t="str">
            <v>in storage</v>
          </cell>
          <cell r="K1968" t="str">
            <v>ECOL</v>
          </cell>
          <cell r="AB1968" t="str">
            <v>Kidney</v>
          </cell>
        </row>
        <row r="1969">
          <cell r="A1969" t="str">
            <v>in storage</v>
          </cell>
          <cell r="K1969" t="str">
            <v>ECOL</v>
          </cell>
          <cell r="AB1969" t="str">
            <v>Blood</v>
          </cell>
        </row>
        <row r="1970">
          <cell r="A1970" t="str">
            <v>in storage</v>
          </cell>
          <cell r="K1970" t="str">
            <v>ECOL</v>
          </cell>
          <cell r="AB1970" t="str">
            <v>Heart</v>
          </cell>
        </row>
        <row r="1971">
          <cell r="A1971" t="str">
            <v>in storage</v>
          </cell>
          <cell r="K1971" t="str">
            <v>ECOL</v>
          </cell>
          <cell r="AB1971" t="str">
            <v>Lung</v>
          </cell>
        </row>
        <row r="1972">
          <cell r="A1972" t="str">
            <v>in storage</v>
          </cell>
          <cell r="K1972" t="str">
            <v>ECOL</v>
          </cell>
          <cell r="AB1972" t="str">
            <v>Skin</v>
          </cell>
        </row>
        <row r="1973">
          <cell r="A1973" t="str">
            <v>in storage</v>
          </cell>
          <cell r="K1973" t="str">
            <v>ECOL</v>
          </cell>
          <cell r="AB1973" t="str">
            <v>Spleen</v>
          </cell>
        </row>
        <row r="1974">
          <cell r="A1974" t="str">
            <v>in storage</v>
          </cell>
          <cell r="K1974" t="str">
            <v>ECOL</v>
          </cell>
          <cell r="AB1974" t="str">
            <v>Spleen</v>
          </cell>
        </row>
        <row r="1975">
          <cell r="A1975" t="str">
            <v>in storage</v>
          </cell>
          <cell r="K1975" t="str">
            <v>ECOL</v>
          </cell>
          <cell r="AB1975" t="str">
            <v>Liver</v>
          </cell>
        </row>
        <row r="1976">
          <cell r="A1976" t="str">
            <v>in storage</v>
          </cell>
          <cell r="K1976" t="str">
            <v>ECOL</v>
          </cell>
          <cell r="AB1976" t="str">
            <v>Liver</v>
          </cell>
        </row>
        <row r="1977">
          <cell r="A1977" t="str">
            <v>in storage</v>
          </cell>
          <cell r="K1977" t="str">
            <v>ECOL</v>
          </cell>
          <cell r="AB1977" t="str">
            <v>Blood</v>
          </cell>
        </row>
        <row r="1978">
          <cell r="A1978" t="str">
            <v>in storage</v>
          </cell>
          <cell r="K1978" t="str">
            <v>ECOL</v>
          </cell>
          <cell r="AB1978" t="str">
            <v>Heart</v>
          </cell>
        </row>
        <row r="1979">
          <cell r="A1979" t="str">
            <v>in storage</v>
          </cell>
          <cell r="K1979" t="str">
            <v>ECOL</v>
          </cell>
          <cell r="AB1979" t="str">
            <v>Lung</v>
          </cell>
        </row>
        <row r="1980">
          <cell r="A1980" t="str">
            <v>in storage</v>
          </cell>
          <cell r="K1980" t="str">
            <v>ECOL</v>
          </cell>
          <cell r="AB1980" t="str">
            <v>Pancreas</v>
          </cell>
        </row>
        <row r="1981">
          <cell r="A1981" t="str">
            <v>in storage</v>
          </cell>
          <cell r="K1981" t="str">
            <v>ECOL</v>
          </cell>
          <cell r="AB1981" t="str">
            <v>Pancreas</v>
          </cell>
        </row>
        <row r="1982">
          <cell r="A1982" t="str">
            <v>in storage</v>
          </cell>
          <cell r="K1982" t="str">
            <v>ECOL</v>
          </cell>
          <cell r="AB1982" t="str">
            <v>Skin</v>
          </cell>
        </row>
        <row r="1983">
          <cell r="A1983" t="str">
            <v>in storage</v>
          </cell>
          <cell r="K1983" t="str">
            <v>EALB</v>
          </cell>
          <cell r="AB1983" t="str">
            <v>GI- cecum</v>
          </cell>
        </row>
        <row r="1984">
          <cell r="A1984" t="str">
            <v>in storage</v>
          </cell>
          <cell r="K1984" t="str">
            <v>EALB</v>
          </cell>
          <cell r="AB1984" t="str">
            <v>GI- large intestine</v>
          </cell>
        </row>
        <row r="1985">
          <cell r="A1985" t="str">
            <v>in storage</v>
          </cell>
          <cell r="K1985" t="str">
            <v>ECOL</v>
          </cell>
          <cell r="AB1985" t="str">
            <v>Pancreas</v>
          </cell>
        </row>
        <row r="1986">
          <cell r="A1986" t="str">
            <v>in storage</v>
          </cell>
          <cell r="K1986" t="str">
            <v>ECOL</v>
          </cell>
          <cell r="AB1986" t="str">
            <v>Kidney</v>
          </cell>
        </row>
        <row r="1987">
          <cell r="A1987" t="str">
            <v>in storage</v>
          </cell>
          <cell r="K1987" t="str">
            <v>ECOL</v>
          </cell>
          <cell r="AB1987" t="str">
            <v>Heart</v>
          </cell>
        </row>
        <row r="1988">
          <cell r="A1988" t="str">
            <v>in storage</v>
          </cell>
          <cell r="K1988" t="str">
            <v>ECOL</v>
          </cell>
          <cell r="AB1988" t="str">
            <v>Lung</v>
          </cell>
        </row>
        <row r="1989">
          <cell r="A1989" t="str">
            <v>in storage</v>
          </cell>
          <cell r="K1989" t="str">
            <v>ECOL</v>
          </cell>
          <cell r="AB1989" t="str">
            <v>Liver</v>
          </cell>
        </row>
        <row r="1990">
          <cell r="A1990" t="str">
            <v>in storage</v>
          </cell>
          <cell r="K1990" t="str">
            <v>ECOL</v>
          </cell>
          <cell r="AB1990" t="str">
            <v>Muscle</v>
          </cell>
        </row>
        <row r="1991">
          <cell r="A1991" t="str">
            <v>in storage</v>
          </cell>
          <cell r="K1991" t="str">
            <v>ECOL</v>
          </cell>
          <cell r="AB1991" t="str">
            <v>Muscle</v>
          </cell>
        </row>
        <row r="1992">
          <cell r="A1992" t="str">
            <v>in storage</v>
          </cell>
          <cell r="K1992" t="str">
            <v>VVV</v>
          </cell>
          <cell r="AB1992" t="str">
            <v>R- ovary</v>
          </cell>
        </row>
        <row r="1993">
          <cell r="A1993" t="str">
            <v>in storage</v>
          </cell>
          <cell r="K1993" t="str">
            <v>EALB</v>
          </cell>
          <cell r="AB1993" t="str">
            <v>GI- stomach</v>
          </cell>
        </row>
        <row r="1994">
          <cell r="A1994" t="str">
            <v>in storage</v>
          </cell>
          <cell r="K1994" t="str">
            <v>EALB</v>
          </cell>
          <cell r="AB1994" t="str">
            <v>GI Contents- cecum</v>
          </cell>
        </row>
        <row r="1995">
          <cell r="A1995" t="str">
            <v>in storage</v>
          </cell>
          <cell r="K1995" t="str">
            <v>EALB</v>
          </cell>
          <cell r="AB1995" t="str">
            <v>GI- cecum</v>
          </cell>
        </row>
        <row r="1996">
          <cell r="A1996" t="str">
            <v>in storage</v>
          </cell>
          <cell r="K1996" t="str">
            <v>EALB</v>
          </cell>
          <cell r="AB1996" t="str">
            <v>GI- large intestine</v>
          </cell>
        </row>
        <row r="1997">
          <cell r="A1997" t="str">
            <v>in storage</v>
          </cell>
          <cell r="K1997" t="str">
            <v>EALB</v>
          </cell>
          <cell r="AB1997" t="str">
            <v>GI- small intestine</v>
          </cell>
        </row>
        <row r="1998">
          <cell r="A1998" t="str">
            <v>in storage</v>
          </cell>
          <cell r="K1998" t="str">
            <v>VVV</v>
          </cell>
          <cell r="AB1998" t="str">
            <v>Liver</v>
          </cell>
        </row>
        <row r="1999">
          <cell r="A1999" t="str">
            <v>in storage</v>
          </cell>
          <cell r="K1999" t="str">
            <v>VVV</v>
          </cell>
          <cell r="AB1999" t="str">
            <v>Kidney</v>
          </cell>
        </row>
        <row r="2000">
          <cell r="A2000" t="str">
            <v>in storage</v>
          </cell>
          <cell r="K2000" t="str">
            <v>VVV</v>
          </cell>
          <cell r="AB2000" t="str">
            <v>Spleen</v>
          </cell>
        </row>
        <row r="2001">
          <cell r="A2001" t="str">
            <v>in storage</v>
          </cell>
          <cell r="K2001" t="str">
            <v>VVV</v>
          </cell>
          <cell r="AB2001" t="str">
            <v>Heart</v>
          </cell>
        </row>
        <row r="2002">
          <cell r="A2002" t="str">
            <v>in storage</v>
          </cell>
          <cell r="K2002" t="str">
            <v>VVV</v>
          </cell>
          <cell r="AB2002" t="str">
            <v>Lung</v>
          </cell>
        </row>
        <row r="2003">
          <cell r="A2003" t="str">
            <v>in storage</v>
          </cell>
          <cell r="K2003" t="str">
            <v>CMED</v>
          </cell>
          <cell r="AB2003" t="str">
            <v>Muscle</v>
          </cell>
        </row>
        <row r="2004">
          <cell r="A2004" t="str">
            <v>unk</v>
          </cell>
          <cell r="K2004" t="str">
            <v>CMED</v>
          </cell>
          <cell r="AB2004" t="str">
            <v>Muscle</v>
          </cell>
        </row>
        <row r="2005">
          <cell r="A2005" t="str">
            <v>in storage</v>
          </cell>
          <cell r="K2005" t="str">
            <v>CMED</v>
          </cell>
          <cell r="AB2005" t="str">
            <v>R- ovary</v>
          </cell>
        </row>
        <row r="2006">
          <cell r="A2006" t="str">
            <v>in storage</v>
          </cell>
          <cell r="K2006" t="str">
            <v>CMED</v>
          </cell>
          <cell r="AB2006" t="str">
            <v>R- ovary</v>
          </cell>
        </row>
        <row r="2007">
          <cell r="A2007" t="str">
            <v>in storage</v>
          </cell>
          <cell r="K2007" t="str">
            <v>CMED</v>
          </cell>
          <cell r="AB2007" t="str">
            <v>Skin</v>
          </cell>
        </row>
        <row r="2008">
          <cell r="A2008" t="str">
            <v>in storage</v>
          </cell>
          <cell r="K2008" t="str">
            <v>CMED</v>
          </cell>
          <cell r="AB2008" t="str">
            <v>Skin</v>
          </cell>
        </row>
        <row r="2009">
          <cell r="A2009" t="str">
            <v>in storage</v>
          </cell>
          <cell r="K2009" t="str">
            <v>CMED</v>
          </cell>
          <cell r="AB2009" t="str">
            <v>Kidney</v>
          </cell>
        </row>
        <row r="2010">
          <cell r="A2010" t="str">
            <v>in storage</v>
          </cell>
          <cell r="K2010" t="str">
            <v>CMED</v>
          </cell>
          <cell r="AB2010" t="str">
            <v>Heart</v>
          </cell>
        </row>
        <row r="2011">
          <cell r="A2011" t="str">
            <v>in storage</v>
          </cell>
          <cell r="K2011" t="str">
            <v>CMED</v>
          </cell>
          <cell r="AB2011" t="str">
            <v>Pancreas</v>
          </cell>
        </row>
        <row r="2012">
          <cell r="A2012" t="str">
            <v>in storage</v>
          </cell>
          <cell r="K2012" t="str">
            <v>CMED</v>
          </cell>
          <cell r="AB2012" t="str">
            <v>Spleen</v>
          </cell>
        </row>
        <row r="2013">
          <cell r="A2013" t="str">
            <v>in storage</v>
          </cell>
          <cell r="K2013" t="str">
            <v>CMED</v>
          </cell>
          <cell r="AB2013" t="str">
            <v>Kidney</v>
          </cell>
        </row>
        <row r="2014">
          <cell r="A2014" t="str">
            <v>in storage</v>
          </cell>
          <cell r="K2014" t="str">
            <v>CMED</v>
          </cell>
          <cell r="AB2014" t="str">
            <v>Heart</v>
          </cell>
        </row>
        <row r="2015">
          <cell r="A2015" t="str">
            <v>in storage</v>
          </cell>
          <cell r="K2015" t="str">
            <v>CMED</v>
          </cell>
          <cell r="AB2015" t="str">
            <v>Lung</v>
          </cell>
        </row>
        <row r="2016">
          <cell r="A2016" t="str">
            <v>in storage</v>
          </cell>
          <cell r="K2016" t="str">
            <v>CMED</v>
          </cell>
          <cell r="AB2016" t="str">
            <v>Lung</v>
          </cell>
        </row>
        <row r="2017">
          <cell r="A2017" t="str">
            <v>in storage</v>
          </cell>
          <cell r="K2017" t="str">
            <v>CMED</v>
          </cell>
          <cell r="AB2017" t="str">
            <v>Pancreas</v>
          </cell>
        </row>
        <row r="2018">
          <cell r="A2018" t="str">
            <v>in storage</v>
          </cell>
          <cell r="K2018" t="str">
            <v>CMED</v>
          </cell>
          <cell r="AB2018" t="str">
            <v>Spleen</v>
          </cell>
        </row>
        <row r="2019">
          <cell r="A2019" t="str">
            <v>in storage</v>
          </cell>
          <cell r="K2019" t="str">
            <v>CMED</v>
          </cell>
          <cell r="AB2019" t="str">
            <v>Liver</v>
          </cell>
        </row>
        <row r="2020">
          <cell r="A2020" t="str">
            <v>in storage</v>
          </cell>
          <cell r="K2020" t="str">
            <v>CMED</v>
          </cell>
          <cell r="AB2020" t="str">
            <v>Liver</v>
          </cell>
        </row>
        <row r="2021">
          <cell r="A2021" t="str">
            <v>in storage</v>
          </cell>
          <cell r="K2021" t="str">
            <v>EALB</v>
          </cell>
          <cell r="AB2021" t="str">
            <v>GI- stomach</v>
          </cell>
        </row>
        <row r="2022">
          <cell r="A2022" t="str">
            <v>in storage</v>
          </cell>
          <cell r="K2022" t="str">
            <v>CMED</v>
          </cell>
          <cell r="AB2022" t="str">
            <v>Kidney</v>
          </cell>
        </row>
        <row r="2023">
          <cell r="A2023" t="str">
            <v>in storage</v>
          </cell>
          <cell r="K2023" t="str">
            <v>CMED</v>
          </cell>
          <cell r="AB2023" t="str">
            <v>Liver</v>
          </cell>
        </row>
        <row r="2024">
          <cell r="A2024" t="str">
            <v>gone</v>
          </cell>
          <cell r="K2024" t="str">
            <v>CMED</v>
          </cell>
          <cell r="AB2024" t="str">
            <v>Fat- brown</v>
          </cell>
        </row>
        <row r="2025">
          <cell r="A2025" t="str">
            <v>in storage</v>
          </cell>
          <cell r="K2025" t="str">
            <v>NPYG</v>
          </cell>
          <cell r="AB2025" t="str">
            <v>Mass</v>
          </cell>
        </row>
        <row r="2026">
          <cell r="A2026" t="str">
            <v>in storage</v>
          </cell>
          <cell r="K2026" t="str">
            <v>NPYG</v>
          </cell>
          <cell r="AB2026" t="str">
            <v>R- ovary</v>
          </cell>
        </row>
        <row r="2027">
          <cell r="A2027" t="str">
            <v>in storage</v>
          </cell>
          <cell r="K2027" t="str">
            <v>ECOL</v>
          </cell>
          <cell r="AB2027" t="str">
            <v>GI Tract</v>
          </cell>
        </row>
        <row r="2028">
          <cell r="A2028" t="str">
            <v>in storage</v>
          </cell>
          <cell r="K2028" t="str">
            <v>ECOL</v>
          </cell>
          <cell r="AB2028" t="str">
            <v>GI- cecum</v>
          </cell>
        </row>
        <row r="2029">
          <cell r="A2029" t="str">
            <v>in storage</v>
          </cell>
          <cell r="K2029" t="str">
            <v>ECOL</v>
          </cell>
          <cell r="AB2029" t="str">
            <v>GI Contents- cecum</v>
          </cell>
        </row>
        <row r="2030">
          <cell r="A2030" t="str">
            <v>in storage</v>
          </cell>
          <cell r="K2030" t="str">
            <v>NPYG</v>
          </cell>
          <cell r="AB2030" t="str">
            <v>Kidney</v>
          </cell>
        </row>
        <row r="2031">
          <cell r="A2031" t="str">
            <v>in storage</v>
          </cell>
          <cell r="K2031" t="str">
            <v>NPYG</v>
          </cell>
          <cell r="AB2031" t="str">
            <v>Heart</v>
          </cell>
        </row>
        <row r="2032">
          <cell r="A2032" t="str">
            <v>in storage</v>
          </cell>
          <cell r="K2032" t="str">
            <v>NPYG</v>
          </cell>
          <cell r="AB2032" t="str">
            <v>Lung</v>
          </cell>
        </row>
        <row r="2033">
          <cell r="A2033" t="str">
            <v>in storage</v>
          </cell>
          <cell r="K2033" t="str">
            <v>NPYG</v>
          </cell>
          <cell r="AB2033" t="str">
            <v>Liver</v>
          </cell>
        </row>
        <row r="2034">
          <cell r="A2034" t="str">
            <v>unk</v>
          </cell>
          <cell r="K2034" t="str">
            <v>NPYG</v>
          </cell>
          <cell r="AB2034" t="str">
            <v>Liver</v>
          </cell>
        </row>
        <row r="2035">
          <cell r="A2035" t="str">
            <v>in storage</v>
          </cell>
          <cell r="K2035" t="str">
            <v>NPYG</v>
          </cell>
          <cell r="AB2035" t="str">
            <v>Blood</v>
          </cell>
        </row>
        <row r="2036">
          <cell r="A2036" t="str">
            <v>in storage</v>
          </cell>
          <cell r="K2036" t="str">
            <v>NPYG</v>
          </cell>
          <cell r="AB2036" t="str">
            <v>Blood</v>
          </cell>
        </row>
        <row r="2037">
          <cell r="A2037" t="str">
            <v>in storage</v>
          </cell>
          <cell r="K2037" t="str">
            <v>NPYG</v>
          </cell>
          <cell r="AB2037" t="str">
            <v>Heart</v>
          </cell>
        </row>
        <row r="2038">
          <cell r="A2038" t="str">
            <v>in storage</v>
          </cell>
          <cell r="K2038" t="str">
            <v>NPYG</v>
          </cell>
          <cell r="AB2038" t="str">
            <v>Lung</v>
          </cell>
        </row>
        <row r="2039">
          <cell r="A2039" t="str">
            <v>in storage</v>
          </cell>
          <cell r="K2039" t="str">
            <v>NPYG</v>
          </cell>
          <cell r="AB2039" t="str">
            <v>Spleen</v>
          </cell>
        </row>
        <row r="2040">
          <cell r="A2040" t="str">
            <v>in storage</v>
          </cell>
          <cell r="K2040" t="str">
            <v>NPYG</v>
          </cell>
          <cell r="AB2040" t="str">
            <v>Kidney</v>
          </cell>
        </row>
        <row r="2041">
          <cell r="A2041" t="str">
            <v>in storage</v>
          </cell>
          <cell r="K2041" t="str">
            <v>NPYG</v>
          </cell>
          <cell r="AB2041" t="str">
            <v>Kidney</v>
          </cell>
        </row>
        <row r="2042">
          <cell r="A2042" t="str">
            <v>in storage</v>
          </cell>
          <cell r="K2042" t="str">
            <v>NPYG</v>
          </cell>
          <cell r="AB2042" t="str">
            <v>Heart</v>
          </cell>
        </row>
        <row r="2043">
          <cell r="A2043" t="str">
            <v>in storage</v>
          </cell>
          <cell r="K2043" t="str">
            <v>NPYG</v>
          </cell>
          <cell r="AB2043" t="str">
            <v>Lung</v>
          </cell>
        </row>
        <row r="2044">
          <cell r="A2044" t="str">
            <v>in storage</v>
          </cell>
          <cell r="K2044" t="str">
            <v>NPYG</v>
          </cell>
          <cell r="AB2044" t="str">
            <v>Pancreas</v>
          </cell>
        </row>
        <row r="2045">
          <cell r="A2045" t="str">
            <v>in storage</v>
          </cell>
          <cell r="K2045" t="str">
            <v>NPYG</v>
          </cell>
          <cell r="AB2045" t="str">
            <v>Pancreas</v>
          </cell>
        </row>
        <row r="2046">
          <cell r="A2046" t="str">
            <v>in storage</v>
          </cell>
          <cell r="K2046" t="str">
            <v>NPYG</v>
          </cell>
          <cell r="AB2046" t="str">
            <v>Skin</v>
          </cell>
        </row>
        <row r="2047">
          <cell r="A2047" t="str">
            <v>in storage</v>
          </cell>
          <cell r="K2047" t="str">
            <v>NPYG</v>
          </cell>
          <cell r="AB2047" t="str">
            <v>Skin</v>
          </cell>
        </row>
        <row r="2048">
          <cell r="A2048" t="str">
            <v>in storage</v>
          </cell>
          <cell r="K2048" t="str">
            <v>NPYG</v>
          </cell>
          <cell r="AB2048" t="str">
            <v>Spleen</v>
          </cell>
        </row>
        <row r="2049">
          <cell r="A2049" t="str">
            <v>in storage</v>
          </cell>
          <cell r="K2049" t="str">
            <v>NPYG</v>
          </cell>
          <cell r="AB2049" t="str">
            <v>Liver</v>
          </cell>
        </row>
        <row r="2050">
          <cell r="A2050" t="str">
            <v>in storage</v>
          </cell>
          <cell r="K2050" t="str">
            <v>ECOL</v>
          </cell>
          <cell r="AB2050" t="str">
            <v>GI- large intestine</v>
          </cell>
        </row>
        <row r="2051">
          <cell r="A2051" t="str">
            <v>in storage</v>
          </cell>
          <cell r="K2051" t="str">
            <v>NPYG</v>
          </cell>
          <cell r="AB2051" t="str">
            <v>Muscle</v>
          </cell>
        </row>
        <row r="2052">
          <cell r="A2052" t="str">
            <v>in storage</v>
          </cell>
          <cell r="K2052" t="str">
            <v>NPYG</v>
          </cell>
          <cell r="AB2052" t="str">
            <v>Muscle</v>
          </cell>
        </row>
        <row r="2053">
          <cell r="A2053" t="str">
            <v>in storage</v>
          </cell>
          <cell r="K2053" t="str">
            <v>NPYG</v>
          </cell>
          <cell r="AB2053" t="str">
            <v>Mass- spine</v>
          </cell>
        </row>
        <row r="2054">
          <cell r="A2054" t="str">
            <v>in storage</v>
          </cell>
          <cell r="K2054" t="str">
            <v>LTAR</v>
          </cell>
          <cell r="AB2054" t="str">
            <v>R- ovary</v>
          </cell>
        </row>
        <row r="2055">
          <cell r="A2055" t="str">
            <v>in storage</v>
          </cell>
          <cell r="K2055" t="str">
            <v>LTAR</v>
          </cell>
          <cell r="AB2055" t="str">
            <v>R- ovary</v>
          </cell>
        </row>
        <row r="2056">
          <cell r="A2056" t="str">
            <v>in storage</v>
          </cell>
          <cell r="K2056" t="str">
            <v>ECOL</v>
          </cell>
          <cell r="AB2056" t="str">
            <v>GI- small intestine</v>
          </cell>
        </row>
        <row r="2057">
          <cell r="A2057" t="str">
            <v>in storage</v>
          </cell>
          <cell r="K2057" t="str">
            <v>LTAR</v>
          </cell>
          <cell r="AB2057" t="str">
            <v>Spleen</v>
          </cell>
        </row>
        <row r="2058">
          <cell r="A2058" t="str">
            <v>in storage</v>
          </cell>
          <cell r="K2058" t="str">
            <v>LTAR</v>
          </cell>
          <cell r="AB2058" t="str">
            <v>Heart</v>
          </cell>
        </row>
        <row r="2059">
          <cell r="A2059" t="str">
            <v>in storage</v>
          </cell>
          <cell r="K2059" t="str">
            <v>LTAR</v>
          </cell>
          <cell r="AB2059" t="str">
            <v>Lung</v>
          </cell>
        </row>
        <row r="2060">
          <cell r="A2060" t="str">
            <v>in storage</v>
          </cell>
          <cell r="K2060" t="str">
            <v>LTAR</v>
          </cell>
          <cell r="AB2060" t="str">
            <v>Liver</v>
          </cell>
        </row>
        <row r="2061">
          <cell r="A2061" t="str">
            <v>in storage</v>
          </cell>
          <cell r="K2061" t="str">
            <v>LTAR</v>
          </cell>
          <cell r="AB2061" t="str">
            <v>Kidney</v>
          </cell>
        </row>
        <row r="2062">
          <cell r="A2062" t="str">
            <v>in storage</v>
          </cell>
          <cell r="K2062" t="str">
            <v>LTAR</v>
          </cell>
          <cell r="AB2062" t="str">
            <v>Kidney</v>
          </cell>
        </row>
        <row r="2063">
          <cell r="A2063" t="str">
            <v>in storage</v>
          </cell>
          <cell r="K2063" t="str">
            <v>LTAR</v>
          </cell>
          <cell r="AB2063" t="str">
            <v>Kidney</v>
          </cell>
        </row>
        <row r="2064">
          <cell r="A2064" t="str">
            <v>in storage</v>
          </cell>
          <cell r="K2064" t="str">
            <v>LTAR</v>
          </cell>
          <cell r="AB2064" t="str">
            <v>Blood</v>
          </cell>
        </row>
        <row r="2065">
          <cell r="A2065" t="str">
            <v>in storage</v>
          </cell>
          <cell r="K2065" t="str">
            <v>LTAR</v>
          </cell>
          <cell r="AB2065" t="str">
            <v>Blood</v>
          </cell>
        </row>
        <row r="2066">
          <cell r="A2066" t="str">
            <v>in storage</v>
          </cell>
          <cell r="K2066" t="str">
            <v>LTAR</v>
          </cell>
          <cell r="AB2066" t="str">
            <v>Lung</v>
          </cell>
        </row>
        <row r="2067">
          <cell r="A2067" t="str">
            <v>in storage</v>
          </cell>
          <cell r="K2067" t="str">
            <v>LTAR</v>
          </cell>
          <cell r="AB2067" t="str">
            <v>Pancreas</v>
          </cell>
        </row>
        <row r="2068">
          <cell r="A2068" t="str">
            <v>in storage</v>
          </cell>
          <cell r="K2068" t="str">
            <v>LTAR</v>
          </cell>
          <cell r="AB2068" t="str">
            <v>Pancreas</v>
          </cell>
        </row>
        <row r="2069">
          <cell r="A2069" t="str">
            <v>in storage</v>
          </cell>
          <cell r="K2069" t="str">
            <v>LTAR</v>
          </cell>
          <cell r="AB2069" t="str">
            <v>Skin</v>
          </cell>
        </row>
        <row r="2070">
          <cell r="A2070" t="str">
            <v>in storage</v>
          </cell>
          <cell r="K2070" t="str">
            <v>LTAR</v>
          </cell>
          <cell r="AB2070" t="str">
            <v>Skin</v>
          </cell>
        </row>
        <row r="2071">
          <cell r="A2071" t="str">
            <v>in storage</v>
          </cell>
          <cell r="K2071" t="str">
            <v>LTAR</v>
          </cell>
          <cell r="AB2071" t="str">
            <v>Liver</v>
          </cell>
        </row>
        <row r="2072">
          <cell r="A2072" t="str">
            <v>in storage</v>
          </cell>
          <cell r="K2072" t="str">
            <v>LTAR</v>
          </cell>
          <cell r="AB2072" t="str">
            <v>Liver</v>
          </cell>
        </row>
        <row r="2073">
          <cell r="A2073" t="str">
            <v>in storage</v>
          </cell>
          <cell r="K2073" t="str">
            <v>LTAR</v>
          </cell>
          <cell r="AB2073" t="str">
            <v>Lung</v>
          </cell>
        </row>
        <row r="2074">
          <cell r="A2074" t="str">
            <v>in storage</v>
          </cell>
          <cell r="K2074" t="str">
            <v>ECOL</v>
          </cell>
          <cell r="AB2074" t="str">
            <v>GI Contents- cecum</v>
          </cell>
        </row>
        <row r="2075">
          <cell r="A2075" t="str">
            <v>in storage</v>
          </cell>
          <cell r="K2075" t="str">
            <v>LTAR</v>
          </cell>
          <cell r="AB2075" t="str">
            <v>Muscle</v>
          </cell>
        </row>
        <row r="2076">
          <cell r="A2076" t="str">
            <v>in storage</v>
          </cell>
          <cell r="K2076" t="str">
            <v>LTAR</v>
          </cell>
          <cell r="AB2076" t="str">
            <v>Muscle</v>
          </cell>
        </row>
        <row r="2077">
          <cell r="A2077" t="str">
            <v>in storage</v>
          </cell>
          <cell r="K2077" t="str">
            <v>DMAD</v>
          </cell>
          <cell r="AB2077" t="str">
            <v>Muscle</v>
          </cell>
        </row>
        <row r="2078">
          <cell r="A2078" t="str">
            <v>in storage</v>
          </cell>
          <cell r="K2078" t="str">
            <v>DMAD</v>
          </cell>
          <cell r="AB2078" t="str">
            <v>Muscle</v>
          </cell>
        </row>
        <row r="2079">
          <cell r="A2079" t="str">
            <v>in storage</v>
          </cell>
          <cell r="K2079" t="str">
            <v>DMAD</v>
          </cell>
          <cell r="AB2079" t="str">
            <v>Muscle</v>
          </cell>
        </row>
        <row r="2080">
          <cell r="A2080" t="str">
            <v>gone</v>
          </cell>
          <cell r="K2080" t="str">
            <v>DMAD</v>
          </cell>
          <cell r="AB2080" t="str">
            <v>Liver</v>
          </cell>
        </row>
        <row r="2081">
          <cell r="A2081" t="str">
            <v>in storage</v>
          </cell>
          <cell r="K2081" t="str">
            <v>DMAD</v>
          </cell>
          <cell r="AB2081" t="str">
            <v>Kidney</v>
          </cell>
        </row>
        <row r="2082">
          <cell r="A2082" t="str">
            <v>in storage</v>
          </cell>
          <cell r="K2082" t="str">
            <v>DMAD</v>
          </cell>
          <cell r="AB2082" t="str">
            <v>Kidney</v>
          </cell>
        </row>
        <row r="2083">
          <cell r="A2083" t="str">
            <v>in storage</v>
          </cell>
          <cell r="K2083" t="str">
            <v>DMAD</v>
          </cell>
          <cell r="AB2083" t="str">
            <v>Adrenal gland</v>
          </cell>
        </row>
        <row r="2084">
          <cell r="A2084" t="str">
            <v>in storage</v>
          </cell>
          <cell r="K2084" t="str">
            <v>DMAD</v>
          </cell>
          <cell r="AB2084" t="str">
            <v>Heart</v>
          </cell>
        </row>
        <row r="2085">
          <cell r="A2085" t="str">
            <v>in storage</v>
          </cell>
          <cell r="K2085" t="str">
            <v>DMAD</v>
          </cell>
          <cell r="AB2085" t="str">
            <v>Heart</v>
          </cell>
        </row>
        <row r="2086">
          <cell r="A2086" t="str">
            <v>in storage</v>
          </cell>
          <cell r="K2086" t="str">
            <v>DMAD</v>
          </cell>
          <cell r="AB2086" t="str">
            <v>Lung</v>
          </cell>
        </row>
        <row r="2087">
          <cell r="A2087" t="str">
            <v>in storage</v>
          </cell>
          <cell r="K2087" t="str">
            <v>DMAD</v>
          </cell>
          <cell r="AB2087" t="str">
            <v>Pancreas</v>
          </cell>
        </row>
        <row r="2088">
          <cell r="A2088" t="str">
            <v>in storage</v>
          </cell>
          <cell r="K2088" t="str">
            <v>DMAD</v>
          </cell>
          <cell r="AB2088" t="str">
            <v>Skin</v>
          </cell>
        </row>
        <row r="2089">
          <cell r="A2089" t="str">
            <v>in storage</v>
          </cell>
          <cell r="K2089" t="str">
            <v>DMAD</v>
          </cell>
          <cell r="AB2089" t="str">
            <v>Skin</v>
          </cell>
        </row>
        <row r="2090">
          <cell r="A2090" t="str">
            <v>in storage</v>
          </cell>
          <cell r="K2090" t="str">
            <v>DMAD</v>
          </cell>
          <cell r="AB2090" t="str">
            <v>Spleen</v>
          </cell>
        </row>
        <row r="2091">
          <cell r="A2091" t="str">
            <v>in storage</v>
          </cell>
          <cell r="K2091" t="str">
            <v>DMAD</v>
          </cell>
          <cell r="AB2091" t="str">
            <v>Lung</v>
          </cell>
        </row>
        <row r="2092">
          <cell r="A2092" t="str">
            <v>in storage</v>
          </cell>
          <cell r="K2092" t="str">
            <v>DMAD</v>
          </cell>
          <cell r="AB2092" t="str">
            <v>Pancreas</v>
          </cell>
        </row>
        <row r="2093">
          <cell r="A2093" t="str">
            <v>in storage</v>
          </cell>
          <cell r="K2093" t="str">
            <v>DMAD</v>
          </cell>
          <cell r="AB2093" t="str">
            <v>Spleen</v>
          </cell>
        </row>
        <row r="2094">
          <cell r="A2094" t="str">
            <v>in storage</v>
          </cell>
          <cell r="K2094" t="str">
            <v>DMAD</v>
          </cell>
          <cell r="AB2094" t="str">
            <v>Liver</v>
          </cell>
        </row>
        <row r="2095">
          <cell r="A2095" t="str">
            <v>in storage</v>
          </cell>
          <cell r="K2095" t="str">
            <v>ECOL</v>
          </cell>
          <cell r="AB2095" t="str">
            <v>GI- cecum</v>
          </cell>
        </row>
        <row r="2096">
          <cell r="A2096" t="str">
            <v>in storage</v>
          </cell>
          <cell r="K2096" t="str">
            <v>ECOL</v>
          </cell>
          <cell r="AB2096" t="str">
            <v>GI- large intestine</v>
          </cell>
        </row>
        <row r="2097">
          <cell r="A2097" t="str">
            <v>in storage</v>
          </cell>
          <cell r="K2097" t="str">
            <v>ECOL</v>
          </cell>
          <cell r="AB2097" t="str">
            <v>GI- small intestine</v>
          </cell>
        </row>
        <row r="2098">
          <cell r="A2098" t="str">
            <v>in storage</v>
          </cell>
          <cell r="K2098" t="str">
            <v>DMAD</v>
          </cell>
          <cell r="AB2098" t="str">
            <v>Kidney</v>
          </cell>
        </row>
        <row r="2099">
          <cell r="A2099" t="str">
            <v>in storage</v>
          </cell>
          <cell r="K2099" t="str">
            <v>DMAD</v>
          </cell>
          <cell r="AB2099" t="str">
            <v>Heart</v>
          </cell>
        </row>
        <row r="2100">
          <cell r="A2100" t="str">
            <v>in storage</v>
          </cell>
          <cell r="K2100" t="str">
            <v>DMAD</v>
          </cell>
          <cell r="AB2100" t="str">
            <v>Lung</v>
          </cell>
        </row>
        <row r="2101">
          <cell r="A2101" t="str">
            <v>in storage</v>
          </cell>
          <cell r="K2101" t="str">
            <v>DMAD</v>
          </cell>
          <cell r="AB2101" t="str">
            <v>Liver</v>
          </cell>
        </row>
        <row r="2102">
          <cell r="A2102" t="str">
            <v>in storage</v>
          </cell>
          <cell r="K2102" t="str">
            <v>DMAD</v>
          </cell>
          <cell r="AB2102" t="str">
            <v>R- teste(s)</v>
          </cell>
        </row>
        <row r="2103">
          <cell r="A2103" t="str">
            <v>in storage</v>
          </cell>
          <cell r="K2103" t="str">
            <v>DMAD</v>
          </cell>
          <cell r="AB2103" t="str">
            <v>R- teste(s)</v>
          </cell>
        </row>
        <row r="2104">
          <cell r="A2104" t="str">
            <v>in storage</v>
          </cell>
          <cell r="K2104" t="str">
            <v>DMAD</v>
          </cell>
          <cell r="AB2104" t="str">
            <v>R- teste(s)</v>
          </cell>
        </row>
        <row r="2105">
          <cell r="A2105" t="str">
            <v>in storage</v>
          </cell>
          <cell r="K2105" t="str">
            <v>ECOL</v>
          </cell>
          <cell r="AB2105" t="str">
            <v>GI Contents- cecum</v>
          </cell>
        </row>
        <row r="2106">
          <cell r="A2106" t="str">
            <v>in storage</v>
          </cell>
          <cell r="K2106" t="str">
            <v>ECOL</v>
          </cell>
          <cell r="AB2106" t="str">
            <v>GI- cecum</v>
          </cell>
        </row>
        <row r="2107">
          <cell r="A2107" t="str">
            <v>in storage</v>
          </cell>
          <cell r="K2107" t="str">
            <v>ECOL</v>
          </cell>
          <cell r="AB2107" t="str">
            <v>GI- large intestine</v>
          </cell>
        </row>
        <row r="2108">
          <cell r="A2108" t="str">
            <v>in storage</v>
          </cell>
          <cell r="K2108" t="str">
            <v>ECOL</v>
          </cell>
          <cell r="AB2108" t="str">
            <v>GI- stomach</v>
          </cell>
        </row>
        <row r="2109">
          <cell r="A2109" t="str">
            <v>in storage</v>
          </cell>
          <cell r="K2109" t="str">
            <v>PTAT</v>
          </cell>
          <cell r="AB2109" t="str">
            <v>Mass- abdominal</v>
          </cell>
        </row>
        <row r="2110">
          <cell r="A2110" t="str">
            <v>in storage</v>
          </cell>
          <cell r="K2110" t="str">
            <v>PTAT</v>
          </cell>
          <cell r="AB2110" t="str">
            <v>Mass- abdominal</v>
          </cell>
        </row>
        <row r="2111">
          <cell r="A2111" t="str">
            <v>in storage</v>
          </cell>
          <cell r="K2111" t="str">
            <v>MMUR</v>
          </cell>
          <cell r="AB2111" t="str">
            <v>Liver</v>
          </cell>
        </row>
        <row r="2112">
          <cell r="A2112" t="str">
            <v>in storage</v>
          </cell>
          <cell r="K2112" t="str">
            <v>MMUR</v>
          </cell>
          <cell r="AB2112" t="str">
            <v>Liver</v>
          </cell>
        </row>
        <row r="2113">
          <cell r="A2113" t="str">
            <v>in storage</v>
          </cell>
          <cell r="K2113" t="str">
            <v>ECOL</v>
          </cell>
          <cell r="AB2113" t="str">
            <v>GI- duodenum/ jejunem</v>
          </cell>
        </row>
        <row r="2114">
          <cell r="A2114" t="str">
            <v>in storage</v>
          </cell>
          <cell r="K2114" t="str">
            <v>MMUR</v>
          </cell>
          <cell r="AB2114" t="str">
            <v>Spleen</v>
          </cell>
        </row>
        <row r="2115">
          <cell r="A2115" t="str">
            <v>in storage</v>
          </cell>
          <cell r="K2115" t="str">
            <v>MMUR</v>
          </cell>
          <cell r="AB2115" t="str">
            <v>Heart</v>
          </cell>
        </row>
        <row r="2116">
          <cell r="A2116" t="str">
            <v>in storage</v>
          </cell>
          <cell r="K2116" t="str">
            <v>MMUR</v>
          </cell>
          <cell r="AB2116" t="str">
            <v>Lung</v>
          </cell>
        </row>
        <row r="2117">
          <cell r="A2117" t="str">
            <v>in storage</v>
          </cell>
          <cell r="K2117" t="str">
            <v>MMUR</v>
          </cell>
          <cell r="AB2117" t="str">
            <v>Kidney</v>
          </cell>
        </row>
        <row r="2118">
          <cell r="A2118" t="str">
            <v>unk</v>
          </cell>
          <cell r="K2118" t="str">
            <v>MMUR</v>
          </cell>
          <cell r="AB2118" t="str">
            <v>Blood clot</v>
          </cell>
        </row>
        <row r="2119">
          <cell r="A2119" t="str">
            <v>in storage</v>
          </cell>
          <cell r="K2119" t="str">
            <v>MMUR</v>
          </cell>
          <cell r="AB2119" t="str">
            <v>Lung</v>
          </cell>
        </row>
        <row r="2120">
          <cell r="A2120" t="str">
            <v>in storage</v>
          </cell>
          <cell r="K2120" t="str">
            <v>MMUR</v>
          </cell>
          <cell r="AB2120" t="str">
            <v>Pancreas</v>
          </cell>
        </row>
        <row r="2121">
          <cell r="A2121" t="str">
            <v>in storage</v>
          </cell>
          <cell r="K2121" t="str">
            <v>MMUR</v>
          </cell>
          <cell r="AB2121" t="str">
            <v>Skin</v>
          </cell>
        </row>
        <row r="2122">
          <cell r="A2122" t="str">
            <v>in storage</v>
          </cell>
          <cell r="K2122" t="str">
            <v>MMUR</v>
          </cell>
          <cell r="AB2122" t="str">
            <v>Spleen</v>
          </cell>
        </row>
        <row r="2123">
          <cell r="A2123" t="str">
            <v>in storage</v>
          </cell>
          <cell r="K2123" t="str">
            <v>MMUR</v>
          </cell>
          <cell r="AB2123" t="str">
            <v>R- teste(s)</v>
          </cell>
        </row>
        <row r="2124">
          <cell r="A2124" t="str">
            <v>gone</v>
          </cell>
          <cell r="K2124" t="str">
            <v>MMUR</v>
          </cell>
          <cell r="AB2124" t="str">
            <v>R- teste(s)</v>
          </cell>
        </row>
        <row r="2125">
          <cell r="A2125" t="str">
            <v>in storage</v>
          </cell>
          <cell r="K2125" t="str">
            <v>ECOL</v>
          </cell>
          <cell r="AB2125" t="str">
            <v>GI- ileum</v>
          </cell>
        </row>
        <row r="2126">
          <cell r="A2126" t="str">
            <v>in storage</v>
          </cell>
          <cell r="K2126" t="str">
            <v>ECOL</v>
          </cell>
          <cell r="AB2126" t="str">
            <v>GI Contents- large intestine</v>
          </cell>
        </row>
        <row r="2127">
          <cell r="A2127" t="str">
            <v>in storage</v>
          </cell>
          <cell r="K2127" t="str">
            <v>ECOL</v>
          </cell>
          <cell r="AB2127" t="str">
            <v>GI- large intestine</v>
          </cell>
        </row>
        <row r="2128">
          <cell r="A2128" t="str">
            <v>in storage</v>
          </cell>
          <cell r="K2128" t="str">
            <v>PTAT</v>
          </cell>
          <cell r="AB2128" t="str">
            <v>Pancreas</v>
          </cell>
        </row>
        <row r="2129">
          <cell r="A2129" t="str">
            <v>in storage</v>
          </cell>
          <cell r="K2129" t="str">
            <v>PTAT</v>
          </cell>
          <cell r="AB2129" t="str">
            <v>Spleen</v>
          </cell>
        </row>
        <row r="2130">
          <cell r="A2130" t="str">
            <v>in storage</v>
          </cell>
          <cell r="K2130" t="str">
            <v>PTAT</v>
          </cell>
          <cell r="AB2130" t="str">
            <v>Lung</v>
          </cell>
        </row>
        <row r="2131">
          <cell r="A2131" t="str">
            <v>in storage</v>
          </cell>
          <cell r="K2131" t="str">
            <v>PTAT</v>
          </cell>
          <cell r="AB2131" t="str">
            <v>Heart</v>
          </cell>
        </row>
        <row r="2132">
          <cell r="A2132" t="str">
            <v>unk</v>
          </cell>
          <cell r="K2132" t="str">
            <v>PTAT</v>
          </cell>
          <cell r="AB2132" t="str">
            <v>Kidney</v>
          </cell>
        </row>
        <row r="2133">
          <cell r="A2133" t="str">
            <v>in storage</v>
          </cell>
          <cell r="K2133" t="str">
            <v>PTAT</v>
          </cell>
          <cell r="AB2133" t="str">
            <v>Liver</v>
          </cell>
        </row>
        <row r="2134">
          <cell r="A2134" t="str">
            <v>in storage</v>
          </cell>
          <cell r="K2134" t="str">
            <v>PTAT</v>
          </cell>
          <cell r="AB2134" t="str">
            <v>Liver</v>
          </cell>
        </row>
        <row r="2135">
          <cell r="A2135" t="str">
            <v>in storage</v>
          </cell>
          <cell r="K2135" t="str">
            <v>PTAT</v>
          </cell>
          <cell r="AB2135" t="str">
            <v>Liver</v>
          </cell>
        </row>
        <row r="2136">
          <cell r="A2136" t="str">
            <v>in storage</v>
          </cell>
          <cell r="K2136" t="str">
            <v>PTAT</v>
          </cell>
          <cell r="AB2136" t="str">
            <v>Kidney</v>
          </cell>
        </row>
        <row r="2137">
          <cell r="A2137" t="str">
            <v>in storage</v>
          </cell>
          <cell r="K2137" t="str">
            <v>PTAT</v>
          </cell>
          <cell r="AB2137" t="str">
            <v>Kidney</v>
          </cell>
        </row>
        <row r="2138">
          <cell r="A2138" t="str">
            <v>in storage</v>
          </cell>
          <cell r="K2138" t="str">
            <v>PTAT</v>
          </cell>
          <cell r="AB2138" t="str">
            <v>Heart</v>
          </cell>
        </row>
        <row r="2139">
          <cell r="A2139" t="str">
            <v>in storage</v>
          </cell>
          <cell r="K2139" t="str">
            <v>PTAT</v>
          </cell>
          <cell r="AB2139" t="str">
            <v>Heart</v>
          </cell>
        </row>
        <row r="2140">
          <cell r="A2140" t="str">
            <v>in storage</v>
          </cell>
          <cell r="K2140" t="str">
            <v>PTAT</v>
          </cell>
          <cell r="AB2140" t="str">
            <v>Lung</v>
          </cell>
        </row>
        <row r="2141">
          <cell r="A2141" t="str">
            <v>in storage</v>
          </cell>
          <cell r="K2141" t="str">
            <v>PTAT</v>
          </cell>
          <cell r="AB2141" t="str">
            <v>Lung</v>
          </cell>
        </row>
        <row r="2142">
          <cell r="A2142" t="str">
            <v>in storage</v>
          </cell>
          <cell r="K2142" t="str">
            <v>PTAT</v>
          </cell>
          <cell r="AB2142" t="str">
            <v>Skin</v>
          </cell>
        </row>
        <row r="2143">
          <cell r="A2143" t="str">
            <v>in storage</v>
          </cell>
          <cell r="K2143" t="str">
            <v>PTAT</v>
          </cell>
          <cell r="AB2143" t="str">
            <v>Skin</v>
          </cell>
        </row>
        <row r="2144">
          <cell r="A2144" t="str">
            <v>in storage</v>
          </cell>
          <cell r="K2144" t="str">
            <v>PTAT</v>
          </cell>
          <cell r="AB2144" t="str">
            <v>Spleen</v>
          </cell>
        </row>
        <row r="2145">
          <cell r="A2145" t="str">
            <v>in storage</v>
          </cell>
          <cell r="K2145" t="str">
            <v>PTAT</v>
          </cell>
          <cell r="AB2145" t="str">
            <v>Spleen</v>
          </cell>
        </row>
        <row r="2146">
          <cell r="A2146" t="str">
            <v>in storage</v>
          </cell>
          <cell r="K2146" t="str">
            <v>PTAT</v>
          </cell>
          <cell r="AB2146" t="str">
            <v>Pancreas</v>
          </cell>
        </row>
        <row r="2147">
          <cell r="A2147" t="str">
            <v>in storage</v>
          </cell>
          <cell r="K2147" t="str">
            <v>PTAT</v>
          </cell>
          <cell r="AB2147" t="str">
            <v>Pancreas</v>
          </cell>
        </row>
        <row r="2148">
          <cell r="A2148" t="str">
            <v>gone</v>
          </cell>
          <cell r="K2148" t="str">
            <v>PTAT</v>
          </cell>
          <cell r="AB2148" t="str">
            <v>Blood</v>
          </cell>
        </row>
        <row r="2149">
          <cell r="A2149" t="str">
            <v>in storage</v>
          </cell>
          <cell r="K2149" t="str">
            <v>PTAT</v>
          </cell>
          <cell r="AB2149" t="str">
            <v>Blood</v>
          </cell>
        </row>
        <row r="2150">
          <cell r="A2150" t="str">
            <v>in storage</v>
          </cell>
          <cell r="K2150" t="str">
            <v>PTAT</v>
          </cell>
          <cell r="AB2150" t="str">
            <v>Blood</v>
          </cell>
        </row>
        <row r="2151">
          <cell r="A2151" t="str">
            <v>in storage</v>
          </cell>
          <cell r="K2151" t="str">
            <v>PTAT</v>
          </cell>
          <cell r="AB2151" t="str">
            <v>R- teste(s)</v>
          </cell>
        </row>
        <row r="2152">
          <cell r="A2152" t="str">
            <v>in storage</v>
          </cell>
          <cell r="K2152" t="str">
            <v>PTAT</v>
          </cell>
          <cell r="AB2152" t="str">
            <v>R- teste(s)</v>
          </cell>
        </row>
        <row r="2153">
          <cell r="A2153" t="str">
            <v>in storage</v>
          </cell>
          <cell r="K2153" t="str">
            <v>PTAT</v>
          </cell>
          <cell r="AB2153" t="str">
            <v>R- teste(s)</v>
          </cell>
        </row>
        <row r="2154">
          <cell r="A2154" t="str">
            <v>in storage</v>
          </cell>
          <cell r="K2154" t="str">
            <v>PTAT</v>
          </cell>
          <cell r="AB2154" t="str">
            <v>Mass- liver</v>
          </cell>
        </row>
        <row r="2155">
          <cell r="A2155" t="str">
            <v>in storage</v>
          </cell>
          <cell r="K2155" t="str">
            <v>PTAT</v>
          </cell>
          <cell r="AB2155" t="str">
            <v>Mass- liver</v>
          </cell>
        </row>
        <row r="2156">
          <cell r="A2156" t="str">
            <v>in storage</v>
          </cell>
          <cell r="K2156" t="str">
            <v>PTAT</v>
          </cell>
          <cell r="AB2156" t="str">
            <v>Mass- liver</v>
          </cell>
        </row>
        <row r="2157">
          <cell r="A2157" t="str">
            <v>in storage</v>
          </cell>
          <cell r="K2157" t="str">
            <v>PTAT</v>
          </cell>
          <cell r="AB2157" t="str">
            <v>Mass- liver</v>
          </cell>
        </row>
        <row r="2158">
          <cell r="A2158" t="str">
            <v>in storage</v>
          </cell>
          <cell r="K2158" t="str">
            <v>MMUR</v>
          </cell>
          <cell r="AB2158" t="str">
            <v>Muscle</v>
          </cell>
        </row>
        <row r="2159">
          <cell r="A2159" t="str">
            <v>in storage</v>
          </cell>
          <cell r="K2159" t="str">
            <v>PTAT</v>
          </cell>
          <cell r="AB2159" t="str">
            <v>Muscle</v>
          </cell>
        </row>
        <row r="2160">
          <cell r="A2160" t="str">
            <v>in storage</v>
          </cell>
          <cell r="K2160" t="str">
            <v>PTAT</v>
          </cell>
          <cell r="AB2160" t="str">
            <v>Muscle</v>
          </cell>
        </row>
        <row r="2161">
          <cell r="A2161" t="str">
            <v>in storage</v>
          </cell>
          <cell r="K2161" t="str">
            <v>ECOL</v>
          </cell>
          <cell r="AB2161" t="str">
            <v>GI- small intestine</v>
          </cell>
        </row>
        <row r="2162">
          <cell r="A2162" t="str">
            <v>in storage</v>
          </cell>
          <cell r="K2162" t="str">
            <v>ECOL</v>
          </cell>
          <cell r="AB2162" t="str">
            <v>GI- stomach</v>
          </cell>
        </row>
        <row r="2163">
          <cell r="A2163" t="str">
            <v>unk</v>
          </cell>
          <cell r="K2163" t="str">
            <v>ECOL</v>
          </cell>
          <cell r="AB2163" t="str">
            <v>GI Tract</v>
          </cell>
        </row>
        <row r="2164">
          <cell r="A2164" t="str">
            <v>in storage</v>
          </cell>
          <cell r="K2164" t="str">
            <v>ECOL</v>
          </cell>
          <cell r="AB2164" t="str">
            <v>GI- cecum</v>
          </cell>
        </row>
        <row r="2165">
          <cell r="A2165" t="str">
            <v>in storage</v>
          </cell>
          <cell r="K2165" t="str">
            <v>PCOQ</v>
          </cell>
          <cell r="AB2165" t="str">
            <v>Kidney</v>
          </cell>
        </row>
        <row r="2166">
          <cell r="A2166" t="str">
            <v>in storage</v>
          </cell>
          <cell r="K2166" t="str">
            <v>PCOQ</v>
          </cell>
          <cell r="AB2166" t="str">
            <v>Kidney</v>
          </cell>
        </row>
        <row r="2167">
          <cell r="A2167" t="str">
            <v>in storage</v>
          </cell>
          <cell r="K2167" t="str">
            <v>PCOQ</v>
          </cell>
          <cell r="AB2167" t="str">
            <v>Spleen</v>
          </cell>
        </row>
        <row r="2168">
          <cell r="A2168" t="str">
            <v>in storage</v>
          </cell>
          <cell r="K2168" t="str">
            <v>PCOQ</v>
          </cell>
          <cell r="AB2168" t="str">
            <v>Heart</v>
          </cell>
        </row>
        <row r="2169">
          <cell r="A2169" t="str">
            <v>in storage</v>
          </cell>
          <cell r="K2169" t="str">
            <v>PCOQ</v>
          </cell>
          <cell r="AB2169" t="str">
            <v>Lung</v>
          </cell>
        </row>
        <row r="2170">
          <cell r="A2170" t="str">
            <v>in storage</v>
          </cell>
          <cell r="K2170" t="str">
            <v>PCOQ</v>
          </cell>
          <cell r="AB2170" t="str">
            <v>Liver</v>
          </cell>
        </row>
        <row r="2171">
          <cell r="A2171" t="str">
            <v>in storage</v>
          </cell>
          <cell r="K2171" t="str">
            <v>PCOQ</v>
          </cell>
          <cell r="AB2171" t="str">
            <v>Thyroid</v>
          </cell>
        </row>
        <row r="2172">
          <cell r="A2172" t="str">
            <v>in storage</v>
          </cell>
          <cell r="K2172" t="str">
            <v>PCOQ</v>
          </cell>
          <cell r="AB2172" t="str">
            <v>R- teste(s)</v>
          </cell>
        </row>
        <row r="2173">
          <cell r="A2173" t="str">
            <v>in storage</v>
          </cell>
          <cell r="K2173" t="str">
            <v>ECOL</v>
          </cell>
          <cell r="AB2173" t="str">
            <v>GI- large intestine</v>
          </cell>
        </row>
        <row r="2174">
          <cell r="A2174" t="str">
            <v>in storage</v>
          </cell>
          <cell r="K2174" t="str">
            <v>ECOL</v>
          </cell>
          <cell r="AB2174" t="str">
            <v>GI- small intestine</v>
          </cell>
        </row>
        <row r="2175">
          <cell r="A2175" t="str">
            <v>in storage</v>
          </cell>
          <cell r="K2175" t="str">
            <v>LTAR</v>
          </cell>
          <cell r="AB2175" t="str">
            <v>Kidney</v>
          </cell>
        </row>
        <row r="2176">
          <cell r="A2176" t="str">
            <v>in storage</v>
          </cell>
          <cell r="K2176" t="str">
            <v>LTAR</v>
          </cell>
          <cell r="AB2176" t="str">
            <v>Spleen</v>
          </cell>
        </row>
        <row r="2177">
          <cell r="A2177" t="str">
            <v>in storage</v>
          </cell>
          <cell r="K2177" t="str">
            <v>LTAR</v>
          </cell>
          <cell r="AB2177" t="str">
            <v>Heart</v>
          </cell>
        </row>
        <row r="2178">
          <cell r="A2178" t="str">
            <v>in storage</v>
          </cell>
          <cell r="K2178" t="str">
            <v>LTAR</v>
          </cell>
          <cell r="AB2178" t="str">
            <v>Lung</v>
          </cell>
        </row>
        <row r="2179">
          <cell r="A2179" t="str">
            <v>in storage</v>
          </cell>
          <cell r="K2179" t="str">
            <v>LTAR</v>
          </cell>
          <cell r="AB2179" t="str">
            <v>Liver</v>
          </cell>
        </row>
        <row r="2180">
          <cell r="A2180" t="str">
            <v>in storage</v>
          </cell>
          <cell r="K2180" t="str">
            <v>LTAR</v>
          </cell>
          <cell r="AB2180" t="str">
            <v>Pancreas</v>
          </cell>
        </row>
        <row r="2181">
          <cell r="A2181" t="str">
            <v>in storage</v>
          </cell>
          <cell r="K2181" t="str">
            <v>LTAR</v>
          </cell>
          <cell r="AB2181" t="str">
            <v>Lung</v>
          </cell>
        </row>
        <row r="2182">
          <cell r="A2182" t="str">
            <v>in storage</v>
          </cell>
          <cell r="K2182" t="str">
            <v>LTAR</v>
          </cell>
          <cell r="AB2182" t="str">
            <v>Kidney</v>
          </cell>
        </row>
        <row r="2183">
          <cell r="A2183" t="str">
            <v>in storage</v>
          </cell>
          <cell r="K2183" t="str">
            <v>LTAR</v>
          </cell>
          <cell r="AB2183" t="str">
            <v>Kidney</v>
          </cell>
        </row>
        <row r="2184">
          <cell r="A2184" t="str">
            <v>in storage</v>
          </cell>
          <cell r="K2184" t="str">
            <v>LTAR</v>
          </cell>
          <cell r="AB2184" t="str">
            <v>Liver</v>
          </cell>
        </row>
        <row r="2185">
          <cell r="A2185" t="str">
            <v>in storage</v>
          </cell>
          <cell r="K2185" t="str">
            <v>LTAR</v>
          </cell>
          <cell r="AB2185" t="str">
            <v>Liver</v>
          </cell>
        </row>
        <row r="2186">
          <cell r="A2186" t="str">
            <v>in storage</v>
          </cell>
          <cell r="K2186" t="str">
            <v>LTAR</v>
          </cell>
          <cell r="AB2186" t="str">
            <v>Blood</v>
          </cell>
        </row>
        <row r="2187">
          <cell r="A2187" t="str">
            <v>in storage</v>
          </cell>
          <cell r="K2187" t="str">
            <v>LTAR</v>
          </cell>
          <cell r="AB2187" t="str">
            <v>Blood</v>
          </cell>
        </row>
        <row r="2188">
          <cell r="A2188" t="str">
            <v>in storage</v>
          </cell>
          <cell r="K2188" t="str">
            <v>LTAR</v>
          </cell>
          <cell r="AB2188" t="str">
            <v>Heart</v>
          </cell>
        </row>
        <row r="2189">
          <cell r="A2189" t="str">
            <v>in storage</v>
          </cell>
          <cell r="K2189" t="str">
            <v>LTAR</v>
          </cell>
          <cell r="AB2189" t="str">
            <v>Heart</v>
          </cell>
        </row>
        <row r="2190">
          <cell r="A2190" t="str">
            <v>in storage</v>
          </cell>
          <cell r="K2190" t="str">
            <v>LTAR</v>
          </cell>
          <cell r="AB2190" t="str">
            <v>Lung</v>
          </cell>
        </row>
        <row r="2191">
          <cell r="A2191" t="str">
            <v>in storage</v>
          </cell>
          <cell r="K2191" t="str">
            <v>LTAR</v>
          </cell>
          <cell r="AB2191" t="str">
            <v>Pancreas</v>
          </cell>
        </row>
        <row r="2192">
          <cell r="A2192" t="str">
            <v>in storage</v>
          </cell>
          <cell r="K2192" t="str">
            <v>LTAR</v>
          </cell>
          <cell r="AB2192" t="str">
            <v>Pancreas</v>
          </cell>
        </row>
        <row r="2193">
          <cell r="A2193" t="str">
            <v>in storage</v>
          </cell>
          <cell r="K2193" t="str">
            <v>LTAR</v>
          </cell>
          <cell r="AB2193" t="str">
            <v>Skin</v>
          </cell>
        </row>
        <row r="2194">
          <cell r="A2194" t="str">
            <v>in storage</v>
          </cell>
          <cell r="K2194" t="str">
            <v>LTAR</v>
          </cell>
          <cell r="AB2194" t="str">
            <v>Skin</v>
          </cell>
        </row>
        <row r="2195">
          <cell r="A2195" t="str">
            <v>in storage</v>
          </cell>
          <cell r="K2195" t="str">
            <v>LTAR</v>
          </cell>
          <cell r="AB2195" t="str">
            <v>Spleen</v>
          </cell>
        </row>
        <row r="2196">
          <cell r="A2196" t="str">
            <v>in storage</v>
          </cell>
          <cell r="K2196" t="str">
            <v>LTAR</v>
          </cell>
          <cell r="AB2196" t="str">
            <v>Spleen</v>
          </cell>
        </row>
        <row r="2197">
          <cell r="A2197" t="str">
            <v>in storage</v>
          </cell>
          <cell r="K2197" t="str">
            <v>LTAR</v>
          </cell>
          <cell r="AB2197" t="str">
            <v>R- teste(s)</v>
          </cell>
        </row>
        <row r="2198">
          <cell r="A2198" t="str">
            <v>in storage</v>
          </cell>
          <cell r="K2198" t="str">
            <v>LTAR</v>
          </cell>
          <cell r="AB2198" t="str">
            <v>R- teste(s)</v>
          </cell>
        </row>
        <row r="2199">
          <cell r="A2199" t="str">
            <v>in storage</v>
          </cell>
          <cell r="K2199" t="str">
            <v>LTAR</v>
          </cell>
          <cell r="AB2199" t="str">
            <v>R- teste(s)</v>
          </cell>
        </row>
        <row r="2200">
          <cell r="A2200" t="str">
            <v>in storage</v>
          </cell>
          <cell r="K2200" t="str">
            <v>LTAR</v>
          </cell>
          <cell r="AB2200" t="str">
            <v>Mass- liver</v>
          </cell>
        </row>
        <row r="2201">
          <cell r="A2201" t="str">
            <v>in storage</v>
          </cell>
          <cell r="K2201" t="str">
            <v>LTAR</v>
          </cell>
          <cell r="AB2201" t="str">
            <v>Muscle</v>
          </cell>
        </row>
        <row r="2202">
          <cell r="A2202" t="str">
            <v>in storage</v>
          </cell>
          <cell r="K2202" t="str">
            <v>LTAR</v>
          </cell>
          <cell r="AB2202" t="str">
            <v>Muscle</v>
          </cell>
        </row>
        <row r="2203">
          <cell r="A2203" t="str">
            <v>in storage</v>
          </cell>
          <cell r="K2203" t="str">
            <v>LTAR</v>
          </cell>
          <cell r="AB2203" t="str">
            <v>Muscle</v>
          </cell>
        </row>
        <row r="2204">
          <cell r="A2204" t="str">
            <v>in storage</v>
          </cell>
          <cell r="K2204" t="str">
            <v>ECOL</v>
          </cell>
          <cell r="AB2204" t="str">
            <v>GI- stomach</v>
          </cell>
        </row>
        <row r="2205">
          <cell r="A2205" t="str">
            <v>in storage</v>
          </cell>
          <cell r="K2205" t="str">
            <v>ECOL</v>
          </cell>
          <cell r="AB2205" t="str">
            <v>GI- cecum</v>
          </cell>
        </row>
        <row r="2206">
          <cell r="A2206" t="str">
            <v>in storage</v>
          </cell>
          <cell r="K2206" t="str">
            <v>ECOL</v>
          </cell>
          <cell r="AB2206" t="str">
            <v>GI- large intestine</v>
          </cell>
        </row>
        <row r="2207">
          <cell r="A2207" t="str">
            <v>in storage</v>
          </cell>
          <cell r="K2207" t="str">
            <v>ECOL</v>
          </cell>
          <cell r="AB2207" t="str">
            <v>GI- omentum</v>
          </cell>
        </row>
        <row r="2208">
          <cell r="A2208" t="str">
            <v>in storage</v>
          </cell>
          <cell r="K2208" t="str">
            <v>HGG</v>
          </cell>
          <cell r="AB2208" t="str">
            <v>Kidney</v>
          </cell>
        </row>
        <row r="2209">
          <cell r="A2209" t="str">
            <v>in storage</v>
          </cell>
          <cell r="K2209" t="str">
            <v>HGG</v>
          </cell>
          <cell r="AB2209" t="str">
            <v>Spleen</v>
          </cell>
        </row>
        <row r="2210">
          <cell r="A2210" t="str">
            <v>in storage</v>
          </cell>
          <cell r="K2210" t="str">
            <v>HGG</v>
          </cell>
          <cell r="AB2210" t="str">
            <v>Heart</v>
          </cell>
        </row>
        <row r="2211">
          <cell r="A2211" t="str">
            <v>in storage</v>
          </cell>
          <cell r="K2211" t="str">
            <v>HGG</v>
          </cell>
          <cell r="AB2211" t="str">
            <v>Lung</v>
          </cell>
        </row>
        <row r="2212">
          <cell r="A2212" t="str">
            <v>in storage</v>
          </cell>
          <cell r="K2212" t="str">
            <v>HGG</v>
          </cell>
          <cell r="AB2212" t="str">
            <v>Liver</v>
          </cell>
        </row>
        <row r="2213">
          <cell r="A2213" t="str">
            <v>in storage</v>
          </cell>
          <cell r="K2213" t="str">
            <v>HGG</v>
          </cell>
          <cell r="AB2213" t="str">
            <v>Blood</v>
          </cell>
        </row>
        <row r="2214">
          <cell r="A2214" t="str">
            <v>in storage</v>
          </cell>
          <cell r="K2214" t="str">
            <v>HGG</v>
          </cell>
          <cell r="AB2214" t="str">
            <v>Blood</v>
          </cell>
        </row>
        <row r="2215">
          <cell r="A2215" t="str">
            <v>in storage</v>
          </cell>
          <cell r="K2215" t="str">
            <v>HGG</v>
          </cell>
          <cell r="AB2215" t="str">
            <v>Heart</v>
          </cell>
        </row>
        <row r="2216">
          <cell r="A2216" t="str">
            <v>in storage</v>
          </cell>
          <cell r="K2216" t="str">
            <v>HGG</v>
          </cell>
          <cell r="AB2216" t="str">
            <v>Lung</v>
          </cell>
        </row>
        <row r="2217">
          <cell r="A2217" t="str">
            <v>in storage</v>
          </cell>
          <cell r="K2217" t="str">
            <v>HGG</v>
          </cell>
          <cell r="AB2217" t="str">
            <v>Lung</v>
          </cell>
        </row>
        <row r="2218">
          <cell r="A2218" t="str">
            <v>in storage</v>
          </cell>
          <cell r="K2218" t="str">
            <v>HGG</v>
          </cell>
          <cell r="AB2218" t="str">
            <v>Pancreas</v>
          </cell>
        </row>
        <row r="2219">
          <cell r="A2219" t="str">
            <v>in storage</v>
          </cell>
          <cell r="K2219" t="str">
            <v>HGG</v>
          </cell>
          <cell r="AB2219" t="str">
            <v>Pancreas</v>
          </cell>
        </row>
        <row r="2220">
          <cell r="A2220" t="str">
            <v>in storage</v>
          </cell>
          <cell r="K2220" t="str">
            <v>HGG</v>
          </cell>
          <cell r="AB2220" t="str">
            <v>Skin</v>
          </cell>
        </row>
        <row r="2221">
          <cell r="A2221" t="str">
            <v>in storage</v>
          </cell>
          <cell r="K2221" t="str">
            <v>HGG</v>
          </cell>
          <cell r="AB2221" t="str">
            <v>Kidney</v>
          </cell>
        </row>
        <row r="2222">
          <cell r="A2222" t="str">
            <v>in storage</v>
          </cell>
          <cell r="K2222" t="str">
            <v>HGG</v>
          </cell>
          <cell r="AB2222" t="str">
            <v>Liver</v>
          </cell>
        </row>
        <row r="2223">
          <cell r="A2223" t="str">
            <v>in storage</v>
          </cell>
          <cell r="K2223" t="str">
            <v>HGG</v>
          </cell>
          <cell r="AB2223" t="str">
            <v>Liver</v>
          </cell>
        </row>
        <row r="2224">
          <cell r="A2224" t="str">
            <v>in storage</v>
          </cell>
          <cell r="K2224" t="str">
            <v>HGG</v>
          </cell>
          <cell r="AB2224" t="str">
            <v>Heart</v>
          </cell>
        </row>
        <row r="2225">
          <cell r="A2225" t="str">
            <v>in storage</v>
          </cell>
          <cell r="K2225" t="str">
            <v>HGG</v>
          </cell>
          <cell r="AB2225" t="str">
            <v>Spleen</v>
          </cell>
        </row>
        <row r="2226">
          <cell r="A2226" t="str">
            <v>in storage</v>
          </cell>
          <cell r="K2226" t="str">
            <v>HGG</v>
          </cell>
          <cell r="AB2226" t="str">
            <v>Spleen</v>
          </cell>
        </row>
        <row r="2227">
          <cell r="A2227" t="str">
            <v>in storage</v>
          </cell>
          <cell r="K2227" t="str">
            <v>HGG</v>
          </cell>
          <cell r="AB2227" t="str">
            <v>Kidney</v>
          </cell>
        </row>
        <row r="2228">
          <cell r="A2228" t="str">
            <v>in storage</v>
          </cell>
          <cell r="K2228" t="str">
            <v>ECOL</v>
          </cell>
          <cell r="AB2228" t="str">
            <v>GI- small intestine/ stomach</v>
          </cell>
        </row>
        <row r="2229">
          <cell r="A2229" t="str">
            <v>in storage</v>
          </cell>
          <cell r="K2229" t="str">
            <v>HGG</v>
          </cell>
          <cell r="AB2229" t="str">
            <v>R- teste(s)</v>
          </cell>
        </row>
        <row r="2230">
          <cell r="A2230" t="str">
            <v>in storage</v>
          </cell>
          <cell r="K2230" t="str">
            <v>ECOL</v>
          </cell>
          <cell r="AB2230" t="str">
            <v>GI Contents- large intestine</v>
          </cell>
        </row>
        <row r="2231">
          <cell r="A2231" t="str">
            <v>in storage</v>
          </cell>
          <cell r="K2231" t="str">
            <v>ECOL</v>
          </cell>
          <cell r="AB2231" t="str">
            <v>GI Tract</v>
          </cell>
        </row>
        <row r="2232">
          <cell r="A2232" t="str">
            <v>in storage</v>
          </cell>
          <cell r="K2232" t="str">
            <v>ECOL</v>
          </cell>
          <cell r="AB2232" t="str">
            <v>GI- duodenum</v>
          </cell>
        </row>
        <row r="2233">
          <cell r="A2233" t="str">
            <v>in storage</v>
          </cell>
          <cell r="K2233" t="str">
            <v>HGG</v>
          </cell>
          <cell r="AB2233" t="str">
            <v>Muscle</v>
          </cell>
        </row>
        <row r="2234">
          <cell r="A2234" t="str">
            <v>in storage</v>
          </cell>
          <cell r="K2234" t="str">
            <v>HGG</v>
          </cell>
          <cell r="AB2234" t="str">
            <v>Muscle</v>
          </cell>
        </row>
        <row r="2235">
          <cell r="A2235" t="str">
            <v>in storage</v>
          </cell>
          <cell r="K2235" t="str">
            <v>VRUB</v>
          </cell>
          <cell r="AB2235" t="str">
            <v>RU- bladder/ uterus</v>
          </cell>
        </row>
        <row r="2236">
          <cell r="A2236" t="str">
            <v>in storage</v>
          </cell>
          <cell r="K2236" t="str">
            <v>VRUB</v>
          </cell>
          <cell r="AB2236" t="str">
            <v>Lung/ Trachea</v>
          </cell>
        </row>
        <row r="2237">
          <cell r="A2237" t="str">
            <v>in storage</v>
          </cell>
          <cell r="K2237" t="str">
            <v>VRUB</v>
          </cell>
          <cell r="AB2237" t="str">
            <v>Liver</v>
          </cell>
        </row>
        <row r="2238">
          <cell r="A2238" t="str">
            <v>in storage</v>
          </cell>
          <cell r="K2238" t="str">
            <v>ECOL</v>
          </cell>
          <cell r="AB2238" t="str">
            <v>GI Contents- cecum</v>
          </cell>
        </row>
        <row r="2239">
          <cell r="A2239" t="str">
            <v>in storage</v>
          </cell>
          <cell r="K2239" t="str">
            <v>ECOL</v>
          </cell>
          <cell r="AB2239" t="str">
            <v>GI- cecum</v>
          </cell>
        </row>
        <row r="2240">
          <cell r="A2240" t="str">
            <v>in storage</v>
          </cell>
          <cell r="K2240" t="str">
            <v>VRUB</v>
          </cell>
          <cell r="AB2240" t="str">
            <v>Pancreas</v>
          </cell>
        </row>
        <row r="2241">
          <cell r="A2241" t="str">
            <v>in storage</v>
          </cell>
          <cell r="K2241" t="str">
            <v>VRUB</v>
          </cell>
          <cell r="AB2241" t="str">
            <v>Adrenal gland/ kidney</v>
          </cell>
        </row>
        <row r="2242">
          <cell r="A2242" t="str">
            <v>in storage</v>
          </cell>
          <cell r="K2242" t="str">
            <v>VRUB</v>
          </cell>
          <cell r="AB2242" t="str">
            <v>Spleen</v>
          </cell>
        </row>
        <row r="2243">
          <cell r="A2243" t="str">
            <v>in storage</v>
          </cell>
          <cell r="K2243" t="str">
            <v>VRUB</v>
          </cell>
          <cell r="AB2243" t="str">
            <v>Heart</v>
          </cell>
        </row>
        <row r="2244">
          <cell r="A2244" t="str">
            <v>in storage</v>
          </cell>
          <cell r="K2244" t="str">
            <v>VRUB</v>
          </cell>
          <cell r="AB2244" t="str">
            <v>Hair</v>
          </cell>
        </row>
        <row r="2245">
          <cell r="A2245" t="str">
            <v>gone</v>
          </cell>
          <cell r="K2245" t="str">
            <v>EMON</v>
          </cell>
          <cell r="AB2245" t="str">
            <v>R- placenta</v>
          </cell>
        </row>
        <row r="2246">
          <cell r="A2246" t="str">
            <v>in storage</v>
          </cell>
          <cell r="K2246" t="str">
            <v>MMUR</v>
          </cell>
          <cell r="AB2246" t="str">
            <v>Liver</v>
          </cell>
        </row>
        <row r="2247">
          <cell r="A2247" t="str">
            <v>in storage</v>
          </cell>
          <cell r="K2247" t="str">
            <v>ECOL</v>
          </cell>
          <cell r="AB2247" t="str">
            <v>GI Contents- appendix</v>
          </cell>
        </row>
        <row r="2248">
          <cell r="A2248" t="str">
            <v>in storage</v>
          </cell>
          <cell r="K2248" t="str">
            <v>MMUR</v>
          </cell>
          <cell r="AB2248" t="str">
            <v>Pancreas</v>
          </cell>
        </row>
        <row r="2249">
          <cell r="A2249" t="str">
            <v>in storage</v>
          </cell>
          <cell r="K2249" t="str">
            <v>MMUR</v>
          </cell>
          <cell r="AB2249" t="str">
            <v>Lung</v>
          </cell>
        </row>
        <row r="2250">
          <cell r="A2250" t="str">
            <v>in storage</v>
          </cell>
          <cell r="K2250" t="str">
            <v>MMUR</v>
          </cell>
          <cell r="AB2250" t="str">
            <v>Liver</v>
          </cell>
        </row>
        <row r="2251">
          <cell r="A2251" t="str">
            <v>gone</v>
          </cell>
          <cell r="K2251" t="str">
            <v>MMUR</v>
          </cell>
          <cell r="AB2251" t="str">
            <v>Heart</v>
          </cell>
        </row>
        <row r="2252">
          <cell r="A2252" t="str">
            <v>in storage</v>
          </cell>
          <cell r="K2252" t="str">
            <v>MMUR</v>
          </cell>
          <cell r="AB2252" t="str">
            <v>Liver</v>
          </cell>
        </row>
        <row r="2253">
          <cell r="A2253" t="str">
            <v>unk</v>
          </cell>
          <cell r="K2253" t="str">
            <v>MMUR</v>
          </cell>
          <cell r="AB2253" t="str">
            <v>Kidney</v>
          </cell>
        </row>
        <row r="2254">
          <cell r="A2254" t="str">
            <v>unk</v>
          </cell>
          <cell r="K2254" t="str">
            <v>MMUR</v>
          </cell>
          <cell r="AB2254" t="str">
            <v>Lung</v>
          </cell>
        </row>
        <row r="2255">
          <cell r="A2255" t="str">
            <v>unk</v>
          </cell>
          <cell r="K2255" t="str">
            <v>MMUR</v>
          </cell>
          <cell r="AB2255" t="str">
            <v>Spleen</v>
          </cell>
        </row>
        <row r="2256">
          <cell r="A2256" t="str">
            <v>unk</v>
          </cell>
          <cell r="K2256" t="str">
            <v>MMUR</v>
          </cell>
          <cell r="AB2256" t="str">
            <v>Spleen</v>
          </cell>
        </row>
        <row r="2257">
          <cell r="A2257" t="str">
            <v>in storage</v>
          </cell>
          <cell r="K2257" t="str">
            <v>MMUR</v>
          </cell>
          <cell r="AB2257" t="str">
            <v>Skin</v>
          </cell>
        </row>
        <row r="2258">
          <cell r="A2258" t="str">
            <v>in storage</v>
          </cell>
          <cell r="K2258" t="str">
            <v>MMUR</v>
          </cell>
          <cell r="AB2258" t="str">
            <v>Liver</v>
          </cell>
        </row>
        <row r="2259">
          <cell r="A2259" t="str">
            <v>unk</v>
          </cell>
          <cell r="K2259" t="str">
            <v>MMUR</v>
          </cell>
          <cell r="AB2259" t="str">
            <v>Blood</v>
          </cell>
        </row>
        <row r="2260">
          <cell r="A2260" t="str">
            <v>unk</v>
          </cell>
          <cell r="K2260" t="str">
            <v>MMUR</v>
          </cell>
          <cell r="AB2260" t="str">
            <v>Lung</v>
          </cell>
        </row>
        <row r="2261">
          <cell r="A2261" t="str">
            <v>in storage</v>
          </cell>
          <cell r="K2261" t="str">
            <v>MMUR</v>
          </cell>
          <cell r="AB2261" t="str">
            <v>R- teste(s)</v>
          </cell>
        </row>
        <row r="2262">
          <cell r="A2262" t="str">
            <v>gone</v>
          </cell>
          <cell r="K2262" t="str">
            <v>MMUR</v>
          </cell>
          <cell r="AB2262" t="str">
            <v>R- teste(s)</v>
          </cell>
        </row>
        <row r="2263">
          <cell r="A2263" t="str">
            <v>in storage</v>
          </cell>
          <cell r="K2263" t="str">
            <v>MMUR</v>
          </cell>
          <cell r="AB2263" t="str">
            <v>R- teste(s)</v>
          </cell>
        </row>
        <row r="2264">
          <cell r="A2264" t="str">
            <v>gone</v>
          </cell>
          <cell r="K2264" t="str">
            <v>MMUR</v>
          </cell>
          <cell r="AB2264" t="str">
            <v>Muscle</v>
          </cell>
        </row>
        <row r="2265">
          <cell r="A2265" t="str">
            <v>in storage</v>
          </cell>
          <cell r="K2265" t="str">
            <v>MMUR</v>
          </cell>
          <cell r="AB2265" t="str">
            <v>Muscle</v>
          </cell>
        </row>
        <row r="2266">
          <cell r="A2266" t="str">
            <v>in storage</v>
          </cell>
          <cell r="K2266" t="str">
            <v>ECOL</v>
          </cell>
          <cell r="AB2266" t="str">
            <v>GI Contents- colon</v>
          </cell>
        </row>
        <row r="2267">
          <cell r="A2267" t="str">
            <v>in storage</v>
          </cell>
          <cell r="K2267" t="str">
            <v>GMOH</v>
          </cell>
          <cell r="AB2267" t="str">
            <v>Lung</v>
          </cell>
        </row>
        <row r="2268">
          <cell r="A2268" t="str">
            <v>in storage</v>
          </cell>
          <cell r="K2268" t="str">
            <v>GMOH</v>
          </cell>
          <cell r="AB2268" t="str">
            <v>Liver</v>
          </cell>
        </row>
        <row r="2269">
          <cell r="A2269" t="str">
            <v>in storage</v>
          </cell>
          <cell r="K2269" t="str">
            <v>GMOH</v>
          </cell>
          <cell r="AB2269" t="str">
            <v>Blood</v>
          </cell>
        </row>
        <row r="2270">
          <cell r="A2270" t="str">
            <v>in storage</v>
          </cell>
          <cell r="K2270" t="str">
            <v>GMOH</v>
          </cell>
          <cell r="AB2270" t="str">
            <v>Lung</v>
          </cell>
        </row>
        <row r="2271">
          <cell r="A2271" t="str">
            <v>in storage</v>
          </cell>
          <cell r="K2271" t="str">
            <v>GMOH</v>
          </cell>
          <cell r="AB2271" t="str">
            <v>Lung</v>
          </cell>
        </row>
        <row r="2272">
          <cell r="A2272" t="str">
            <v>in storage</v>
          </cell>
          <cell r="K2272" t="str">
            <v>GMOH</v>
          </cell>
          <cell r="AB2272" t="str">
            <v>Pancreas</v>
          </cell>
        </row>
        <row r="2273">
          <cell r="A2273" t="str">
            <v>in storage</v>
          </cell>
          <cell r="K2273" t="str">
            <v>GMOH</v>
          </cell>
          <cell r="AB2273" t="str">
            <v>Pancreas</v>
          </cell>
        </row>
        <row r="2274">
          <cell r="A2274" t="str">
            <v>in storage</v>
          </cell>
          <cell r="K2274" t="str">
            <v>GMOH</v>
          </cell>
          <cell r="AB2274" t="str">
            <v>Skin</v>
          </cell>
        </row>
        <row r="2275">
          <cell r="A2275" t="str">
            <v>in storage</v>
          </cell>
          <cell r="K2275" t="str">
            <v>GMOH</v>
          </cell>
          <cell r="AB2275" t="str">
            <v>Kidney</v>
          </cell>
        </row>
        <row r="2276">
          <cell r="A2276" t="str">
            <v>in storage</v>
          </cell>
          <cell r="K2276" t="str">
            <v>GMOH</v>
          </cell>
          <cell r="AB2276" t="str">
            <v>Kidney</v>
          </cell>
        </row>
        <row r="2277">
          <cell r="A2277" t="str">
            <v>in storage</v>
          </cell>
          <cell r="K2277" t="str">
            <v>GMOH</v>
          </cell>
          <cell r="AB2277" t="str">
            <v>Liver</v>
          </cell>
        </row>
        <row r="2278">
          <cell r="A2278" t="str">
            <v>in storage</v>
          </cell>
          <cell r="K2278" t="str">
            <v>GMOH</v>
          </cell>
          <cell r="AB2278" t="str">
            <v>Liver</v>
          </cell>
        </row>
        <row r="2279">
          <cell r="A2279" t="str">
            <v>in storage</v>
          </cell>
          <cell r="K2279" t="str">
            <v>GMOH</v>
          </cell>
          <cell r="AB2279" t="str">
            <v>R- teste(s)</v>
          </cell>
        </row>
        <row r="2280">
          <cell r="A2280" t="str">
            <v>in storage</v>
          </cell>
          <cell r="K2280" t="str">
            <v>GMOH</v>
          </cell>
          <cell r="AB2280" t="str">
            <v>R- teste(s)</v>
          </cell>
        </row>
        <row r="2281">
          <cell r="A2281" t="str">
            <v>in storage</v>
          </cell>
          <cell r="K2281" t="str">
            <v>GMOH</v>
          </cell>
          <cell r="AB2281" t="str">
            <v>R- teste(s)</v>
          </cell>
        </row>
        <row r="2282">
          <cell r="A2282" t="str">
            <v>in storage</v>
          </cell>
          <cell r="K2282" t="str">
            <v>GMOH</v>
          </cell>
          <cell r="AB2282" t="str">
            <v>Muscle</v>
          </cell>
        </row>
        <row r="2283">
          <cell r="A2283" t="str">
            <v>in storage</v>
          </cell>
          <cell r="K2283" t="str">
            <v>GMOH</v>
          </cell>
          <cell r="AB2283" t="str">
            <v>Muscle</v>
          </cell>
        </row>
        <row r="2284">
          <cell r="A2284" t="str">
            <v>in storage</v>
          </cell>
          <cell r="K2284" t="str">
            <v>LCAT</v>
          </cell>
          <cell r="AB2284" t="str">
            <v>Digit- finger</v>
          </cell>
        </row>
        <row r="2285">
          <cell r="A2285" t="str">
            <v>in storage</v>
          </cell>
          <cell r="K2285" t="str">
            <v>ECOL</v>
          </cell>
          <cell r="AB2285" t="str">
            <v>GI Contents- duodenum</v>
          </cell>
        </row>
        <row r="2286">
          <cell r="A2286" t="str">
            <v>in storage</v>
          </cell>
          <cell r="K2286" t="str">
            <v>VVV</v>
          </cell>
          <cell r="AB2286" t="str">
            <v>Kidney</v>
          </cell>
        </row>
        <row r="2287">
          <cell r="A2287" t="str">
            <v>in storage</v>
          </cell>
          <cell r="K2287" t="str">
            <v>VVV</v>
          </cell>
          <cell r="AB2287" t="str">
            <v>Spleen</v>
          </cell>
        </row>
        <row r="2288">
          <cell r="A2288" t="str">
            <v>in storage</v>
          </cell>
          <cell r="K2288" t="str">
            <v>VVV</v>
          </cell>
          <cell r="AB2288" t="str">
            <v>Heart</v>
          </cell>
        </row>
        <row r="2289">
          <cell r="A2289" t="str">
            <v>in storage</v>
          </cell>
          <cell r="K2289" t="str">
            <v>VVV</v>
          </cell>
          <cell r="AB2289" t="str">
            <v>Lung</v>
          </cell>
        </row>
        <row r="2290">
          <cell r="A2290" t="str">
            <v>in storage</v>
          </cell>
          <cell r="K2290" t="str">
            <v>VVV</v>
          </cell>
          <cell r="AB2290" t="str">
            <v>Liver</v>
          </cell>
        </row>
        <row r="2291">
          <cell r="A2291" t="str">
            <v>in storage</v>
          </cell>
          <cell r="K2291" t="str">
            <v>ECOL</v>
          </cell>
          <cell r="AB2291" t="str">
            <v>GI Contents- jejunum</v>
          </cell>
        </row>
        <row r="2292">
          <cell r="A2292" t="str">
            <v>in storage</v>
          </cell>
          <cell r="K2292" t="str">
            <v>MMUR</v>
          </cell>
          <cell r="AB2292" t="str">
            <v>R- accessory sex glands</v>
          </cell>
        </row>
        <row r="2293">
          <cell r="A2293" t="str">
            <v>in storage</v>
          </cell>
          <cell r="K2293" t="str">
            <v>ECOL</v>
          </cell>
          <cell r="AB2293" t="str">
            <v>GI- large intestine</v>
          </cell>
        </row>
        <row r="2294">
          <cell r="A2294" t="str">
            <v>in storage</v>
          </cell>
          <cell r="K2294" t="str">
            <v>MMUR</v>
          </cell>
          <cell r="AB2294" t="str">
            <v>Heart</v>
          </cell>
        </row>
        <row r="2295">
          <cell r="A2295" t="str">
            <v>in storage</v>
          </cell>
          <cell r="K2295" t="str">
            <v>MMUR</v>
          </cell>
          <cell r="AB2295" t="str">
            <v>Lung</v>
          </cell>
        </row>
        <row r="2296">
          <cell r="A2296" t="str">
            <v>in storage</v>
          </cell>
          <cell r="K2296" t="str">
            <v>MMUR</v>
          </cell>
          <cell r="AB2296" t="str">
            <v>Lung</v>
          </cell>
        </row>
        <row r="2297">
          <cell r="A2297" t="str">
            <v>in storage</v>
          </cell>
          <cell r="K2297" t="str">
            <v>MMUR</v>
          </cell>
          <cell r="AB2297" t="str">
            <v>Heart</v>
          </cell>
        </row>
        <row r="2298">
          <cell r="A2298" t="str">
            <v>in storage</v>
          </cell>
          <cell r="K2298" t="str">
            <v>MMUR</v>
          </cell>
          <cell r="AB2298" t="str">
            <v>Liver</v>
          </cell>
        </row>
        <row r="2299">
          <cell r="A2299" t="str">
            <v>unk</v>
          </cell>
          <cell r="K2299" t="str">
            <v>MMUR</v>
          </cell>
          <cell r="AB2299" t="str">
            <v>Kidney</v>
          </cell>
        </row>
        <row r="2300">
          <cell r="A2300" t="str">
            <v>unk</v>
          </cell>
          <cell r="K2300" t="str">
            <v>MMUR</v>
          </cell>
          <cell r="AB2300" t="str">
            <v>Liver</v>
          </cell>
        </row>
        <row r="2301">
          <cell r="A2301" t="str">
            <v>unk</v>
          </cell>
          <cell r="K2301" t="str">
            <v>MMUR</v>
          </cell>
          <cell r="AB2301" t="str">
            <v>Spleen</v>
          </cell>
        </row>
        <row r="2302">
          <cell r="A2302" t="str">
            <v>unk</v>
          </cell>
          <cell r="K2302" t="str">
            <v>MMUR</v>
          </cell>
          <cell r="AB2302" t="str">
            <v>Spleen</v>
          </cell>
        </row>
        <row r="2303">
          <cell r="A2303" t="str">
            <v>in storage</v>
          </cell>
          <cell r="K2303" t="str">
            <v>MMUR</v>
          </cell>
          <cell r="AB2303" t="str">
            <v>Liver</v>
          </cell>
        </row>
        <row r="2304">
          <cell r="A2304" t="str">
            <v>in storage</v>
          </cell>
          <cell r="K2304" t="str">
            <v>MMUR</v>
          </cell>
          <cell r="AB2304" t="str">
            <v>Liver</v>
          </cell>
        </row>
        <row r="2305">
          <cell r="A2305" t="str">
            <v>in storage</v>
          </cell>
          <cell r="K2305" t="str">
            <v>MMUR</v>
          </cell>
          <cell r="AB2305" t="str">
            <v>Pancreas</v>
          </cell>
        </row>
        <row r="2306">
          <cell r="A2306" t="str">
            <v>in storage</v>
          </cell>
          <cell r="K2306" t="str">
            <v>MMUR</v>
          </cell>
          <cell r="AB2306" t="str">
            <v>Skin</v>
          </cell>
        </row>
        <row r="2307">
          <cell r="A2307" t="str">
            <v>in storage</v>
          </cell>
          <cell r="K2307" t="str">
            <v>MMUR</v>
          </cell>
          <cell r="AB2307" t="str">
            <v>Thyroid</v>
          </cell>
        </row>
        <row r="2308">
          <cell r="A2308" t="str">
            <v>in storage</v>
          </cell>
          <cell r="K2308" t="str">
            <v>MMUR</v>
          </cell>
          <cell r="AB2308" t="str">
            <v>Kidney</v>
          </cell>
        </row>
        <row r="2309">
          <cell r="A2309" t="str">
            <v>in storage</v>
          </cell>
          <cell r="K2309" t="str">
            <v>MMUR</v>
          </cell>
          <cell r="AB2309" t="str">
            <v>R- teste(s)</v>
          </cell>
        </row>
        <row r="2310">
          <cell r="A2310" t="str">
            <v>in storage</v>
          </cell>
          <cell r="K2310" t="str">
            <v>MMUR</v>
          </cell>
          <cell r="AB2310" t="str">
            <v>R- teste(s)</v>
          </cell>
        </row>
        <row r="2311">
          <cell r="A2311" t="str">
            <v>gone</v>
          </cell>
          <cell r="K2311" t="str">
            <v>MMUR</v>
          </cell>
          <cell r="AB2311" t="str">
            <v>R- teste(s)</v>
          </cell>
        </row>
        <row r="2312">
          <cell r="A2312" t="str">
            <v>gone</v>
          </cell>
          <cell r="K2312" t="str">
            <v>MMUR</v>
          </cell>
          <cell r="AB2312" t="str">
            <v>R- teste(s)</v>
          </cell>
        </row>
        <row r="2313">
          <cell r="A2313" t="str">
            <v>in storage</v>
          </cell>
          <cell r="K2313" t="str">
            <v>MMUR</v>
          </cell>
          <cell r="AB2313" t="str">
            <v>Eye</v>
          </cell>
        </row>
        <row r="2314">
          <cell r="A2314" t="str">
            <v>in storage</v>
          </cell>
          <cell r="K2314" t="str">
            <v>MMUR</v>
          </cell>
          <cell r="AB2314" t="str">
            <v>Muscle</v>
          </cell>
        </row>
        <row r="2315">
          <cell r="A2315" t="str">
            <v>in storage</v>
          </cell>
          <cell r="K2315" t="str">
            <v>MMUR</v>
          </cell>
          <cell r="AB2315" t="str">
            <v>R- sperm plug</v>
          </cell>
        </row>
        <row r="2316">
          <cell r="A2316" t="str">
            <v>in storage</v>
          </cell>
          <cell r="K2316" t="str">
            <v>PCOQ</v>
          </cell>
          <cell r="AB2316" t="str">
            <v>Kidney</v>
          </cell>
        </row>
        <row r="2317">
          <cell r="A2317" t="str">
            <v>in storage</v>
          </cell>
          <cell r="K2317" t="str">
            <v>PCOQ</v>
          </cell>
          <cell r="AB2317" t="str">
            <v>Spleen</v>
          </cell>
        </row>
        <row r="2318">
          <cell r="A2318" t="str">
            <v>in storage</v>
          </cell>
          <cell r="K2318" t="str">
            <v>PCOQ</v>
          </cell>
          <cell r="AB2318" t="str">
            <v>Heart</v>
          </cell>
        </row>
        <row r="2319">
          <cell r="A2319" t="str">
            <v>in storage</v>
          </cell>
          <cell r="K2319" t="str">
            <v>PCOQ</v>
          </cell>
          <cell r="AB2319" t="str">
            <v>Lung</v>
          </cell>
        </row>
        <row r="2320">
          <cell r="A2320" t="str">
            <v>in storage</v>
          </cell>
          <cell r="K2320" t="str">
            <v>PCOQ</v>
          </cell>
          <cell r="AB2320" t="str">
            <v>Liver</v>
          </cell>
        </row>
        <row r="2321">
          <cell r="A2321" t="str">
            <v>in storage</v>
          </cell>
          <cell r="K2321" t="str">
            <v>PCOQ</v>
          </cell>
          <cell r="AB2321" t="str">
            <v>Thyroid</v>
          </cell>
        </row>
        <row r="2322">
          <cell r="A2322" t="str">
            <v>in storage</v>
          </cell>
          <cell r="K2322" t="str">
            <v>PCOQ</v>
          </cell>
          <cell r="AB2322" t="str">
            <v>R- teste(s)</v>
          </cell>
        </row>
        <row r="2323">
          <cell r="A2323" t="str">
            <v>in storage</v>
          </cell>
          <cell r="K2323" t="str">
            <v>ECOL</v>
          </cell>
          <cell r="AB2323" t="str">
            <v>GI- ileum/ jejunum</v>
          </cell>
        </row>
        <row r="2324">
          <cell r="A2324" t="str">
            <v>in storage</v>
          </cell>
          <cell r="K2324" t="str">
            <v>LCAT</v>
          </cell>
          <cell r="AB2324" t="str">
            <v>Adrenal gland</v>
          </cell>
        </row>
        <row r="2325">
          <cell r="A2325" t="str">
            <v>in storage</v>
          </cell>
          <cell r="K2325" t="str">
            <v>ECOL</v>
          </cell>
          <cell r="AB2325" t="str">
            <v>GI- stomach</v>
          </cell>
        </row>
        <row r="2326">
          <cell r="A2326" t="str">
            <v>in storage</v>
          </cell>
          <cell r="K2326" t="str">
            <v>LCAT</v>
          </cell>
          <cell r="AB2326" t="str">
            <v>Kidney</v>
          </cell>
        </row>
        <row r="2327">
          <cell r="A2327" t="str">
            <v>in storage</v>
          </cell>
          <cell r="K2327" t="str">
            <v>LCAT</v>
          </cell>
          <cell r="AB2327" t="str">
            <v>Spleen</v>
          </cell>
        </row>
        <row r="2328">
          <cell r="A2328" t="str">
            <v>in storage</v>
          </cell>
          <cell r="K2328" t="str">
            <v>LCAT</v>
          </cell>
          <cell r="AB2328" t="str">
            <v>Lung</v>
          </cell>
        </row>
        <row r="2329">
          <cell r="A2329" t="str">
            <v>in storage</v>
          </cell>
          <cell r="K2329" t="str">
            <v>LCAT</v>
          </cell>
          <cell r="AB2329" t="str">
            <v>Liver</v>
          </cell>
        </row>
        <row r="2330">
          <cell r="A2330" t="str">
            <v>in storage</v>
          </cell>
          <cell r="K2330" t="str">
            <v>LCAT</v>
          </cell>
          <cell r="AB2330" t="str">
            <v>Thymus</v>
          </cell>
        </row>
        <row r="2331">
          <cell r="A2331" t="str">
            <v>in storage</v>
          </cell>
          <cell r="K2331" t="str">
            <v>LCAT</v>
          </cell>
          <cell r="AB2331" t="str">
            <v>Thyroid</v>
          </cell>
        </row>
        <row r="2332">
          <cell r="A2332" t="str">
            <v>in storage</v>
          </cell>
          <cell r="K2332" t="str">
            <v>ECOL</v>
          </cell>
          <cell r="AB2332" t="str">
            <v>GI Contents- stomach</v>
          </cell>
        </row>
        <row r="2333">
          <cell r="A2333" t="str">
            <v>in storage</v>
          </cell>
          <cell r="K2333" t="str">
            <v>NPYG</v>
          </cell>
          <cell r="AB2333" t="str">
            <v>Spleen</v>
          </cell>
        </row>
        <row r="2334">
          <cell r="A2334" t="str">
            <v>in storage</v>
          </cell>
          <cell r="K2334" t="str">
            <v>NPYG</v>
          </cell>
          <cell r="AB2334" t="str">
            <v>Heart</v>
          </cell>
        </row>
        <row r="2335">
          <cell r="A2335" t="str">
            <v>in storage</v>
          </cell>
          <cell r="K2335" t="str">
            <v>NPYG</v>
          </cell>
          <cell r="AB2335" t="str">
            <v>U- bladder</v>
          </cell>
        </row>
        <row r="2336">
          <cell r="A2336" t="str">
            <v>in storage</v>
          </cell>
          <cell r="K2336" t="str">
            <v>NPYG</v>
          </cell>
          <cell r="AB2336" t="str">
            <v>Liver</v>
          </cell>
        </row>
        <row r="2337">
          <cell r="A2337" t="str">
            <v>in storage</v>
          </cell>
          <cell r="K2337" t="str">
            <v>NPYG</v>
          </cell>
          <cell r="AB2337" t="str">
            <v>Skin</v>
          </cell>
        </row>
        <row r="2338">
          <cell r="A2338" t="str">
            <v>in storage</v>
          </cell>
          <cell r="K2338" t="str">
            <v>NPYG</v>
          </cell>
          <cell r="AB2338" t="str">
            <v>Kidney</v>
          </cell>
        </row>
        <row r="2339">
          <cell r="A2339" t="str">
            <v>in storage</v>
          </cell>
          <cell r="K2339" t="str">
            <v>NPYG</v>
          </cell>
          <cell r="AB2339" t="str">
            <v>Lung</v>
          </cell>
        </row>
        <row r="2340">
          <cell r="A2340" t="str">
            <v>in storage</v>
          </cell>
          <cell r="K2340" t="str">
            <v>NPYG</v>
          </cell>
          <cell r="AB2340" t="str">
            <v>R- teste(s)</v>
          </cell>
        </row>
        <row r="2341">
          <cell r="A2341" t="str">
            <v>in storage</v>
          </cell>
          <cell r="K2341" t="str">
            <v>NPYG</v>
          </cell>
          <cell r="AB2341" t="str">
            <v>Muscle</v>
          </cell>
        </row>
        <row r="2342">
          <cell r="A2342" t="str">
            <v>in storage</v>
          </cell>
          <cell r="K2342" t="str">
            <v>ESAN</v>
          </cell>
          <cell r="AB2342" t="str">
            <v>R- ovary</v>
          </cell>
        </row>
        <row r="2343">
          <cell r="A2343" t="str">
            <v>in storage</v>
          </cell>
          <cell r="K2343" t="str">
            <v>ECOL</v>
          </cell>
          <cell r="AB2343" t="str">
            <v>GI- large intestine</v>
          </cell>
        </row>
        <row r="2344">
          <cell r="A2344" t="str">
            <v>in storage</v>
          </cell>
          <cell r="K2344" t="str">
            <v>ESAN</v>
          </cell>
          <cell r="AB2344" t="str">
            <v>Kidney</v>
          </cell>
        </row>
        <row r="2345">
          <cell r="A2345" t="str">
            <v>in storage</v>
          </cell>
          <cell r="K2345" t="str">
            <v>ESAN</v>
          </cell>
          <cell r="AB2345" t="str">
            <v>Spleen</v>
          </cell>
        </row>
        <row r="2346">
          <cell r="A2346" t="str">
            <v>in storage</v>
          </cell>
          <cell r="K2346" t="str">
            <v>ESAN</v>
          </cell>
          <cell r="AB2346" t="str">
            <v>Heart</v>
          </cell>
        </row>
        <row r="2347">
          <cell r="A2347" t="str">
            <v>in storage</v>
          </cell>
          <cell r="K2347" t="str">
            <v>ESAN</v>
          </cell>
          <cell r="AB2347" t="str">
            <v>Lung</v>
          </cell>
        </row>
        <row r="2348">
          <cell r="A2348" t="str">
            <v>in storage</v>
          </cell>
          <cell r="K2348" t="str">
            <v>ESAN</v>
          </cell>
          <cell r="AB2348" t="str">
            <v>Liver</v>
          </cell>
        </row>
        <row r="2349">
          <cell r="A2349" t="str">
            <v>in storage</v>
          </cell>
          <cell r="K2349" t="str">
            <v>ESAN</v>
          </cell>
          <cell r="AB2349" t="str">
            <v>Blood</v>
          </cell>
        </row>
        <row r="2350">
          <cell r="A2350" t="str">
            <v>in storage</v>
          </cell>
          <cell r="K2350" t="str">
            <v>ESAN</v>
          </cell>
          <cell r="AB2350" t="str">
            <v>Blood</v>
          </cell>
        </row>
        <row r="2351">
          <cell r="A2351" t="str">
            <v>in storage</v>
          </cell>
          <cell r="K2351" t="str">
            <v>ESAN</v>
          </cell>
          <cell r="AB2351" t="str">
            <v>Lung</v>
          </cell>
        </row>
        <row r="2352">
          <cell r="A2352" t="str">
            <v>in storage</v>
          </cell>
          <cell r="K2352" t="str">
            <v>ESAN</v>
          </cell>
          <cell r="AB2352" t="str">
            <v>Lung</v>
          </cell>
        </row>
        <row r="2353">
          <cell r="A2353" t="str">
            <v>in storage</v>
          </cell>
          <cell r="K2353" t="str">
            <v>ESAN</v>
          </cell>
          <cell r="AB2353" t="str">
            <v>Pancreas</v>
          </cell>
        </row>
        <row r="2354">
          <cell r="A2354" t="str">
            <v>in storage</v>
          </cell>
          <cell r="K2354" t="str">
            <v>ESAN</v>
          </cell>
          <cell r="AB2354" t="str">
            <v>Pancreas</v>
          </cell>
        </row>
        <row r="2355">
          <cell r="A2355" t="str">
            <v>in storage</v>
          </cell>
          <cell r="K2355" t="str">
            <v>ESAN</v>
          </cell>
          <cell r="AB2355" t="str">
            <v>Skin</v>
          </cell>
        </row>
        <row r="2356">
          <cell r="A2356" t="str">
            <v>in storage</v>
          </cell>
          <cell r="K2356" t="str">
            <v>ESAN</v>
          </cell>
          <cell r="AB2356" t="str">
            <v>Skin</v>
          </cell>
        </row>
        <row r="2357">
          <cell r="A2357" t="str">
            <v>in storage</v>
          </cell>
          <cell r="K2357" t="str">
            <v>ESAN</v>
          </cell>
          <cell r="AB2357" t="str">
            <v>Spleen</v>
          </cell>
        </row>
        <row r="2358">
          <cell r="A2358" t="str">
            <v>in storage</v>
          </cell>
          <cell r="K2358" t="str">
            <v>ESAN</v>
          </cell>
          <cell r="AB2358" t="str">
            <v>Spleen</v>
          </cell>
        </row>
        <row r="2359">
          <cell r="A2359" t="str">
            <v>in storage</v>
          </cell>
          <cell r="K2359" t="str">
            <v>ESAN</v>
          </cell>
          <cell r="AB2359" t="str">
            <v>Kidney</v>
          </cell>
        </row>
        <row r="2360">
          <cell r="A2360" t="str">
            <v>in storage</v>
          </cell>
          <cell r="K2360" t="str">
            <v>ESAN</v>
          </cell>
          <cell r="AB2360" t="str">
            <v>Kidney</v>
          </cell>
        </row>
        <row r="2361">
          <cell r="A2361" t="str">
            <v>in storage</v>
          </cell>
          <cell r="K2361" t="str">
            <v>ESAN</v>
          </cell>
          <cell r="AB2361" t="str">
            <v>Liver</v>
          </cell>
        </row>
        <row r="2362">
          <cell r="A2362" t="str">
            <v>in storage</v>
          </cell>
          <cell r="K2362" t="str">
            <v>ESAN</v>
          </cell>
          <cell r="AB2362" t="str">
            <v>Liver</v>
          </cell>
        </row>
        <row r="2363">
          <cell r="A2363" t="str">
            <v>in storage</v>
          </cell>
          <cell r="K2363" t="str">
            <v>ESAN</v>
          </cell>
          <cell r="AB2363" t="str">
            <v>Heart</v>
          </cell>
        </row>
        <row r="2364">
          <cell r="A2364" t="str">
            <v>in storage</v>
          </cell>
          <cell r="K2364" t="str">
            <v>ESAN</v>
          </cell>
          <cell r="AB2364" t="str">
            <v>Heart</v>
          </cell>
        </row>
        <row r="2365">
          <cell r="A2365" t="str">
            <v>in storage</v>
          </cell>
          <cell r="K2365" t="str">
            <v>ESAN</v>
          </cell>
          <cell r="AB2365" t="str">
            <v>Thyroid</v>
          </cell>
        </row>
        <row r="2366">
          <cell r="A2366" t="str">
            <v>in storage</v>
          </cell>
          <cell r="K2366" t="str">
            <v>ESAN</v>
          </cell>
          <cell r="AB2366" t="str">
            <v>Trachea</v>
          </cell>
        </row>
        <row r="2367">
          <cell r="A2367" t="str">
            <v>in storage</v>
          </cell>
          <cell r="K2367" t="str">
            <v>ESAN</v>
          </cell>
          <cell r="AB2367" t="str">
            <v>Muscle</v>
          </cell>
        </row>
        <row r="2368">
          <cell r="A2368" t="str">
            <v>in storage</v>
          </cell>
          <cell r="K2368" t="str">
            <v>ESAN</v>
          </cell>
          <cell r="AB2368" t="str">
            <v>Muscle</v>
          </cell>
        </row>
        <row r="2369">
          <cell r="A2369" t="str">
            <v>in storage</v>
          </cell>
          <cell r="K2369" t="str">
            <v>ESAN</v>
          </cell>
          <cell r="AB2369" t="str">
            <v>Muscle</v>
          </cell>
        </row>
        <row r="2370">
          <cell r="A2370" t="str">
            <v>in storage</v>
          </cell>
          <cell r="K2370" t="str">
            <v>LCAT</v>
          </cell>
          <cell r="AB2370" t="str">
            <v>Digit- finger</v>
          </cell>
        </row>
        <row r="2371">
          <cell r="A2371" t="str">
            <v>unk</v>
          </cell>
          <cell r="K2371" t="str">
            <v>LCAT</v>
          </cell>
          <cell r="AB2371" t="str">
            <v>R- sperm plug</v>
          </cell>
        </row>
        <row r="2372">
          <cell r="A2372" t="str">
            <v>unk</v>
          </cell>
          <cell r="K2372" t="str">
            <v>PCOQ</v>
          </cell>
          <cell r="AB2372" t="str">
            <v>R- amniotic sac/ umbilical cord</v>
          </cell>
        </row>
        <row r="2373">
          <cell r="A2373" t="str">
            <v>in storage</v>
          </cell>
          <cell r="K2373" t="str">
            <v>PCOQ</v>
          </cell>
          <cell r="AB2373" t="str">
            <v>Adrenal gland</v>
          </cell>
        </row>
        <row r="2374">
          <cell r="A2374" t="str">
            <v>in storage</v>
          </cell>
          <cell r="K2374" t="str">
            <v>ECOL</v>
          </cell>
          <cell r="AB2374" t="str">
            <v>GI- small intestine</v>
          </cell>
        </row>
        <row r="2375">
          <cell r="A2375" t="str">
            <v>in storage</v>
          </cell>
          <cell r="K2375" t="str">
            <v>PCOQ</v>
          </cell>
          <cell r="AB2375" t="str">
            <v>Pancreas</v>
          </cell>
        </row>
        <row r="2376">
          <cell r="A2376" t="str">
            <v>in storage</v>
          </cell>
          <cell r="K2376" t="str">
            <v>PCOQ</v>
          </cell>
          <cell r="AB2376" t="str">
            <v>Kidney</v>
          </cell>
        </row>
        <row r="2377">
          <cell r="A2377" t="str">
            <v>in storage</v>
          </cell>
          <cell r="K2377" t="str">
            <v>PCOQ</v>
          </cell>
          <cell r="AB2377" t="str">
            <v>Spleen</v>
          </cell>
        </row>
        <row r="2378">
          <cell r="A2378" t="str">
            <v>in storage</v>
          </cell>
          <cell r="K2378" t="str">
            <v>PCOQ</v>
          </cell>
          <cell r="AB2378" t="str">
            <v>Lung</v>
          </cell>
        </row>
        <row r="2379">
          <cell r="A2379" t="str">
            <v>in storage</v>
          </cell>
          <cell r="K2379" t="str">
            <v>PCOQ</v>
          </cell>
          <cell r="AB2379" t="str">
            <v>Liver</v>
          </cell>
        </row>
        <row r="2380">
          <cell r="A2380" t="str">
            <v>in storage</v>
          </cell>
          <cell r="K2380" t="str">
            <v>PCOQ</v>
          </cell>
          <cell r="AB2380" t="str">
            <v>Heart</v>
          </cell>
        </row>
        <row r="2381">
          <cell r="A2381" t="str">
            <v>in storage</v>
          </cell>
          <cell r="K2381" t="str">
            <v>PCOQ</v>
          </cell>
          <cell r="AB2381" t="str">
            <v>R- teste(s)</v>
          </cell>
        </row>
        <row r="2382">
          <cell r="A2382" t="str">
            <v>unk</v>
          </cell>
          <cell r="K2382" t="str">
            <v>PCOQ</v>
          </cell>
          <cell r="AB2382" t="str">
            <v>R- amniotic sac/ umbilical cord</v>
          </cell>
        </row>
        <row r="2383">
          <cell r="A2383" t="str">
            <v>in storage</v>
          </cell>
          <cell r="K2383" t="str">
            <v>HGG</v>
          </cell>
          <cell r="AB2383" t="str">
            <v>Adrenal gland</v>
          </cell>
        </row>
        <row r="2384">
          <cell r="A2384" t="str">
            <v>in storage</v>
          </cell>
          <cell r="K2384" t="str">
            <v>HGG</v>
          </cell>
          <cell r="AB2384" t="str">
            <v>Adrenal gland</v>
          </cell>
        </row>
        <row r="2385">
          <cell r="A2385" t="str">
            <v>in storage</v>
          </cell>
          <cell r="K2385" t="str">
            <v>ECOL</v>
          </cell>
          <cell r="AB2385" t="str">
            <v>GI- stomach</v>
          </cell>
        </row>
        <row r="2386">
          <cell r="A2386" t="str">
            <v>in storage</v>
          </cell>
          <cell r="K2386" t="str">
            <v>ECOR</v>
          </cell>
          <cell r="AB2386" t="str">
            <v>GI Contents- large intestine</v>
          </cell>
        </row>
        <row r="2387">
          <cell r="A2387" t="str">
            <v>in storage</v>
          </cell>
          <cell r="K2387" t="str">
            <v>ECOR</v>
          </cell>
          <cell r="AB2387" t="str">
            <v>GI Tract</v>
          </cell>
        </row>
        <row r="2388">
          <cell r="A2388" t="str">
            <v>in storage</v>
          </cell>
          <cell r="K2388" t="str">
            <v>ECOR</v>
          </cell>
          <cell r="AB2388" t="str">
            <v>GI Tract</v>
          </cell>
        </row>
        <row r="2389">
          <cell r="A2389" t="str">
            <v>in storage</v>
          </cell>
          <cell r="K2389" t="str">
            <v>HGG</v>
          </cell>
          <cell r="AB2389" t="str">
            <v>Pancreas</v>
          </cell>
        </row>
        <row r="2390">
          <cell r="A2390" t="str">
            <v>in storage</v>
          </cell>
          <cell r="K2390" t="str">
            <v>HGG</v>
          </cell>
          <cell r="AB2390" t="str">
            <v>Kidney</v>
          </cell>
        </row>
        <row r="2391">
          <cell r="A2391" t="str">
            <v>in storage</v>
          </cell>
          <cell r="K2391" t="str">
            <v>HGG</v>
          </cell>
          <cell r="AB2391" t="str">
            <v>Spleen</v>
          </cell>
        </row>
        <row r="2392">
          <cell r="A2392" t="str">
            <v>in storage</v>
          </cell>
          <cell r="K2392" t="str">
            <v>HGG</v>
          </cell>
          <cell r="AB2392" t="str">
            <v>Heart</v>
          </cell>
        </row>
        <row r="2393">
          <cell r="A2393" t="str">
            <v>in storage</v>
          </cell>
          <cell r="K2393" t="str">
            <v>HGG</v>
          </cell>
          <cell r="AB2393" t="str">
            <v>Lung</v>
          </cell>
        </row>
        <row r="2394">
          <cell r="A2394" t="str">
            <v>in storage</v>
          </cell>
          <cell r="K2394" t="str">
            <v>HGG</v>
          </cell>
          <cell r="AB2394" t="str">
            <v>Liver</v>
          </cell>
        </row>
        <row r="2395">
          <cell r="A2395" t="str">
            <v>unk</v>
          </cell>
          <cell r="K2395" t="str">
            <v>HGG</v>
          </cell>
          <cell r="AB2395" t="str">
            <v>Thyroid</v>
          </cell>
        </row>
        <row r="2396">
          <cell r="A2396" t="str">
            <v>in storage</v>
          </cell>
          <cell r="K2396" t="str">
            <v>HGG</v>
          </cell>
          <cell r="AB2396" t="str">
            <v>Blood</v>
          </cell>
        </row>
        <row r="2397">
          <cell r="A2397" t="str">
            <v>in storage</v>
          </cell>
          <cell r="K2397" t="str">
            <v>HGG</v>
          </cell>
          <cell r="AB2397" t="str">
            <v>Blood</v>
          </cell>
        </row>
        <row r="2398">
          <cell r="A2398" t="str">
            <v>in storage</v>
          </cell>
          <cell r="K2398" t="str">
            <v>HGG</v>
          </cell>
          <cell r="AB2398" t="str">
            <v>Heart</v>
          </cell>
        </row>
        <row r="2399">
          <cell r="A2399" t="str">
            <v>in storage</v>
          </cell>
          <cell r="K2399" t="str">
            <v>HGG</v>
          </cell>
          <cell r="AB2399" t="str">
            <v>Heart</v>
          </cell>
        </row>
        <row r="2400">
          <cell r="A2400" t="str">
            <v>in storage</v>
          </cell>
          <cell r="K2400" t="str">
            <v>HGG</v>
          </cell>
          <cell r="AB2400" t="str">
            <v>Lung</v>
          </cell>
        </row>
        <row r="2401">
          <cell r="A2401" t="str">
            <v>in storage</v>
          </cell>
          <cell r="K2401" t="str">
            <v>HGG</v>
          </cell>
          <cell r="AB2401" t="str">
            <v>Lung</v>
          </cell>
        </row>
        <row r="2402">
          <cell r="A2402" t="str">
            <v>in storage</v>
          </cell>
          <cell r="K2402" t="str">
            <v>HGG</v>
          </cell>
          <cell r="AB2402" t="str">
            <v>Pancreas</v>
          </cell>
        </row>
        <row r="2403">
          <cell r="A2403" t="str">
            <v>in storage</v>
          </cell>
          <cell r="K2403" t="str">
            <v>HGG</v>
          </cell>
          <cell r="AB2403" t="str">
            <v>Pancreas</v>
          </cell>
        </row>
        <row r="2404">
          <cell r="A2404" t="str">
            <v>in storage</v>
          </cell>
          <cell r="K2404" t="str">
            <v>HGG</v>
          </cell>
          <cell r="AB2404" t="str">
            <v>Skin</v>
          </cell>
        </row>
        <row r="2405">
          <cell r="A2405" t="str">
            <v>in storage</v>
          </cell>
          <cell r="K2405" t="str">
            <v>HGG</v>
          </cell>
          <cell r="AB2405" t="str">
            <v>Spleen</v>
          </cell>
        </row>
        <row r="2406">
          <cell r="A2406" t="str">
            <v>in storage</v>
          </cell>
          <cell r="K2406" t="str">
            <v>HGG</v>
          </cell>
          <cell r="AB2406" t="str">
            <v>Spleen</v>
          </cell>
        </row>
        <row r="2407">
          <cell r="A2407" t="str">
            <v>in storage</v>
          </cell>
          <cell r="K2407" t="str">
            <v>HGG</v>
          </cell>
          <cell r="AB2407" t="str">
            <v>Kidney</v>
          </cell>
        </row>
        <row r="2408">
          <cell r="A2408" t="str">
            <v>in storage</v>
          </cell>
          <cell r="K2408" t="str">
            <v>HGG</v>
          </cell>
          <cell r="AB2408" t="str">
            <v>Kidney</v>
          </cell>
        </row>
        <row r="2409">
          <cell r="A2409" t="str">
            <v>in storage</v>
          </cell>
          <cell r="K2409" t="str">
            <v>HGG</v>
          </cell>
          <cell r="AB2409" t="str">
            <v>Liver</v>
          </cell>
        </row>
        <row r="2410">
          <cell r="A2410" t="str">
            <v>in storage</v>
          </cell>
          <cell r="K2410" t="str">
            <v>HGG</v>
          </cell>
          <cell r="AB2410" t="str">
            <v>Liver</v>
          </cell>
        </row>
        <row r="2411">
          <cell r="A2411" t="str">
            <v>in storage</v>
          </cell>
          <cell r="K2411" t="str">
            <v>HGG</v>
          </cell>
          <cell r="AB2411" t="str">
            <v>Muscle</v>
          </cell>
        </row>
        <row r="2412">
          <cell r="A2412" t="str">
            <v>in storage</v>
          </cell>
          <cell r="K2412" t="str">
            <v>HGG</v>
          </cell>
          <cell r="AB2412" t="str">
            <v>Muscle</v>
          </cell>
        </row>
        <row r="2413">
          <cell r="A2413" t="str">
            <v>in storage</v>
          </cell>
          <cell r="K2413" t="str">
            <v>VRUB</v>
          </cell>
          <cell r="AB2413" t="str">
            <v>R- ovary</v>
          </cell>
        </row>
        <row r="2414">
          <cell r="A2414" t="str">
            <v>in storage</v>
          </cell>
          <cell r="K2414" t="str">
            <v>ECOR</v>
          </cell>
          <cell r="AB2414" t="str">
            <v>GI Contents- cecum</v>
          </cell>
        </row>
        <row r="2415">
          <cell r="A2415" t="str">
            <v>in storage</v>
          </cell>
          <cell r="K2415" t="str">
            <v>ECOR</v>
          </cell>
          <cell r="AB2415" t="str">
            <v>GI- large intestine</v>
          </cell>
        </row>
        <row r="2416">
          <cell r="A2416" t="str">
            <v>in storage</v>
          </cell>
          <cell r="K2416" t="str">
            <v>VRUB</v>
          </cell>
          <cell r="AB2416" t="str">
            <v>Peritoneal effusion</v>
          </cell>
        </row>
        <row r="2417">
          <cell r="A2417" t="str">
            <v>in storage</v>
          </cell>
          <cell r="K2417" t="str">
            <v>ECOR</v>
          </cell>
          <cell r="AB2417" t="str">
            <v>GI- small intestine</v>
          </cell>
        </row>
        <row r="2418">
          <cell r="A2418" t="str">
            <v>in storage</v>
          </cell>
          <cell r="K2418" t="str">
            <v>ECOR</v>
          </cell>
          <cell r="AB2418" t="str">
            <v>GI- stomach</v>
          </cell>
        </row>
        <row r="2419">
          <cell r="A2419" t="str">
            <v>in storage</v>
          </cell>
          <cell r="K2419" t="str">
            <v>VRUB</v>
          </cell>
          <cell r="AB2419" t="str">
            <v>Liver</v>
          </cell>
        </row>
        <row r="2420">
          <cell r="A2420" t="str">
            <v>in storage</v>
          </cell>
          <cell r="K2420" t="str">
            <v>ECOR</v>
          </cell>
          <cell r="AB2420" t="str">
            <v>GI Contents- large intestine</v>
          </cell>
        </row>
        <row r="2421">
          <cell r="A2421" t="str">
            <v>in storage</v>
          </cell>
          <cell r="K2421" t="str">
            <v>VRUB</v>
          </cell>
          <cell r="AB2421" t="str">
            <v>Pancreas</v>
          </cell>
        </row>
        <row r="2422">
          <cell r="A2422" t="str">
            <v>in storage</v>
          </cell>
          <cell r="K2422" t="str">
            <v>VRUB</v>
          </cell>
          <cell r="AB2422" t="str">
            <v>Kidney</v>
          </cell>
        </row>
        <row r="2423">
          <cell r="A2423" t="str">
            <v>in storage</v>
          </cell>
          <cell r="K2423" t="str">
            <v>VRUB</v>
          </cell>
          <cell r="AB2423" t="str">
            <v>Spleen</v>
          </cell>
        </row>
        <row r="2424">
          <cell r="A2424" t="str">
            <v>in storage</v>
          </cell>
          <cell r="K2424" t="str">
            <v>VRUB</v>
          </cell>
          <cell r="AB2424" t="str">
            <v>Heart</v>
          </cell>
        </row>
        <row r="2425">
          <cell r="A2425" t="str">
            <v>in storage</v>
          </cell>
          <cell r="K2425" t="str">
            <v>VRUB</v>
          </cell>
          <cell r="AB2425" t="str">
            <v>Lung</v>
          </cell>
        </row>
        <row r="2426">
          <cell r="A2426" t="str">
            <v>in storage</v>
          </cell>
          <cell r="K2426" t="str">
            <v>VRUB</v>
          </cell>
          <cell r="AB2426" t="str">
            <v>Liver</v>
          </cell>
        </row>
        <row r="2427">
          <cell r="A2427" t="str">
            <v>in storage</v>
          </cell>
          <cell r="K2427" t="str">
            <v>VRUB</v>
          </cell>
          <cell r="AB2427" t="str">
            <v>Liver- nodule</v>
          </cell>
        </row>
        <row r="2428">
          <cell r="A2428" t="str">
            <v>in storage</v>
          </cell>
          <cell r="K2428" t="str">
            <v>VRUB</v>
          </cell>
          <cell r="AB2428" t="str">
            <v>Blood</v>
          </cell>
        </row>
        <row r="2429">
          <cell r="A2429" t="str">
            <v>in storage</v>
          </cell>
          <cell r="K2429" t="str">
            <v>VRUB</v>
          </cell>
          <cell r="AB2429" t="str">
            <v>Blood</v>
          </cell>
        </row>
        <row r="2430">
          <cell r="A2430" t="str">
            <v>in storage</v>
          </cell>
          <cell r="K2430" t="str">
            <v>VRUB</v>
          </cell>
          <cell r="AB2430" t="str">
            <v>Heart</v>
          </cell>
        </row>
        <row r="2431">
          <cell r="A2431" t="str">
            <v>in storage</v>
          </cell>
          <cell r="K2431" t="str">
            <v>VRUB</v>
          </cell>
          <cell r="AB2431" t="str">
            <v>Heart</v>
          </cell>
        </row>
        <row r="2432">
          <cell r="A2432" t="str">
            <v>in storage</v>
          </cell>
          <cell r="K2432" t="str">
            <v>VRUB</v>
          </cell>
          <cell r="AB2432" t="str">
            <v>Lung</v>
          </cell>
        </row>
        <row r="2433">
          <cell r="A2433" t="str">
            <v>in storage</v>
          </cell>
          <cell r="K2433" t="str">
            <v>VRUB</v>
          </cell>
          <cell r="AB2433" t="str">
            <v>Lung</v>
          </cell>
        </row>
        <row r="2434">
          <cell r="A2434" t="str">
            <v>in storage</v>
          </cell>
          <cell r="K2434" t="str">
            <v>VRUB</v>
          </cell>
          <cell r="AB2434" t="str">
            <v>Pancreas</v>
          </cell>
        </row>
        <row r="2435">
          <cell r="A2435" t="str">
            <v>in storage</v>
          </cell>
          <cell r="K2435" t="str">
            <v>VRUB</v>
          </cell>
          <cell r="AB2435" t="str">
            <v>Skin</v>
          </cell>
        </row>
        <row r="2436">
          <cell r="A2436" t="str">
            <v>in storage</v>
          </cell>
          <cell r="K2436" t="str">
            <v>VRUB</v>
          </cell>
          <cell r="AB2436" t="str">
            <v>Spleen</v>
          </cell>
        </row>
        <row r="2437">
          <cell r="A2437" t="str">
            <v>in storage</v>
          </cell>
          <cell r="K2437" t="str">
            <v>VRUB</v>
          </cell>
          <cell r="AB2437" t="str">
            <v>Spleen</v>
          </cell>
        </row>
        <row r="2438">
          <cell r="A2438" t="str">
            <v>in storage</v>
          </cell>
          <cell r="K2438" t="str">
            <v>VRUB</v>
          </cell>
          <cell r="AB2438" t="str">
            <v>Liver</v>
          </cell>
        </row>
        <row r="2439">
          <cell r="A2439" t="str">
            <v>in storage</v>
          </cell>
          <cell r="K2439" t="str">
            <v>VRUB</v>
          </cell>
          <cell r="AB2439" t="str">
            <v>Kidney</v>
          </cell>
        </row>
        <row r="2440">
          <cell r="A2440" t="str">
            <v>in storage</v>
          </cell>
          <cell r="K2440" t="str">
            <v>VRUB</v>
          </cell>
          <cell r="AB2440" t="str">
            <v>Kidney</v>
          </cell>
        </row>
        <row r="2441">
          <cell r="A2441" t="str">
            <v>in storage</v>
          </cell>
          <cell r="K2441" t="str">
            <v>VRUB</v>
          </cell>
          <cell r="AB2441" t="str">
            <v>Pancreas</v>
          </cell>
        </row>
        <row r="2442">
          <cell r="A2442" t="str">
            <v>in storage</v>
          </cell>
          <cell r="K2442" t="str">
            <v>ECOR</v>
          </cell>
          <cell r="AB2442" t="str">
            <v>GI Contents- duodenum</v>
          </cell>
        </row>
        <row r="2443">
          <cell r="A2443" t="str">
            <v>unk</v>
          </cell>
          <cell r="K2443" t="str">
            <v>VRUB</v>
          </cell>
          <cell r="AB2443" t="str">
            <v>Lymph node</v>
          </cell>
        </row>
        <row r="2444">
          <cell r="A2444" t="str">
            <v>in storage</v>
          </cell>
          <cell r="K2444" t="str">
            <v>VRUB</v>
          </cell>
          <cell r="AB2444" t="str">
            <v>Muscle</v>
          </cell>
        </row>
        <row r="2445">
          <cell r="A2445" t="str">
            <v>in storage</v>
          </cell>
          <cell r="K2445" t="str">
            <v>VRUB</v>
          </cell>
          <cell r="AB2445" t="str">
            <v>Muscle</v>
          </cell>
        </row>
        <row r="2446">
          <cell r="A2446" t="str">
            <v>in storage</v>
          </cell>
          <cell r="K2446" t="str">
            <v>ECOR</v>
          </cell>
          <cell r="AB2446" t="str">
            <v>GI Contents- ileum</v>
          </cell>
        </row>
        <row r="2447">
          <cell r="A2447" t="str">
            <v>in storage</v>
          </cell>
          <cell r="K2447" t="str">
            <v>ECOR</v>
          </cell>
          <cell r="AB2447" t="str">
            <v>GI Contents- jejunum</v>
          </cell>
        </row>
        <row r="2448">
          <cell r="A2448" t="str">
            <v>in storage</v>
          </cell>
          <cell r="K2448" t="str">
            <v>EMAC</v>
          </cell>
          <cell r="AB2448" t="str">
            <v>Blood</v>
          </cell>
        </row>
        <row r="2449">
          <cell r="A2449" t="str">
            <v>in storage</v>
          </cell>
          <cell r="K2449" t="str">
            <v>EMAC</v>
          </cell>
          <cell r="AB2449" t="str">
            <v>Blood</v>
          </cell>
        </row>
        <row r="2450">
          <cell r="A2450" t="str">
            <v>in storage</v>
          </cell>
          <cell r="K2450" t="str">
            <v>ECOR</v>
          </cell>
          <cell r="AB2450" t="str">
            <v>GI Contents- colon</v>
          </cell>
        </row>
        <row r="2451">
          <cell r="A2451" t="str">
            <v>in storage</v>
          </cell>
          <cell r="K2451" t="str">
            <v>ECOR</v>
          </cell>
          <cell r="AB2451" t="str">
            <v>GI Contents- stomach</v>
          </cell>
        </row>
        <row r="2452">
          <cell r="A2452" t="str">
            <v>in storage</v>
          </cell>
          <cell r="K2452" t="str">
            <v>EMAC</v>
          </cell>
          <cell r="AB2452" t="str">
            <v>Heart</v>
          </cell>
        </row>
        <row r="2453">
          <cell r="A2453" t="str">
            <v>in storage</v>
          </cell>
          <cell r="K2453" t="str">
            <v>EMAC</v>
          </cell>
          <cell r="AB2453" t="str">
            <v>Heart</v>
          </cell>
        </row>
        <row r="2454">
          <cell r="A2454" t="str">
            <v>in storage</v>
          </cell>
          <cell r="K2454" t="str">
            <v>EMAC</v>
          </cell>
          <cell r="AB2454" t="str">
            <v>Lung</v>
          </cell>
        </row>
        <row r="2455">
          <cell r="A2455" t="str">
            <v>in storage</v>
          </cell>
          <cell r="K2455" t="str">
            <v>EMAC</v>
          </cell>
          <cell r="AB2455" t="str">
            <v>Lung</v>
          </cell>
        </row>
        <row r="2456">
          <cell r="A2456" t="str">
            <v>in storage</v>
          </cell>
          <cell r="K2456" t="str">
            <v>EMAC</v>
          </cell>
          <cell r="AB2456" t="str">
            <v>Pancreas</v>
          </cell>
        </row>
        <row r="2457">
          <cell r="A2457" t="str">
            <v>in storage</v>
          </cell>
          <cell r="K2457" t="str">
            <v>EMAC</v>
          </cell>
          <cell r="AB2457" t="str">
            <v>Pancreas</v>
          </cell>
        </row>
        <row r="2458">
          <cell r="A2458" t="str">
            <v>in storage</v>
          </cell>
          <cell r="K2458" t="str">
            <v>EMAC</v>
          </cell>
          <cell r="AB2458" t="str">
            <v>Skin</v>
          </cell>
        </row>
        <row r="2459">
          <cell r="A2459" t="str">
            <v>in storage</v>
          </cell>
          <cell r="K2459" t="str">
            <v>EMAC</v>
          </cell>
          <cell r="AB2459" t="str">
            <v>Skin</v>
          </cell>
        </row>
        <row r="2460">
          <cell r="A2460" t="str">
            <v>in storage</v>
          </cell>
          <cell r="K2460" t="str">
            <v>EMAC</v>
          </cell>
          <cell r="AB2460" t="str">
            <v>Spleen</v>
          </cell>
        </row>
        <row r="2461">
          <cell r="A2461" t="str">
            <v>in storage</v>
          </cell>
          <cell r="K2461" t="str">
            <v>EMAC</v>
          </cell>
          <cell r="AB2461" t="str">
            <v>Kidney</v>
          </cell>
        </row>
        <row r="2462">
          <cell r="A2462" t="str">
            <v>in storage</v>
          </cell>
          <cell r="K2462" t="str">
            <v>EMAC</v>
          </cell>
          <cell r="AB2462" t="str">
            <v>Liver</v>
          </cell>
        </row>
        <row r="2463">
          <cell r="A2463" t="str">
            <v>in storage</v>
          </cell>
          <cell r="K2463" t="str">
            <v>EMAC</v>
          </cell>
          <cell r="AB2463" t="str">
            <v>Liver</v>
          </cell>
        </row>
        <row r="2464">
          <cell r="A2464" t="str">
            <v>in storage</v>
          </cell>
          <cell r="K2464" t="str">
            <v>EMAC</v>
          </cell>
          <cell r="AB2464" t="str">
            <v>Spleen</v>
          </cell>
        </row>
        <row r="2465">
          <cell r="A2465" t="str">
            <v>in storage</v>
          </cell>
          <cell r="K2465" t="str">
            <v>EMAC</v>
          </cell>
          <cell r="AB2465" t="str">
            <v>Kidney</v>
          </cell>
        </row>
        <row r="2466">
          <cell r="A2466" t="str">
            <v>in storage</v>
          </cell>
          <cell r="K2466" t="str">
            <v>ECOR</v>
          </cell>
          <cell r="AB2466" t="str">
            <v>GI- cecum</v>
          </cell>
        </row>
        <row r="2467">
          <cell r="A2467" t="str">
            <v>in storage</v>
          </cell>
          <cell r="K2467" t="str">
            <v>ECOR</v>
          </cell>
          <cell r="AB2467" t="str">
            <v>GI- large intestine</v>
          </cell>
        </row>
        <row r="2468">
          <cell r="A2468" t="str">
            <v>in storage</v>
          </cell>
          <cell r="K2468" t="str">
            <v>ECOR</v>
          </cell>
          <cell r="AB2468" t="str">
            <v>GI- small intestine</v>
          </cell>
        </row>
        <row r="2469">
          <cell r="A2469" t="str">
            <v>in storage</v>
          </cell>
          <cell r="K2469" t="str">
            <v>EMAC</v>
          </cell>
          <cell r="AB2469" t="str">
            <v>Pancreas</v>
          </cell>
        </row>
        <row r="2470">
          <cell r="A2470" t="str">
            <v>in storage</v>
          </cell>
          <cell r="K2470" t="str">
            <v>EMAC</v>
          </cell>
          <cell r="AB2470" t="str">
            <v>Kidney</v>
          </cell>
        </row>
        <row r="2471">
          <cell r="A2471" t="str">
            <v>in storage</v>
          </cell>
          <cell r="K2471" t="str">
            <v>EMAC</v>
          </cell>
          <cell r="AB2471" t="str">
            <v>Spleen</v>
          </cell>
        </row>
        <row r="2472">
          <cell r="A2472" t="str">
            <v>in storage</v>
          </cell>
          <cell r="K2472" t="str">
            <v>EMAC</v>
          </cell>
          <cell r="AB2472" t="str">
            <v>Heart</v>
          </cell>
        </row>
        <row r="2473">
          <cell r="A2473" t="str">
            <v>in storage</v>
          </cell>
          <cell r="K2473" t="str">
            <v>EMAC</v>
          </cell>
          <cell r="AB2473" t="str">
            <v>Lung</v>
          </cell>
        </row>
        <row r="2474">
          <cell r="A2474" t="str">
            <v>in storage</v>
          </cell>
          <cell r="K2474" t="str">
            <v>EMAC</v>
          </cell>
          <cell r="AB2474" t="str">
            <v>Liver</v>
          </cell>
        </row>
        <row r="2475">
          <cell r="A2475" t="str">
            <v>in storage</v>
          </cell>
          <cell r="K2475" t="str">
            <v>EMAC</v>
          </cell>
          <cell r="AB2475" t="str">
            <v>Lymph node</v>
          </cell>
        </row>
        <row r="2476">
          <cell r="A2476" t="str">
            <v>in storage</v>
          </cell>
          <cell r="K2476" t="str">
            <v>EMAC</v>
          </cell>
          <cell r="AB2476" t="str">
            <v>R- teste(s)</v>
          </cell>
        </row>
        <row r="2477">
          <cell r="A2477" t="str">
            <v>in storage</v>
          </cell>
          <cell r="K2477" t="str">
            <v>EMAC</v>
          </cell>
          <cell r="AB2477" t="str">
            <v>R- teste(s)</v>
          </cell>
        </row>
        <row r="2478">
          <cell r="A2478" t="str">
            <v>in storage</v>
          </cell>
          <cell r="K2478" t="str">
            <v>EMAC</v>
          </cell>
          <cell r="AB2478" t="str">
            <v>R- teste(s)</v>
          </cell>
        </row>
        <row r="2479">
          <cell r="A2479" t="str">
            <v>in storage</v>
          </cell>
          <cell r="K2479" t="str">
            <v>EMAC</v>
          </cell>
          <cell r="AB2479" t="str">
            <v>Muscle</v>
          </cell>
        </row>
        <row r="2480">
          <cell r="A2480" t="str">
            <v>in storage</v>
          </cell>
          <cell r="K2480" t="str">
            <v>EMAC</v>
          </cell>
          <cell r="AB2480" t="str">
            <v>Muscle</v>
          </cell>
        </row>
        <row r="2481">
          <cell r="A2481" t="str">
            <v>in storage</v>
          </cell>
          <cell r="K2481" t="str">
            <v>EMAC</v>
          </cell>
          <cell r="AB2481" t="str">
            <v>Muscle</v>
          </cell>
        </row>
        <row r="2482">
          <cell r="A2482" t="str">
            <v>in storage</v>
          </cell>
          <cell r="K2482" t="str">
            <v>ERUB</v>
          </cell>
          <cell r="AB2482" t="str">
            <v>Adrenal gland</v>
          </cell>
        </row>
        <row r="2483">
          <cell r="A2483" t="str">
            <v>in storage</v>
          </cell>
          <cell r="K2483" t="str">
            <v>ERUB</v>
          </cell>
          <cell r="AB2483" t="str">
            <v>Heart</v>
          </cell>
        </row>
        <row r="2484">
          <cell r="A2484" t="str">
            <v>in storage</v>
          </cell>
          <cell r="K2484" t="str">
            <v>ERUB</v>
          </cell>
          <cell r="AB2484" t="str">
            <v>Lung</v>
          </cell>
        </row>
        <row r="2485">
          <cell r="A2485" t="str">
            <v>in storage</v>
          </cell>
          <cell r="K2485" t="str">
            <v>ERUB</v>
          </cell>
          <cell r="AB2485" t="str">
            <v>Lung</v>
          </cell>
        </row>
        <row r="2486">
          <cell r="A2486" t="str">
            <v>in storage</v>
          </cell>
          <cell r="K2486" t="str">
            <v>ERUB</v>
          </cell>
          <cell r="AB2486" t="str">
            <v>Pancreas</v>
          </cell>
        </row>
        <row r="2487">
          <cell r="A2487" t="str">
            <v>in storage</v>
          </cell>
          <cell r="K2487" t="str">
            <v>ERUB</v>
          </cell>
          <cell r="AB2487" t="str">
            <v>Pancreas</v>
          </cell>
        </row>
        <row r="2488">
          <cell r="A2488" t="str">
            <v>in storage</v>
          </cell>
          <cell r="K2488" t="str">
            <v>ERUB</v>
          </cell>
          <cell r="AB2488" t="str">
            <v>Skin</v>
          </cell>
        </row>
        <row r="2489">
          <cell r="A2489" t="str">
            <v>in storage</v>
          </cell>
          <cell r="K2489" t="str">
            <v>ERUB</v>
          </cell>
          <cell r="AB2489" t="str">
            <v>Spleen</v>
          </cell>
        </row>
        <row r="2490">
          <cell r="A2490" t="str">
            <v>in storage</v>
          </cell>
          <cell r="K2490" t="str">
            <v>ERUB</v>
          </cell>
          <cell r="AB2490" t="str">
            <v>Spleen</v>
          </cell>
        </row>
        <row r="2491">
          <cell r="A2491" t="str">
            <v>in storage</v>
          </cell>
          <cell r="K2491" t="str">
            <v>ERUB</v>
          </cell>
          <cell r="AB2491" t="str">
            <v>Kidney</v>
          </cell>
        </row>
        <row r="2492">
          <cell r="A2492" t="str">
            <v>in storage</v>
          </cell>
          <cell r="K2492" t="str">
            <v>ERUB</v>
          </cell>
          <cell r="AB2492" t="str">
            <v>Liver</v>
          </cell>
        </row>
        <row r="2493">
          <cell r="A2493" t="str">
            <v>in storage</v>
          </cell>
          <cell r="K2493" t="str">
            <v>ERUB</v>
          </cell>
          <cell r="AB2493" t="str">
            <v>Liver</v>
          </cell>
        </row>
        <row r="2494">
          <cell r="A2494" t="str">
            <v>in storage</v>
          </cell>
          <cell r="K2494" t="str">
            <v>ERUB</v>
          </cell>
          <cell r="AB2494" t="str">
            <v>Heart</v>
          </cell>
        </row>
        <row r="2495">
          <cell r="A2495" t="str">
            <v>in storage</v>
          </cell>
          <cell r="K2495" t="str">
            <v>ERUB</v>
          </cell>
          <cell r="AB2495" t="str">
            <v>Skin</v>
          </cell>
        </row>
        <row r="2496">
          <cell r="A2496" t="str">
            <v>in storage</v>
          </cell>
          <cell r="K2496" t="str">
            <v>ERUB</v>
          </cell>
          <cell r="AB2496" t="str">
            <v>Kidney</v>
          </cell>
        </row>
        <row r="2497">
          <cell r="A2497" t="str">
            <v>in storage</v>
          </cell>
          <cell r="K2497" t="str">
            <v>ECOR</v>
          </cell>
          <cell r="AB2497" t="str">
            <v>GI- stomach</v>
          </cell>
        </row>
        <row r="2498">
          <cell r="A2498" t="str">
            <v>in storage</v>
          </cell>
          <cell r="K2498" t="str">
            <v>ECOR</v>
          </cell>
          <cell r="AB2498" t="str">
            <v>GI Contents- cecum</v>
          </cell>
        </row>
        <row r="2499">
          <cell r="A2499" t="str">
            <v>in storage</v>
          </cell>
          <cell r="K2499" t="str">
            <v>ECOR</v>
          </cell>
          <cell r="AB2499" t="str">
            <v>GI- cecum</v>
          </cell>
        </row>
        <row r="2500">
          <cell r="A2500" t="str">
            <v>in storage</v>
          </cell>
          <cell r="K2500" t="str">
            <v>ECOR</v>
          </cell>
          <cell r="AB2500" t="str">
            <v>GI- duodenum</v>
          </cell>
        </row>
        <row r="2501">
          <cell r="A2501" t="str">
            <v>in storage</v>
          </cell>
          <cell r="K2501" t="str">
            <v>ERUB</v>
          </cell>
          <cell r="AB2501" t="str">
            <v>Pancreas</v>
          </cell>
        </row>
        <row r="2502">
          <cell r="A2502" t="str">
            <v>in storage</v>
          </cell>
          <cell r="K2502" t="str">
            <v>ERUB</v>
          </cell>
          <cell r="AB2502" t="str">
            <v>Kidney</v>
          </cell>
        </row>
        <row r="2503">
          <cell r="A2503" t="str">
            <v>in storage</v>
          </cell>
          <cell r="K2503" t="str">
            <v>ERUB</v>
          </cell>
          <cell r="AB2503" t="str">
            <v>Spleen</v>
          </cell>
        </row>
        <row r="2504">
          <cell r="A2504" t="str">
            <v>in storage</v>
          </cell>
          <cell r="K2504" t="str">
            <v>ERUB</v>
          </cell>
          <cell r="AB2504" t="str">
            <v>Heart</v>
          </cell>
        </row>
        <row r="2505">
          <cell r="A2505" t="str">
            <v>in storage</v>
          </cell>
          <cell r="K2505" t="str">
            <v>ERUB</v>
          </cell>
          <cell r="AB2505" t="str">
            <v>Lung</v>
          </cell>
        </row>
        <row r="2506">
          <cell r="A2506" t="str">
            <v>in storage</v>
          </cell>
          <cell r="K2506" t="str">
            <v>ERUB</v>
          </cell>
          <cell r="AB2506" t="str">
            <v>Liver</v>
          </cell>
        </row>
        <row r="2507">
          <cell r="A2507" t="str">
            <v>in storage</v>
          </cell>
          <cell r="K2507" t="str">
            <v>ERUB</v>
          </cell>
          <cell r="AB2507" t="str">
            <v>R- teste(s)</v>
          </cell>
        </row>
        <row r="2508">
          <cell r="A2508" t="str">
            <v>in storage</v>
          </cell>
          <cell r="K2508" t="str">
            <v>ERUB</v>
          </cell>
          <cell r="AB2508" t="str">
            <v>R- teste(s)</v>
          </cell>
        </row>
        <row r="2509">
          <cell r="A2509" t="str">
            <v>in storage</v>
          </cell>
          <cell r="K2509" t="str">
            <v>ERUB</v>
          </cell>
          <cell r="AB2509" t="str">
            <v>R- teste(s)</v>
          </cell>
        </row>
        <row r="2510">
          <cell r="A2510" t="str">
            <v>in storage</v>
          </cell>
          <cell r="K2510" t="str">
            <v>ERUB</v>
          </cell>
          <cell r="AB2510" t="str">
            <v>Muscle</v>
          </cell>
        </row>
        <row r="2511">
          <cell r="A2511" t="str">
            <v>in storage</v>
          </cell>
          <cell r="K2511" t="str">
            <v>ERUB</v>
          </cell>
          <cell r="AB2511" t="str">
            <v>Muscle</v>
          </cell>
        </row>
        <row r="2512">
          <cell r="A2512" t="str">
            <v>in storage</v>
          </cell>
          <cell r="K2512" t="str">
            <v>ERUB</v>
          </cell>
          <cell r="AB2512" t="str">
            <v>Muscle</v>
          </cell>
        </row>
        <row r="2513">
          <cell r="A2513" t="str">
            <v>unk</v>
          </cell>
          <cell r="K2513" t="str">
            <v>EUL</v>
          </cell>
          <cell r="AB2513" t="str">
            <v>Leg</v>
          </cell>
        </row>
        <row r="2514">
          <cell r="A2514" t="str">
            <v>in storage</v>
          </cell>
          <cell r="K2514" t="str">
            <v>LTAR</v>
          </cell>
          <cell r="AB2514" t="str">
            <v>Eye</v>
          </cell>
        </row>
        <row r="2515">
          <cell r="A2515" t="str">
            <v>in storage</v>
          </cell>
          <cell r="K2515" t="str">
            <v>ECOR</v>
          </cell>
          <cell r="AB2515" t="str">
            <v>GI- ileum/ jejunum</v>
          </cell>
        </row>
        <row r="2516">
          <cell r="A2516" t="str">
            <v>in storage</v>
          </cell>
          <cell r="K2516" t="str">
            <v>ECOR</v>
          </cell>
          <cell r="AB2516" t="str">
            <v>GI- stomach</v>
          </cell>
        </row>
        <row r="2517">
          <cell r="A2517" t="str">
            <v>in storage</v>
          </cell>
          <cell r="K2517" t="str">
            <v>ECOR</v>
          </cell>
          <cell r="AB2517" t="str">
            <v>GI Contents- large intestine</v>
          </cell>
        </row>
        <row r="2518">
          <cell r="A2518" t="str">
            <v>in storage</v>
          </cell>
          <cell r="K2518" t="str">
            <v>LTAR</v>
          </cell>
          <cell r="AB2518" t="str">
            <v>Kidney</v>
          </cell>
        </row>
        <row r="2519">
          <cell r="A2519" t="str">
            <v>in storage</v>
          </cell>
          <cell r="K2519" t="str">
            <v>LTAR</v>
          </cell>
          <cell r="AB2519" t="str">
            <v>Heart</v>
          </cell>
        </row>
        <row r="2520">
          <cell r="A2520" t="str">
            <v>in storage</v>
          </cell>
          <cell r="K2520" t="str">
            <v>LTAR</v>
          </cell>
          <cell r="AB2520" t="str">
            <v>Lung</v>
          </cell>
        </row>
        <row r="2521">
          <cell r="A2521" t="str">
            <v>in storage</v>
          </cell>
          <cell r="K2521" t="str">
            <v>LTAR</v>
          </cell>
          <cell r="AB2521" t="str">
            <v>Liver</v>
          </cell>
        </row>
        <row r="2522">
          <cell r="A2522" t="str">
            <v>in storage</v>
          </cell>
          <cell r="K2522" t="str">
            <v>LTAR</v>
          </cell>
          <cell r="AB2522" t="str">
            <v>Lung</v>
          </cell>
        </row>
        <row r="2523">
          <cell r="A2523" t="str">
            <v>in storage</v>
          </cell>
          <cell r="K2523" t="str">
            <v>LTAR</v>
          </cell>
          <cell r="AB2523" t="str">
            <v>Lung</v>
          </cell>
        </row>
        <row r="2524">
          <cell r="A2524" t="str">
            <v>in storage</v>
          </cell>
          <cell r="K2524" t="str">
            <v>LTAR</v>
          </cell>
          <cell r="AB2524" t="str">
            <v>Pancreas</v>
          </cell>
        </row>
        <row r="2525">
          <cell r="A2525" t="str">
            <v>in storage</v>
          </cell>
          <cell r="K2525" t="str">
            <v>LTAR</v>
          </cell>
          <cell r="AB2525" t="str">
            <v>Pancreas</v>
          </cell>
        </row>
        <row r="2526">
          <cell r="A2526" t="str">
            <v>in storage</v>
          </cell>
          <cell r="K2526" t="str">
            <v>LTAR</v>
          </cell>
          <cell r="AB2526" t="str">
            <v>Skin</v>
          </cell>
        </row>
        <row r="2527">
          <cell r="A2527" t="str">
            <v>in storage</v>
          </cell>
          <cell r="K2527" t="str">
            <v>LTAR</v>
          </cell>
          <cell r="AB2527" t="str">
            <v>Spleen</v>
          </cell>
        </row>
        <row r="2528">
          <cell r="A2528" t="str">
            <v>in storage</v>
          </cell>
          <cell r="K2528" t="str">
            <v>LTAR</v>
          </cell>
          <cell r="AB2528" t="str">
            <v>Kidney</v>
          </cell>
        </row>
        <row r="2529">
          <cell r="A2529" t="str">
            <v>in storage</v>
          </cell>
          <cell r="K2529" t="str">
            <v>LTAR</v>
          </cell>
          <cell r="AB2529" t="str">
            <v>Kidney</v>
          </cell>
        </row>
        <row r="2530">
          <cell r="A2530" t="str">
            <v>in storage</v>
          </cell>
          <cell r="K2530" t="str">
            <v>LTAR</v>
          </cell>
          <cell r="AB2530" t="str">
            <v>Liver</v>
          </cell>
        </row>
        <row r="2531">
          <cell r="A2531" t="str">
            <v>in storage</v>
          </cell>
          <cell r="K2531" t="str">
            <v>LTAR</v>
          </cell>
          <cell r="AB2531" t="str">
            <v>Liver</v>
          </cell>
        </row>
        <row r="2532">
          <cell r="A2532" t="str">
            <v>in storage</v>
          </cell>
          <cell r="K2532" t="str">
            <v>LTAR</v>
          </cell>
          <cell r="AB2532" t="str">
            <v>Gallbladder</v>
          </cell>
        </row>
        <row r="2533">
          <cell r="A2533" t="str">
            <v>in storage</v>
          </cell>
          <cell r="K2533" t="str">
            <v>LTAR</v>
          </cell>
          <cell r="AB2533" t="str">
            <v>R- teste(s)</v>
          </cell>
        </row>
        <row r="2534">
          <cell r="A2534" t="str">
            <v>in storage</v>
          </cell>
          <cell r="K2534" t="str">
            <v>LTAR</v>
          </cell>
          <cell r="AB2534" t="str">
            <v>R- teste(s)</v>
          </cell>
        </row>
        <row r="2535">
          <cell r="A2535" t="str">
            <v>in storage</v>
          </cell>
          <cell r="K2535" t="str">
            <v>LTAR</v>
          </cell>
          <cell r="AB2535" t="str">
            <v>R- teste(s)</v>
          </cell>
        </row>
        <row r="2536">
          <cell r="A2536" t="str">
            <v>in storage</v>
          </cell>
          <cell r="K2536" t="str">
            <v>LTAR</v>
          </cell>
          <cell r="AB2536" t="str">
            <v>Eye</v>
          </cell>
        </row>
        <row r="2537">
          <cell r="A2537" t="str">
            <v>in storage</v>
          </cell>
          <cell r="K2537" t="str">
            <v>LTAR</v>
          </cell>
          <cell r="AB2537" t="str">
            <v>Muscle</v>
          </cell>
        </row>
        <row r="2538">
          <cell r="A2538" t="str">
            <v>in storage</v>
          </cell>
          <cell r="K2538" t="str">
            <v>ECOR</v>
          </cell>
          <cell r="AB2538" t="str">
            <v>GI Tract</v>
          </cell>
        </row>
        <row r="2539">
          <cell r="A2539" t="str">
            <v>in storage</v>
          </cell>
          <cell r="K2539" t="str">
            <v>ECOR</v>
          </cell>
          <cell r="AB2539" t="str">
            <v>GI Tract</v>
          </cell>
        </row>
        <row r="2540">
          <cell r="A2540" t="str">
            <v>in storage</v>
          </cell>
          <cell r="K2540" t="str">
            <v>ECOR</v>
          </cell>
          <cell r="AB2540" t="str">
            <v>GI- esophagus</v>
          </cell>
        </row>
        <row r="2541">
          <cell r="A2541" t="str">
            <v>in storage</v>
          </cell>
          <cell r="K2541" t="str">
            <v>ECOR</v>
          </cell>
          <cell r="AB2541" t="str">
            <v>GI- duodenum</v>
          </cell>
        </row>
        <row r="2542">
          <cell r="A2542" t="str">
            <v>in storage</v>
          </cell>
          <cell r="K2542" t="str">
            <v>ECOR</v>
          </cell>
          <cell r="AB2542" t="str">
            <v>GI Contents- cecum</v>
          </cell>
        </row>
        <row r="2543">
          <cell r="A2543" t="str">
            <v>in storage</v>
          </cell>
          <cell r="K2543" t="str">
            <v>PCOQ</v>
          </cell>
          <cell r="AB2543" t="str">
            <v>Pancreas</v>
          </cell>
        </row>
        <row r="2544">
          <cell r="A2544" t="str">
            <v>in storage</v>
          </cell>
          <cell r="K2544" t="str">
            <v>PCOQ</v>
          </cell>
          <cell r="AB2544" t="str">
            <v>Kidney</v>
          </cell>
        </row>
        <row r="2545">
          <cell r="A2545" t="str">
            <v>in storage</v>
          </cell>
          <cell r="K2545" t="str">
            <v>PCOQ</v>
          </cell>
          <cell r="AB2545" t="str">
            <v>Spleen</v>
          </cell>
        </row>
        <row r="2546">
          <cell r="A2546" t="str">
            <v>in storage</v>
          </cell>
          <cell r="K2546" t="str">
            <v>PCOQ</v>
          </cell>
          <cell r="AB2546" t="str">
            <v>Heart</v>
          </cell>
        </row>
        <row r="2547">
          <cell r="A2547" t="str">
            <v>in storage</v>
          </cell>
          <cell r="K2547" t="str">
            <v>PCOQ</v>
          </cell>
          <cell r="AB2547" t="str">
            <v>Lung</v>
          </cell>
        </row>
        <row r="2548">
          <cell r="A2548" t="str">
            <v>in storage</v>
          </cell>
          <cell r="K2548" t="str">
            <v>PCOQ</v>
          </cell>
          <cell r="AB2548" t="str">
            <v>U- bladder</v>
          </cell>
        </row>
        <row r="2549">
          <cell r="A2549" t="str">
            <v>in storage</v>
          </cell>
          <cell r="K2549" t="str">
            <v>PCOQ</v>
          </cell>
          <cell r="AB2549" t="str">
            <v>Liver</v>
          </cell>
        </row>
        <row r="2550">
          <cell r="A2550" t="str">
            <v>in storage</v>
          </cell>
          <cell r="K2550" t="str">
            <v>PCOQ</v>
          </cell>
          <cell r="AB2550" t="str">
            <v>Skin</v>
          </cell>
        </row>
        <row r="2551">
          <cell r="A2551" t="str">
            <v>in storage</v>
          </cell>
          <cell r="K2551" t="str">
            <v>PCOQ</v>
          </cell>
          <cell r="AB2551" t="str">
            <v>Blood</v>
          </cell>
        </row>
        <row r="2552">
          <cell r="A2552" t="str">
            <v>in storage</v>
          </cell>
          <cell r="K2552" t="str">
            <v>PCOQ</v>
          </cell>
          <cell r="AB2552" t="str">
            <v>Blood</v>
          </cell>
        </row>
        <row r="2553">
          <cell r="A2553" t="str">
            <v>in storage</v>
          </cell>
          <cell r="K2553" t="str">
            <v>PCOQ</v>
          </cell>
          <cell r="AB2553" t="str">
            <v>Heart</v>
          </cell>
        </row>
        <row r="2554">
          <cell r="A2554" t="str">
            <v>in storage</v>
          </cell>
          <cell r="K2554" t="str">
            <v>PCOQ</v>
          </cell>
          <cell r="AB2554" t="str">
            <v>Lung</v>
          </cell>
        </row>
        <row r="2555">
          <cell r="A2555" t="str">
            <v>in storage</v>
          </cell>
          <cell r="K2555" t="str">
            <v>PCOQ</v>
          </cell>
          <cell r="AB2555" t="str">
            <v>Lung</v>
          </cell>
        </row>
        <row r="2556">
          <cell r="A2556" t="str">
            <v>in storage</v>
          </cell>
          <cell r="K2556" t="str">
            <v>PCOQ</v>
          </cell>
          <cell r="AB2556" t="str">
            <v>Pancreas</v>
          </cell>
        </row>
        <row r="2557">
          <cell r="A2557" t="str">
            <v>in storage</v>
          </cell>
          <cell r="K2557" t="str">
            <v>PCOQ</v>
          </cell>
          <cell r="AB2557" t="str">
            <v>Pancreas</v>
          </cell>
        </row>
        <row r="2558">
          <cell r="A2558" t="str">
            <v>in storage</v>
          </cell>
          <cell r="K2558" t="str">
            <v>PCOQ</v>
          </cell>
          <cell r="AB2558" t="str">
            <v>Skin</v>
          </cell>
        </row>
        <row r="2559">
          <cell r="A2559" t="str">
            <v>in storage</v>
          </cell>
          <cell r="K2559" t="str">
            <v>PCOQ</v>
          </cell>
          <cell r="AB2559" t="str">
            <v>Skin</v>
          </cell>
        </row>
        <row r="2560">
          <cell r="A2560" t="str">
            <v>in storage</v>
          </cell>
          <cell r="K2560" t="str">
            <v>PCOQ</v>
          </cell>
          <cell r="AB2560" t="str">
            <v>Spleen</v>
          </cell>
        </row>
        <row r="2561">
          <cell r="A2561" t="str">
            <v>in storage</v>
          </cell>
          <cell r="K2561" t="str">
            <v>PCOQ</v>
          </cell>
          <cell r="AB2561" t="str">
            <v>Spleen</v>
          </cell>
        </row>
        <row r="2562">
          <cell r="A2562" t="str">
            <v>in storage</v>
          </cell>
          <cell r="K2562" t="str">
            <v>PCOQ</v>
          </cell>
          <cell r="AB2562" t="str">
            <v>Liver</v>
          </cell>
        </row>
        <row r="2563">
          <cell r="A2563" t="str">
            <v>in storage</v>
          </cell>
          <cell r="K2563" t="str">
            <v>PCOQ</v>
          </cell>
          <cell r="AB2563" t="str">
            <v>Heart</v>
          </cell>
        </row>
        <row r="2564">
          <cell r="A2564" t="str">
            <v>in storage</v>
          </cell>
          <cell r="K2564" t="str">
            <v>PCOQ</v>
          </cell>
          <cell r="AB2564" t="str">
            <v>Liver</v>
          </cell>
        </row>
        <row r="2565">
          <cell r="A2565" t="str">
            <v>in storage</v>
          </cell>
          <cell r="K2565" t="str">
            <v>PCOQ</v>
          </cell>
          <cell r="AB2565" t="str">
            <v>Kidney</v>
          </cell>
        </row>
        <row r="2566">
          <cell r="A2566" t="str">
            <v>in storage</v>
          </cell>
          <cell r="K2566" t="str">
            <v>PCOQ</v>
          </cell>
          <cell r="AB2566" t="str">
            <v>Kidney</v>
          </cell>
        </row>
        <row r="2567">
          <cell r="A2567" t="str">
            <v>in storage</v>
          </cell>
          <cell r="K2567" t="str">
            <v>PCOQ</v>
          </cell>
          <cell r="AB2567" t="str">
            <v>R- teste(s)</v>
          </cell>
        </row>
        <row r="2568">
          <cell r="A2568" t="str">
            <v>in storage</v>
          </cell>
          <cell r="K2568" t="str">
            <v>PCOQ</v>
          </cell>
          <cell r="AB2568" t="str">
            <v>R- teste(s)</v>
          </cell>
        </row>
        <row r="2569">
          <cell r="A2569" t="str">
            <v>in storage</v>
          </cell>
          <cell r="K2569" t="str">
            <v>PCOQ</v>
          </cell>
          <cell r="AB2569" t="str">
            <v>R- teste(s)</v>
          </cell>
        </row>
        <row r="2570">
          <cell r="A2570" t="str">
            <v>in storage</v>
          </cell>
          <cell r="K2570" t="str">
            <v>ECOR</v>
          </cell>
          <cell r="AB2570" t="str">
            <v>GI Tract</v>
          </cell>
        </row>
        <row r="2571">
          <cell r="A2571" t="str">
            <v>in storage</v>
          </cell>
          <cell r="K2571" t="str">
            <v>PCOQ</v>
          </cell>
          <cell r="AB2571" t="str">
            <v>Muscle</v>
          </cell>
        </row>
        <row r="2572">
          <cell r="A2572" t="str">
            <v>in storage</v>
          </cell>
          <cell r="K2572" t="str">
            <v>PCOQ</v>
          </cell>
          <cell r="AB2572" t="str">
            <v>Muscle</v>
          </cell>
        </row>
        <row r="2573">
          <cell r="A2573" t="str">
            <v>in storage</v>
          </cell>
          <cell r="K2573" t="str">
            <v>PCOQ</v>
          </cell>
          <cell r="AB2573" t="str">
            <v>Muscle</v>
          </cell>
        </row>
        <row r="2574">
          <cell r="A2574" t="str">
            <v>in storage</v>
          </cell>
          <cell r="K2574" t="str">
            <v>ECOL</v>
          </cell>
          <cell r="AB2574" t="str">
            <v>Blood</v>
          </cell>
        </row>
        <row r="2575">
          <cell r="A2575" t="str">
            <v>in storage</v>
          </cell>
          <cell r="K2575" t="str">
            <v>ECOL</v>
          </cell>
          <cell r="AB2575" t="str">
            <v>Blood</v>
          </cell>
        </row>
        <row r="2576">
          <cell r="A2576" t="str">
            <v>in storage</v>
          </cell>
          <cell r="K2576" t="str">
            <v>ECOL</v>
          </cell>
          <cell r="AB2576" t="str">
            <v>Blood</v>
          </cell>
        </row>
        <row r="2577">
          <cell r="A2577" t="str">
            <v>in storage</v>
          </cell>
          <cell r="K2577" t="str">
            <v>ECOL</v>
          </cell>
          <cell r="AB2577" t="str">
            <v>Blood</v>
          </cell>
        </row>
        <row r="2578">
          <cell r="A2578" t="str">
            <v>in storage</v>
          </cell>
          <cell r="K2578" t="str">
            <v>ECOL</v>
          </cell>
          <cell r="AB2578" t="str">
            <v>Muscle</v>
          </cell>
        </row>
        <row r="2579">
          <cell r="A2579" t="str">
            <v>in storage</v>
          </cell>
          <cell r="K2579" t="str">
            <v>ECOR</v>
          </cell>
          <cell r="AB2579" t="str">
            <v>GI Contents- large intestine</v>
          </cell>
        </row>
        <row r="2580">
          <cell r="A2580" t="str">
            <v>in storage</v>
          </cell>
          <cell r="K2580" t="str">
            <v>ECOR</v>
          </cell>
          <cell r="AB2580" t="str">
            <v>GI- jejunum</v>
          </cell>
        </row>
        <row r="2581">
          <cell r="A2581" t="str">
            <v>in storage</v>
          </cell>
          <cell r="K2581" t="str">
            <v>ECOR</v>
          </cell>
          <cell r="AB2581" t="str">
            <v>GI Contents- stomach</v>
          </cell>
        </row>
        <row r="2582">
          <cell r="A2582" t="str">
            <v>in storage</v>
          </cell>
          <cell r="K2582" t="str">
            <v>ECOR</v>
          </cell>
          <cell r="AB2582" t="str">
            <v>GI- cecum</v>
          </cell>
        </row>
        <row r="2583">
          <cell r="A2583" t="str">
            <v>in storage</v>
          </cell>
          <cell r="K2583" t="str">
            <v>ECOL</v>
          </cell>
          <cell r="AB2583" t="str">
            <v>Kidney</v>
          </cell>
        </row>
        <row r="2584">
          <cell r="A2584" t="str">
            <v>in storage</v>
          </cell>
          <cell r="K2584" t="str">
            <v>ECOL</v>
          </cell>
          <cell r="AB2584" t="str">
            <v>Spleen</v>
          </cell>
        </row>
        <row r="2585">
          <cell r="A2585" t="str">
            <v>in storage</v>
          </cell>
          <cell r="K2585" t="str">
            <v>ECOL</v>
          </cell>
          <cell r="AB2585" t="str">
            <v>Heart</v>
          </cell>
        </row>
        <row r="2586">
          <cell r="A2586" t="str">
            <v>in storage</v>
          </cell>
          <cell r="K2586" t="str">
            <v>ECOL</v>
          </cell>
          <cell r="AB2586" t="str">
            <v>Lung</v>
          </cell>
        </row>
        <row r="2587">
          <cell r="A2587" t="str">
            <v>in storage</v>
          </cell>
          <cell r="K2587" t="str">
            <v>ECOL</v>
          </cell>
          <cell r="AB2587" t="str">
            <v>Liver</v>
          </cell>
        </row>
        <row r="2588">
          <cell r="A2588" t="str">
            <v>in storage</v>
          </cell>
          <cell r="K2588" t="str">
            <v>ECOL</v>
          </cell>
          <cell r="AB2588" t="str">
            <v>Lymph node</v>
          </cell>
        </row>
        <row r="2589">
          <cell r="A2589" t="str">
            <v>in storage</v>
          </cell>
          <cell r="K2589" t="str">
            <v>ECOL</v>
          </cell>
          <cell r="AB2589" t="str">
            <v>Thyroid</v>
          </cell>
        </row>
        <row r="2590">
          <cell r="A2590" t="str">
            <v>in storage</v>
          </cell>
          <cell r="K2590" t="str">
            <v>ECOL</v>
          </cell>
          <cell r="AB2590" t="str">
            <v>R- teste(s)</v>
          </cell>
        </row>
        <row r="2591">
          <cell r="A2591" t="str">
            <v>in storage</v>
          </cell>
          <cell r="K2591" t="str">
            <v>CMED</v>
          </cell>
          <cell r="AB2591" t="str">
            <v>Tail</v>
          </cell>
        </row>
        <row r="2592">
          <cell r="A2592" t="str">
            <v>in storage</v>
          </cell>
          <cell r="K2592" t="str">
            <v>ERUF</v>
          </cell>
          <cell r="AB2592" t="str">
            <v>Adrenal gland</v>
          </cell>
        </row>
        <row r="2593">
          <cell r="A2593" t="str">
            <v>in storage</v>
          </cell>
          <cell r="K2593" t="str">
            <v>ERUF</v>
          </cell>
          <cell r="AB2593" t="str">
            <v>Eye</v>
          </cell>
        </row>
        <row r="2594">
          <cell r="A2594" t="str">
            <v>in storage</v>
          </cell>
          <cell r="K2594" t="str">
            <v>ERUF</v>
          </cell>
          <cell r="AB2594" t="str">
            <v>Pancreas</v>
          </cell>
        </row>
        <row r="2595">
          <cell r="A2595" t="str">
            <v>in storage</v>
          </cell>
          <cell r="K2595" t="str">
            <v>ERUF</v>
          </cell>
          <cell r="AB2595" t="str">
            <v>Skin</v>
          </cell>
        </row>
        <row r="2596">
          <cell r="A2596" t="str">
            <v>in storage</v>
          </cell>
          <cell r="K2596" t="str">
            <v>ERUF</v>
          </cell>
          <cell r="AB2596" t="str">
            <v>Kidney</v>
          </cell>
        </row>
        <row r="2597">
          <cell r="A2597" t="str">
            <v>in storage</v>
          </cell>
          <cell r="K2597" t="str">
            <v>ERUF</v>
          </cell>
          <cell r="AB2597" t="str">
            <v>Blood</v>
          </cell>
        </row>
        <row r="2598">
          <cell r="A2598" t="str">
            <v>in storage</v>
          </cell>
          <cell r="K2598" t="str">
            <v>ERUF</v>
          </cell>
          <cell r="AB2598" t="str">
            <v>Blood</v>
          </cell>
        </row>
        <row r="2599">
          <cell r="A2599" t="str">
            <v>in storage</v>
          </cell>
          <cell r="K2599" t="str">
            <v>ERUF</v>
          </cell>
          <cell r="AB2599" t="str">
            <v>Heart</v>
          </cell>
        </row>
        <row r="2600">
          <cell r="A2600" t="str">
            <v>in storage</v>
          </cell>
          <cell r="K2600" t="str">
            <v>ERUF</v>
          </cell>
          <cell r="AB2600" t="str">
            <v>Heart</v>
          </cell>
        </row>
        <row r="2601">
          <cell r="A2601" t="str">
            <v>in storage</v>
          </cell>
          <cell r="K2601" t="str">
            <v>ERUF</v>
          </cell>
          <cell r="AB2601" t="str">
            <v>Lung</v>
          </cell>
        </row>
        <row r="2602">
          <cell r="A2602" t="str">
            <v>in storage</v>
          </cell>
          <cell r="K2602" t="str">
            <v>ERUF</v>
          </cell>
          <cell r="AB2602" t="str">
            <v>Lung</v>
          </cell>
        </row>
        <row r="2603">
          <cell r="A2603" t="str">
            <v>in storage</v>
          </cell>
          <cell r="K2603" t="str">
            <v>ERUF</v>
          </cell>
          <cell r="AB2603" t="str">
            <v>Pancreas</v>
          </cell>
        </row>
        <row r="2604">
          <cell r="A2604" t="str">
            <v>in storage</v>
          </cell>
          <cell r="K2604" t="str">
            <v>ERUF</v>
          </cell>
          <cell r="AB2604" t="str">
            <v>Skin</v>
          </cell>
        </row>
        <row r="2605">
          <cell r="A2605" t="str">
            <v>in storage</v>
          </cell>
          <cell r="K2605" t="str">
            <v>ERUF</v>
          </cell>
          <cell r="AB2605" t="str">
            <v>Spleen</v>
          </cell>
        </row>
        <row r="2606">
          <cell r="A2606" t="str">
            <v>in storage</v>
          </cell>
          <cell r="K2606" t="str">
            <v>ERUF</v>
          </cell>
          <cell r="AB2606" t="str">
            <v>Spleen</v>
          </cell>
        </row>
        <row r="2607">
          <cell r="A2607" t="str">
            <v>in storage</v>
          </cell>
          <cell r="K2607" t="str">
            <v>ERUF</v>
          </cell>
          <cell r="AB2607" t="str">
            <v>Thyroid</v>
          </cell>
        </row>
        <row r="2608">
          <cell r="A2608" t="str">
            <v>in storage</v>
          </cell>
          <cell r="K2608" t="str">
            <v>ERUF</v>
          </cell>
          <cell r="AB2608" t="str">
            <v>Kidney</v>
          </cell>
        </row>
        <row r="2609">
          <cell r="A2609" t="str">
            <v>in storage</v>
          </cell>
          <cell r="K2609" t="str">
            <v>ERUF</v>
          </cell>
          <cell r="AB2609" t="str">
            <v>Liver</v>
          </cell>
        </row>
        <row r="2610">
          <cell r="A2610" t="str">
            <v>in storage</v>
          </cell>
          <cell r="K2610" t="str">
            <v>ERUF</v>
          </cell>
          <cell r="AB2610" t="str">
            <v>Liver</v>
          </cell>
        </row>
        <row r="2611">
          <cell r="A2611" t="str">
            <v>in storage</v>
          </cell>
          <cell r="K2611" t="str">
            <v>ERUF</v>
          </cell>
          <cell r="AB2611" t="str">
            <v>Lung/ Trachea</v>
          </cell>
        </row>
        <row r="2612">
          <cell r="A2612" t="str">
            <v>in storage</v>
          </cell>
          <cell r="K2612" t="str">
            <v>ECOR</v>
          </cell>
          <cell r="AB2612" t="str">
            <v>GI- esophagus</v>
          </cell>
        </row>
        <row r="2613">
          <cell r="A2613" t="str">
            <v>in storage</v>
          </cell>
          <cell r="K2613" t="str">
            <v>ECOR</v>
          </cell>
          <cell r="AB2613" t="str">
            <v>GI- large intestine</v>
          </cell>
        </row>
        <row r="2614">
          <cell r="A2614" t="str">
            <v>in storage</v>
          </cell>
          <cell r="K2614" t="str">
            <v>ECOR</v>
          </cell>
          <cell r="AB2614" t="str">
            <v>GI- small intestine</v>
          </cell>
        </row>
        <row r="2615">
          <cell r="A2615" t="str">
            <v>in storage</v>
          </cell>
          <cell r="K2615" t="str">
            <v>ERUF</v>
          </cell>
          <cell r="AB2615" t="str">
            <v>Pancreas</v>
          </cell>
        </row>
        <row r="2616">
          <cell r="A2616" t="str">
            <v>in storage</v>
          </cell>
          <cell r="K2616" t="str">
            <v>ERUF</v>
          </cell>
          <cell r="AB2616" t="str">
            <v>Kidney</v>
          </cell>
        </row>
        <row r="2617">
          <cell r="A2617" t="str">
            <v>in storage</v>
          </cell>
          <cell r="K2617" t="str">
            <v>ERUF</v>
          </cell>
          <cell r="AB2617" t="str">
            <v>Spleen</v>
          </cell>
        </row>
        <row r="2618">
          <cell r="A2618" t="str">
            <v>in storage</v>
          </cell>
          <cell r="K2618" t="str">
            <v>ERUF</v>
          </cell>
          <cell r="AB2618" t="str">
            <v>Heart</v>
          </cell>
        </row>
        <row r="2619">
          <cell r="A2619" t="str">
            <v>in storage</v>
          </cell>
          <cell r="K2619" t="str">
            <v>ERUF</v>
          </cell>
          <cell r="AB2619" t="str">
            <v>Liver</v>
          </cell>
        </row>
        <row r="2620">
          <cell r="A2620" t="str">
            <v>in storage</v>
          </cell>
          <cell r="K2620" t="str">
            <v>ERUF</v>
          </cell>
          <cell r="AB2620" t="str">
            <v>R- teste(s)</v>
          </cell>
        </row>
        <row r="2621">
          <cell r="A2621" t="str">
            <v>in storage</v>
          </cell>
          <cell r="K2621" t="str">
            <v>ERUF</v>
          </cell>
          <cell r="AB2621" t="str">
            <v>R- teste(s)</v>
          </cell>
        </row>
        <row r="2622">
          <cell r="A2622" t="str">
            <v>in storage</v>
          </cell>
          <cell r="K2622" t="str">
            <v>ERUF</v>
          </cell>
          <cell r="AB2622" t="str">
            <v>R- teste(s)</v>
          </cell>
        </row>
        <row r="2623">
          <cell r="A2623" t="str">
            <v>in storage</v>
          </cell>
          <cell r="K2623" t="str">
            <v>ERUF</v>
          </cell>
          <cell r="AB2623" t="str">
            <v>Muscle</v>
          </cell>
        </row>
        <row r="2624">
          <cell r="A2624" t="str">
            <v>in storage</v>
          </cell>
          <cell r="K2624" t="str">
            <v>ERUF</v>
          </cell>
          <cell r="AB2624" t="str">
            <v>Muscle</v>
          </cell>
        </row>
        <row r="2625">
          <cell r="A2625" t="str">
            <v>in storage</v>
          </cell>
          <cell r="K2625" t="str">
            <v>ERUF</v>
          </cell>
          <cell r="AB2625" t="str">
            <v>Muscle</v>
          </cell>
        </row>
        <row r="2626">
          <cell r="A2626" t="str">
            <v>in storage</v>
          </cell>
          <cell r="K2626" t="str">
            <v>EFLA</v>
          </cell>
          <cell r="AB2626" t="str">
            <v>Adrenal gland</v>
          </cell>
        </row>
        <row r="2627">
          <cell r="A2627" t="str">
            <v>in storage</v>
          </cell>
          <cell r="K2627" t="str">
            <v>EFLA</v>
          </cell>
          <cell r="AB2627" t="str">
            <v>Aorta/ Trachea</v>
          </cell>
        </row>
        <row r="2628">
          <cell r="A2628" t="str">
            <v>in storage</v>
          </cell>
          <cell r="K2628" t="str">
            <v>ECOR</v>
          </cell>
          <cell r="AB2628" t="str">
            <v>GI- stomach</v>
          </cell>
        </row>
        <row r="2629">
          <cell r="A2629" t="str">
            <v>in storage</v>
          </cell>
          <cell r="K2629" t="str">
            <v>EFLA</v>
          </cell>
          <cell r="AB2629" t="str">
            <v>Eye</v>
          </cell>
        </row>
        <row r="2630">
          <cell r="A2630" t="str">
            <v>in storage</v>
          </cell>
          <cell r="K2630" t="str">
            <v>EFLA</v>
          </cell>
          <cell r="AB2630" t="str">
            <v>Blood</v>
          </cell>
        </row>
        <row r="2631">
          <cell r="A2631" t="str">
            <v>in storage</v>
          </cell>
          <cell r="K2631" t="str">
            <v>EFLA</v>
          </cell>
          <cell r="AB2631" t="str">
            <v>Blood</v>
          </cell>
        </row>
        <row r="2632">
          <cell r="A2632" t="str">
            <v>in storage</v>
          </cell>
          <cell r="K2632" t="str">
            <v>EFLA</v>
          </cell>
          <cell r="AB2632" t="str">
            <v>Heart</v>
          </cell>
        </row>
        <row r="2633">
          <cell r="A2633" t="str">
            <v>in storage</v>
          </cell>
          <cell r="K2633" t="str">
            <v>EFLA</v>
          </cell>
          <cell r="AB2633" t="str">
            <v>Heart</v>
          </cell>
        </row>
        <row r="2634">
          <cell r="A2634" t="str">
            <v>in storage</v>
          </cell>
          <cell r="K2634" t="str">
            <v>EFLA</v>
          </cell>
          <cell r="AB2634" t="str">
            <v>Lung</v>
          </cell>
        </row>
        <row r="2635">
          <cell r="A2635" t="str">
            <v>in storage</v>
          </cell>
          <cell r="K2635" t="str">
            <v>EFLA</v>
          </cell>
          <cell r="AB2635" t="str">
            <v>Pancreas</v>
          </cell>
        </row>
        <row r="2636">
          <cell r="A2636" t="str">
            <v>in storage</v>
          </cell>
          <cell r="K2636" t="str">
            <v>EFLA</v>
          </cell>
          <cell r="AB2636" t="str">
            <v>Skin</v>
          </cell>
        </row>
        <row r="2637">
          <cell r="A2637" t="str">
            <v>in storage</v>
          </cell>
          <cell r="K2637" t="str">
            <v>EFLA</v>
          </cell>
          <cell r="AB2637" t="str">
            <v>Spleen</v>
          </cell>
        </row>
        <row r="2638">
          <cell r="A2638" t="str">
            <v>in storage</v>
          </cell>
          <cell r="K2638" t="str">
            <v>EFLA</v>
          </cell>
          <cell r="AB2638" t="str">
            <v>Spleen</v>
          </cell>
        </row>
        <row r="2639">
          <cell r="A2639" t="str">
            <v>in storage</v>
          </cell>
          <cell r="K2639" t="str">
            <v>EFLA</v>
          </cell>
          <cell r="AB2639" t="str">
            <v>Kidney</v>
          </cell>
        </row>
        <row r="2640">
          <cell r="A2640" t="str">
            <v>in storage</v>
          </cell>
          <cell r="K2640" t="str">
            <v>EFLA</v>
          </cell>
          <cell r="AB2640" t="str">
            <v>Kidney</v>
          </cell>
        </row>
        <row r="2641">
          <cell r="A2641" t="str">
            <v>in storage</v>
          </cell>
          <cell r="K2641" t="str">
            <v>EFLA</v>
          </cell>
          <cell r="AB2641" t="str">
            <v>Liver</v>
          </cell>
        </row>
        <row r="2642">
          <cell r="A2642" t="str">
            <v>in storage</v>
          </cell>
          <cell r="K2642" t="str">
            <v>EFLA</v>
          </cell>
          <cell r="AB2642" t="str">
            <v>Liver</v>
          </cell>
        </row>
        <row r="2643">
          <cell r="A2643" t="str">
            <v>in storage</v>
          </cell>
          <cell r="K2643" t="str">
            <v>EFLA</v>
          </cell>
          <cell r="AB2643" t="str">
            <v>Lung</v>
          </cell>
        </row>
        <row r="2644">
          <cell r="A2644" t="str">
            <v>in storage</v>
          </cell>
          <cell r="K2644" t="str">
            <v>EFLA</v>
          </cell>
          <cell r="AB2644" t="str">
            <v>Pancreas</v>
          </cell>
        </row>
        <row r="2645">
          <cell r="A2645" t="str">
            <v>in storage</v>
          </cell>
          <cell r="K2645" t="str">
            <v>ECOR</v>
          </cell>
          <cell r="AB2645" t="str">
            <v>GI- omentum</v>
          </cell>
        </row>
        <row r="2646">
          <cell r="A2646" t="str">
            <v>in storage</v>
          </cell>
          <cell r="K2646" t="str">
            <v>ECOR</v>
          </cell>
          <cell r="AB2646" t="str">
            <v>GI- duodenum</v>
          </cell>
        </row>
        <row r="2647">
          <cell r="A2647" t="str">
            <v>in storage</v>
          </cell>
          <cell r="K2647" t="str">
            <v>EFLA</v>
          </cell>
          <cell r="AB2647" t="str">
            <v>Pancreas</v>
          </cell>
        </row>
        <row r="2648">
          <cell r="A2648" t="str">
            <v>in storage</v>
          </cell>
          <cell r="K2648" t="str">
            <v>EFLA</v>
          </cell>
          <cell r="AB2648" t="str">
            <v>Kidney</v>
          </cell>
        </row>
        <row r="2649">
          <cell r="A2649" t="str">
            <v>in storage</v>
          </cell>
          <cell r="K2649" t="str">
            <v>EFLA</v>
          </cell>
          <cell r="AB2649" t="str">
            <v>Spleen</v>
          </cell>
        </row>
        <row r="2650">
          <cell r="A2650" t="str">
            <v>in storage</v>
          </cell>
          <cell r="K2650" t="str">
            <v>EFLA</v>
          </cell>
          <cell r="AB2650" t="str">
            <v>Heart</v>
          </cell>
        </row>
        <row r="2651">
          <cell r="A2651" t="str">
            <v>in storage</v>
          </cell>
          <cell r="K2651" t="str">
            <v>EFLA</v>
          </cell>
          <cell r="AB2651" t="str">
            <v>Lung</v>
          </cell>
        </row>
        <row r="2652">
          <cell r="A2652" t="str">
            <v>in storage</v>
          </cell>
          <cell r="K2652" t="str">
            <v>EFLA</v>
          </cell>
          <cell r="AB2652" t="str">
            <v>Liver</v>
          </cell>
        </row>
        <row r="2653">
          <cell r="A2653" t="str">
            <v>unk</v>
          </cell>
          <cell r="K2653" t="str">
            <v>EFLA</v>
          </cell>
          <cell r="AB2653" t="str">
            <v>Thyroid</v>
          </cell>
        </row>
        <row r="2654">
          <cell r="A2654" t="str">
            <v>in storage</v>
          </cell>
          <cell r="K2654" t="str">
            <v>ECOR</v>
          </cell>
          <cell r="AB2654" t="str">
            <v>GI- cecum</v>
          </cell>
        </row>
        <row r="2655">
          <cell r="A2655" t="str">
            <v>in storage</v>
          </cell>
          <cell r="K2655" t="str">
            <v>ECOR</v>
          </cell>
          <cell r="AB2655" t="str">
            <v>GI- esophagus</v>
          </cell>
        </row>
        <row r="2656">
          <cell r="A2656" t="str">
            <v>in storage</v>
          </cell>
          <cell r="K2656" t="str">
            <v>ECOR</v>
          </cell>
          <cell r="AB2656" t="str">
            <v>GI- large intestine</v>
          </cell>
        </row>
        <row r="2657">
          <cell r="A2657" t="str">
            <v>in storage</v>
          </cell>
          <cell r="K2657" t="str">
            <v>ECOR</v>
          </cell>
          <cell r="AB2657" t="str">
            <v>GI- small intestine</v>
          </cell>
        </row>
        <row r="2658">
          <cell r="A2658" t="str">
            <v>in storage</v>
          </cell>
          <cell r="K2658" t="str">
            <v>EFLA</v>
          </cell>
          <cell r="AB2658" t="str">
            <v>Muscle</v>
          </cell>
        </row>
        <row r="2659">
          <cell r="A2659" t="str">
            <v>in storage</v>
          </cell>
          <cell r="K2659" t="str">
            <v>LCAT</v>
          </cell>
          <cell r="AB2659" t="str">
            <v>Adrenal gland</v>
          </cell>
        </row>
        <row r="2660">
          <cell r="A2660" t="str">
            <v>in storage</v>
          </cell>
          <cell r="K2660" t="str">
            <v>LCAT</v>
          </cell>
          <cell r="AB2660" t="str">
            <v>R- ovary</v>
          </cell>
        </row>
        <row r="2661">
          <cell r="A2661" t="str">
            <v>in storage</v>
          </cell>
          <cell r="K2661" t="str">
            <v>ECOR</v>
          </cell>
          <cell r="AB2661" t="str">
            <v>GI- stomach</v>
          </cell>
        </row>
        <row r="2662">
          <cell r="A2662" t="str">
            <v>in storage</v>
          </cell>
          <cell r="K2662" t="str">
            <v>ECOR</v>
          </cell>
          <cell r="AB2662" t="str">
            <v>GI Contents- stomach</v>
          </cell>
        </row>
        <row r="2663">
          <cell r="A2663" t="str">
            <v>in storage</v>
          </cell>
          <cell r="K2663" t="str">
            <v>LCAT</v>
          </cell>
          <cell r="AB2663" t="str">
            <v>R- reproductive tract</v>
          </cell>
        </row>
        <row r="2664">
          <cell r="A2664" t="str">
            <v>in storage</v>
          </cell>
          <cell r="K2664" t="str">
            <v>LCAT</v>
          </cell>
          <cell r="AB2664" t="str">
            <v>Blood</v>
          </cell>
        </row>
        <row r="2665">
          <cell r="A2665" t="str">
            <v>in storage</v>
          </cell>
          <cell r="K2665" t="str">
            <v>LCAT</v>
          </cell>
          <cell r="AB2665" t="str">
            <v>Blood</v>
          </cell>
        </row>
        <row r="2666">
          <cell r="A2666" t="str">
            <v>in storage</v>
          </cell>
          <cell r="K2666" t="str">
            <v>LCAT</v>
          </cell>
          <cell r="AB2666" t="str">
            <v>Pancreas</v>
          </cell>
        </row>
        <row r="2667">
          <cell r="A2667" t="str">
            <v>in storage</v>
          </cell>
          <cell r="K2667" t="str">
            <v>LCAT</v>
          </cell>
          <cell r="AB2667" t="str">
            <v>Pancreas</v>
          </cell>
        </row>
        <row r="2668">
          <cell r="A2668" t="str">
            <v>in storage</v>
          </cell>
          <cell r="K2668" t="str">
            <v>LCAT</v>
          </cell>
          <cell r="AB2668" t="str">
            <v>Spleen</v>
          </cell>
        </row>
        <row r="2669">
          <cell r="A2669" t="str">
            <v>in storage</v>
          </cell>
          <cell r="K2669" t="str">
            <v>LCAT</v>
          </cell>
          <cell r="AB2669" t="str">
            <v>Spleen</v>
          </cell>
        </row>
        <row r="2670">
          <cell r="A2670" t="str">
            <v>in storage</v>
          </cell>
          <cell r="K2670" t="str">
            <v>LCAT</v>
          </cell>
          <cell r="AB2670" t="str">
            <v>Liver</v>
          </cell>
        </row>
        <row r="2671">
          <cell r="A2671" t="str">
            <v>in storage</v>
          </cell>
          <cell r="K2671" t="str">
            <v>LCAT</v>
          </cell>
          <cell r="AB2671" t="str">
            <v>Heart</v>
          </cell>
        </row>
        <row r="2672">
          <cell r="A2672" t="str">
            <v>in storage</v>
          </cell>
          <cell r="K2672" t="str">
            <v>LCAT</v>
          </cell>
          <cell r="AB2672" t="str">
            <v>Heart</v>
          </cell>
        </row>
        <row r="2673">
          <cell r="A2673" t="str">
            <v>in storage</v>
          </cell>
          <cell r="K2673" t="str">
            <v>LCAT</v>
          </cell>
          <cell r="AB2673" t="str">
            <v>Lung</v>
          </cell>
        </row>
        <row r="2674">
          <cell r="A2674" t="str">
            <v>in storage</v>
          </cell>
          <cell r="K2674" t="str">
            <v>LCAT</v>
          </cell>
          <cell r="AB2674" t="str">
            <v>Lung</v>
          </cell>
        </row>
        <row r="2675">
          <cell r="A2675" t="str">
            <v>in storage</v>
          </cell>
          <cell r="K2675" t="str">
            <v>LCAT</v>
          </cell>
          <cell r="AB2675" t="str">
            <v>Skin</v>
          </cell>
        </row>
        <row r="2676">
          <cell r="A2676" t="str">
            <v>in storage</v>
          </cell>
          <cell r="K2676" t="str">
            <v>LCAT</v>
          </cell>
          <cell r="AB2676" t="str">
            <v>Kidney</v>
          </cell>
        </row>
        <row r="2677">
          <cell r="A2677" t="str">
            <v>in storage</v>
          </cell>
          <cell r="K2677" t="str">
            <v>LCAT</v>
          </cell>
          <cell r="AB2677" t="str">
            <v>Kidney</v>
          </cell>
        </row>
        <row r="2678">
          <cell r="A2678" t="str">
            <v>in storage</v>
          </cell>
          <cell r="K2678" t="str">
            <v>LCAT</v>
          </cell>
          <cell r="AB2678" t="str">
            <v>Liver</v>
          </cell>
        </row>
        <row r="2679">
          <cell r="A2679" t="str">
            <v>in storage</v>
          </cell>
          <cell r="K2679" t="str">
            <v>EFLA</v>
          </cell>
          <cell r="AB2679" t="str">
            <v>GI Contents- stomach</v>
          </cell>
        </row>
        <row r="2680">
          <cell r="A2680" t="str">
            <v>in storage</v>
          </cell>
          <cell r="K2680" t="str">
            <v>EFLA</v>
          </cell>
          <cell r="AB2680" t="str">
            <v>GI Tract</v>
          </cell>
        </row>
        <row r="2681">
          <cell r="A2681" t="str">
            <v>in storage</v>
          </cell>
          <cell r="K2681" t="str">
            <v>EFLA</v>
          </cell>
          <cell r="AB2681" t="str">
            <v>GI Contents- cecum/ colon</v>
          </cell>
        </row>
        <row r="2682">
          <cell r="A2682" t="str">
            <v>in storage</v>
          </cell>
          <cell r="K2682" t="str">
            <v>LCAT</v>
          </cell>
          <cell r="AB2682" t="str">
            <v>Pancreas</v>
          </cell>
        </row>
        <row r="2683">
          <cell r="A2683" t="str">
            <v>in storage</v>
          </cell>
          <cell r="K2683" t="str">
            <v>LCAT</v>
          </cell>
          <cell r="AB2683" t="str">
            <v>Kidney</v>
          </cell>
        </row>
        <row r="2684">
          <cell r="A2684" t="str">
            <v>in storage</v>
          </cell>
          <cell r="K2684" t="str">
            <v>LCAT</v>
          </cell>
          <cell r="AB2684" t="str">
            <v>Spleen</v>
          </cell>
        </row>
        <row r="2685">
          <cell r="A2685" t="str">
            <v>in storage</v>
          </cell>
          <cell r="K2685" t="str">
            <v>LCAT</v>
          </cell>
          <cell r="AB2685" t="str">
            <v>Heart</v>
          </cell>
        </row>
        <row r="2686">
          <cell r="A2686" t="str">
            <v>in storage</v>
          </cell>
          <cell r="K2686" t="str">
            <v>LCAT</v>
          </cell>
          <cell r="AB2686" t="str">
            <v>Lung</v>
          </cell>
        </row>
        <row r="2687">
          <cell r="A2687" t="str">
            <v>in storage</v>
          </cell>
          <cell r="K2687" t="str">
            <v>LCAT</v>
          </cell>
          <cell r="AB2687" t="str">
            <v>Liver</v>
          </cell>
        </row>
        <row r="2688">
          <cell r="A2688" t="str">
            <v>in storage</v>
          </cell>
          <cell r="K2688" t="str">
            <v>EFLA</v>
          </cell>
          <cell r="AB2688" t="str">
            <v>GI Contents- cecum</v>
          </cell>
        </row>
        <row r="2689">
          <cell r="A2689" t="str">
            <v>in storage</v>
          </cell>
          <cell r="K2689" t="str">
            <v>LCAT</v>
          </cell>
          <cell r="AB2689" t="str">
            <v>Muscle</v>
          </cell>
        </row>
        <row r="2690">
          <cell r="A2690" t="str">
            <v>in storage</v>
          </cell>
          <cell r="K2690" t="str">
            <v>LCAT</v>
          </cell>
          <cell r="AB2690" t="str">
            <v>Muscle</v>
          </cell>
        </row>
        <row r="2691">
          <cell r="A2691" t="str">
            <v>in storage</v>
          </cell>
          <cell r="K2691" t="str">
            <v>EFLA</v>
          </cell>
          <cell r="AB2691" t="str">
            <v>GI- large intestine</v>
          </cell>
        </row>
        <row r="2692">
          <cell r="A2692" t="str">
            <v>in storage</v>
          </cell>
          <cell r="K2692" t="str">
            <v>EFLA</v>
          </cell>
          <cell r="AB2692" t="str">
            <v>GI- small intestine</v>
          </cell>
        </row>
        <row r="2693">
          <cell r="A2693" t="str">
            <v>in storage</v>
          </cell>
          <cell r="K2693" t="str">
            <v>EFLA</v>
          </cell>
          <cell r="AB2693" t="str">
            <v>GI Contents- small intestine</v>
          </cell>
        </row>
        <row r="2694">
          <cell r="A2694" t="str">
            <v>in storage</v>
          </cell>
          <cell r="K2694" t="str">
            <v>EFLA</v>
          </cell>
          <cell r="AB2694" t="str">
            <v>GI Contents- ileum</v>
          </cell>
        </row>
        <row r="2695">
          <cell r="A2695" t="str">
            <v>in storage</v>
          </cell>
          <cell r="K2695" t="str">
            <v>MMUR</v>
          </cell>
          <cell r="AB2695" t="str">
            <v>Heart</v>
          </cell>
        </row>
        <row r="2696">
          <cell r="A2696" t="str">
            <v>in storage</v>
          </cell>
          <cell r="K2696" t="str">
            <v>MMUR</v>
          </cell>
          <cell r="AB2696" t="str">
            <v>Liver</v>
          </cell>
        </row>
        <row r="2697">
          <cell r="A2697" t="str">
            <v>in storage</v>
          </cell>
          <cell r="K2697" t="str">
            <v>MMUR</v>
          </cell>
          <cell r="AB2697" t="str">
            <v>Adrenal gland</v>
          </cell>
        </row>
        <row r="2698">
          <cell r="A2698" t="str">
            <v>in storage</v>
          </cell>
          <cell r="K2698" t="str">
            <v>MMUR</v>
          </cell>
          <cell r="AB2698" t="str">
            <v>Lung</v>
          </cell>
        </row>
        <row r="2699">
          <cell r="A2699" t="str">
            <v>in storage</v>
          </cell>
          <cell r="K2699" t="str">
            <v>MMUR</v>
          </cell>
          <cell r="AB2699" t="str">
            <v>Spleen</v>
          </cell>
        </row>
        <row r="2700">
          <cell r="A2700" t="str">
            <v>in storage</v>
          </cell>
          <cell r="K2700" t="str">
            <v>MMUR</v>
          </cell>
          <cell r="AB2700" t="str">
            <v>Fat- brown</v>
          </cell>
        </row>
        <row r="2701">
          <cell r="A2701" t="str">
            <v>in storage</v>
          </cell>
          <cell r="K2701" t="str">
            <v>MMUR</v>
          </cell>
          <cell r="AB2701" t="str">
            <v>Pancreas</v>
          </cell>
        </row>
        <row r="2702">
          <cell r="A2702" t="str">
            <v>in storage</v>
          </cell>
          <cell r="K2702" t="str">
            <v>MMUR</v>
          </cell>
          <cell r="AB2702" t="str">
            <v>Kidney</v>
          </cell>
        </row>
        <row r="2703">
          <cell r="A2703" t="str">
            <v>in storage</v>
          </cell>
          <cell r="K2703" t="str">
            <v>MMUR</v>
          </cell>
          <cell r="AB2703" t="str">
            <v>Liver</v>
          </cell>
        </row>
        <row r="2704">
          <cell r="A2704" t="str">
            <v>in storage</v>
          </cell>
          <cell r="K2704" t="str">
            <v>MMUR</v>
          </cell>
          <cell r="AB2704" t="str">
            <v>Liver</v>
          </cell>
        </row>
        <row r="2705">
          <cell r="A2705" t="str">
            <v>in storage</v>
          </cell>
          <cell r="K2705" t="str">
            <v>MMUR</v>
          </cell>
          <cell r="AB2705" t="str">
            <v>Lung/ Trachea</v>
          </cell>
        </row>
        <row r="2706">
          <cell r="A2706" t="str">
            <v>in storage</v>
          </cell>
          <cell r="K2706" t="str">
            <v>EFLA</v>
          </cell>
          <cell r="AB2706" t="str">
            <v>GI Contents- large intestine</v>
          </cell>
        </row>
        <row r="2707">
          <cell r="A2707" t="str">
            <v>in storage</v>
          </cell>
          <cell r="K2707" t="str">
            <v>MMUR</v>
          </cell>
          <cell r="AB2707" t="str">
            <v>Muscle</v>
          </cell>
        </row>
        <row r="2708">
          <cell r="A2708" t="str">
            <v>in storage</v>
          </cell>
          <cell r="K2708" t="str">
            <v>MMUR</v>
          </cell>
          <cell r="AB2708" t="str">
            <v>Muscle</v>
          </cell>
        </row>
        <row r="2709">
          <cell r="A2709" t="str">
            <v>in storage</v>
          </cell>
          <cell r="K2709" t="str">
            <v>MMUR</v>
          </cell>
          <cell r="AB2709" t="str">
            <v>Mass- abdominal</v>
          </cell>
        </row>
        <row r="2710">
          <cell r="A2710" t="str">
            <v>in storage</v>
          </cell>
          <cell r="K2710" t="str">
            <v>MMUR</v>
          </cell>
          <cell r="AB2710" t="str">
            <v>Mass- abdominal</v>
          </cell>
        </row>
        <row r="2711">
          <cell r="A2711" t="str">
            <v>in storage</v>
          </cell>
          <cell r="K2711" t="str">
            <v>MMUR</v>
          </cell>
          <cell r="AB2711" t="str">
            <v>Liver</v>
          </cell>
        </row>
        <row r="2712">
          <cell r="A2712" t="str">
            <v>in storage</v>
          </cell>
          <cell r="K2712" t="str">
            <v>EFLA</v>
          </cell>
          <cell r="AB2712" t="str">
            <v>GI Contents- stomach</v>
          </cell>
        </row>
        <row r="2713">
          <cell r="A2713" t="str">
            <v>in storage</v>
          </cell>
          <cell r="K2713" t="str">
            <v>MMUR</v>
          </cell>
          <cell r="AB2713" t="str">
            <v>Pancreas</v>
          </cell>
        </row>
        <row r="2714">
          <cell r="A2714" t="str">
            <v>in storage</v>
          </cell>
          <cell r="K2714" t="str">
            <v>MMUR</v>
          </cell>
          <cell r="AB2714" t="str">
            <v>Spleen</v>
          </cell>
        </row>
        <row r="2715">
          <cell r="A2715" t="str">
            <v>in storage</v>
          </cell>
          <cell r="K2715" t="str">
            <v>MMUR</v>
          </cell>
          <cell r="AB2715" t="str">
            <v>Heart</v>
          </cell>
        </row>
        <row r="2716">
          <cell r="A2716" t="str">
            <v>in storage</v>
          </cell>
          <cell r="K2716" t="str">
            <v>MMUR</v>
          </cell>
          <cell r="AB2716" t="str">
            <v>Lung</v>
          </cell>
        </row>
        <row r="2717">
          <cell r="A2717" t="str">
            <v>in storage</v>
          </cell>
          <cell r="K2717" t="str">
            <v>MMUR</v>
          </cell>
          <cell r="AB2717" t="str">
            <v>Kidney</v>
          </cell>
        </row>
        <row r="2718">
          <cell r="A2718" t="str">
            <v>in storage</v>
          </cell>
          <cell r="K2718" t="str">
            <v>MMUR</v>
          </cell>
          <cell r="AB2718" t="str">
            <v>Eye</v>
          </cell>
        </row>
        <row r="2719">
          <cell r="A2719" t="str">
            <v>in storage</v>
          </cell>
          <cell r="K2719" t="str">
            <v>MMUR</v>
          </cell>
          <cell r="AB2719" t="str">
            <v>Adrenal gland</v>
          </cell>
        </row>
        <row r="2720">
          <cell r="A2720" t="str">
            <v>in storage</v>
          </cell>
          <cell r="K2720" t="str">
            <v>MMUR</v>
          </cell>
          <cell r="AB2720" t="str">
            <v>Liver</v>
          </cell>
        </row>
        <row r="2721">
          <cell r="A2721" t="str">
            <v>in storage</v>
          </cell>
          <cell r="K2721" t="str">
            <v>MMUR</v>
          </cell>
          <cell r="AB2721" t="str">
            <v>Lung</v>
          </cell>
        </row>
        <row r="2722">
          <cell r="A2722" t="str">
            <v>in storage</v>
          </cell>
          <cell r="K2722" t="str">
            <v>MMUR</v>
          </cell>
          <cell r="AB2722" t="str">
            <v>Skin</v>
          </cell>
        </row>
        <row r="2723">
          <cell r="A2723" t="str">
            <v>in storage</v>
          </cell>
          <cell r="K2723" t="str">
            <v>MMUR</v>
          </cell>
          <cell r="AB2723" t="str">
            <v>Kidney</v>
          </cell>
        </row>
        <row r="2724">
          <cell r="A2724" t="str">
            <v>in storage</v>
          </cell>
          <cell r="K2724" t="str">
            <v>MMUR</v>
          </cell>
          <cell r="AB2724" t="str">
            <v>Thyroid</v>
          </cell>
        </row>
        <row r="2725">
          <cell r="A2725" t="str">
            <v>in storage</v>
          </cell>
          <cell r="K2725" t="str">
            <v>MMUR</v>
          </cell>
          <cell r="AB2725" t="str">
            <v>Mass- liver</v>
          </cell>
        </row>
        <row r="2726">
          <cell r="A2726" t="str">
            <v>in storage</v>
          </cell>
          <cell r="K2726" t="str">
            <v>MMUR</v>
          </cell>
          <cell r="AB2726" t="str">
            <v>Muscle</v>
          </cell>
        </row>
        <row r="2727">
          <cell r="A2727" t="str">
            <v>in storage</v>
          </cell>
          <cell r="K2727" t="str">
            <v>LCAT</v>
          </cell>
          <cell r="AB2727" t="str">
            <v>Liver</v>
          </cell>
        </row>
        <row r="2728">
          <cell r="A2728" t="str">
            <v>in storage</v>
          </cell>
          <cell r="K2728" t="str">
            <v>LCAT</v>
          </cell>
          <cell r="AB2728" t="str">
            <v>Lung</v>
          </cell>
        </row>
        <row r="2729">
          <cell r="A2729" t="str">
            <v>in storage</v>
          </cell>
          <cell r="K2729" t="str">
            <v>LCAT</v>
          </cell>
          <cell r="AB2729" t="str">
            <v>Digit- finger</v>
          </cell>
        </row>
        <row r="2730">
          <cell r="A2730" t="str">
            <v>in storage</v>
          </cell>
          <cell r="K2730" t="str">
            <v>CMED</v>
          </cell>
          <cell r="AB2730" t="str">
            <v>Muscle</v>
          </cell>
        </row>
        <row r="2731">
          <cell r="A2731" t="str">
            <v>in storage</v>
          </cell>
          <cell r="K2731" t="str">
            <v>CMED</v>
          </cell>
          <cell r="AB2731" t="str">
            <v>Muscle</v>
          </cell>
        </row>
        <row r="2732">
          <cell r="A2732" t="str">
            <v>gone</v>
          </cell>
          <cell r="K2732" t="str">
            <v>CMED</v>
          </cell>
          <cell r="AB2732" t="str">
            <v>Muscle</v>
          </cell>
        </row>
        <row r="2733">
          <cell r="A2733" t="str">
            <v>in storage</v>
          </cell>
          <cell r="K2733" t="str">
            <v>CMED</v>
          </cell>
          <cell r="AB2733" t="str">
            <v>R- ovary</v>
          </cell>
        </row>
        <row r="2734">
          <cell r="A2734" t="str">
            <v>in storage</v>
          </cell>
          <cell r="K2734" t="str">
            <v>CMED</v>
          </cell>
          <cell r="AB2734" t="str">
            <v>Blood</v>
          </cell>
        </row>
        <row r="2735">
          <cell r="A2735" t="str">
            <v>in storage</v>
          </cell>
          <cell r="K2735" t="str">
            <v>CMED</v>
          </cell>
          <cell r="AB2735" t="str">
            <v>Skin</v>
          </cell>
        </row>
        <row r="2736">
          <cell r="A2736" t="str">
            <v>gone</v>
          </cell>
          <cell r="K2736" t="str">
            <v>CMED</v>
          </cell>
          <cell r="AB2736" t="str">
            <v>Kidney</v>
          </cell>
        </row>
        <row r="2737">
          <cell r="A2737" t="str">
            <v>in storage</v>
          </cell>
          <cell r="K2737" t="str">
            <v>CMED</v>
          </cell>
          <cell r="AB2737" t="str">
            <v>Liver</v>
          </cell>
        </row>
        <row r="2738">
          <cell r="A2738" t="str">
            <v>in storage</v>
          </cell>
          <cell r="K2738" t="str">
            <v>CMED</v>
          </cell>
          <cell r="AB2738" t="str">
            <v>Liver</v>
          </cell>
        </row>
        <row r="2739">
          <cell r="A2739" t="str">
            <v>in storage</v>
          </cell>
          <cell r="K2739" t="str">
            <v>EFLA</v>
          </cell>
          <cell r="AB2739" t="str">
            <v>GI- cecum</v>
          </cell>
        </row>
        <row r="2740">
          <cell r="A2740" t="str">
            <v>in storage</v>
          </cell>
          <cell r="K2740" t="str">
            <v>EFLA</v>
          </cell>
          <cell r="AB2740" t="str">
            <v>GI- large intestine</v>
          </cell>
        </row>
        <row r="2741">
          <cell r="A2741" t="str">
            <v>in storage</v>
          </cell>
          <cell r="K2741" t="str">
            <v>EFLA</v>
          </cell>
          <cell r="AB2741" t="str">
            <v>GI- stomach</v>
          </cell>
        </row>
        <row r="2742">
          <cell r="A2742" t="str">
            <v>in storage</v>
          </cell>
          <cell r="K2742" t="str">
            <v>EFLA</v>
          </cell>
          <cell r="AB2742" t="str">
            <v>GI- duodenum/ jejunem</v>
          </cell>
        </row>
        <row r="2743">
          <cell r="A2743" t="str">
            <v>in storage</v>
          </cell>
          <cell r="K2743" t="str">
            <v>EFLA</v>
          </cell>
          <cell r="AB2743" t="str">
            <v>GI- ileum</v>
          </cell>
        </row>
        <row r="2744">
          <cell r="A2744" t="str">
            <v>in storage</v>
          </cell>
          <cell r="K2744" t="str">
            <v>EFLA</v>
          </cell>
          <cell r="AB2744" t="str">
            <v>GI Contents- large intestine</v>
          </cell>
        </row>
        <row r="2745">
          <cell r="A2745" t="str">
            <v>in storage</v>
          </cell>
          <cell r="K2745" t="str">
            <v>CMED</v>
          </cell>
          <cell r="AB2745" t="str">
            <v>Pancreas</v>
          </cell>
        </row>
        <row r="2746">
          <cell r="A2746" t="str">
            <v>in storage</v>
          </cell>
          <cell r="K2746" t="str">
            <v>CMED</v>
          </cell>
          <cell r="AB2746" t="str">
            <v>Heart</v>
          </cell>
        </row>
        <row r="2747">
          <cell r="A2747" t="str">
            <v>in storage</v>
          </cell>
          <cell r="K2747" t="str">
            <v>CMED</v>
          </cell>
          <cell r="AB2747" t="str">
            <v>Lung</v>
          </cell>
        </row>
        <row r="2748">
          <cell r="A2748" t="str">
            <v>in storage</v>
          </cell>
          <cell r="K2748" t="str">
            <v>CMED</v>
          </cell>
          <cell r="AB2748" t="str">
            <v>Liver</v>
          </cell>
        </row>
        <row r="2749">
          <cell r="A2749" t="str">
            <v>gone</v>
          </cell>
          <cell r="K2749" t="str">
            <v>CMED</v>
          </cell>
          <cell r="AB2749" t="str">
            <v>Kidney</v>
          </cell>
        </row>
        <row r="2750">
          <cell r="A2750" t="str">
            <v>gone</v>
          </cell>
          <cell r="K2750" t="str">
            <v>CMED</v>
          </cell>
          <cell r="AB2750" t="str">
            <v>Spleen</v>
          </cell>
        </row>
        <row r="2751">
          <cell r="A2751" t="str">
            <v>unk</v>
          </cell>
          <cell r="K2751" t="str">
            <v>CMED</v>
          </cell>
          <cell r="AB2751" t="str">
            <v>Eye</v>
          </cell>
        </row>
        <row r="2752">
          <cell r="A2752" t="str">
            <v>in storage</v>
          </cell>
          <cell r="K2752" t="str">
            <v>CMED</v>
          </cell>
          <cell r="AB2752" t="str">
            <v>Fat- brown</v>
          </cell>
        </row>
        <row r="2753">
          <cell r="A2753" t="str">
            <v>in storage</v>
          </cell>
          <cell r="K2753" t="str">
            <v>CMED</v>
          </cell>
          <cell r="AB2753" t="str">
            <v>Tongue</v>
          </cell>
        </row>
        <row r="2754">
          <cell r="A2754" t="str">
            <v>in storage</v>
          </cell>
          <cell r="K2754" t="str">
            <v>LCAT</v>
          </cell>
          <cell r="AB2754" t="str">
            <v>Adrenal gland</v>
          </cell>
        </row>
        <row r="2755">
          <cell r="A2755" t="str">
            <v>in storage</v>
          </cell>
          <cell r="K2755" t="str">
            <v>EFLA</v>
          </cell>
          <cell r="AB2755" t="str">
            <v>GI Contents- ileum</v>
          </cell>
        </row>
        <row r="2756">
          <cell r="A2756" t="str">
            <v>in storage</v>
          </cell>
          <cell r="K2756" t="str">
            <v>LCAT</v>
          </cell>
          <cell r="AB2756" t="str">
            <v>Eye</v>
          </cell>
        </row>
        <row r="2757">
          <cell r="A2757" t="str">
            <v>in storage</v>
          </cell>
          <cell r="K2757" t="str">
            <v>EFLA</v>
          </cell>
          <cell r="AB2757" t="str">
            <v>GI Contents- cecum</v>
          </cell>
        </row>
        <row r="2758">
          <cell r="A2758" t="str">
            <v>in storage</v>
          </cell>
          <cell r="K2758" t="str">
            <v>EFLA</v>
          </cell>
          <cell r="AB2758" t="str">
            <v>GI Tract</v>
          </cell>
        </row>
        <row r="2759">
          <cell r="A2759" t="str">
            <v>in storage</v>
          </cell>
          <cell r="K2759" t="str">
            <v>LCAT</v>
          </cell>
          <cell r="AB2759" t="str">
            <v>R- ovary/ uterus</v>
          </cell>
        </row>
        <row r="2760">
          <cell r="A2760" t="str">
            <v>in storage</v>
          </cell>
          <cell r="K2760" t="str">
            <v>LCAT</v>
          </cell>
          <cell r="AB2760" t="str">
            <v>Pancreas</v>
          </cell>
        </row>
        <row r="2761">
          <cell r="A2761" t="str">
            <v>in storage</v>
          </cell>
          <cell r="K2761" t="str">
            <v>LCAT</v>
          </cell>
          <cell r="AB2761" t="str">
            <v>Blood</v>
          </cell>
        </row>
        <row r="2762">
          <cell r="A2762" t="str">
            <v>in storage</v>
          </cell>
          <cell r="K2762" t="str">
            <v>LCAT</v>
          </cell>
          <cell r="AB2762" t="str">
            <v>Blood</v>
          </cell>
        </row>
        <row r="2763">
          <cell r="A2763" t="str">
            <v>in storage</v>
          </cell>
          <cell r="K2763" t="str">
            <v>LCAT</v>
          </cell>
          <cell r="AB2763" t="str">
            <v>Heart</v>
          </cell>
        </row>
        <row r="2764">
          <cell r="A2764" t="str">
            <v>in storage</v>
          </cell>
          <cell r="K2764" t="str">
            <v>LCAT</v>
          </cell>
          <cell r="AB2764" t="str">
            <v>Lung</v>
          </cell>
        </row>
        <row r="2765">
          <cell r="A2765" t="str">
            <v>in storage</v>
          </cell>
          <cell r="K2765" t="str">
            <v>LCAT</v>
          </cell>
          <cell r="AB2765" t="str">
            <v>Lung</v>
          </cell>
        </row>
        <row r="2766">
          <cell r="A2766" t="str">
            <v>in storage</v>
          </cell>
          <cell r="K2766" t="str">
            <v>LCAT</v>
          </cell>
          <cell r="AB2766" t="str">
            <v>Pancreas</v>
          </cell>
        </row>
        <row r="2767">
          <cell r="A2767" t="str">
            <v>in storage</v>
          </cell>
          <cell r="K2767" t="str">
            <v>LCAT</v>
          </cell>
          <cell r="AB2767" t="str">
            <v>Skin</v>
          </cell>
        </row>
        <row r="2768">
          <cell r="A2768" t="str">
            <v>in storage</v>
          </cell>
          <cell r="K2768" t="str">
            <v>LCAT</v>
          </cell>
          <cell r="AB2768" t="str">
            <v>Skin</v>
          </cell>
        </row>
        <row r="2769">
          <cell r="A2769" t="str">
            <v>in storage</v>
          </cell>
          <cell r="K2769" t="str">
            <v>LCAT</v>
          </cell>
          <cell r="AB2769" t="str">
            <v>Spleen</v>
          </cell>
        </row>
        <row r="2770">
          <cell r="A2770" t="str">
            <v>in storage</v>
          </cell>
          <cell r="K2770" t="str">
            <v>LCAT</v>
          </cell>
          <cell r="AB2770" t="str">
            <v>Kidney</v>
          </cell>
        </row>
        <row r="2771">
          <cell r="A2771" t="str">
            <v>in storage</v>
          </cell>
          <cell r="K2771" t="str">
            <v>LCAT</v>
          </cell>
          <cell r="AB2771" t="str">
            <v>Kidney</v>
          </cell>
        </row>
        <row r="2772">
          <cell r="A2772" t="str">
            <v>in storage</v>
          </cell>
          <cell r="K2772" t="str">
            <v>LCAT</v>
          </cell>
          <cell r="AB2772" t="str">
            <v>Liver</v>
          </cell>
        </row>
        <row r="2773">
          <cell r="A2773" t="str">
            <v>in storage</v>
          </cell>
          <cell r="K2773" t="str">
            <v>LCAT</v>
          </cell>
          <cell r="AB2773" t="str">
            <v>Liver</v>
          </cell>
        </row>
        <row r="2774">
          <cell r="A2774" t="str">
            <v>unk</v>
          </cell>
          <cell r="K2774" t="str">
            <v>LCAT</v>
          </cell>
          <cell r="AB2774" t="str">
            <v>Heart</v>
          </cell>
        </row>
        <row r="2775">
          <cell r="A2775" t="str">
            <v>in storage</v>
          </cell>
          <cell r="K2775" t="str">
            <v>EFLA</v>
          </cell>
          <cell r="AB2775" t="str">
            <v>GI Contents- stomach</v>
          </cell>
        </row>
        <row r="2776">
          <cell r="A2776" t="str">
            <v>in storage</v>
          </cell>
          <cell r="K2776" t="str">
            <v>EFLA</v>
          </cell>
          <cell r="AB2776" t="str">
            <v>GI- cecum</v>
          </cell>
        </row>
        <row r="2777">
          <cell r="A2777" t="str">
            <v>in storage</v>
          </cell>
          <cell r="K2777" t="str">
            <v>EFLA</v>
          </cell>
          <cell r="AB2777" t="str">
            <v>GI- colon</v>
          </cell>
        </row>
        <row r="2778">
          <cell r="A2778" t="str">
            <v>in storage</v>
          </cell>
          <cell r="K2778" t="str">
            <v>EFLA</v>
          </cell>
          <cell r="AB2778" t="str">
            <v>GI- small intestine</v>
          </cell>
        </row>
        <row r="2779">
          <cell r="A2779" t="str">
            <v>in storage</v>
          </cell>
          <cell r="K2779" t="str">
            <v>EFLA</v>
          </cell>
          <cell r="AB2779" t="str">
            <v>GI- stomach</v>
          </cell>
        </row>
        <row r="2780">
          <cell r="A2780" t="str">
            <v>in storage</v>
          </cell>
          <cell r="K2780" t="str">
            <v>LCAT</v>
          </cell>
          <cell r="AB2780" t="str">
            <v>Pancreas</v>
          </cell>
        </row>
        <row r="2781">
          <cell r="A2781" t="str">
            <v>in storage</v>
          </cell>
          <cell r="K2781" t="str">
            <v>LCAT</v>
          </cell>
          <cell r="AB2781" t="str">
            <v>Pancreas</v>
          </cell>
        </row>
        <row r="2782">
          <cell r="A2782" t="str">
            <v>in storage</v>
          </cell>
          <cell r="K2782" t="str">
            <v>LCAT</v>
          </cell>
          <cell r="AB2782" t="str">
            <v>Kidney</v>
          </cell>
        </row>
        <row r="2783">
          <cell r="A2783" t="str">
            <v>in storage</v>
          </cell>
          <cell r="K2783" t="str">
            <v>LCAT</v>
          </cell>
          <cell r="AB2783" t="str">
            <v>Kidney</v>
          </cell>
        </row>
        <row r="2784">
          <cell r="A2784" t="str">
            <v>in storage</v>
          </cell>
          <cell r="K2784" t="str">
            <v>LCAT</v>
          </cell>
          <cell r="AB2784" t="str">
            <v>Spleen</v>
          </cell>
        </row>
        <row r="2785">
          <cell r="A2785" t="str">
            <v>in storage</v>
          </cell>
          <cell r="K2785" t="str">
            <v>LCAT</v>
          </cell>
          <cell r="AB2785" t="str">
            <v>Spleen</v>
          </cell>
        </row>
        <row r="2786">
          <cell r="A2786" t="str">
            <v>in storage</v>
          </cell>
          <cell r="K2786" t="str">
            <v>LCAT</v>
          </cell>
          <cell r="AB2786" t="str">
            <v>Heart</v>
          </cell>
        </row>
        <row r="2787">
          <cell r="A2787" t="str">
            <v>in storage</v>
          </cell>
          <cell r="K2787" t="str">
            <v>LCAT</v>
          </cell>
          <cell r="AB2787" t="str">
            <v>Heart</v>
          </cell>
        </row>
        <row r="2788">
          <cell r="A2788" t="str">
            <v>in storage</v>
          </cell>
          <cell r="K2788" t="str">
            <v>LCAT</v>
          </cell>
          <cell r="AB2788" t="str">
            <v>Lung</v>
          </cell>
        </row>
        <row r="2789">
          <cell r="A2789" t="str">
            <v>in storage</v>
          </cell>
          <cell r="K2789" t="str">
            <v>LCAT</v>
          </cell>
          <cell r="AB2789" t="str">
            <v>Lung</v>
          </cell>
        </row>
        <row r="2790">
          <cell r="A2790" t="str">
            <v>in storage</v>
          </cell>
          <cell r="K2790" t="str">
            <v>LCAT</v>
          </cell>
          <cell r="AB2790" t="str">
            <v>Liver</v>
          </cell>
        </row>
        <row r="2791">
          <cell r="A2791" t="str">
            <v>in storage</v>
          </cell>
          <cell r="K2791" t="str">
            <v>LCAT</v>
          </cell>
          <cell r="AB2791" t="str">
            <v>Liver</v>
          </cell>
        </row>
        <row r="2792">
          <cell r="A2792" t="str">
            <v>in storage</v>
          </cell>
          <cell r="K2792" t="str">
            <v>LCAT</v>
          </cell>
          <cell r="AB2792" t="str">
            <v>Skin</v>
          </cell>
        </row>
        <row r="2793">
          <cell r="A2793" t="str">
            <v>in storage</v>
          </cell>
          <cell r="K2793" t="str">
            <v>LCAT</v>
          </cell>
          <cell r="AB2793" t="str">
            <v>Thyroid</v>
          </cell>
        </row>
        <row r="2794">
          <cell r="A2794" t="str">
            <v>in storage</v>
          </cell>
          <cell r="K2794" t="str">
            <v>EFLA</v>
          </cell>
          <cell r="AB2794" t="str">
            <v>GI- small intestine</v>
          </cell>
        </row>
        <row r="2795">
          <cell r="A2795" t="str">
            <v>in storage</v>
          </cell>
          <cell r="K2795" t="str">
            <v>LCAT</v>
          </cell>
          <cell r="AB2795" t="str">
            <v>Muscle</v>
          </cell>
        </row>
        <row r="2796">
          <cell r="A2796" t="str">
            <v>in storage</v>
          </cell>
          <cell r="K2796" t="str">
            <v>LCAT</v>
          </cell>
          <cell r="AB2796" t="str">
            <v>Muscle</v>
          </cell>
        </row>
        <row r="2797">
          <cell r="A2797" t="str">
            <v>in storage</v>
          </cell>
          <cell r="K2797" t="str">
            <v>LCAT</v>
          </cell>
          <cell r="AB2797" t="str">
            <v>Muscle</v>
          </cell>
        </row>
        <row r="2798">
          <cell r="A2798" t="str">
            <v>in storage</v>
          </cell>
          <cell r="K2798" t="str">
            <v>LCAT</v>
          </cell>
          <cell r="AB2798" t="str">
            <v>Muscle</v>
          </cell>
        </row>
        <row r="2799">
          <cell r="A2799" t="str">
            <v>in storage</v>
          </cell>
          <cell r="K2799" t="str">
            <v>LCAT</v>
          </cell>
          <cell r="AB2799" t="str">
            <v>Tooth</v>
          </cell>
        </row>
        <row r="2800">
          <cell r="A2800" t="str">
            <v>in storage</v>
          </cell>
          <cell r="K2800" t="str">
            <v>LCAT</v>
          </cell>
          <cell r="AB2800" t="str">
            <v>Tooth</v>
          </cell>
        </row>
        <row r="2801">
          <cell r="A2801" t="str">
            <v>in storage</v>
          </cell>
          <cell r="K2801" t="str">
            <v>ECOL</v>
          </cell>
          <cell r="AB2801" t="str">
            <v>R- teste(s)</v>
          </cell>
        </row>
        <row r="2802">
          <cell r="A2802" t="str">
            <v>in storage</v>
          </cell>
          <cell r="K2802" t="str">
            <v>ECOL</v>
          </cell>
          <cell r="AB2802" t="str">
            <v>R- teste(s)</v>
          </cell>
        </row>
        <row r="2803">
          <cell r="A2803" t="str">
            <v>in storage</v>
          </cell>
          <cell r="K2803" t="str">
            <v>EFLA</v>
          </cell>
          <cell r="AB2803" t="str">
            <v>GI Tract</v>
          </cell>
        </row>
        <row r="2804">
          <cell r="A2804" t="str">
            <v>in storage</v>
          </cell>
          <cell r="K2804" t="str">
            <v>EMON</v>
          </cell>
          <cell r="AB2804" t="str">
            <v>Eye</v>
          </cell>
        </row>
        <row r="2805">
          <cell r="A2805" t="str">
            <v>in storage</v>
          </cell>
          <cell r="K2805" t="str">
            <v>EFLA</v>
          </cell>
          <cell r="AB2805" t="str">
            <v>GI Tract</v>
          </cell>
        </row>
        <row r="2806">
          <cell r="A2806" t="str">
            <v>in storage</v>
          </cell>
          <cell r="K2806" t="str">
            <v>EMON</v>
          </cell>
          <cell r="AB2806" t="str">
            <v>Heart</v>
          </cell>
        </row>
        <row r="2807">
          <cell r="A2807" t="str">
            <v>in storage</v>
          </cell>
          <cell r="K2807" t="str">
            <v>EMON</v>
          </cell>
          <cell r="AB2807" t="str">
            <v>Kidney</v>
          </cell>
        </row>
        <row r="2808">
          <cell r="A2808" t="str">
            <v>in storage</v>
          </cell>
          <cell r="K2808" t="str">
            <v>EMON</v>
          </cell>
          <cell r="AB2808" t="str">
            <v>Pancreas</v>
          </cell>
        </row>
        <row r="2809">
          <cell r="A2809" t="str">
            <v>in storage</v>
          </cell>
          <cell r="K2809" t="str">
            <v>EMON</v>
          </cell>
          <cell r="AB2809" t="str">
            <v>Kidney</v>
          </cell>
        </row>
        <row r="2810">
          <cell r="A2810" t="str">
            <v>in storage</v>
          </cell>
          <cell r="K2810" t="str">
            <v>EMON</v>
          </cell>
          <cell r="AB2810" t="str">
            <v>Skin</v>
          </cell>
        </row>
        <row r="2811">
          <cell r="A2811" t="str">
            <v>in storage</v>
          </cell>
          <cell r="K2811" t="str">
            <v>EMON</v>
          </cell>
          <cell r="AB2811" t="str">
            <v>Liver</v>
          </cell>
        </row>
        <row r="2812">
          <cell r="A2812" t="str">
            <v>in storage</v>
          </cell>
          <cell r="K2812" t="str">
            <v>EMON</v>
          </cell>
          <cell r="AB2812" t="str">
            <v>Blood</v>
          </cell>
        </row>
        <row r="2813">
          <cell r="A2813" t="str">
            <v>in storage</v>
          </cell>
          <cell r="K2813" t="str">
            <v>EMON</v>
          </cell>
          <cell r="AB2813" t="str">
            <v>Blood</v>
          </cell>
        </row>
        <row r="2814">
          <cell r="A2814" t="str">
            <v>in storage</v>
          </cell>
          <cell r="K2814" t="str">
            <v>EMON</v>
          </cell>
          <cell r="AB2814" t="str">
            <v>Heart</v>
          </cell>
        </row>
        <row r="2815">
          <cell r="A2815" t="str">
            <v>in storage</v>
          </cell>
          <cell r="K2815" t="str">
            <v>EMON</v>
          </cell>
          <cell r="AB2815" t="str">
            <v>Lung</v>
          </cell>
        </row>
        <row r="2816">
          <cell r="A2816" t="str">
            <v>in storage</v>
          </cell>
          <cell r="K2816" t="str">
            <v>EMON</v>
          </cell>
          <cell r="AB2816" t="str">
            <v>Lung</v>
          </cell>
        </row>
        <row r="2817">
          <cell r="A2817" t="str">
            <v>in storage</v>
          </cell>
          <cell r="K2817" t="str">
            <v>EMON</v>
          </cell>
          <cell r="AB2817" t="str">
            <v>Pancreas</v>
          </cell>
        </row>
        <row r="2818">
          <cell r="A2818" t="str">
            <v>in storage</v>
          </cell>
          <cell r="K2818" t="str">
            <v>EMON</v>
          </cell>
          <cell r="AB2818" t="str">
            <v>Skin</v>
          </cell>
        </row>
        <row r="2819">
          <cell r="A2819" t="str">
            <v>in storage</v>
          </cell>
          <cell r="K2819" t="str">
            <v>EMON</v>
          </cell>
          <cell r="AB2819" t="str">
            <v>Liver</v>
          </cell>
        </row>
        <row r="2820">
          <cell r="A2820" t="str">
            <v>in storage</v>
          </cell>
          <cell r="K2820" t="str">
            <v>EFLA</v>
          </cell>
          <cell r="AB2820" t="str">
            <v>GI- esophagus</v>
          </cell>
        </row>
        <row r="2821">
          <cell r="A2821" t="str">
            <v>in storage</v>
          </cell>
          <cell r="K2821" t="str">
            <v>EFLA</v>
          </cell>
          <cell r="AB2821" t="str">
            <v>GI Tract</v>
          </cell>
        </row>
        <row r="2822">
          <cell r="A2822" t="str">
            <v>in storage</v>
          </cell>
          <cell r="K2822" t="str">
            <v>EFLA</v>
          </cell>
          <cell r="AB2822" t="str">
            <v>GI- cecum</v>
          </cell>
        </row>
        <row r="2823">
          <cell r="A2823" t="str">
            <v>in storage</v>
          </cell>
          <cell r="K2823" t="str">
            <v>EMON</v>
          </cell>
          <cell r="AB2823" t="str">
            <v>parasite(s)</v>
          </cell>
        </row>
        <row r="2824">
          <cell r="A2824" t="str">
            <v>in storage</v>
          </cell>
          <cell r="K2824" t="str">
            <v>EMON</v>
          </cell>
          <cell r="AB2824" t="str">
            <v>Pancreas</v>
          </cell>
        </row>
        <row r="2825">
          <cell r="A2825" t="str">
            <v>in storage</v>
          </cell>
          <cell r="K2825" t="str">
            <v>EMON</v>
          </cell>
          <cell r="AB2825" t="str">
            <v>Kidney</v>
          </cell>
        </row>
        <row r="2826">
          <cell r="A2826" t="str">
            <v>in storage</v>
          </cell>
          <cell r="K2826" t="str">
            <v>EMON</v>
          </cell>
          <cell r="AB2826" t="str">
            <v>Spleen</v>
          </cell>
        </row>
        <row r="2827">
          <cell r="A2827" t="str">
            <v>in storage</v>
          </cell>
          <cell r="K2827" t="str">
            <v>EMON</v>
          </cell>
          <cell r="AB2827" t="str">
            <v>Heart</v>
          </cell>
        </row>
        <row r="2828">
          <cell r="A2828" t="str">
            <v>in storage</v>
          </cell>
          <cell r="K2828" t="str">
            <v>EMON</v>
          </cell>
          <cell r="AB2828" t="str">
            <v>Lung</v>
          </cell>
        </row>
        <row r="2829">
          <cell r="A2829" t="str">
            <v>in storage</v>
          </cell>
          <cell r="K2829" t="str">
            <v>EMON</v>
          </cell>
          <cell r="AB2829" t="str">
            <v>Liver</v>
          </cell>
        </row>
        <row r="2830">
          <cell r="A2830" t="str">
            <v>in storage</v>
          </cell>
          <cell r="K2830" t="str">
            <v>EMON</v>
          </cell>
          <cell r="AB2830" t="str">
            <v>Skin</v>
          </cell>
        </row>
        <row r="2831">
          <cell r="A2831" t="str">
            <v>in storage</v>
          </cell>
          <cell r="K2831" t="str">
            <v>EMON</v>
          </cell>
          <cell r="AB2831" t="str">
            <v>Lymph node- mesenteric</v>
          </cell>
        </row>
        <row r="2832">
          <cell r="A2832" t="str">
            <v>in storage</v>
          </cell>
          <cell r="K2832" t="str">
            <v>EMON</v>
          </cell>
          <cell r="AB2832" t="str">
            <v>Lymph node- mesenteric</v>
          </cell>
        </row>
        <row r="2833">
          <cell r="A2833" t="str">
            <v>in storage</v>
          </cell>
          <cell r="K2833" t="str">
            <v>EMON</v>
          </cell>
          <cell r="AB2833" t="str">
            <v>Thyroid</v>
          </cell>
        </row>
        <row r="2834">
          <cell r="A2834" t="str">
            <v>gone</v>
          </cell>
          <cell r="K2834" t="str">
            <v>EMON</v>
          </cell>
          <cell r="AB2834" t="str">
            <v>R- teste(s)</v>
          </cell>
        </row>
        <row r="2835">
          <cell r="A2835" t="str">
            <v>gone</v>
          </cell>
          <cell r="K2835" t="str">
            <v>EMON</v>
          </cell>
          <cell r="AB2835" t="str">
            <v>R- teste(s)</v>
          </cell>
        </row>
        <row r="2836">
          <cell r="A2836" t="str">
            <v>in storage</v>
          </cell>
          <cell r="K2836" t="str">
            <v>EMON</v>
          </cell>
          <cell r="AB2836" t="str">
            <v>R- teste(s)</v>
          </cell>
        </row>
        <row r="2837">
          <cell r="A2837" t="str">
            <v>in storage</v>
          </cell>
          <cell r="K2837" t="str">
            <v>EFLA</v>
          </cell>
          <cell r="AB2837" t="str">
            <v>GI- esophagus</v>
          </cell>
        </row>
        <row r="2838">
          <cell r="A2838" t="str">
            <v>in storage</v>
          </cell>
          <cell r="K2838" t="str">
            <v>EMON</v>
          </cell>
          <cell r="AB2838" t="str">
            <v>Mass- liver</v>
          </cell>
        </row>
        <row r="2839">
          <cell r="A2839" t="str">
            <v>in storage</v>
          </cell>
          <cell r="K2839" t="str">
            <v>EMON</v>
          </cell>
          <cell r="AB2839" t="str">
            <v>Mass- liver</v>
          </cell>
        </row>
        <row r="2840">
          <cell r="A2840" t="str">
            <v>in storage</v>
          </cell>
          <cell r="K2840" t="str">
            <v>EMON</v>
          </cell>
          <cell r="AB2840" t="str">
            <v>Mass- liver</v>
          </cell>
        </row>
        <row r="2841">
          <cell r="A2841" t="str">
            <v>in storage</v>
          </cell>
          <cell r="K2841" t="str">
            <v>EMON</v>
          </cell>
          <cell r="AB2841" t="str">
            <v>Muscle</v>
          </cell>
        </row>
        <row r="2842">
          <cell r="A2842" t="str">
            <v>in storage</v>
          </cell>
          <cell r="K2842" t="str">
            <v>EMON</v>
          </cell>
          <cell r="AB2842" t="str">
            <v>Muscle</v>
          </cell>
        </row>
        <row r="2843">
          <cell r="A2843" t="str">
            <v>in storage</v>
          </cell>
          <cell r="K2843" t="str">
            <v>EMON</v>
          </cell>
          <cell r="AB2843" t="str">
            <v>Muscle</v>
          </cell>
        </row>
        <row r="2844">
          <cell r="A2844" t="str">
            <v>in storage</v>
          </cell>
          <cell r="K2844" t="str">
            <v>ECOR</v>
          </cell>
          <cell r="AB2844" t="str">
            <v>odors (AG)</v>
          </cell>
        </row>
        <row r="2845">
          <cell r="A2845" t="str">
            <v>in storage</v>
          </cell>
          <cell r="K2845" t="str">
            <v>ERUF</v>
          </cell>
          <cell r="AB2845" t="str">
            <v>odors (AG)</v>
          </cell>
        </row>
        <row r="2846">
          <cell r="A2846" t="str">
            <v>on hold</v>
          </cell>
          <cell r="K2846" t="str">
            <v>VVV</v>
          </cell>
          <cell r="AB2846" t="str">
            <v>R- sperm plug</v>
          </cell>
        </row>
        <row r="2847">
          <cell r="A2847" t="str">
            <v>in storage</v>
          </cell>
          <cell r="K2847" t="str">
            <v>ERUB</v>
          </cell>
          <cell r="AB2847" t="str">
            <v>Tooth</v>
          </cell>
        </row>
        <row r="2848">
          <cell r="A2848" t="str">
            <v>in storage</v>
          </cell>
          <cell r="K2848" t="str">
            <v>PCOQ</v>
          </cell>
          <cell r="AB2848" t="str">
            <v>R- placenta</v>
          </cell>
        </row>
        <row r="2849">
          <cell r="A2849" t="str">
            <v>in storage</v>
          </cell>
          <cell r="K2849" t="str">
            <v>PCOQ</v>
          </cell>
          <cell r="AB2849" t="str">
            <v>R- placenta</v>
          </cell>
        </row>
        <row r="2850">
          <cell r="A2850" t="str">
            <v>in storage</v>
          </cell>
          <cell r="K2850" t="str">
            <v>PCOQ</v>
          </cell>
          <cell r="AB2850" t="str">
            <v>Tooth</v>
          </cell>
        </row>
        <row r="2851">
          <cell r="A2851" t="str">
            <v>in storage</v>
          </cell>
          <cell r="K2851" t="str">
            <v>ECOR</v>
          </cell>
          <cell r="AB2851" t="str">
            <v>R- sperm plug</v>
          </cell>
        </row>
        <row r="2852">
          <cell r="A2852" t="str">
            <v>in storage</v>
          </cell>
          <cell r="K2852" t="str">
            <v>VRUB</v>
          </cell>
          <cell r="AB2852" t="str">
            <v>R- sperm plug</v>
          </cell>
        </row>
        <row r="2853">
          <cell r="A2853" t="str">
            <v>in storage</v>
          </cell>
          <cell r="K2853" t="str">
            <v>PCOQ</v>
          </cell>
          <cell r="AB2853" t="str">
            <v>R- allantoic sac</v>
          </cell>
        </row>
        <row r="2854">
          <cell r="A2854" t="str">
            <v>in storage</v>
          </cell>
          <cell r="K2854" t="str">
            <v>EFLA</v>
          </cell>
          <cell r="AB2854" t="str">
            <v>Muscle</v>
          </cell>
        </row>
        <row r="2855">
          <cell r="A2855" t="str">
            <v>in storage</v>
          </cell>
          <cell r="K2855" t="str">
            <v>EFLA</v>
          </cell>
          <cell r="AB2855" t="str">
            <v>Muscle</v>
          </cell>
        </row>
        <row r="2856">
          <cell r="A2856" t="str">
            <v>in storage</v>
          </cell>
          <cell r="K2856" t="str">
            <v>EFLA</v>
          </cell>
          <cell r="AB2856" t="str">
            <v>Muscle</v>
          </cell>
        </row>
        <row r="2857">
          <cell r="A2857" t="str">
            <v>in storage</v>
          </cell>
          <cell r="K2857" t="str">
            <v>EFLA</v>
          </cell>
          <cell r="AB2857" t="str">
            <v>Adrenal gland</v>
          </cell>
        </row>
        <row r="2858">
          <cell r="A2858" t="str">
            <v>in storage</v>
          </cell>
          <cell r="K2858" t="str">
            <v>EFLA</v>
          </cell>
          <cell r="AB2858" t="str">
            <v>Kidney</v>
          </cell>
        </row>
        <row r="2859">
          <cell r="A2859" t="str">
            <v>in storage</v>
          </cell>
          <cell r="K2859" t="str">
            <v>EFLA</v>
          </cell>
          <cell r="AB2859" t="str">
            <v>Kidney</v>
          </cell>
        </row>
        <row r="2860">
          <cell r="A2860" t="str">
            <v>in storage</v>
          </cell>
          <cell r="K2860" t="str">
            <v>EFLA</v>
          </cell>
          <cell r="AB2860" t="str">
            <v>Blood</v>
          </cell>
        </row>
        <row r="2861">
          <cell r="A2861" t="str">
            <v>in storage</v>
          </cell>
          <cell r="K2861" t="str">
            <v>EFLA</v>
          </cell>
          <cell r="AB2861" t="str">
            <v>Blood</v>
          </cell>
        </row>
        <row r="2862">
          <cell r="A2862" t="str">
            <v>in storage</v>
          </cell>
          <cell r="K2862" t="str">
            <v>EFLA</v>
          </cell>
          <cell r="AB2862" t="str">
            <v>Heart</v>
          </cell>
        </row>
        <row r="2863">
          <cell r="A2863" t="str">
            <v>in storage</v>
          </cell>
          <cell r="K2863" t="str">
            <v>EFLA</v>
          </cell>
          <cell r="AB2863" t="str">
            <v>Heart</v>
          </cell>
        </row>
        <row r="2864">
          <cell r="A2864" t="str">
            <v>in storage</v>
          </cell>
          <cell r="K2864" t="str">
            <v>EFLA</v>
          </cell>
          <cell r="AB2864" t="str">
            <v>Lung</v>
          </cell>
        </row>
        <row r="2865">
          <cell r="A2865" t="str">
            <v>in storage</v>
          </cell>
          <cell r="K2865" t="str">
            <v>EFLA</v>
          </cell>
          <cell r="AB2865" t="str">
            <v>Pancreas</v>
          </cell>
        </row>
        <row r="2866">
          <cell r="A2866" t="str">
            <v>in storage</v>
          </cell>
          <cell r="K2866" t="str">
            <v>EFLA</v>
          </cell>
          <cell r="AB2866" t="str">
            <v>Pancreas</v>
          </cell>
        </row>
        <row r="2867">
          <cell r="A2867" t="str">
            <v>in storage</v>
          </cell>
          <cell r="K2867" t="str">
            <v>EFLA</v>
          </cell>
          <cell r="AB2867" t="str">
            <v>Skin</v>
          </cell>
        </row>
        <row r="2868">
          <cell r="A2868" t="str">
            <v>in storage</v>
          </cell>
          <cell r="K2868" t="str">
            <v>EFLA</v>
          </cell>
          <cell r="AB2868" t="str">
            <v>Spleen</v>
          </cell>
        </row>
        <row r="2869">
          <cell r="A2869" t="str">
            <v>in storage</v>
          </cell>
          <cell r="K2869" t="str">
            <v>EFLA</v>
          </cell>
          <cell r="AB2869" t="str">
            <v>Spleen</v>
          </cell>
        </row>
        <row r="2870">
          <cell r="A2870" t="str">
            <v>in storage</v>
          </cell>
          <cell r="K2870" t="str">
            <v>EFLA</v>
          </cell>
          <cell r="AB2870" t="str">
            <v>Liver</v>
          </cell>
        </row>
        <row r="2871">
          <cell r="A2871" t="str">
            <v>in storage</v>
          </cell>
          <cell r="K2871" t="str">
            <v>EFLA</v>
          </cell>
          <cell r="AB2871" t="str">
            <v>Liver</v>
          </cell>
        </row>
        <row r="2872">
          <cell r="A2872" t="str">
            <v>in storage</v>
          </cell>
          <cell r="K2872" t="str">
            <v>EFLA</v>
          </cell>
          <cell r="AB2872" t="str">
            <v>Lung</v>
          </cell>
        </row>
        <row r="2873">
          <cell r="A2873" t="str">
            <v>in storage</v>
          </cell>
          <cell r="K2873" t="str">
            <v>EFLA</v>
          </cell>
          <cell r="AB2873" t="str">
            <v>Skin</v>
          </cell>
        </row>
        <row r="2874">
          <cell r="A2874" t="str">
            <v>unk</v>
          </cell>
          <cell r="K2874" t="str">
            <v>EFLA</v>
          </cell>
          <cell r="AB2874" t="str">
            <v>parasite(s)</v>
          </cell>
        </row>
        <row r="2875">
          <cell r="A2875" t="str">
            <v>in storage</v>
          </cell>
          <cell r="K2875" t="str">
            <v>EFLA</v>
          </cell>
          <cell r="AB2875" t="str">
            <v>GI- large intestine</v>
          </cell>
        </row>
        <row r="2876">
          <cell r="A2876" t="str">
            <v>in storage</v>
          </cell>
          <cell r="K2876" t="str">
            <v>EFLA</v>
          </cell>
          <cell r="AB2876" t="str">
            <v>GI- small intestine</v>
          </cell>
        </row>
        <row r="2877">
          <cell r="A2877" t="str">
            <v>in storage</v>
          </cell>
          <cell r="K2877" t="str">
            <v>EFLA</v>
          </cell>
          <cell r="AB2877" t="str">
            <v>GI- stomach</v>
          </cell>
        </row>
        <row r="2878">
          <cell r="A2878" t="str">
            <v>in storage</v>
          </cell>
          <cell r="K2878" t="str">
            <v>EFLA</v>
          </cell>
          <cell r="AB2878" t="str">
            <v>parasite(s)</v>
          </cell>
        </row>
        <row r="2879">
          <cell r="A2879" t="str">
            <v>in storage</v>
          </cell>
          <cell r="K2879" t="str">
            <v>EFLA</v>
          </cell>
          <cell r="AB2879" t="str">
            <v>Pancreas</v>
          </cell>
        </row>
        <row r="2880">
          <cell r="A2880" t="str">
            <v>in storage</v>
          </cell>
          <cell r="K2880" t="str">
            <v>EFLA</v>
          </cell>
          <cell r="AB2880" t="str">
            <v>Kidney</v>
          </cell>
        </row>
        <row r="2881">
          <cell r="A2881" t="str">
            <v>in storage</v>
          </cell>
          <cell r="K2881" t="str">
            <v>EFLA</v>
          </cell>
          <cell r="AB2881" t="str">
            <v>Eye</v>
          </cell>
        </row>
        <row r="2882">
          <cell r="A2882" t="str">
            <v>in storage</v>
          </cell>
          <cell r="K2882" t="str">
            <v>EFLA</v>
          </cell>
          <cell r="AB2882" t="str">
            <v>Spleen</v>
          </cell>
        </row>
        <row r="2883">
          <cell r="A2883" t="str">
            <v>in storage</v>
          </cell>
          <cell r="K2883" t="str">
            <v>EFLA</v>
          </cell>
          <cell r="AB2883" t="str">
            <v>Heart</v>
          </cell>
        </row>
        <row r="2884">
          <cell r="A2884" t="str">
            <v>in storage</v>
          </cell>
          <cell r="K2884" t="str">
            <v>EFLA</v>
          </cell>
          <cell r="AB2884" t="str">
            <v>Lung</v>
          </cell>
        </row>
        <row r="2885">
          <cell r="A2885" t="str">
            <v>in storage</v>
          </cell>
          <cell r="K2885" t="str">
            <v>EFLA</v>
          </cell>
          <cell r="AB2885" t="str">
            <v>Liver</v>
          </cell>
        </row>
        <row r="2886">
          <cell r="A2886" t="str">
            <v>in storage</v>
          </cell>
          <cell r="K2886" t="str">
            <v>LCAT</v>
          </cell>
          <cell r="AB2886" t="str">
            <v>Liver</v>
          </cell>
        </row>
        <row r="2887">
          <cell r="A2887" t="str">
            <v>in storage</v>
          </cell>
          <cell r="K2887" t="str">
            <v>LCAT</v>
          </cell>
          <cell r="AB2887" t="str">
            <v>Liver</v>
          </cell>
        </row>
        <row r="2888">
          <cell r="A2888" t="str">
            <v>in storage</v>
          </cell>
          <cell r="K2888" t="str">
            <v>EFLA</v>
          </cell>
          <cell r="AB2888" t="str">
            <v>R- teste(s)</v>
          </cell>
        </row>
        <row r="2889">
          <cell r="A2889" t="str">
            <v>in storage</v>
          </cell>
          <cell r="K2889" t="str">
            <v>EFLA</v>
          </cell>
          <cell r="AB2889" t="str">
            <v>R- teste(s)</v>
          </cell>
        </row>
        <row r="2890">
          <cell r="A2890" t="str">
            <v>in storage</v>
          </cell>
          <cell r="K2890" t="str">
            <v>EFLA</v>
          </cell>
          <cell r="AB2890" t="str">
            <v>R- teste(s)</v>
          </cell>
        </row>
        <row r="2891">
          <cell r="A2891" t="str">
            <v>in storage</v>
          </cell>
          <cell r="K2891" t="str">
            <v>LCAT</v>
          </cell>
          <cell r="AB2891" t="str">
            <v>Kidney</v>
          </cell>
        </row>
        <row r="2892">
          <cell r="A2892" t="str">
            <v>in storage</v>
          </cell>
          <cell r="K2892" t="str">
            <v>LCAT</v>
          </cell>
          <cell r="AB2892" t="str">
            <v>Lung</v>
          </cell>
        </row>
        <row r="2893">
          <cell r="A2893" t="str">
            <v>in storage</v>
          </cell>
          <cell r="K2893" t="str">
            <v>EFLA</v>
          </cell>
          <cell r="AB2893" t="str">
            <v>Mass- liver</v>
          </cell>
        </row>
        <row r="2894">
          <cell r="A2894" t="str">
            <v>in storage</v>
          </cell>
          <cell r="K2894" t="str">
            <v>EFLA</v>
          </cell>
          <cell r="AB2894" t="str">
            <v>Mass- liver</v>
          </cell>
        </row>
        <row r="2895">
          <cell r="A2895" t="str">
            <v>in storage</v>
          </cell>
          <cell r="K2895" t="str">
            <v>EFLA</v>
          </cell>
          <cell r="AB2895" t="str">
            <v>Mass- liver</v>
          </cell>
        </row>
        <row r="2896">
          <cell r="A2896" t="str">
            <v>in storage</v>
          </cell>
          <cell r="K2896" t="str">
            <v>ECOL</v>
          </cell>
          <cell r="AB2896" t="str">
            <v>Muscle</v>
          </cell>
        </row>
        <row r="2897">
          <cell r="A2897" t="str">
            <v>in storage</v>
          </cell>
          <cell r="K2897" t="str">
            <v>ECOL</v>
          </cell>
          <cell r="AB2897" t="str">
            <v>Muscle</v>
          </cell>
        </row>
        <row r="2898">
          <cell r="A2898" t="str">
            <v>in storage</v>
          </cell>
          <cell r="K2898" t="str">
            <v>ECOL</v>
          </cell>
          <cell r="AB2898" t="str">
            <v>Muscle</v>
          </cell>
        </row>
        <row r="2899">
          <cell r="A2899" t="str">
            <v>in storage</v>
          </cell>
          <cell r="K2899" t="str">
            <v>ECOL</v>
          </cell>
          <cell r="AB2899" t="str">
            <v>Adrenal gland</v>
          </cell>
        </row>
        <row r="2900">
          <cell r="A2900" t="str">
            <v>in storage</v>
          </cell>
          <cell r="K2900" t="str">
            <v>ECOL</v>
          </cell>
          <cell r="AB2900" t="str">
            <v>Adrenal gland</v>
          </cell>
        </row>
        <row r="2901">
          <cell r="A2901" t="str">
            <v>in storage</v>
          </cell>
          <cell r="K2901" t="str">
            <v>ECOL</v>
          </cell>
          <cell r="AB2901" t="str">
            <v>Kidney</v>
          </cell>
        </row>
        <row r="2902">
          <cell r="A2902" t="str">
            <v>in storage</v>
          </cell>
          <cell r="K2902" t="str">
            <v>ECOL</v>
          </cell>
          <cell r="AB2902" t="str">
            <v>Kidney</v>
          </cell>
        </row>
        <row r="2903">
          <cell r="A2903" t="str">
            <v>in storage</v>
          </cell>
          <cell r="K2903" t="str">
            <v>ECOL</v>
          </cell>
          <cell r="AB2903" t="str">
            <v>Blood</v>
          </cell>
        </row>
        <row r="2904">
          <cell r="A2904" t="str">
            <v>in storage</v>
          </cell>
          <cell r="K2904" t="str">
            <v>ECOL</v>
          </cell>
          <cell r="AB2904" t="str">
            <v>Blood</v>
          </cell>
        </row>
        <row r="2905">
          <cell r="A2905" t="str">
            <v>in storage</v>
          </cell>
          <cell r="K2905" t="str">
            <v>ECOL</v>
          </cell>
          <cell r="AB2905" t="str">
            <v>Heart</v>
          </cell>
        </row>
        <row r="2906">
          <cell r="A2906" t="str">
            <v>in storage</v>
          </cell>
          <cell r="K2906" t="str">
            <v>ECOL</v>
          </cell>
          <cell r="AB2906" t="str">
            <v>Heart</v>
          </cell>
        </row>
        <row r="2907">
          <cell r="A2907" t="str">
            <v>in storage</v>
          </cell>
          <cell r="K2907" t="str">
            <v>ECOL</v>
          </cell>
          <cell r="AB2907" t="str">
            <v>Lung</v>
          </cell>
        </row>
        <row r="2908">
          <cell r="A2908" t="str">
            <v>in storage</v>
          </cell>
          <cell r="K2908" t="str">
            <v>ECOL</v>
          </cell>
          <cell r="AB2908" t="str">
            <v>Lung</v>
          </cell>
        </row>
        <row r="2909">
          <cell r="A2909" t="str">
            <v>in storage</v>
          </cell>
          <cell r="K2909" t="str">
            <v>ECOL</v>
          </cell>
          <cell r="AB2909" t="str">
            <v>Pancreas</v>
          </cell>
        </row>
        <row r="2910">
          <cell r="A2910" t="str">
            <v>in storage</v>
          </cell>
          <cell r="K2910" t="str">
            <v>ECOL</v>
          </cell>
          <cell r="AB2910" t="str">
            <v>Pancreas</v>
          </cell>
        </row>
        <row r="2911">
          <cell r="A2911" t="str">
            <v>in storage</v>
          </cell>
          <cell r="K2911" t="str">
            <v>ECOL</v>
          </cell>
          <cell r="AB2911" t="str">
            <v>Skin</v>
          </cell>
        </row>
        <row r="2912">
          <cell r="A2912" t="str">
            <v>in storage</v>
          </cell>
          <cell r="K2912" t="str">
            <v>ECOL</v>
          </cell>
          <cell r="AB2912" t="str">
            <v>Skin</v>
          </cell>
        </row>
        <row r="2913">
          <cell r="A2913" t="str">
            <v>in storage</v>
          </cell>
          <cell r="K2913" t="str">
            <v>ECOL</v>
          </cell>
          <cell r="AB2913" t="str">
            <v>Spleen</v>
          </cell>
        </row>
        <row r="2914">
          <cell r="A2914" t="str">
            <v>in storage</v>
          </cell>
          <cell r="K2914" t="str">
            <v>ECOL</v>
          </cell>
          <cell r="AB2914" t="str">
            <v>Spleen</v>
          </cell>
        </row>
        <row r="2915">
          <cell r="A2915" t="str">
            <v>in storage</v>
          </cell>
          <cell r="K2915" t="str">
            <v>ECOL</v>
          </cell>
          <cell r="AB2915" t="str">
            <v>Liver</v>
          </cell>
        </row>
        <row r="2916">
          <cell r="A2916" t="str">
            <v>in storage</v>
          </cell>
          <cell r="K2916" t="str">
            <v>ECOL</v>
          </cell>
          <cell r="AB2916" t="str">
            <v>Liver</v>
          </cell>
        </row>
        <row r="2917">
          <cell r="A2917" t="str">
            <v>in storage</v>
          </cell>
          <cell r="K2917" t="str">
            <v>LCAT</v>
          </cell>
          <cell r="AB2917" t="str">
            <v>Lung</v>
          </cell>
        </row>
        <row r="2918">
          <cell r="A2918" t="str">
            <v>in storage</v>
          </cell>
          <cell r="K2918" t="str">
            <v>ECOL</v>
          </cell>
          <cell r="AB2918" t="str">
            <v>Eye</v>
          </cell>
        </row>
        <row r="2919">
          <cell r="A2919" t="str">
            <v>in storage</v>
          </cell>
          <cell r="K2919" t="str">
            <v>LCAT</v>
          </cell>
          <cell r="AB2919" t="str">
            <v>Thymus</v>
          </cell>
        </row>
        <row r="2920">
          <cell r="A2920" t="str">
            <v>in storage</v>
          </cell>
          <cell r="K2920" t="str">
            <v>LCAT</v>
          </cell>
          <cell r="AB2920" t="str">
            <v>R- umbilical cord</v>
          </cell>
        </row>
        <row r="2921">
          <cell r="A2921" t="str">
            <v>in storage</v>
          </cell>
          <cell r="K2921" t="str">
            <v>GMOH</v>
          </cell>
          <cell r="AB2921" t="str">
            <v>GI- stomach</v>
          </cell>
        </row>
        <row r="2922">
          <cell r="A2922" t="str">
            <v>in storage</v>
          </cell>
          <cell r="K2922" t="str">
            <v>ECOL</v>
          </cell>
          <cell r="AB2922" t="str">
            <v>Pancreas</v>
          </cell>
        </row>
        <row r="2923">
          <cell r="A2923" t="str">
            <v>in storage</v>
          </cell>
          <cell r="K2923" t="str">
            <v>ECOL</v>
          </cell>
          <cell r="AB2923" t="str">
            <v>Kidney</v>
          </cell>
        </row>
        <row r="2924">
          <cell r="A2924" t="str">
            <v>in storage</v>
          </cell>
          <cell r="K2924" t="str">
            <v>ECOL</v>
          </cell>
          <cell r="AB2924" t="str">
            <v>Spleen</v>
          </cell>
        </row>
        <row r="2925">
          <cell r="A2925" t="str">
            <v>in storage</v>
          </cell>
          <cell r="K2925" t="str">
            <v>ECOL</v>
          </cell>
          <cell r="AB2925" t="str">
            <v>Heart</v>
          </cell>
        </row>
        <row r="2926">
          <cell r="A2926" t="str">
            <v>in storage</v>
          </cell>
          <cell r="K2926" t="str">
            <v>ECOL</v>
          </cell>
          <cell r="AB2926" t="str">
            <v>Lung</v>
          </cell>
        </row>
        <row r="2927">
          <cell r="A2927" t="str">
            <v>in storage</v>
          </cell>
          <cell r="K2927" t="str">
            <v>ECOL</v>
          </cell>
          <cell r="AB2927" t="str">
            <v>Liver</v>
          </cell>
        </row>
        <row r="2928">
          <cell r="A2928" t="str">
            <v>in storage</v>
          </cell>
          <cell r="K2928" t="str">
            <v>GMOH</v>
          </cell>
          <cell r="AB2928" t="str">
            <v>GI contents- stomach</v>
          </cell>
        </row>
        <row r="2929">
          <cell r="A2929" t="str">
            <v>in storage</v>
          </cell>
          <cell r="K2929" t="str">
            <v>GMOH</v>
          </cell>
          <cell r="AB2929" t="str">
            <v>GI- small intestine</v>
          </cell>
        </row>
        <row r="2930">
          <cell r="A2930" t="str">
            <v>in storage</v>
          </cell>
          <cell r="K2930" t="str">
            <v>ECOL</v>
          </cell>
          <cell r="AB2930" t="str">
            <v>Thyroid</v>
          </cell>
        </row>
        <row r="2931">
          <cell r="A2931" t="str">
            <v>in storage</v>
          </cell>
          <cell r="K2931" t="str">
            <v>ECOL</v>
          </cell>
          <cell r="AB2931" t="str">
            <v>R- teste(s)</v>
          </cell>
        </row>
        <row r="2932">
          <cell r="A2932" t="str">
            <v>in storage</v>
          </cell>
          <cell r="K2932" t="str">
            <v>ECOL</v>
          </cell>
          <cell r="AB2932" t="str">
            <v>R- teste(s)</v>
          </cell>
        </row>
        <row r="2933">
          <cell r="A2933" t="str">
            <v>in storage</v>
          </cell>
          <cell r="K2933" t="str">
            <v>ECOL</v>
          </cell>
          <cell r="AB2933" t="str">
            <v>R- teste(s)</v>
          </cell>
        </row>
        <row r="2934">
          <cell r="A2934" t="str">
            <v>in storage</v>
          </cell>
          <cell r="K2934" t="str">
            <v>GMOH</v>
          </cell>
          <cell r="AB2934" t="str">
            <v>GI- large intestine</v>
          </cell>
        </row>
        <row r="2935">
          <cell r="A2935" t="str">
            <v>in storage</v>
          </cell>
          <cell r="K2935" t="str">
            <v>CMED</v>
          </cell>
          <cell r="AB2935" t="str">
            <v>Digit- finger</v>
          </cell>
        </row>
        <row r="2936">
          <cell r="A2936" t="str">
            <v>unk</v>
          </cell>
          <cell r="K2936" t="str">
            <v>MMUR</v>
          </cell>
          <cell r="AB2936" t="str">
            <v>R- sperm plug</v>
          </cell>
        </row>
        <row r="2937">
          <cell r="A2937" t="str">
            <v>in storage</v>
          </cell>
          <cell r="K2937" t="str">
            <v>EMON</v>
          </cell>
          <cell r="AB2937" t="str">
            <v>R- placenta</v>
          </cell>
        </row>
        <row r="2938">
          <cell r="A2938" t="str">
            <v>in storage</v>
          </cell>
          <cell r="K2938" t="str">
            <v>EFLA</v>
          </cell>
          <cell r="AB2938" t="str">
            <v>Tail</v>
          </cell>
        </row>
        <row r="2939">
          <cell r="A2939" t="str">
            <v>in storage</v>
          </cell>
          <cell r="K2939" t="str">
            <v>EFUL</v>
          </cell>
          <cell r="AB2939" t="str">
            <v>GI Tract</v>
          </cell>
        </row>
        <row r="2940">
          <cell r="A2940" t="str">
            <v>in storage</v>
          </cell>
          <cell r="K2940" t="str">
            <v>VVV</v>
          </cell>
          <cell r="AB2940" t="str">
            <v>Kidney</v>
          </cell>
        </row>
        <row r="2941">
          <cell r="A2941" t="str">
            <v>in storage</v>
          </cell>
          <cell r="K2941" t="str">
            <v>VVV</v>
          </cell>
          <cell r="AB2941" t="str">
            <v>Kidney</v>
          </cell>
        </row>
        <row r="2942">
          <cell r="A2942" t="str">
            <v>in storage</v>
          </cell>
          <cell r="K2942" t="str">
            <v>VVV</v>
          </cell>
          <cell r="AB2942" t="str">
            <v>Spleen</v>
          </cell>
        </row>
        <row r="2943">
          <cell r="A2943" t="str">
            <v>in storage</v>
          </cell>
          <cell r="K2943" t="str">
            <v>VVV</v>
          </cell>
          <cell r="AB2943" t="str">
            <v>Lung</v>
          </cell>
        </row>
        <row r="2944">
          <cell r="A2944" t="str">
            <v>in storage</v>
          </cell>
          <cell r="K2944" t="str">
            <v>VVV</v>
          </cell>
          <cell r="AB2944" t="str">
            <v>Liver</v>
          </cell>
        </row>
        <row r="2945">
          <cell r="A2945" t="str">
            <v>in storage</v>
          </cell>
          <cell r="K2945" t="str">
            <v>VVV</v>
          </cell>
          <cell r="AB2945" t="str">
            <v>R- teste(s)</v>
          </cell>
        </row>
        <row r="2946">
          <cell r="A2946" t="str">
            <v>in storage</v>
          </cell>
          <cell r="K2946" t="str">
            <v>VVV</v>
          </cell>
          <cell r="AB2946" t="str">
            <v>Adrenal gland</v>
          </cell>
        </row>
        <row r="2947">
          <cell r="A2947" t="str">
            <v>in storage</v>
          </cell>
          <cell r="K2947" t="str">
            <v>VVV</v>
          </cell>
          <cell r="AB2947" t="str">
            <v>Mass- liver</v>
          </cell>
        </row>
        <row r="2948">
          <cell r="A2948" t="str">
            <v>in storage</v>
          </cell>
          <cell r="K2948" t="str">
            <v>VVV</v>
          </cell>
          <cell r="AB2948" t="str">
            <v>Mass- liver</v>
          </cell>
        </row>
        <row r="2949">
          <cell r="A2949" t="str">
            <v>in storage</v>
          </cell>
          <cell r="K2949" t="str">
            <v>VVV</v>
          </cell>
          <cell r="AB2949" t="str">
            <v>Mass- liver</v>
          </cell>
        </row>
        <row r="2950">
          <cell r="A2950" t="str">
            <v>in storage</v>
          </cell>
          <cell r="K2950" t="str">
            <v>EMAC</v>
          </cell>
          <cell r="AB2950" t="str">
            <v>GI Contents- cecum</v>
          </cell>
        </row>
        <row r="2951">
          <cell r="A2951" t="str">
            <v>in storage</v>
          </cell>
          <cell r="K2951" t="str">
            <v>VRUB</v>
          </cell>
          <cell r="AB2951" t="str">
            <v>Kidney</v>
          </cell>
        </row>
        <row r="2952">
          <cell r="A2952" t="str">
            <v>in storage</v>
          </cell>
          <cell r="K2952" t="str">
            <v>VRUB</v>
          </cell>
          <cell r="AB2952" t="str">
            <v>Spleen</v>
          </cell>
        </row>
        <row r="2953">
          <cell r="A2953" t="str">
            <v>in storage</v>
          </cell>
          <cell r="K2953" t="str">
            <v>VRUB</v>
          </cell>
          <cell r="AB2953" t="str">
            <v>Lung</v>
          </cell>
        </row>
        <row r="2954">
          <cell r="A2954" t="str">
            <v>in storage</v>
          </cell>
          <cell r="K2954" t="str">
            <v>VRUB</v>
          </cell>
          <cell r="AB2954" t="str">
            <v>Liver</v>
          </cell>
        </row>
        <row r="2955">
          <cell r="A2955" t="str">
            <v>in storage</v>
          </cell>
          <cell r="K2955" t="str">
            <v>VRUB</v>
          </cell>
          <cell r="AB2955" t="str">
            <v>Adrenal gland</v>
          </cell>
        </row>
        <row r="2956">
          <cell r="A2956" t="str">
            <v>in storage</v>
          </cell>
          <cell r="K2956" t="str">
            <v>VRUB</v>
          </cell>
          <cell r="AB2956" t="str">
            <v>Spleen</v>
          </cell>
        </row>
        <row r="2957">
          <cell r="A2957" t="str">
            <v>in storage</v>
          </cell>
          <cell r="K2957" t="str">
            <v>VRUB</v>
          </cell>
          <cell r="AB2957" t="str">
            <v>Thymus</v>
          </cell>
        </row>
        <row r="2958">
          <cell r="A2958" t="str">
            <v>in storage</v>
          </cell>
          <cell r="K2958" t="str">
            <v>VRUB</v>
          </cell>
          <cell r="AB2958" t="str">
            <v>Liver</v>
          </cell>
        </row>
        <row r="2959">
          <cell r="A2959" t="str">
            <v>unk</v>
          </cell>
          <cell r="K2959" t="str">
            <v>VRUB</v>
          </cell>
          <cell r="AB2959" t="str">
            <v>Kidney</v>
          </cell>
        </row>
        <row r="2960">
          <cell r="A2960" t="str">
            <v>unk</v>
          </cell>
          <cell r="K2960" t="str">
            <v>VRUB</v>
          </cell>
          <cell r="AB2960" t="str">
            <v>Lung</v>
          </cell>
        </row>
        <row r="2961">
          <cell r="A2961" t="str">
            <v>unk</v>
          </cell>
          <cell r="K2961" t="str">
            <v>VRUB</v>
          </cell>
          <cell r="AB2961" t="str">
            <v>Lung</v>
          </cell>
        </row>
        <row r="2962">
          <cell r="A2962" t="str">
            <v>in storage</v>
          </cell>
          <cell r="K2962" t="str">
            <v>EMAC</v>
          </cell>
          <cell r="AB2962" t="str">
            <v>GI- cecum</v>
          </cell>
        </row>
        <row r="2963">
          <cell r="A2963" t="str">
            <v>in storage</v>
          </cell>
          <cell r="K2963" t="str">
            <v>VRUB</v>
          </cell>
          <cell r="AB2963" t="str">
            <v>Kidney</v>
          </cell>
        </row>
        <row r="2964">
          <cell r="A2964" t="str">
            <v>in storage</v>
          </cell>
          <cell r="K2964" t="str">
            <v>VRUB</v>
          </cell>
          <cell r="AB2964" t="str">
            <v>Heart</v>
          </cell>
        </row>
        <row r="2965">
          <cell r="A2965" t="str">
            <v>in storage</v>
          </cell>
          <cell r="K2965" t="str">
            <v>VRUB</v>
          </cell>
          <cell r="AB2965" t="str">
            <v>Lung</v>
          </cell>
        </row>
        <row r="2966">
          <cell r="A2966" t="str">
            <v>in storage</v>
          </cell>
          <cell r="K2966" t="str">
            <v>VRUB</v>
          </cell>
          <cell r="AB2966" t="str">
            <v>Liver</v>
          </cell>
        </row>
        <row r="2967">
          <cell r="A2967" t="str">
            <v>in storage</v>
          </cell>
          <cell r="K2967" t="str">
            <v>VRUB</v>
          </cell>
          <cell r="AB2967" t="str">
            <v>RU- bladder/ umbilical</v>
          </cell>
        </row>
        <row r="2968">
          <cell r="A2968" t="str">
            <v>in storage</v>
          </cell>
          <cell r="K2968" t="str">
            <v>VRUB</v>
          </cell>
          <cell r="AB2968" t="str">
            <v>Lung</v>
          </cell>
        </row>
        <row r="2969">
          <cell r="A2969" t="str">
            <v>in storage</v>
          </cell>
          <cell r="K2969" t="str">
            <v>VRUB</v>
          </cell>
          <cell r="AB2969" t="str">
            <v>Lung</v>
          </cell>
        </row>
        <row r="2970">
          <cell r="A2970" t="str">
            <v>in storage</v>
          </cell>
          <cell r="K2970" t="str">
            <v>VRUB</v>
          </cell>
          <cell r="AB2970" t="str">
            <v>Liver</v>
          </cell>
        </row>
        <row r="2971">
          <cell r="A2971" t="str">
            <v>in storage</v>
          </cell>
          <cell r="K2971" t="str">
            <v>VRUB</v>
          </cell>
          <cell r="AB2971" t="str">
            <v>Liver</v>
          </cell>
        </row>
        <row r="2972">
          <cell r="A2972" t="str">
            <v>in storage</v>
          </cell>
          <cell r="K2972" t="str">
            <v>VRUB</v>
          </cell>
          <cell r="AB2972" t="str">
            <v>Kidney</v>
          </cell>
        </row>
        <row r="2973">
          <cell r="A2973" t="str">
            <v>unk</v>
          </cell>
          <cell r="K2973" t="str">
            <v>VRUB</v>
          </cell>
          <cell r="AB2973" t="str">
            <v>Adrenal gland</v>
          </cell>
        </row>
        <row r="2974">
          <cell r="A2974" t="str">
            <v>unk</v>
          </cell>
          <cell r="K2974" t="str">
            <v>VRUB</v>
          </cell>
          <cell r="AB2974" t="str">
            <v>Thymus</v>
          </cell>
        </row>
        <row r="2975">
          <cell r="A2975" t="str">
            <v>in storage</v>
          </cell>
          <cell r="K2975" t="str">
            <v>VRUB</v>
          </cell>
          <cell r="AB2975" t="str">
            <v>R- teste(s)</v>
          </cell>
        </row>
        <row r="2976">
          <cell r="A2976" t="str">
            <v>in storage</v>
          </cell>
          <cell r="K2976" t="str">
            <v>VRUB</v>
          </cell>
          <cell r="AB2976" t="str">
            <v>R- teste(s)</v>
          </cell>
        </row>
        <row r="2977">
          <cell r="A2977" t="str">
            <v>in storage</v>
          </cell>
          <cell r="K2977" t="str">
            <v>VRUB</v>
          </cell>
          <cell r="AB2977" t="str">
            <v>Adrenal gland</v>
          </cell>
        </row>
        <row r="2978">
          <cell r="A2978" t="str">
            <v>in storage</v>
          </cell>
          <cell r="K2978" t="str">
            <v>VRUB</v>
          </cell>
          <cell r="AB2978" t="str">
            <v>Thymus</v>
          </cell>
        </row>
        <row r="2979">
          <cell r="A2979" t="str">
            <v>in storage</v>
          </cell>
          <cell r="K2979" t="str">
            <v>VRUB</v>
          </cell>
          <cell r="AB2979" t="str">
            <v>Tail</v>
          </cell>
        </row>
        <row r="2980">
          <cell r="A2980" t="str">
            <v>in storage</v>
          </cell>
          <cell r="K2980" t="str">
            <v>LCAT</v>
          </cell>
          <cell r="AB2980" t="str">
            <v>Tail</v>
          </cell>
        </row>
        <row r="2981">
          <cell r="A2981" t="str">
            <v>in storage</v>
          </cell>
          <cell r="K2981" t="str">
            <v>PCOQ</v>
          </cell>
          <cell r="AB2981" t="str">
            <v>Eye</v>
          </cell>
        </row>
        <row r="2982">
          <cell r="A2982" t="str">
            <v>in storage</v>
          </cell>
          <cell r="K2982" t="str">
            <v>PCOQ</v>
          </cell>
          <cell r="AB2982" t="str">
            <v>R- penis</v>
          </cell>
        </row>
        <row r="2983">
          <cell r="A2983" t="str">
            <v>in storage</v>
          </cell>
          <cell r="K2983" t="str">
            <v>EMAC</v>
          </cell>
          <cell r="AB2983" t="str">
            <v>GI- stomach</v>
          </cell>
        </row>
        <row r="2984">
          <cell r="A2984" t="str">
            <v>in storage</v>
          </cell>
          <cell r="K2984" t="str">
            <v>EMAC</v>
          </cell>
          <cell r="AB2984" t="str">
            <v>GI- stomach</v>
          </cell>
        </row>
        <row r="2985">
          <cell r="A2985" t="str">
            <v>in storage</v>
          </cell>
          <cell r="K2985" t="str">
            <v>EMAC</v>
          </cell>
          <cell r="AB2985" t="str">
            <v>GI- large intestine</v>
          </cell>
        </row>
        <row r="2986">
          <cell r="A2986" t="str">
            <v>in storage</v>
          </cell>
          <cell r="K2986" t="str">
            <v>EMAC</v>
          </cell>
          <cell r="AB2986" t="str">
            <v>GI- small intestine</v>
          </cell>
        </row>
        <row r="2987">
          <cell r="A2987" t="str">
            <v>in storage</v>
          </cell>
          <cell r="K2987" t="str">
            <v>EMAC</v>
          </cell>
          <cell r="AB2987" t="str">
            <v>GI- stomach</v>
          </cell>
        </row>
        <row r="2988">
          <cell r="A2988" t="str">
            <v>in storage</v>
          </cell>
          <cell r="K2988" t="str">
            <v>PCOQ</v>
          </cell>
          <cell r="AB2988" t="str">
            <v>Pancreas</v>
          </cell>
        </row>
        <row r="2989">
          <cell r="A2989" t="str">
            <v>in storage</v>
          </cell>
          <cell r="K2989" t="str">
            <v>PCOQ</v>
          </cell>
          <cell r="AB2989" t="str">
            <v>Kidney</v>
          </cell>
        </row>
        <row r="2990">
          <cell r="A2990" t="str">
            <v>in storage</v>
          </cell>
          <cell r="K2990" t="str">
            <v>PCOQ</v>
          </cell>
          <cell r="AB2990" t="str">
            <v>Spleen</v>
          </cell>
        </row>
        <row r="2991">
          <cell r="A2991" t="str">
            <v>in storage</v>
          </cell>
          <cell r="K2991" t="str">
            <v>PCOQ</v>
          </cell>
          <cell r="AB2991" t="str">
            <v>Heart</v>
          </cell>
        </row>
        <row r="2992">
          <cell r="A2992" t="str">
            <v>in storage</v>
          </cell>
          <cell r="K2992" t="str">
            <v>PCOQ</v>
          </cell>
          <cell r="AB2992" t="str">
            <v>Lung</v>
          </cell>
        </row>
        <row r="2993">
          <cell r="A2993" t="str">
            <v>in storage</v>
          </cell>
          <cell r="K2993" t="str">
            <v>PCOQ</v>
          </cell>
          <cell r="AB2993" t="str">
            <v>Liver</v>
          </cell>
        </row>
        <row r="2994">
          <cell r="A2994" t="str">
            <v>in storage</v>
          </cell>
          <cell r="K2994" t="str">
            <v>PCOQ</v>
          </cell>
          <cell r="AB2994" t="str">
            <v>Lymph node</v>
          </cell>
        </row>
        <row r="2995">
          <cell r="A2995" t="str">
            <v>in storage</v>
          </cell>
          <cell r="K2995" t="str">
            <v>PCOQ</v>
          </cell>
          <cell r="AB2995" t="str">
            <v>Kidney</v>
          </cell>
        </row>
        <row r="2996">
          <cell r="A2996" t="str">
            <v>in storage</v>
          </cell>
          <cell r="K2996" t="str">
            <v>PCOQ</v>
          </cell>
          <cell r="AB2996" t="str">
            <v>Heart</v>
          </cell>
        </row>
        <row r="2997">
          <cell r="A2997" t="str">
            <v>in storage</v>
          </cell>
          <cell r="K2997" t="str">
            <v>PCOQ</v>
          </cell>
          <cell r="AB2997" t="str">
            <v>Lung</v>
          </cell>
        </row>
        <row r="2998">
          <cell r="A2998" t="str">
            <v>in storage</v>
          </cell>
          <cell r="K2998" t="str">
            <v>PCOQ</v>
          </cell>
          <cell r="AB2998" t="str">
            <v>Pancreas</v>
          </cell>
        </row>
        <row r="2999">
          <cell r="A2999" t="str">
            <v>in storage</v>
          </cell>
          <cell r="K2999" t="str">
            <v>PCOQ</v>
          </cell>
          <cell r="AB2999" t="str">
            <v>Spleen</v>
          </cell>
        </row>
        <row r="3000">
          <cell r="A3000" t="str">
            <v>in storage</v>
          </cell>
          <cell r="K3000" t="str">
            <v>PCOQ</v>
          </cell>
          <cell r="AB3000" t="str">
            <v>Liver</v>
          </cell>
        </row>
        <row r="3001">
          <cell r="A3001" t="str">
            <v>in storage</v>
          </cell>
          <cell r="K3001" t="str">
            <v>PCOQ</v>
          </cell>
          <cell r="AB3001" t="str">
            <v>scent gland</v>
          </cell>
        </row>
        <row r="3002">
          <cell r="A3002" t="str">
            <v>in storage</v>
          </cell>
          <cell r="K3002" t="str">
            <v>PCOQ</v>
          </cell>
          <cell r="AB3002" t="str">
            <v>R- teste(s)</v>
          </cell>
        </row>
        <row r="3003">
          <cell r="A3003" t="str">
            <v>in storage</v>
          </cell>
          <cell r="K3003" t="str">
            <v>PCOQ</v>
          </cell>
          <cell r="AB3003" t="str">
            <v>R- teste(s)</v>
          </cell>
        </row>
        <row r="3004">
          <cell r="A3004" t="str">
            <v>in storage</v>
          </cell>
          <cell r="K3004" t="str">
            <v>PCOQ</v>
          </cell>
          <cell r="AB3004" t="str">
            <v>Trachea</v>
          </cell>
        </row>
        <row r="3005">
          <cell r="A3005" t="str">
            <v>in storage</v>
          </cell>
          <cell r="K3005" t="str">
            <v>PCOQ</v>
          </cell>
          <cell r="AB3005" t="str">
            <v>R- penis</v>
          </cell>
        </row>
        <row r="3006">
          <cell r="A3006" t="str">
            <v>in storage</v>
          </cell>
          <cell r="K3006" t="str">
            <v>PCOQ</v>
          </cell>
          <cell r="AB3006" t="str">
            <v>Muscle</v>
          </cell>
        </row>
        <row r="3007">
          <cell r="A3007" t="str">
            <v>in storage</v>
          </cell>
          <cell r="K3007" t="str">
            <v>PCOQ</v>
          </cell>
          <cell r="AB3007" t="str">
            <v>Muscle</v>
          </cell>
        </row>
        <row r="3008">
          <cell r="A3008" t="str">
            <v>in storage</v>
          </cell>
          <cell r="K3008" t="str">
            <v>EMON</v>
          </cell>
          <cell r="AB3008" t="str">
            <v>Eye</v>
          </cell>
        </row>
        <row r="3009">
          <cell r="A3009" t="str">
            <v>in storage</v>
          </cell>
          <cell r="K3009" t="str">
            <v>EMAC</v>
          </cell>
          <cell r="AB3009" t="str">
            <v>GI Contents- cecum</v>
          </cell>
        </row>
        <row r="3010">
          <cell r="A3010" t="str">
            <v>in storage</v>
          </cell>
          <cell r="K3010" t="str">
            <v>EMAC</v>
          </cell>
          <cell r="AB3010" t="str">
            <v>GI- large intestine</v>
          </cell>
        </row>
        <row r="3011">
          <cell r="A3011" t="str">
            <v>in storage</v>
          </cell>
          <cell r="K3011" t="str">
            <v>EMAC</v>
          </cell>
          <cell r="AB3011" t="str">
            <v>GI- small intestine</v>
          </cell>
        </row>
        <row r="3012">
          <cell r="A3012" t="str">
            <v>in storage</v>
          </cell>
          <cell r="K3012" t="str">
            <v>EMAC</v>
          </cell>
          <cell r="AB3012" t="str">
            <v>GI- stomach</v>
          </cell>
        </row>
        <row r="3013">
          <cell r="A3013" t="str">
            <v>in storage</v>
          </cell>
          <cell r="K3013" t="str">
            <v>EMAC</v>
          </cell>
          <cell r="AB3013" t="str">
            <v>GI Tract</v>
          </cell>
        </row>
        <row r="3014">
          <cell r="A3014" t="str">
            <v>in storage</v>
          </cell>
          <cell r="K3014" t="str">
            <v>EMON</v>
          </cell>
          <cell r="AB3014" t="str">
            <v>Pancreas</v>
          </cell>
        </row>
        <row r="3015">
          <cell r="A3015" t="str">
            <v>in storage</v>
          </cell>
          <cell r="K3015" t="str">
            <v>EMON</v>
          </cell>
          <cell r="AB3015" t="str">
            <v>Kidney</v>
          </cell>
        </row>
        <row r="3016">
          <cell r="A3016" t="str">
            <v>in storage</v>
          </cell>
          <cell r="K3016" t="str">
            <v>EMON</v>
          </cell>
          <cell r="AB3016" t="str">
            <v>Spleen</v>
          </cell>
        </row>
        <row r="3017">
          <cell r="A3017" t="str">
            <v>in storage</v>
          </cell>
          <cell r="K3017" t="str">
            <v>EMON</v>
          </cell>
          <cell r="AB3017" t="str">
            <v>Heart</v>
          </cell>
        </row>
        <row r="3018">
          <cell r="A3018" t="str">
            <v>in storage</v>
          </cell>
          <cell r="K3018" t="str">
            <v>EMON</v>
          </cell>
          <cell r="AB3018" t="str">
            <v>Liver</v>
          </cell>
        </row>
        <row r="3019">
          <cell r="A3019" t="str">
            <v>in storage</v>
          </cell>
          <cell r="K3019" t="str">
            <v>PCOQ</v>
          </cell>
          <cell r="AB3019" t="str">
            <v>Tooth</v>
          </cell>
        </row>
        <row r="3020">
          <cell r="A3020" t="str">
            <v>in storage</v>
          </cell>
          <cell r="K3020" t="str">
            <v>PCOQ</v>
          </cell>
          <cell r="AB3020" t="str">
            <v>R- sperm plug</v>
          </cell>
        </row>
        <row r="3021">
          <cell r="A3021" t="str">
            <v>on hold</v>
          </cell>
          <cell r="K3021" t="str">
            <v>PCOQ</v>
          </cell>
          <cell r="AB3021" t="str">
            <v>R- sperm plug</v>
          </cell>
        </row>
        <row r="3022">
          <cell r="A3022" t="str">
            <v>gone</v>
          </cell>
          <cell r="K3022" t="str">
            <v>PCOQ</v>
          </cell>
          <cell r="AB3022" t="str">
            <v>R- sperm plug</v>
          </cell>
        </row>
        <row r="3023">
          <cell r="A3023" t="str">
            <v>in storage</v>
          </cell>
          <cell r="K3023" t="str">
            <v>EFLA</v>
          </cell>
          <cell r="AB3023" t="str">
            <v>Muscle</v>
          </cell>
        </row>
        <row r="3024">
          <cell r="A3024" t="str">
            <v>in storage</v>
          </cell>
          <cell r="K3024" t="str">
            <v>EFLA</v>
          </cell>
          <cell r="AB3024" t="str">
            <v>Muscle</v>
          </cell>
        </row>
        <row r="3025">
          <cell r="A3025" t="str">
            <v>in storage</v>
          </cell>
          <cell r="K3025" t="str">
            <v>EFLA</v>
          </cell>
          <cell r="AB3025" t="str">
            <v>Muscle</v>
          </cell>
        </row>
        <row r="3026">
          <cell r="A3026" t="str">
            <v>in storage</v>
          </cell>
          <cell r="K3026" t="str">
            <v>EFLA</v>
          </cell>
          <cell r="AB3026" t="str">
            <v>Ankle tissue</v>
          </cell>
        </row>
        <row r="3027">
          <cell r="A3027" t="str">
            <v>in storage</v>
          </cell>
          <cell r="K3027" t="str">
            <v>EMAC</v>
          </cell>
          <cell r="AB3027" t="str">
            <v>GI Tract</v>
          </cell>
        </row>
        <row r="3028">
          <cell r="A3028" t="str">
            <v>in storage</v>
          </cell>
          <cell r="K3028" t="str">
            <v>EFLA</v>
          </cell>
          <cell r="AB3028" t="str">
            <v>Kidney</v>
          </cell>
        </row>
        <row r="3029">
          <cell r="A3029" t="str">
            <v>in storage</v>
          </cell>
          <cell r="K3029" t="str">
            <v>EFLA</v>
          </cell>
          <cell r="AB3029" t="str">
            <v>Kidney</v>
          </cell>
        </row>
        <row r="3030">
          <cell r="A3030" t="str">
            <v>in storage</v>
          </cell>
          <cell r="K3030" t="str">
            <v>EFLA</v>
          </cell>
          <cell r="AB3030" t="str">
            <v>Blood</v>
          </cell>
        </row>
        <row r="3031">
          <cell r="A3031" t="str">
            <v>in storage</v>
          </cell>
          <cell r="K3031" t="str">
            <v>EFLA</v>
          </cell>
          <cell r="AB3031" t="str">
            <v>Blood</v>
          </cell>
        </row>
        <row r="3032">
          <cell r="A3032" t="str">
            <v>in storage</v>
          </cell>
          <cell r="K3032" t="str">
            <v>EFLA</v>
          </cell>
          <cell r="AB3032" t="str">
            <v>Heart</v>
          </cell>
        </row>
        <row r="3033">
          <cell r="A3033" t="str">
            <v>in storage</v>
          </cell>
          <cell r="K3033" t="str">
            <v>EFLA</v>
          </cell>
          <cell r="AB3033" t="str">
            <v>Heart</v>
          </cell>
        </row>
        <row r="3034">
          <cell r="A3034" t="str">
            <v>in storage</v>
          </cell>
          <cell r="K3034" t="str">
            <v>EFLA</v>
          </cell>
          <cell r="AB3034" t="str">
            <v>Lung</v>
          </cell>
        </row>
        <row r="3035">
          <cell r="A3035" t="str">
            <v>in storage</v>
          </cell>
          <cell r="K3035" t="str">
            <v>EFLA</v>
          </cell>
          <cell r="AB3035" t="str">
            <v>Lung</v>
          </cell>
        </row>
        <row r="3036">
          <cell r="A3036" t="str">
            <v>in storage</v>
          </cell>
          <cell r="K3036" t="str">
            <v>EFLA</v>
          </cell>
          <cell r="AB3036" t="str">
            <v>Pancreas</v>
          </cell>
        </row>
        <row r="3037">
          <cell r="A3037" t="str">
            <v>in storage</v>
          </cell>
          <cell r="K3037" t="str">
            <v>EFLA</v>
          </cell>
          <cell r="AB3037" t="str">
            <v>Pancreas</v>
          </cell>
        </row>
        <row r="3038">
          <cell r="A3038" t="str">
            <v>in storage</v>
          </cell>
          <cell r="K3038" t="str">
            <v>EFLA</v>
          </cell>
          <cell r="AB3038" t="str">
            <v>Skin</v>
          </cell>
        </row>
        <row r="3039">
          <cell r="A3039" t="str">
            <v>in storage</v>
          </cell>
          <cell r="K3039" t="str">
            <v>EFLA</v>
          </cell>
          <cell r="AB3039" t="str">
            <v>Skin</v>
          </cell>
        </row>
        <row r="3040">
          <cell r="A3040" t="str">
            <v>in storage</v>
          </cell>
          <cell r="K3040" t="str">
            <v>EFLA</v>
          </cell>
          <cell r="AB3040" t="str">
            <v>Spleen</v>
          </cell>
        </row>
        <row r="3041">
          <cell r="A3041" t="str">
            <v>in storage</v>
          </cell>
          <cell r="K3041" t="str">
            <v>EFLA</v>
          </cell>
          <cell r="AB3041" t="str">
            <v>Spleen</v>
          </cell>
        </row>
        <row r="3042">
          <cell r="A3042" t="str">
            <v>in storage</v>
          </cell>
          <cell r="K3042" t="str">
            <v>EFLA</v>
          </cell>
          <cell r="AB3042" t="str">
            <v>Liver</v>
          </cell>
        </row>
        <row r="3043">
          <cell r="A3043" t="str">
            <v>in storage</v>
          </cell>
          <cell r="K3043" t="str">
            <v>EFLA</v>
          </cell>
          <cell r="AB3043" t="str">
            <v>Liver</v>
          </cell>
        </row>
        <row r="3044">
          <cell r="A3044" t="str">
            <v>in storage</v>
          </cell>
          <cell r="K3044" t="str">
            <v>EFLA</v>
          </cell>
          <cell r="AB3044" t="str">
            <v>Eye</v>
          </cell>
        </row>
        <row r="3045">
          <cell r="A3045" t="str">
            <v>in storage</v>
          </cell>
          <cell r="K3045" t="str">
            <v>EFLA</v>
          </cell>
          <cell r="AB3045" t="str">
            <v>R- ovary/ uterus</v>
          </cell>
        </row>
        <row r="3046">
          <cell r="A3046" t="str">
            <v>in storage</v>
          </cell>
          <cell r="K3046" t="str">
            <v>EMAC</v>
          </cell>
          <cell r="AB3046" t="str">
            <v>GI- cecum</v>
          </cell>
        </row>
        <row r="3047">
          <cell r="A3047" t="str">
            <v>in storage</v>
          </cell>
          <cell r="K3047" t="str">
            <v>EFLA</v>
          </cell>
          <cell r="AB3047" t="str">
            <v>Pancreas</v>
          </cell>
        </row>
        <row r="3048">
          <cell r="A3048" t="str">
            <v>in storage</v>
          </cell>
          <cell r="K3048" t="str">
            <v>EFLA</v>
          </cell>
          <cell r="AB3048" t="str">
            <v>Kidney</v>
          </cell>
        </row>
        <row r="3049">
          <cell r="A3049" t="str">
            <v>in storage</v>
          </cell>
          <cell r="K3049" t="str">
            <v>EFLA</v>
          </cell>
          <cell r="AB3049" t="str">
            <v>Spleen</v>
          </cell>
        </row>
        <row r="3050">
          <cell r="A3050" t="str">
            <v>in storage</v>
          </cell>
          <cell r="K3050" t="str">
            <v>EFLA</v>
          </cell>
          <cell r="AB3050" t="str">
            <v>Heart</v>
          </cell>
        </row>
        <row r="3051">
          <cell r="A3051" t="str">
            <v>in storage</v>
          </cell>
          <cell r="K3051" t="str">
            <v>EFLA</v>
          </cell>
          <cell r="AB3051" t="str">
            <v>Lung</v>
          </cell>
        </row>
        <row r="3052">
          <cell r="A3052" t="str">
            <v>in storage</v>
          </cell>
          <cell r="K3052" t="str">
            <v>EFLA</v>
          </cell>
          <cell r="AB3052" t="str">
            <v>Liver</v>
          </cell>
        </row>
        <row r="3053">
          <cell r="A3053" t="str">
            <v>in storage</v>
          </cell>
          <cell r="K3053" t="str">
            <v>EMAC</v>
          </cell>
          <cell r="AB3053" t="str">
            <v>GI- esophagus</v>
          </cell>
        </row>
        <row r="3054">
          <cell r="A3054" t="str">
            <v>in storage</v>
          </cell>
          <cell r="K3054" t="str">
            <v>ERUB</v>
          </cell>
          <cell r="AB3054" t="str">
            <v>Tooth</v>
          </cell>
        </row>
        <row r="3055">
          <cell r="A3055" t="str">
            <v>in storage</v>
          </cell>
          <cell r="K3055" t="str">
            <v>LCAT</v>
          </cell>
          <cell r="AB3055" t="str">
            <v>Eye</v>
          </cell>
        </row>
        <row r="3056">
          <cell r="A3056" t="str">
            <v>in storage</v>
          </cell>
          <cell r="K3056" t="str">
            <v>LCAT</v>
          </cell>
          <cell r="AB3056" t="str">
            <v>RU- accessory sex glands/ bladder</v>
          </cell>
        </row>
        <row r="3057">
          <cell r="A3057" t="str">
            <v>in storage</v>
          </cell>
          <cell r="K3057" t="str">
            <v>EMAC</v>
          </cell>
          <cell r="AB3057" t="str">
            <v>GI- large intestine</v>
          </cell>
        </row>
        <row r="3058">
          <cell r="A3058" t="str">
            <v>in storage</v>
          </cell>
          <cell r="K3058" t="str">
            <v>EMAC</v>
          </cell>
          <cell r="AB3058" t="str">
            <v>GI- small intestine</v>
          </cell>
        </row>
        <row r="3059">
          <cell r="A3059" t="str">
            <v>in storage</v>
          </cell>
          <cell r="K3059" t="str">
            <v>EMAC</v>
          </cell>
          <cell r="AB3059" t="str">
            <v>GI- stomach</v>
          </cell>
        </row>
        <row r="3060">
          <cell r="A3060" t="str">
            <v>in storage</v>
          </cell>
          <cell r="K3060" t="str">
            <v>EMAC</v>
          </cell>
          <cell r="AB3060" t="str">
            <v>GI Contents- large intestine</v>
          </cell>
        </row>
        <row r="3061">
          <cell r="A3061" t="str">
            <v>in storage</v>
          </cell>
          <cell r="K3061" t="str">
            <v>EMAC</v>
          </cell>
          <cell r="AB3061" t="str">
            <v>GI- duodenum</v>
          </cell>
        </row>
        <row r="3062">
          <cell r="A3062" t="str">
            <v>in storage</v>
          </cell>
          <cell r="K3062" t="str">
            <v>EMAC</v>
          </cell>
          <cell r="AB3062" t="str">
            <v>GI Contents- cecum</v>
          </cell>
        </row>
        <row r="3063">
          <cell r="A3063" t="str">
            <v>in storage</v>
          </cell>
          <cell r="K3063" t="str">
            <v>LCAT</v>
          </cell>
          <cell r="AB3063" t="str">
            <v>Pancreas</v>
          </cell>
        </row>
        <row r="3064">
          <cell r="A3064" t="str">
            <v>in storage</v>
          </cell>
          <cell r="K3064" t="str">
            <v>LCAT</v>
          </cell>
          <cell r="AB3064" t="str">
            <v>Kidney</v>
          </cell>
        </row>
        <row r="3065">
          <cell r="A3065" t="str">
            <v>in storage</v>
          </cell>
          <cell r="K3065" t="str">
            <v>LCAT</v>
          </cell>
          <cell r="AB3065" t="str">
            <v>Spleen</v>
          </cell>
        </row>
        <row r="3066">
          <cell r="A3066" t="str">
            <v>in storage</v>
          </cell>
          <cell r="K3066" t="str">
            <v>LCAT</v>
          </cell>
          <cell r="AB3066" t="str">
            <v>Lung</v>
          </cell>
        </row>
        <row r="3067">
          <cell r="A3067" t="str">
            <v>in storage</v>
          </cell>
          <cell r="K3067" t="str">
            <v>LCAT</v>
          </cell>
          <cell r="AB3067" t="str">
            <v>Liver</v>
          </cell>
        </row>
        <row r="3068">
          <cell r="A3068" t="str">
            <v>in storage</v>
          </cell>
          <cell r="K3068" t="str">
            <v>LCAT</v>
          </cell>
          <cell r="AB3068" t="str">
            <v>Skin</v>
          </cell>
        </row>
        <row r="3069">
          <cell r="A3069" t="str">
            <v>in storage</v>
          </cell>
          <cell r="K3069" t="str">
            <v>LCAT</v>
          </cell>
          <cell r="AB3069" t="str">
            <v>Lymph node- inguinal</v>
          </cell>
        </row>
        <row r="3070">
          <cell r="A3070" t="str">
            <v>in storage</v>
          </cell>
          <cell r="K3070" t="str">
            <v>LCAT</v>
          </cell>
          <cell r="AB3070" t="str">
            <v>R- teste(s)</v>
          </cell>
        </row>
        <row r="3071">
          <cell r="A3071" t="str">
            <v>in storage</v>
          </cell>
          <cell r="K3071" t="str">
            <v>EMAC</v>
          </cell>
          <cell r="AB3071" t="str">
            <v>GI Tract</v>
          </cell>
        </row>
        <row r="3072">
          <cell r="A3072" t="str">
            <v>in storage</v>
          </cell>
          <cell r="K3072" t="str">
            <v>EMAC</v>
          </cell>
          <cell r="AB3072" t="str">
            <v>GI Contents- colon</v>
          </cell>
        </row>
        <row r="3073">
          <cell r="A3073" t="str">
            <v>in storage</v>
          </cell>
          <cell r="K3073" t="str">
            <v>LCAT</v>
          </cell>
          <cell r="AB3073" t="str">
            <v>Trachea</v>
          </cell>
        </row>
        <row r="3074">
          <cell r="A3074" t="str">
            <v>in storage</v>
          </cell>
          <cell r="K3074" t="str">
            <v>ECOR</v>
          </cell>
          <cell r="AB3074" t="str">
            <v>Hair</v>
          </cell>
        </row>
        <row r="3075">
          <cell r="A3075" t="str">
            <v>in storage</v>
          </cell>
          <cell r="K3075" t="str">
            <v>ECOR</v>
          </cell>
          <cell r="AB3075" t="str">
            <v>Hair</v>
          </cell>
        </row>
        <row r="3076">
          <cell r="A3076" t="str">
            <v>in storage</v>
          </cell>
          <cell r="K3076" t="str">
            <v>LCAT</v>
          </cell>
          <cell r="AB3076" t="str">
            <v>Muscle</v>
          </cell>
        </row>
        <row r="3077">
          <cell r="A3077" t="str">
            <v>in storage</v>
          </cell>
          <cell r="K3077" t="str">
            <v>NPYG</v>
          </cell>
          <cell r="AB3077" t="str">
            <v>Tooth</v>
          </cell>
        </row>
        <row r="3078">
          <cell r="A3078" t="str">
            <v>in storage</v>
          </cell>
          <cell r="K3078" t="str">
            <v>ECOR</v>
          </cell>
          <cell r="AB3078" t="str">
            <v>Muscle</v>
          </cell>
        </row>
        <row r="3079">
          <cell r="A3079" t="str">
            <v>in storage</v>
          </cell>
          <cell r="K3079" t="str">
            <v>ECOR</v>
          </cell>
          <cell r="AB3079" t="str">
            <v>Adrenal gland</v>
          </cell>
        </row>
        <row r="3080">
          <cell r="A3080" t="str">
            <v>in storage</v>
          </cell>
          <cell r="K3080" t="str">
            <v>EMAC</v>
          </cell>
          <cell r="AB3080" t="str">
            <v>GI- jejunum</v>
          </cell>
        </row>
        <row r="3081">
          <cell r="A3081" t="str">
            <v>in storage</v>
          </cell>
          <cell r="K3081" t="str">
            <v>ECOR</v>
          </cell>
          <cell r="AB3081" t="str">
            <v>Kidney</v>
          </cell>
        </row>
        <row r="3082">
          <cell r="A3082" t="str">
            <v>in storage</v>
          </cell>
          <cell r="K3082" t="str">
            <v>ECOR</v>
          </cell>
          <cell r="AB3082" t="str">
            <v>Kidney</v>
          </cell>
        </row>
        <row r="3083">
          <cell r="A3083" t="str">
            <v>in storage</v>
          </cell>
          <cell r="K3083" t="str">
            <v>ECOR</v>
          </cell>
          <cell r="AB3083" t="str">
            <v>Blood</v>
          </cell>
        </row>
        <row r="3084">
          <cell r="A3084" t="str">
            <v>in storage</v>
          </cell>
          <cell r="K3084" t="str">
            <v>ECOR</v>
          </cell>
          <cell r="AB3084" t="str">
            <v>Blood</v>
          </cell>
        </row>
        <row r="3085">
          <cell r="A3085" t="str">
            <v>in storage</v>
          </cell>
          <cell r="K3085" t="str">
            <v>ECOR</v>
          </cell>
          <cell r="AB3085" t="str">
            <v>Lung</v>
          </cell>
        </row>
        <row r="3086">
          <cell r="A3086" t="str">
            <v>in storage</v>
          </cell>
          <cell r="K3086" t="str">
            <v>ECOR</v>
          </cell>
          <cell r="AB3086" t="str">
            <v>Pancreas</v>
          </cell>
        </row>
        <row r="3087">
          <cell r="A3087" t="str">
            <v>in storage</v>
          </cell>
          <cell r="K3087" t="str">
            <v>ECOR</v>
          </cell>
          <cell r="AB3087" t="str">
            <v>Pancreas</v>
          </cell>
        </row>
        <row r="3088">
          <cell r="A3088" t="str">
            <v>in storage</v>
          </cell>
          <cell r="K3088" t="str">
            <v>ECOR</v>
          </cell>
          <cell r="AB3088" t="str">
            <v>Spleen</v>
          </cell>
        </row>
        <row r="3089">
          <cell r="A3089" t="str">
            <v>in storage</v>
          </cell>
          <cell r="K3089" t="str">
            <v>ECOR</v>
          </cell>
          <cell r="AB3089" t="str">
            <v>Spleen</v>
          </cell>
        </row>
        <row r="3090">
          <cell r="A3090" t="str">
            <v>in storage</v>
          </cell>
          <cell r="K3090" t="str">
            <v>ECOR</v>
          </cell>
          <cell r="AB3090" t="str">
            <v>Lung</v>
          </cell>
        </row>
        <row r="3091">
          <cell r="A3091" t="str">
            <v>in storage</v>
          </cell>
          <cell r="K3091" t="str">
            <v>ECOR</v>
          </cell>
          <cell r="AB3091" t="str">
            <v>Liver</v>
          </cell>
        </row>
        <row r="3092">
          <cell r="A3092" t="str">
            <v>in storage</v>
          </cell>
          <cell r="K3092" t="str">
            <v>ECOR</v>
          </cell>
          <cell r="AB3092" t="str">
            <v>Liver</v>
          </cell>
        </row>
        <row r="3093">
          <cell r="A3093" t="str">
            <v>in storage</v>
          </cell>
          <cell r="K3093" t="str">
            <v>ECOR</v>
          </cell>
          <cell r="AB3093" t="str">
            <v>Eye</v>
          </cell>
        </row>
        <row r="3094">
          <cell r="A3094" t="str">
            <v>in storage</v>
          </cell>
          <cell r="K3094" t="str">
            <v>EMAC</v>
          </cell>
          <cell r="AB3094" t="str">
            <v>GI Contents- stomach</v>
          </cell>
        </row>
        <row r="3095">
          <cell r="A3095" t="str">
            <v>in storage</v>
          </cell>
          <cell r="K3095" t="str">
            <v>EMON</v>
          </cell>
          <cell r="AB3095" t="str">
            <v>GI Tract</v>
          </cell>
        </row>
        <row r="3096">
          <cell r="A3096" t="str">
            <v>in storage</v>
          </cell>
          <cell r="K3096" t="str">
            <v>EMON</v>
          </cell>
          <cell r="AB3096" t="str">
            <v>GI Contents- cecum</v>
          </cell>
        </row>
        <row r="3097">
          <cell r="A3097" t="str">
            <v>in storage</v>
          </cell>
          <cell r="K3097" t="str">
            <v>ECOR</v>
          </cell>
          <cell r="AB3097" t="str">
            <v>Pancreas</v>
          </cell>
        </row>
        <row r="3098">
          <cell r="A3098" t="str">
            <v>in storage</v>
          </cell>
          <cell r="K3098" t="str">
            <v>ECOR</v>
          </cell>
          <cell r="AB3098" t="str">
            <v>Kidney</v>
          </cell>
        </row>
        <row r="3099">
          <cell r="A3099" t="str">
            <v>in storage</v>
          </cell>
          <cell r="K3099" t="str">
            <v>ECOR</v>
          </cell>
          <cell r="AB3099" t="str">
            <v>Spleen</v>
          </cell>
        </row>
        <row r="3100">
          <cell r="A3100" t="str">
            <v>in storage</v>
          </cell>
          <cell r="K3100" t="str">
            <v>ECOR</v>
          </cell>
          <cell r="AB3100" t="str">
            <v>Heart</v>
          </cell>
        </row>
        <row r="3101">
          <cell r="A3101" t="str">
            <v>in storage</v>
          </cell>
          <cell r="K3101" t="str">
            <v>ECOR</v>
          </cell>
          <cell r="AB3101" t="str">
            <v>Lung</v>
          </cell>
        </row>
        <row r="3102">
          <cell r="A3102" t="str">
            <v>in storage</v>
          </cell>
          <cell r="K3102" t="str">
            <v>ECOR</v>
          </cell>
          <cell r="AB3102" t="str">
            <v>Gallbladder/ liver</v>
          </cell>
        </row>
        <row r="3103">
          <cell r="A3103" t="str">
            <v>in storage</v>
          </cell>
          <cell r="K3103" t="str">
            <v>ECOR</v>
          </cell>
          <cell r="AB3103" t="str">
            <v>Skin</v>
          </cell>
        </row>
        <row r="3104">
          <cell r="A3104" t="str">
            <v>in storage</v>
          </cell>
          <cell r="K3104" t="str">
            <v>EMON</v>
          </cell>
          <cell r="AB3104" t="str">
            <v>GI Contents- cecum</v>
          </cell>
        </row>
        <row r="3105">
          <cell r="A3105" t="str">
            <v>in storage</v>
          </cell>
          <cell r="K3105" t="str">
            <v>EMON</v>
          </cell>
          <cell r="AB3105" t="str">
            <v>GI- cecum</v>
          </cell>
        </row>
        <row r="3106">
          <cell r="A3106" t="str">
            <v>in storage</v>
          </cell>
          <cell r="K3106" t="str">
            <v>EMON</v>
          </cell>
          <cell r="AB3106" t="str">
            <v>GI- large intestine</v>
          </cell>
        </row>
        <row r="3107">
          <cell r="A3107" t="str">
            <v>in storage</v>
          </cell>
          <cell r="K3107" t="str">
            <v>EMON</v>
          </cell>
          <cell r="AB3107" t="str">
            <v>GI- small intestine</v>
          </cell>
        </row>
        <row r="3108">
          <cell r="A3108" t="str">
            <v>in storage</v>
          </cell>
          <cell r="K3108" t="str">
            <v>EMON</v>
          </cell>
          <cell r="AB3108" t="str">
            <v>GI- stomach</v>
          </cell>
        </row>
        <row r="3109">
          <cell r="A3109" t="str">
            <v>in storage</v>
          </cell>
          <cell r="K3109" t="str">
            <v>EMON</v>
          </cell>
          <cell r="AB3109" t="str">
            <v>GI Contents- large intestine</v>
          </cell>
        </row>
        <row r="3110">
          <cell r="A3110" t="str">
            <v>in storage</v>
          </cell>
          <cell r="K3110" t="str">
            <v>ECOR</v>
          </cell>
          <cell r="AB3110" t="str">
            <v>R- cervix/ uterus</v>
          </cell>
        </row>
        <row r="3111">
          <cell r="A3111" t="str">
            <v>in storage</v>
          </cell>
          <cell r="K3111" t="str">
            <v>ECOR</v>
          </cell>
          <cell r="AB3111" t="str">
            <v>Mass- liver</v>
          </cell>
        </row>
        <row r="3112">
          <cell r="A3112" t="str">
            <v>in storage</v>
          </cell>
          <cell r="K3112" t="str">
            <v>ECOR</v>
          </cell>
          <cell r="AB3112" t="str">
            <v>Mass- liver</v>
          </cell>
        </row>
        <row r="3113">
          <cell r="A3113" t="str">
            <v>in storage</v>
          </cell>
          <cell r="K3113" t="str">
            <v>ECOR</v>
          </cell>
          <cell r="AB3113" t="str">
            <v>Mass- liver</v>
          </cell>
        </row>
        <row r="3114">
          <cell r="A3114" t="str">
            <v>in storage</v>
          </cell>
          <cell r="K3114" t="str">
            <v>MMUR</v>
          </cell>
          <cell r="AB3114" t="str">
            <v>Kidney</v>
          </cell>
        </row>
        <row r="3115">
          <cell r="A3115" t="str">
            <v>in storage</v>
          </cell>
          <cell r="K3115" t="str">
            <v>MMUR</v>
          </cell>
          <cell r="AB3115" t="str">
            <v>Kidney</v>
          </cell>
        </row>
        <row r="3116">
          <cell r="A3116" t="str">
            <v>in storage</v>
          </cell>
          <cell r="K3116" t="str">
            <v>MMUR</v>
          </cell>
          <cell r="AB3116" t="str">
            <v>Blood</v>
          </cell>
        </row>
        <row r="3117">
          <cell r="A3117" t="str">
            <v>in storage</v>
          </cell>
          <cell r="K3117" t="str">
            <v>MMUR</v>
          </cell>
          <cell r="AB3117" t="str">
            <v>Blood</v>
          </cell>
        </row>
        <row r="3118">
          <cell r="A3118" t="str">
            <v>in storage</v>
          </cell>
          <cell r="K3118" t="str">
            <v>MMUR</v>
          </cell>
          <cell r="AB3118" t="str">
            <v>Fat- tail/skin</v>
          </cell>
        </row>
        <row r="3119">
          <cell r="A3119" t="str">
            <v>in storage</v>
          </cell>
          <cell r="K3119" t="str">
            <v>MMUR</v>
          </cell>
          <cell r="AB3119" t="str">
            <v>Fat- tail/skin</v>
          </cell>
        </row>
        <row r="3120">
          <cell r="A3120" t="str">
            <v>in storage</v>
          </cell>
          <cell r="K3120" t="str">
            <v>EMON</v>
          </cell>
          <cell r="AB3120" t="str">
            <v>GI- cecum</v>
          </cell>
        </row>
        <row r="3121">
          <cell r="A3121" t="str">
            <v>in storage</v>
          </cell>
          <cell r="K3121" t="str">
            <v>EMON</v>
          </cell>
          <cell r="AB3121" t="str">
            <v>GI- large intestine</v>
          </cell>
        </row>
        <row r="3122">
          <cell r="A3122" t="str">
            <v>in storage</v>
          </cell>
          <cell r="K3122" t="str">
            <v>MMUR</v>
          </cell>
          <cell r="AB3122" t="str">
            <v>Lung</v>
          </cell>
        </row>
        <row r="3123">
          <cell r="A3123" t="str">
            <v>in storage</v>
          </cell>
          <cell r="K3123" t="str">
            <v>MMUR</v>
          </cell>
          <cell r="AB3123" t="str">
            <v>Skin</v>
          </cell>
        </row>
        <row r="3124">
          <cell r="A3124" t="str">
            <v>in storage</v>
          </cell>
          <cell r="K3124" t="str">
            <v>MMUR</v>
          </cell>
          <cell r="AB3124" t="str">
            <v>Liver</v>
          </cell>
        </row>
        <row r="3125">
          <cell r="A3125" t="str">
            <v>in storage</v>
          </cell>
          <cell r="K3125" t="str">
            <v>MMUR</v>
          </cell>
          <cell r="AB3125" t="str">
            <v>Liver</v>
          </cell>
        </row>
        <row r="3126">
          <cell r="A3126" t="str">
            <v>in storage</v>
          </cell>
          <cell r="K3126" t="str">
            <v>EMON</v>
          </cell>
          <cell r="AB3126" t="str">
            <v>GI- large intestine</v>
          </cell>
        </row>
        <row r="3127">
          <cell r="A3127" t="str">
            <v>in storage</v>
          </cell>
          <cell r="K3127" t="str">
            <v>EMON</v>
          </cell>
          <cell r="AB3127" t="str">
            <v>GI- small intestine</v>
          </cell>
        </row>
        <row r="3128">
          <cell r="A3128" t="str">
            <v>in storage</v>
          </cell>
          <cell r="K3128" t="str">
            <v>MMUR</v>
          </cell>
          <cell r="AB3128" t="str">
            <v>Spleen</v>
          </cell>
        </row>
        <row r="3129">
          <cell r="A3129" t="str">
            <v>in storage</v>
          </cell>
          <cell r="K3129" t="str">
            <v>MMUR</v>
          </cell>
          <cell r="AB3129" t="str">
            <v>Lung</v>
          </cell>
        </row>
        <row r="3130">
          <cell r="A3130" t="str">
            <v>in storage</v>
          </cell>
          <cell r="K3130" t="str">
            <v>MMUR</v>
          </cell>
          <cell r="AB3130" t="str">
            <v>Kidney</v>
          </cell>
        </row>
        <row r="3131">
          <cell r="A3131" t="str">
            <v>in storage</v>
          </cell>
          <cell r="K3131" t="str">
            <v>MMUR</v>
          </cell>
          <cell r="AB3131" t="str">
            <v>Liver</v>
          </cell>
        </row>
        <row r="3132">
          <cell r="A3132" t="str">
            <v>in storage</v>
          </cell>
          <cell r="K3132" t="str">
            <v>MMUR</v>
          </cell>
          <cell r="AB3132" t="str">
            <v>Skin</v>
          </cell>
        </row>
        <row r="3133">
          <cell r="A3133" t="str">
            <v>unk</v>
          </cell>
          <cell r="K3133" t="str">
            <v>MMUR</v>
          </cell>
          <cell r="AB3133" t="str">
            <v>Heart</v>
          </cell>
        </row>
        <row r="3134">
          <cell r="A3134" t="str">
            <v>in storage</v>
          </cell>
          <cell r="K3134" t="str">
            <v>MMUR</v>
          </cell>
          <cell r="AB3134" t="str">
            <v>R- ovary</v>
          </cell>
        </row>
        <row r="3135">
          <cell r="A3135" t="str">
            <v>in storage</v>
          </cell>
          <cell r="K3135" t="str">
            <v>MMUR</v>
          </cell>
          <cell r="AB3135" t="str">
            <v>Muscle</v>
          </cell>
        </row>
        <row r="3136">
          <cell r="A3136" t="str">
            <v>in storage</v>
          </cell>
          <cell r="K3136" t="str">
            <v>MMUR</v>
          </cell>
          <cell r="AB3136" t="str">
            <v>Muscle</v>
          </cell>
        </row>
        <row r="3137">
          <cell r="A3137" t="str">
            <v>in storage</v>
          </cell>
          <cell r="K3137" t="str">
            <v>MMUR</v>
          </cell>
          <cell r="AB3137" t="str">
            <v>Muscle</v>
          </cell>
        </row>
        <row r="3138">
          <cell r="A3138" t="str">
            <v>in storage</v>
          </cell>
          <cell r="K3138" t="str">
            <v>MMUR</v>
          </cell>
          <cell r="AB3138" t="str">
            <v>Mass- thoracic</v>
          </cell>
        </row>
        <row r="3139">
          <cell r="A3139" t="str">
            <v>in storage</v>
          </cell>
          <cell r="K3139" t="str">
            <v>MMUR</v>
          </cell>
          <cell r="AB3139" t="str">
            <v>Mass- myocardium</v>
          </cell>
        </row>
        <row r="3140">
          <cell r="A3140" t="str">
            <v>in storage</v>
          </cell>
          <cell r="K3140" t="str">
            <v>MMUR</v>
          </cell>
          <cell r="AB3140" t="str">
            <v>Fat- brown</v>
          </cell>
        </row>
        <row r="3141">
          <cell r="A3141" t="str">
            <v>in storage</v>
          </cell>
          <cell r="K3141" t="str">
            <v>LTAR</v>
          </cell>
          <cell r="AB3141" t="str">
            <v>Tooth</v>
          </cell>
        </row>
        <row r="3142">
          <cell r="A3142" t="str">
            <v>in storage</v>
          </cell>
          <cell r="K3142" t="str">
            <v>EMAC</v>
          </cell>
          <cell r="AB3142" t="str">
            <v>Tooth</v>
          </cell>
        </row>
        <row r="3143">
          <cell r="A3143" t="str">
            <v>in storage</v>
          </cell>
          <cell r="K3143" t="str">
            <v>LCAT</v>
          </cell>
          <cell r="AB3143" t="str">
            <v>Digit- finger</v>
          </cell>
        </row>
        <row r="3144">
          <cell r="A3144" t="str">
            <v>in storage</v>
          </cell>
          <cell r="K3144" t="str">
            <v>LCAT</v>
          </cell>
          <cell r="AB3144" t="str">
            <v>Adrenal gland</v>
          </cell>
        </row>
        <row r="3145">
          <cell r="A3145" t="str">
            <v>in storage</v>
          </cell>
          <cell r="K3145" t="str">
            <v>LCAT</v>
          </cell>
          <cell r="AB3145" t="str">
            <v>R- ovary</v>
          </cell>
        </row>
        <row r="3146">
          <cell r="A3146" t="str">
            <v>in storage</v>
          </cell>
          <cell r="K3146" t="str">
            <v>EMON</v>
          </cell>
          <cell r="AB3146" t="str">
            <v>GI- stomach</v>
          </cell>
        </row>
        <row r="3147">
          <cell r="A3147" t="str">
            <v>in storage</v>
          </cell>
          <cell r="K3147" t="str">
            <v>LCAT</v>
          </cell>
          <cell r="AB3147" t="str">
            <v>RU- bladder/ reproductive tract</v>
          </cell>
        </row>
        <row r="3148">
          <cell r="A3148" t="str">
            <v>in storage</v>
          </cell>
          <cell r="K3148" t="str">
            <v>EMON</v>
          </cell>
          <cell r="AB3148" t="str">
            <v>GI Contents- cecum</v>
          </cell>
        </row>
        <row r="3149">
          <cell r="A3149" t="str">
            <v>in storage</v>
          </cell>
          <cell r="K3149" t="str">
            <v>EMON</v>
          </cell>
          <cell r="AB3149" t="str">
            <v>GI- duodenum</v>
          </cell>
        </row>
        <row r="3150">
          <cell r="A3150" t="str">
            <v>in storage</v>
          </cell>
          <cell r="K3150" t="str">
            <v>EMON</v>
          </cell>
          <cell r="AB3150" t="str">
            <v>GI- cecum</v>
          </cell>
        </row>
        <row r="3151">
          <cell r="A3151" t="str">
            <v>in storage</v>
          </cell>
          <cell r="K3151" t="str">
            <v>LCAT</v>
          </cell>
          <cell r="AB3151" t="str">
            <v>Kidney</v>
          </cell>
        </row>
        <row r="3152">
          <cell r="A3152" t="str">
            <v>in storage</v>
          </cell>
          <cell r="K3152" t="str">
            <v>LCAT</v>
          </cell>
          <cell r="AB3152" t="str">
            <v>Kidney</v>
          </cell>
        </row>
        <row r="3153">
          <cell r="A3153" t="str">
            <v>in storage</v>
          </cell>
          <cell r="K3153" t="str">
            <v>LCAT</v>
          </cell>
          <cell r="AB3153" t="str">
            <v>Spleen</v>
          </cell>
        </row>
        <row r="3154">
          <cell r="A3154" t="str">
            <v>in storage</v>
          </cell>
          <cell r="K3154" t="str">
            <v>LCAT</v>
          </cell>
          <cell r="AB3154" t="str">
            <v>Heart</v>
          </cell>
        </row>
        <row r="3155">
          <cell r="A3155" t="str">
            <v>in storage</v>
          </cell>
          <cell r="K3155" t="str">
            <v>LCAT</v>
          </cell>
          <cell r="AB3155" t="str">
            <v>Lung</v>
          </cell>
        </row>
        <row r="3156">
          <cell r="A3156" t="str">
            <v>in storage</v>
          </cell>
          <cell r="K3156" t="str">
            <v>LCAT</v>
          </cell>
          <cell r="AB3156" t="str">
            <v>Lung</v>
          </cell>
        </row>
        <row r="3157">
          <cell r="A3157" t="str">
            <v>in storage</v>
          </cell>
          <cell r="K3157" t="str">
            <v>LCAT</v>
          </cell>
          <cell r="AB3157" t="str">
            <v>Liver</v>
          </cell>
        </row>
        <row r="3158">
          <cell r="A3158" t="str">
            <v>in storage</v>
          </cell>
          <cell r="K3158" t="str">
            <v>LCAT</v>
          </cell>
          <cell r="AB3158" t="str">
            <v>Liver</v>
          </cell>
        </row>
        <row r="3159">
          <cell r="A3159" t="str">
            <v>in storage</v>
          </cell>
          <cell r="K3159" t="str">
            <v>LCAT</v>
          </cell>
          <cell r="AB3159" t="str">
            <v>Liver</v>
          </cell>
        </row>
        <row r="3160">
          <cell r="A3160" t="str">
            <v>in storage</v>
          </cell>
          <cell r="K3160" t="str">
            <v>LCAT</v>
          </cell>
          <cell r="AB3160" t="str">
            <v>Liver</v>
          </cell>
        </row>
        <row r="3161">
          <cell r="A3161" t="str">
            <v>in storage</v>
          </cell>
          <cell r="K3161" t="str">
            <v>LCAT</v>
          </cell>
          <cell r="AB3161" t="str">
            <v>Skin</v>
          </cell>
        </row>
        <row r="3162">
          <cell r="A3162" t="str">
            <v>in storage</v>
          </cell>
          <cell r="K3162" t="str">
            <v>EMON</v>
          </cell>
          <cell r="AB3162" t="str">
            <v>GI- large intestine</v>
          </cell>
        </row>
        <row r="3163">
          <cell r="A3163" t="str">
            <v>in storage</v>
          </cell>
          <cell r="K3163" t="str">
            <v>EMON</v>
          </cell>
          <cell r="AB3163" t="str">
            <v>GI- ileum/ jejunum</v>
          </cell>
        </row>
        <row r="3164">
          <cell r="A3164" t="str">
            <v>in storage</v>
          </cell>
          <cell r="K3164" t="str">
            <v>LCAT</v>
          </cell>
          <cell r="AB3164" t="str">
            <v>Trachea</v>
          </cell>
        </row>
        <row r="3165">
          <cell r="A3165" t="str">
            <v>in storage</v>
          </cell>
          <cell r="K3165" t="str">
            <v>LCAT</v>
          </cell>
          <cell r="AB3165" t="str">
            <v>Eye</v>
          </cell>
        </row>
        <row r="3166">
          <cell r="A3166" t="str">
            <v>in storage</v>
          </cell>
          <cell r="K3166" t="str">
            <v>LCAT</v>
          </cell>
          <cell r="AB3166" t="str">
            <v>Muscle</v>
          </cell>
        </row>
        <row r="3167">
          <cell r="A3167" t="str">
            <v>in storage</v>
          </cell>
          <cell r="K3167" t="str">
            <v>EMON</v>
          </cell>
          <cell r="AB3167" t="str">
            <v>GI- stomach</v>
          </cell>
        </row>
        <row r="3168">
          <cell r="A3168" t="str">
            <v>in storage</v>
          </cell>
          <cell r="K3168" t="str">
            <v>EMON</v>
          </cell>
          <cell r="AB3168" t="str">
            <v>GI Contents- small intestine</v>
          </cell>
        </row>
        <row r="3169">
          <cell r="A3169" t="str">
            <v>in storage</v>
          </cell>
          <cell r="K3169" t="str">
            <v>EMON</v>
          </cell>
          <cell r="AB3169" t="str">
            <v>GI Contents- colon</v>
          </cell>
        </row>
        <row r="3170">
          <cell r="A3170" t="str">
            <v>in storage</v>
          </cell>
          <cell r="K3170" t="str">
            <v>VRUB</v>
          </cell>
          <cell r="AB3170" t="str">
            <v>Pancreas</v>
          </cell>
        </row>
        <row r="3171">
          <cell r="A3171" t="str">
            <v>in storage</v>
          </cell>
          <cell r="K3171" t="str">
            <v>VRUB</v>
          </cell>
          <cell r="AB3171" t="str">
            <v>Kidney</v>
          </cell>
        </row>
        <row r="3172">
          <cell r="A3172" t="str">
            <v>in storage</v>
          </cell>
          <cell r="K3172" t="str">
            <v>VRUB</v>
          </cell>
          <cell r="AB3172" t="str">
            <v>Kidney</v>
          </cell>
        </row>
        <row r="3173">
          <cell r="A3173" t="str">
            <v>in storage</v>
          </cell>
          <cell r="K3173" t="str">
            <v>VRUB</v>
          </cell>
          <cell r="AB3173" t="str">
            <v>Spleen</v>
          </cell>
        </row>
        <row r="3174">
          <cell r="A3174" t="str">
            <v>in storage</v>
          </cell>
          <cell r="K3174" t="str">
            <v>VRUB</v>
          </cell>
          <cell r="AB3174" t="str">
            <v>Heart</v>
          </cell>
        </row>
        <row r="3175">
          <cell r="A3175" t="str">
            <v>in storage</v>
          </cell>
          <cell r="K3175" t="str">
            <v>VRUB</v>
          </cell>
          <cell r="AB3175" t="str">
            <v>Liver</v>
          </cell>
        </row>
        <row r="3176">
          <cell r="A3176" t="str">
            <v>in storage</v>
          </cell>
          <cell r="K3176" t="str">
            <v>VRUB</v>
          </cell>
          <cell r="AB3176" t="str">
            <v>Lung</v>
          </cell>
        </row>
        <row r="3177">
          <cell r="A3177" t="str">
            <v>in storage</v>
          </cell>
          <cell r="K3177" t="str">
            <v>VRUB</v>
          </cell>
          <cell r="AB3177" t="str">
            <v>Lung</v>
          </cell>
        </row>
        <row r="3178">
          <cell r="A3178" t="str">
            <v>in storage</v>
          </cell>
          <cell r="K3178" t="str">
            <v>VRUB</v>
          </cell>
          <cell r="AB3178" t="str">
            <v>Liver</v>
          </cell>
        </row>
        <row r="3179">
          <cell r="A3179" t="str">
            <v>in storage</v>
          </cell>
          <cell r="K3179" t="str">
            <v>VRUB</v>
          </cell>
          <cell r="AB3179" t="str">
            <v>Skin</v>
          </cell>
        </row>
        <row r="3180">
          <cell r="A3180" t="str">
            <v>unk</v>
          </cell>
          <cell r="K3180" t="str">
            <v>VRUB</v>
          </cell>
          <cell r="AB3180" t="str">
            <v>Hair</v>
          </cell>
        </row>
        <row r="3181">
          <cell r="A3181" t="str">
            <v>in storage</v>
          </cell>
          <cell r="K3181" t="str">
            <v>VRUB</v>
          </cell>
          <cell r="AB3181" t="str">
            <v>Blood</v>
          </cell>
        </row>
        <row r="3182">
          <cell r="A3182" t="str">
            <v>in storage</v>
          </cell>
          <cell r="K3182" t="str">
            <v>VRUB</v>
          </cell>
          <cell r="AB3182" t="str">
            <v>Heart</v>
          </cell>
        </row>
        <row r="3183">
          <cell r="A3183" t="str">
            <v>in storage</v>
          </cell>
          <cell r="K3183" t="str">
            <v>VRUB</v>
          </cell>
          <cell r="AB3183" t="str">
            <v>Lung</v>
          </cell>
        </row>
        <row r="3184">
          <cell r="A3184" t="str">
            <v>in storage</v>
          </cell>
          <cell r="K3184" t="str">
            <v>VRUB</v>
          </cell>
          <cell r="AB3184" t="str">
            <v>Pancreas</v>
          </cell>
        </row>
        <row r="3185">
          <cell r="A3185" t="str">
            <v>in storage</v>
          </cell>
          <cell r="K3185" t="str">
            <v>VRUB</v>
          </cell>
          <cell r="AB3185" t="str">
            <v>Skin</v>
          </cell>
        </row>
        <row r="3186">
          <cell r="A3186" t="str">
            <v>in storage</v>
          </cell>
          <cell r="K3186" t="str">
            <v>VRUB</v>
          </cell>
          <cell r="AB3186" t="str">
            <v>Spleen</v>
          </cell>
        </row>
        <row r="3187">
          <cell r="A3187" t="str">
            <v>in storage</v>
          </cell>
          <cell r="K3187" t="str">
            <v>VRUB</v>
          </cell>
          <cell r="AB3187" t="str">
            <v>Kidney</v>
          </cell>
        </row>
        <row r="3188">
          <cell r="A3188" t="str">
            <v>unk</v>
          </cell>
          <cell r="K3188" t="str">
            <v>VRUB</v>
          </cell>
          <cell r="AB3188" t="str">
            <v>Kidney</v>
          </cell>
        </row>
        <row r="3189">
          <cell r="A3189" t="str">
            <v>unk</v>
          </cell>
          <cell r="K3189" t="str">
            <v>VRUB</v>
          </cell>
          <cell r="AB3189" t="str">
            <v>Blood</v>
          </cell>
        </row>
        <row r="3190">
          <cell r="A3190" t="str">
            <v>unk</v>
          </cell>
          <cell r="K3190" t="str">
            <v>VRUB</v>
          </cell>
          <cell r="AB3190" t="str">
            <v>Heart</v>
          </cell>
        </row>
        <row r="3191">
          <cell r="A3191" t="str">
            <v>unk</v>
          </cell>
          <cell r="K3191" t="str">
            <v>VRUB</v>
          </cell>
          <cell r="AB3191" t="str">
            <v>Lung</v>
          </cell>
        </row>
        <row r="3192">
          <cell r="A3192" t="str">
            <v>unk</v>
          </cell>
          <cell r="K3192" t="str">
            <v>VRUB</v>
          </cell>
          <cell r="AB3192" t="str">
            <v>Pancreas</v>
          </cell>
        </row>
        <row r="3193">
          <cell r="A3193" t="str">
            <v>unk</v>
          </cell>
          <cell r="K3193" t="str">
            <v>VRUB</v>
          </cell>
          <cell r="AB3193" t="str">
            <v>Skin</v>
          </cell>
        </row>
        <row r="3194">
          <cell r="A3194" t="str">
            <v>unk</v>
          </cell>
          <cell r="K3194" t="str">
            <v>VRUB</v>
          </cell>
          <cell r="AB3194" t="str">
            <v>Spleen</v>
          </cell>
        </row>
        <row r="3195">
          <cell r="A3195" t="str">
            <v>unk</v>
          </cell>
          <cell r="K3195" t="str">
            <v>VRUB</v>
          </cell>
          <cell r="AB3195" t="str">
            <v>Liver</v>
          </cell>
        </row>
        <row r="3196">
          <cell r="A3196" t="str">
            <v>in storage</v>
          </cell>
          <cell r="K3196" t="str">
            <v>EMON</v>
          </cell>
          <cell r="AB3196" t="str">
            <v>GI- jejunum</v>
          </cell>
        </row>
        <row r="3197">
          <cell r="A3197" t="str">
            <v>in storage</v>
          </cell>
          <cell r="K3197" t="str">
            <v>EMON</v>
          </cell>
          <cell r="AB3197" t="str">
            <v>GI- jejunum</v>
          </cell>
        </row>
        <row r="3198">
          <cell r="A3198" t="str">
            <v>in storage</v>
          </cell>
          <cell r="K3198" t="str">
            <v>VRUB</v>
          </cell>
          <cell r="AB3198" t="str">
            <v>Adrenal gland</v>
          </cell>
        </row>
        <row r="3199">
          <cell r="A3199" t="str">
            <v>in storage</v>
          </cell>
          <cell r="K3199" t="str">
            <v>VRUB</v>
          </cell>
          <cell r="AB3199" t="str">
            <v>Eye</v>
          </cell>
        </row>
        <row r="3200">
          <cell r="A3200" t="str">
            <v>in storage</v>
          </cell>
          <cell r="K3200" t="str">
            <v>VRUB</v>
          </cell>
          <cell r="AB3200" t="str">
            <v>Muscle</v>
          </cell>
        </row>
        <row r="3201">
          <cell r="A3201" t="str">
            <v>in storage</v>
          </cell>
          <cell r="K3201" t="str">
            <v>VRUB</v>
          </cell>
          <cell r="AB3201" t="str">
            <v>Muscle</v>
          </cell>
        </row>
        <row r="3202">
          <cell r="A3202" t="str">
            <v>unk</v>
          </cell>
          <cell r="K3202" t="str">
            <v>VRUB</v>
          </cell>
          <cell r="AB3202" t="str">
            <v>Muscle</v>
          </cell>
        </row>
        <row r="3203">
          <cell r="A3203" t="str">
            <v>in storage</v>
          </cell>
          <cell r="K3203" t="str">
            <v>PDIA</v>
          </cell>
          <cell r="AB3203" t="str">
            <v>Eye</v>
          </cell>
        </row>
        <row r="3204">
          <cell r="A3204" t="str">
            <v>in storage</v>
          </cell>
          <cell r="K3204" t="str">
            <v>EMON</v>
          </cell>
          <cell r="AB3204" t="str">
            <v>GI Contents- stomach</v>
          </cell>
        </row>
        <row r="3205">
          <cell r="A3205" t="str">
            <v>in storage</v>
          </cell>
          <cell r="K3205" t="str">
            <v>EMON</v>
          </cell>
          <cell r="AB3205" t="str">
            <v>GI Tract</v>
          </cell>
        </row>
        <row r="3206">
          <cell r="A3206" t="str">
            <v>in storage</v>
          </cell>
          <cell r="K3206" t="str">
            <v>EMON</v>
          </cell>
          <cell r="AB3206" t="str">
            <v>GI Tract</v>
          </cell>
        </row>
        <row r="3207">
          <cell r="A3207" t="str">
            <v>in storage</v>
          </cell>
          <cell r="K3207" t="str">
            <v>EMON</v>
          </cell>
          <cell r="AB3207" t="str">
            <v>GI Tract</v>
          </cell>
        </row>
        <row r="3208">
          <cell r="A3208" t="str">
            <v>in storage</v>
          </cell>
          <cell r="K3208" t="str">
            <v>PDIA</v>
          </cell>
          <cell r="AB3208" t="str">
            <v>Pancreas</v>
          </cell>
        </row>
        <row r="3209">
          <cell r="A3209" t="str">
            <v>in storage</v>
          </cell>
          <cell r="K3209" t="str">
            <v>PDIA</v>
          </cell>
          <cell r="AB3209" t="str">
            <v>Kidney</v>
          </cell>
        </row>
        <row r="3210">
          <cell r="A3210" t="str">
            <v>in storage</v>
          </cell>
          <cell r="K3210" t="str">
            <v>PDIA</v>
          </cell>
          <cell r="AB3210" t="str">
            <v>Kidney</v>
          </cell>
        </row>
        <row r="3211">
          <cell r="A3211" t="str">
            <v>in storage</v>
          </cell>
          <cell r="K3211" t="str">
            <v>PDIA</v>
          </cell>
          <cell r="AB3211" t="str">
            <v>Spleen</v>
          </cell>
        </row>
        <row r="3212">
          <cell r="A3212" t="str">
            <v>in storage</v>
          </cell>
          <cell r="K3212" t="str">
            <v>PDIA</v>
          </cell>
          <cell r="AB3212" t="str">
            <v>Lung</v>
          </cell>
        </row>
        <row r="3213">
          <cell r="A3213" t="str">
            <v>in storage</v>
          </cell>
          <cell r="K3213" t="str">
            <v>PDIA</v>
          </cell>
          <cell r="AB3213" t="str">
            <v>Lung</v>
          </cell>
        </row>
        <row r="3214">
          <cell r="A3214" t="str">
            <v>in storage</v>
          </cell>
          <cell r="K3214" t="str">
            <v>PDIA</v>
          </cell>
          <cell r="AB3214" t="str">
            <v>Liver</v>
          </cell>
        </row>
        <row r="3215">
          <cell r="A3215" t="str">
            <v>in storage</v>
          </cell>
          <cell r="K3215" t="str">
            <v>PDIA</v>
          </cell>
          <cell r="AB3215" t="str">
            <v>Skin</v>
          </cell>
        </row>
        <row r="3216">
          <cell r="A3216" t="str">
            <v>in storage</v>
          </cell>
          <cell r="K3216" t="str">
            <v>PDIA</v>
          </cell>
          <cell r="AB3216" t="str">
            <v>Heart</v>
          </cell>
        </row>
        <row r="3217">
          <cell r="A3217" t="str">
            <v>in storage</v>
          </cell>
          <cell r="K3217" t="str">
            <v>PDIA</v>
          </cell>
          <cell r="AB3217" t="str">
            <v>Lymph node- mesenteric</v>
          </cell>
        </row>
        <row r="3218">
          <cell r="A3218" t="str">
            <v>gone</v>
          </cell>
          <cell r="K3218" t="str">
            <v>PDIA</v>
          </cell>
          <cell r="AB3218" t="str">
            <v>Blood</v>
          </cell>
        </row>
        <row r="3219">
          <cell r="A3219" t="str">
            <v>in storage</v>
          </cell>
          <cell r="K3219" t="str">
            <v>PDIA</v>
          </cell>
          <cell r="AB3219" t="str">
            <v>Blood</v>
          </cell>
        </row>
        <row r="3220">
          <cell r="A3220" t="str">
            <v>in storage</v>
          </cell>
          <cell r="K3220" t="str">
            <v>PDIA</v>
          </cell>
          <cell r="AB3220" t="str">
            <v>Liver</v>
          </cell>
        </row>
        <row r="3221">
          <cell r="A3221" t="str">
            <v>in storage</v>
          </cell>
          <cell r="K3221" t="str">
            <v>PDIA</v>
          </cell>
          <cell r="AB3221" t="str">
            <v>Liver</v>
          </cell>
        </row>
        <row r="3222">
          <cell r="A3222" t="str">
            <v>in storage</v>
          </cell>
          <cell r="K3222" t="str">
            <v>PDIA</v>
          </cell>
          <cell r="AB3222" t="str">
            <v>Adrenal gland</v>
          </cell>
        </row>
        <row r="3223">
          <cell r="A3223" t="str">
            <v>in storage</v>
          </cell>
          <cell r="K3223" t="str">
            <v>PDIA</v>
          </cell>
          <cell r="AB3223" t="str">
            <v>Heart</v>
          </cell>
        </row>
        <row r="3224">
          <cell r="A3224" t="str">
            <v>in storage</v>
          </cell>
          <cell r="K3224" t="str">
            <v>PDIA</v>
          </cell>
          <cell r="AB3224" t="str">
            <v>Heart</v>
          </cell>
        </row>
        <row r="3225">
          <cell r="A3225" t="str">
            <v>in storage</v>
          </cell>
          <cell r="K3225" t="str">
            <v>PDIA</v>
          </cell>
          <cell r="AB3225" t="str">
            <v>Lung</v>
          </cell>
        </row>
        <row r="3226">
          <cell r="A3226" t="str">
            <v>in storage</v>
          </cell>
          <cell r="K3226" t="str">
            <v>PDIA</v>
          </cell>
          <cell r="AB3226" t="str">
            <v>Lung</v>
          </cell>
        </row>
        <row r="3227">
          <cell r="A3227" t="str">
            <v>in storage</v>
          </cell>
          <cell r="K3227" t="str">
            <v>PDIA</v>
          </cell>
          <cell r="AB3227" t="str">
            <v>scent gland</v>
          </cell>
        </row>
        <row r="3228">
          <cell r="A3228" t="str">
            <v>in storage</v>
          </cell>
          <cell r="K3228" t="str">
            <v>PDIA</v>
          </cell>
          <cell r="AB3228" t="str">
            <v>Pancreas</v>
          </cell>
        </row>
        <row r="3229">
          <cell r="A3229" t="str">
            <v>in storage</v>
          </cell>
          <cell r="K3229" t="str">
            <v>PDIA</v>
          </cell>
          <cell r="AB3229" t="str">
            <v>Pancreas</v>
          </cell>
        </row>
        <row r="3230">
          <cell r="A3230" t="str">
            <v>in storage</v>
          </cell>
          <cell r="K3230" t="str">
            <v>PDIA</v>
          </cell>
          <cell r="AB3230" t="str">
            <v>Skin</v>
          </cell>
        </row>
        <row r="3231">
          <cell r="A3231" t="str">
            <v>in storage</v>
          </cell>
          <cell r="K3231" t="str">
            <v>PDIA</v>
          </cell>
          <cell r="AB3231" t="str">
            <v>Skin</v>
          </cell>
        </row>
        <row r="3232">
          <cell r="A3232" t="str">
            <v>in storage</v>
          </cell>
          <cell r="K3232" t="str">
            <v>PDIA</v>
          </cell>
          <cell r="AB3232" t="str">
            <v>Spleen</v>
          </cell>
        </row>
        <row r="3233">
          <cell r="A3233" t="str">
            <v>in storage</v>
          </cell>
          <cell r="K3233" t="str">
            <v>PDIA</v>
          </cell>
          <cell r="AB3233" t="str">
            <v>Spleen</v>
          </cell>
        </row>
        <row r="3234">
          <cell r="A3234" t="str">
            <v>in storage</v>
          </cell>
          <cell r="K3234" t="str">
            <v>PDIA</v>
          </cell>
          <cell r="AB3234" t="str">
            <v>Kidney</v>
          </cell>
        </row>
        <row r="3235">
          <cell r="A3235" t="str">
            <v>in storage</v>
          </cell>
          <cell r="K3235" t="str">
            <v>PDIA</v>
          </cell>
          <cell r="AB3235" t="str">
            <v>Kidney</v>
          </cell>
        </row>
        <row r="3236">
          <cell r="A3236" t="str">
            <v>in storage</v>
          </cell>
          <cell r="K3236" t="str">
            <v>PDIA</v>
          </cell>
          <cell r="AB3236" t="str">
            <v>Thyroid</v>
          </cell>
        </row>
        <row r="3237">
          <cell r="A3237" t="str">
            <v>in storage</v>
          </cell>
          <cell r="K3237" t="str">
            <v>PDIA</v>
          </cell>
          <cell r="AB3237" t="str">
            <v>R- teste(s)</v>
          </cell>
        </row>
        <row r="3238">
          <cell r="A3238" t="str">
            <v>in storage</v>
          </cell>
          <cell r="K3238" t="str">
            <v>PDIA</v>
          </cell>
          <cell r="AB3238" t="str">
            <v>R- teste(s)</v>
          </cell>
        </row>
        <row r="3239">
          <cell r="A3239" t="str">
            <v>in storage</v>
          </cell>
          <cell r="K3239" t="str">
            <v>PDIA</v>
          </cell>
          <cell r="AB3239" t="str">
            <v>R- teste(s)</v>
          </cell>
        </row>
        <row r="3240">
          <cell r="A3240" t="str">
            <v>in storage</v>
          </cell>
          <cell r="K3240" t="str">
            <v>EMON</v>
          </cell>
          <cell r="AB3240" t="str">
            <v>GI Tract</v>
          </cell>
        </row>
        <row r="3241">
          <cell r="A3241" t="str">
            <v>in storage</v>
          </cell>
          <cell r="K3241" t="str">
            <v>PDIA</v>
          </cell>
          <cell r="AB3241" t="str">
            <v>Trachea</v>
          </cell>
        </row>
        <row r="3242">
          <cell r="A3242" t="str">
            <v>in storage</v>
          </cell>
          <cell r="K3242" t="str">
            <v>PDIA</v>
          </cell>
          <cell r="AB3242" t="str">
            <v>Muscle</v>
          </cell>
        </row>
        <row r="3243">
          <cell r="A3243" t="str">
            <v>in storage</v>
          </cell>
          <cell r="K3243" t="str">
            <v>PDIA</v>
          </cell>
          <cell r="AB3243" t="str">
            <v>Muscle</v>
          </cell>
        </row>
        <row r="3244">
          <cell r="A3244" t="str">
            <v>in storage</v>
          </cell>
          <cell r="K3244" t="str">
            <v>PDIA</v>
          </cell>
          <cell r="AB3244" t="str">
            <v>Muscle</v>
          </cell>
        </row>
        <row r="3245">
          <cell r="A3245" t="str">
            <v>gone</v>
          </cell>
          <cell r="K3245" t="str">
            <v>PCOQ</v>
          </cell>
          <cell r="AB3245" t="str">
            <v>R- placenta</v>
          </cell>
        </row>
        <row r="3246">
          <cell r="A3246" t="str">
            <v>in storage</v>
          </cell>
          <cell r="K3246" t="str">
            <v>PCOQ</v>
          </cell>
          <cell r="AB3246" t="str">
            <v>Adrenal gland</v>
          </cell>
        </row>
        <row r="3247">
          <cell r="A3247" t="str">
            <v>in storage</v>
          </cell>
          <cell r="K3247" t="str">
            <v>EMON</v>
          </cell>
          <cell r="AB3247" t="str">
            <v>GI Tract</v>
          </cell>
        </row>
        <row r="3248">
          <cell r="A3248" t="str">
            <v>in storage</v>
          </cell>
          <cell r="K3248" t="str">
            <v>EMON</v>
          </cell>
          <cell r="AB3248" t="str">
            <v>GI Tract</v>
          </cell>
        </row>
        <row r="3249">
          <cell r="A3249" t="str">
            <v>in storage</v>
          </cell>
          <cell r="K3249" t="str">
            <v>PCOQ</v>
          </cell>
          <cell r="AB3249" t="str">
            <v>Spleen</v>
          </cell>
        </row>
        <row r="3250">
          <cell r="A3250" t="str">
            <v>in storage</v>
          </cell>
          <cell r="K3250" t="str">
            <v>PCOQ</v>
          </cell>
          <cell r="AB3250" t="str">
            <v>Gallbladder/ liver</v>
          </cell>
        </row>
        <row r="3251">
          <cell r="A3251" t="str">
            <v>in storage</v>
          </cell>
          <cell r="K3251" t="str">
            <v>PCOQ</v>
          </cell>
          <cell r="AB3251" t="str">
            <v>Skin</v>
          </cell>
        </row>
        <row r="3252">
          <cell r="A3252" t="str">
            <v>in storage</v>
          </cell>
          <cell r="K3252" t="str">
            <v>PCOQ</v>
          </cell>
          <cell r="AB3252" t="str">
            <v>Kidney</v>
          </cell>
        </row>
        <row r="3253">
          <cell r="A3253" t="str">
            <v>in storage</v>
          </cell>
          <cell r="K3253" t="str">
            <v>PCOQ</v>
          </cell>
          <cell r="AB3253" t="str">
            <v>Lung</v>
          </cell>
        </row>
        <row r="3254">
          <cell r="A3254" t="str">
            <v>in storage</v>
          </cell>
          <cell r="K3254" t="str">
            <v>PCOQ</v>
          </cell>
          <cell r="AB3254" t="str">
            <v>Thymus</v>
          </cell>
        </row>
        <row r="3255">
          <cell r="A3255" t="str">
            <v>in storage</v>
          </cell>
          <cell r="K3255" t="str">
            <v>PCOQ</v>
          </cell>
          <cell r="AB3255" t="str">
            <v>Thyroid</v>
          </cell>
        </row>
        <row r="3256">
          <cell r="A3256" t="str">
            <v>in storage</v>
          </cell>
          <cell r="K3256" t="str">
            <v>PCOQ</v>
          </cell>
          <cell r="AB3256" t="str">
            <v>R- teste(s)</v>
          </cell>
        </row>
        <row r="3257">
          <cell r="A3257" t="str">
            <v>in storage</v>
          </cell>
          <cell r="K3257" t="str">
            <v>PCOQ</v>
          </cell>
          <cell r="AB3257" t="str">
            <v>Muscle</v>
          </cell>
        </row>
        <row r="3258">
          <cell r="A3258" t="str">
            <v>in storage</v>
          </cell>
          <cell r="K3258" t="str">
            <v>DMAD</v>
          </cell>
          <cell r="AB3258" t="str">
            <v>Tooth</v>
          </cell>
        </row>
        <row r="3259">
          <cell r="A3259" t="str">
            <v>in storage</v>
          </cell>
          <cell r="K3259" t="str">
            <v>ERUB</v>
          </cell>
          <cell r="AB3259" t="str">
            <v>Tooth</v>
          </cell>
        </row>
        <row r="3260">
          <cell r="A3260" t="str">
            <v>gone</v>
          </cell>
          <cell r="K3260" t="str">
            <v>LCAT</v>
          </cell>
          <cell r="AB3260" t="str">
            <v>R- sperm plug</v>
          </cell>
        </row>
        <row r="3261">
          <cell r="A3261" t="str">
            <v>in storage</v>
          </cell>
          <cell r="K3261" t="str">
            <v>LCAT</v>
          </cell>
          <cell r="AB3261" t="str">
            <v>R- sperm plug</v>
          </cell>
        </row>
        <row r="3262">
          <cell r="A3262" t="str">
            <v>in storage</v>
          </cell>
          <cell r="K3262" t="str">
            <v>NPYG</v>
          </cell>
          <cell r="AB3262" t="str">
            <v>Eye</v>
          </cell>
        </row>
        <row r="3263">
          <cell r="A3263" t="str">
            <v>in storage</v>
          </cell>
          <cell r="K3263" t="str">
            <v>NPYG</v>
          </cell>
          <cell r="AB3263" t="str">
            <v>Kidney</v>
          </cell>
        </row>
        <row r="3264">
          <cell r="A3264" t="str">
            <v>in storage</v>
          </cell>
          <cell r="K3264" t="str">
            <v>NPYG</v>
          </cell>
          <cell r="AB3264" t="str">
            <v>Lung</v>
          </cell>
        </row>
        <row r="3265">
          <cell r="A3265" t="str">
            <v>in storage</v>
          </cell>
          <cell r="K3265" t="str">
            <v>NPYG</v>
          </cell>
          <cell r="AB3265" t="str">
            <v>Skin</v>
          </cell>
        </row>
        <row r="3266">
          <cell r="A3266" t="str">
            <v>in storage</v>
          </cell>
          <cell r="K3266" t="str">
            <v>NPYG</v>
          </cell>
          <cell r="AB3266" t="str">
            <v>Spleen</v>
          </cell>
        </row>
        <row r="3267">
          <cell r="A3267" t="str">
            <v>in storage</v>
          </cell>
          <cell r="K3267" t="str">
            <v>NPYG</v>
          </cell>
          <cell r="AB3267" t="str">
            <v>Liver</v>
          </cell>
        </row>
        <row r="3268">
          <cell r="A3268" t="str">
            <v>in storage</v>
          </cell>
          <cell r="K3268" t="str">
            <v>EMON</v>
          </cell>
          <cell r="AB3268" t="str">
            <v>GI- esophagus</v>
          </cell>
        </row>
        <row r="3269">
          <cell r="A3269" t="str">
            <v>in storage</v>
          </cell>
          <cell r="K3269" t="str">
            <v>NPYG</v>
          </cell>
          <cell r="AB3269" t="str">
            <v>Pancreas</v>
          </cell>
        </row>
        <row r="3270">
          <cell r="A3270" t="str">
            <v>in storage</v>
          </cell>
          <cell r="K3270" t="str">
            <v>NPYG</v>
          </cell>
          <cell r="AB3270" t="str">
            <v>Kidney</v>
          </cell>
        </row>
        <row r="3271">
          <cell r="A3271" t="str">
            <v>in storage</v>
          </cell>
          <cell r="K3271" t="str">
            <v>NPYG</v>
          </cell>
          <cell r="AB3271" t="str">
            <v>Kidney</v>
          </cell>
        </row>
        <row r="3272">
          <cell r="A3272" t="str">
            <v>in storage</v>
          </cell>
          <cell r="K3272" t="str">
            <v>NPYG</v>
          </cell>
          <cell r="AB3272" t="str">
            <v>Spleen</v>
          </cell>
        </row>
        <row r="3273">
          <cell r="A3273" t="str">
            <v>in storage</v>
          </cell>
          <cell r="K3273" t="str">
            <v>NPYG</v>
          </cell>
          <cell r="AB3273" t="str">
            <v>Lung</v>
          </cell>
        </row>
        <row r="3274">
          <cell r="A3274" t="str">
            <v>in storage</v>
          </cell>
          <cell r="K3274" t="str">
            <v>NPYG</v>
          </cell>
          <cell r="AB3274" t="str">
            <v>Liver</v>
          </cell>
        </row>
        <row r="3275">
          <cell r="A3275" t="str">
            <v>in storage</v>
          </cell>
          <cell r="K3275" t="str">
            <v>NPYG</v>
          </cell>
          <cell r="AB3275" t="str">
            <v>Skin</v>
          </cell>
        </row>
        <row r="3276">
          <cell r="A3276" t="str">
            <v>in storage</v>
          </cell>
          <cell r="K3276" t="str">
            <v>NPYG</v>
          </cell>
          <cell r="AB3276" t="str">
            <v>R- teste(s)</v>
          </cell>
        </row>
        <row r="3277">
          <cell r="A3277" t="str">
            <v>in storage</v>
          </cell>
          <cell r="K3277" t="str">
            <v>NPYG</v>
          </cell>
          <cell r="AB3277" t="str">
            <v>R- teste(s)</v>
          </cell>
        </row>
        <row r="3278">
          <cell r="A3278" t="str">
            <v>in storage</v>
          </cell>
          <cell r="K3278" t="str">
            <v>NPYG</v>
          </cell>
          <cell r="AB3278" t="str">
            <v>Muscle</v>
          </cell>
        </row>
        <row r="3279">
          <cell r="A3279" t="str">
            <v>in storage</v>
          </cell>
          <cell r="K3279" t="str">
            <v>NPYG</v>
          </cell>
          <cell r="AB3279" t="str">
            <v>Muscle</v>
          </cell>
        </row>
        <row r="3280">
          <cell r="A3280" t="str">
            <v>in storage</v>
          </cell>
          <cell r="K3280" t="str">
            <v>PCOQ</v>
          </cell>
          <cell r="AB3280" t="str">
            <v>Adrenal gland</v>
          </cell>
        </row>
        <row r="3281">
          <cell r="A3281" t="str">
            <v>in storage</v>
          </cell>
          <cell r="K3281" t="str">
            <v>PCOQ</v>
          </cell>
          <cell r="AB3281" t="str">
            <v>Eye</v>
          </cell>
        </row>
        <row r="3282">
          <cell r="A3282" t="str">
            <v>in storage</v>
          </cell>
          <cell r="K3282" t="str">
            <v>PCOQ</v>
          </cell>
          <cell r="AB3282" t="str">
            <v>Eye</v>
          </cell>
        </row>
        <row r="3283">
          <cell r="A3283" t="str">
            <v>in storage</v>
          </cell>
          <cell r="K3283" t="str">
            <v>PCOQ</v>
          </cell>
          <cell r="AB3283" t="str">
            <v>R- ovary/ uterus</v>
          </cell>
        </row>
        <row r="3284">
          <cell r="A3284" t="str">
            <v>in storage</v>
          </cell>
          <cell r="K3284" t="str">
            <v>EMON</v>
          </cell>
          <cell r="AB3284" t="str">
            <v>GI Tract</v>
          </cell>
        </row>
        <row r="3285">
          <cell r="A3285" t="str">
            <v>in storage</v>
          </cell>
          <cell r="K3285" t="str">
            <v>EMON</v>
          </cell>
          <cell r="AB3285" t="str">
            <v>GI Contents- cecum</v>
          </cell>
        </row>
        <row r="3286">
          <cell r="A3286" t="str">
            <v>in storage</v>
          </cell>
          <cell r="K3286" t="str">
            <v>EMON</v>
          </cell>
          <cell r="AB3286" t="str">
            <v>GI- cecum</v>
          </cell>
        </row>
        <row r="3287">
          <cell r="A3287" t="str">
            <v>in storage</v>
          </cell>
          <cell r="K3287" t="str">
            <v>PCOQ</v>
          </cell>
          <cell r="AB3287" t="str">
            <v>Pancreas</v>
          </cell>
        </row>
        <row r="3288">
          <cell r="A3288" t="str">
            <v>in storage</v>
          </cell>
          <cell r="K3288" t="str">
            <v>PCOQ</v>
          </cell>
          <cell r="AB3288" t="str">
            <v>Kidney</v>
          </cell>
        </row>
        <row r="3289">
          <cell r="A3289" t="str">
            <v>in storage</v>
          </cell>
          <cell r="K3289" t="str">
            <v>PCOQ</v>
          </cell>
          <cell r="AB3289" t="str">
            <v>Kidney</v>
          </cell>
        </row>
        <row r="3290">
          <cell r="A3290" t="str">
            <v>in storage</v>
          </cell>
          <cell r="K3290" t="str">
            <v>PCOQ</v>
          </cell>
          <cell r="AB3290" t="str">
            <v>Spleen</v>
          </cell>
        </row>
        <row r="3291">
          <cell r="A3291" t="str">
            <v>in storage</v>
          </cell>
          <cell r="K3291" t="str">
            <v>PCOQ</v>
          </cell>
          <cell r="AB3291" t="str">
            <v>Lung</v>
          </cell>
        </row>
        <row r="3292">
          <cell r="A3292" t="str">
            <v>in storage</v>
          </cell>
          <cell r="K3292" t="str">
            <v>PCOQ</v>
          </cell>
          <cell r="AB3292" t="str">
            <v>Lung</v>
          </cell>
        </row>
        <row r="3293">
          <cell r="A3293" t="str">
            <v>in storage</v>
          </cell>
          <cell r="K3293" t="str">
            <v>PCOQ</v>
          </cell>
          <cell r="AB3293" t="str">
            <v>Gallbladder/ liver</v>
          </cell>
        </row>
        <row r="3294">
          <cell r="A3294" t="str">
            <v>in storage</v>
          </cell>
          <cell r="K3294" t="str">
            <v>PCOQ</v>
          </cell>
          <cell r="AB3294" t="str">
            <v>Skin</v>
          </cell>
        </row>
        <row r="3295">
          <cell r="A3295" t="str">
            <v>in storage</v>
          </cell>
          <cell r="K3295" t="str">
            <v>PCOQ</v>
          </cell>
          <cell r="AB3295" t="str">
            <v>Thymus</v>
          </cell>
        </row>
        <row r="3296">
          <cell r="A3296" t="str">
            <v>in storage</v>
          </cell>
          <cell r="K3296" t="str">
            <v>PCOQ</v>
          </cell>
          <cell r="AB3296" t="str">
            <v>Thyroid</v>
          </cell>
        </row>
        <row r="3297">
          <cell r="A3297" t="str">
            <v>in storage</v>
          </cell>
          <cell r="K3297" t="str">
            <v>EMON</v>
          </cell>
          <cell r="AB3297" t="str">
            <v>GI Contents- small intestine</v>
          </cell>
        </row>
        <row r="3298">
          <cell r="A3298" t="str">
            <v>in storage</v>
          </cell>
          <cell r="K3298" t="str">
            <v>EMON</v>
          </cell>
          <cell r="AB3298" t="str">
            <v>GI Contents- large intestine</v>
          </cell>
        </row>
        <row r="3299">
          <cell r="A3299" t="str">
            <v>in storage</v>
          </cell>
          <cell r="K3299" t="str">
            <v>PCOQ</v>
          </cell>
          <cell r="AB3299" t="str">
            <v>Muscle</v>
          </cell>
        </row>
        <row r="3300">
          <cell r="A3300" t="str">
            <v>unk</v>
          </cell>
          <cell r="K3300" t="str">
            <v>NPYG</v>
          </cell>
          <cell r="AB3300" t="str">
            <v>Tooth</v>
          </cell>
        </row>
        <row r="3301">
          <cell r="A3301" t="str">
            <v>unk</v>
          </cell>
          <cell r="K3301" t="str">
            <v>NPYG</v>
          </cell>
          <cell r="AB3301" t="str">
            <v>Tooth</v>
          </cell>
        </row>
        <row r="3302">
          <cell r="A3302" t="str">
            <v>unk</v>
          </cell>
          <cell r="K3302" t="str">
            <v>NPYG</v>
          </cell>
          <cell r="AB3302" t="str">
            <v>Tooth</v>
          </cell>
        </row>
        <row r="3303">
          <cell r="A3303" t="str">
            <v>unk</v>
          </cell>
          <cell r="K3303" t="str">
            <v>NPYG</v>
          </cell>
          <cell r="AB3303" t="str">
            <v>Tooth</v>
          </cell>
        </row>
        <row r="3304">
          <cell r="A3304" t="str">
            <v>unk</v>
          </cell>
          <cell r="K3304" t="str">
            <v>NPYG</v>
          </cell>
          <cell r="AB3304" t="str">
            <v>Tooth</v>
          </cell>
        </row>
        <row r="3305">
          <cell r="A3305" t="str">
            <v>in storage</v>
          </cell>
          <cell r="K3305" t="str">
            <v>LCAT</v>
          </cell>
          <cell r="AB3305" t="str">
            <v>Tail</v>
          </cell>
        </row>
        <row r="3306">
          <cell r="A3306" t="str">
            <v>in storage</v>
          </cell>
          <cell r="K3306" t="str">
            <v>NPYG</v>
          </cell>
          <cell r="AB3306" t="str">
            <v>Adrenal gland</v>
          </cell>
        </row>
        <row r="3307">
          <cell r="A3307" t="str">
            <v>in storage</v>
          </cell>
          <cell r="K3307" t="str">
            <v>NPYG</v>
          </cell>
          <cell r="AB3307" t="str">
            <v>Adrenal gland</v>
          </cell>
        </row>
        <row r="3308">
          <cell r="A3308" t="str">
            <v>in storage</v>
          </cell>
          <cell r="K3308" t="str">
            <v>NPYG</v>
          </cell>
          <cell r="AB3308" t="str">
            <v>Eye</v>
          </cell>
        </row>
        <row r="3309">
          <cell r="A3309" t="str">
            <v>in storage</v>
          </cell>
          <cell r="K3309" t="str">
            <v>NPYG</v>
          </cell>
          <cell r="AB3309" t="str">
            <v>Eye</v>
          </cell>
        </row>
        <row r="3310">
          <cell r="A3310" t="str">
            <v>in storage</v>
          </cell>
          <cell r="K3310" t="str">
            <v>NPYG</v>
          </cell>
          <cell r="AB3310" t="str">
            <v>Kidney</v>
          </cell>
        </row>
        <row r="3311">
          <cell r="A3311" t="str">
            <v>in storage</v>
          </cell>
          <cell r="K3311" t="str">
            <v>NPYG</v>
          </cell>
          <cell r="AB3311" t="str">
            <v>Blood</v>
          </cell>
        </row>
        <row r="3312">
          <cell r="A3312" t="str">
            <v>in storage</v>
          </cell>
          <cell r="K3312" t="str">
            <v>NPYG</v>
          </cell>
          <cell r="AB3312" t="str">
            <v>Heart</v>
          </cell>
        </row>
        <row r="3313">
          <cell r="A3313" t="str">
            <v>in storage</v>
          </cell>
          <cell r="K3313" t="str">
            <v>NPYG</v>
          </cell>
          <cell r="AB3313" t="str">
            <v>Lung</v>
          </cell>
        </row>
        <row r="3314">
          <cell r="A3314" t="str">
            <v>in storage</v>
          </cell>
          <cell r="K3314" t="str">
            <v>NPYG</v>
          </cell>
          <cell r="AB3314" t="str">
            <v>Pancreas</v>
          </cell>
        </row>
        <row r="3315">
          <cell r="A3315" t="str">
            <v>in storage</v>
          </cell>
          <cell r="K3315" t="str">
            <v>NPYG</v>
          </cell>
          <cell r="AB3315" t="str">
            <v>Skin</v>
          </cell>
        </row>
        <row r="3316">
          <cell r="A3316" t="str">
            <v>in storage</v>
          </cell>
          <cell r="K3316" t="str">
            <v>NPYG</v>
          </cell>
          <cell r="AB3316" t="str">
            <v>Liver</v>
          </cell>
        </row>
        <row r="3317">
          <cell r="A3317" t="str">
            <v>in storage</v>
          </cell>
          <cell r="K3317" t="str">
            <v>EMON</v>
          </cell>
          <cell r="AB3317" t="str">
            <v>GI- large intestine</v>
          </cell>
        </row>
        <row r="3318">
          <cell r="A3318" t="str">
            <v>in storage</v>
          </cell>
          <cell r="K3318" t="str">
            <v>NPYG</v>
          </cell>
          <cell r="AB3318" t="str">
            <v>Pancreas</v>
          </cell>
        </row>
        <row r="3319">
          <cell r="A3319" t="str">
            <v>in storage</v>
          </cell>
          <cell r="K3319" t="str">
            <v>NPYG</v>
          </cell>
          <cell r="AB3319" t="str">
            <v>Kidney</v>
          </cell>
        </row>
        <row r="3320">
          <cell r="A3320" t="str">
            <v>in storage</v>
          </cell>
          <cell r="K3320" t="str">
            <v>NPYG</v>
          </cell>
          <cell r="AB3320" t="str">
            <v>Kidney</v>
          </cell>
        </row>
        <row r="3321">
          <cell r="A3321" t="str">
            <v>in storage</v>
          </cell>
          <cell r="K3321" t="str">
            <v>NPYG</v>
          </cell>
          <cell r="AB3321" t="str">
            <v>Spleen</v>
          </cell>
        </row>
        <row r="3322">
          <cell r="A3322" t="str">
            <v>in storage</v>
          </cell>
          <cell r="K3322" t="str">
            <v>NPYG</v>
          </cell>
          <cell r="AB3322" t="str">
            <v>Heart</v>
          </cell>
        </row>
        <row r="3323">
          <cell r="A3323" t="str">
            <v>in storage</v>
          </cell>
          <cell r="K3323" t="str">
            <v>NPYG</v>
          </cell>
          <cell r="AB3323" t="str">
            <v>Lung</v>
          </cell>
        </row>
        <row r="3324">
          <cell r="A3324" t="str">
            <v>in storage</v>
          </cell>
          <cell r="K3324" t="str">
            <v>NPYG</v>
          </cell>
          <cell r="AB3324" t="str">
            <v>Lung</v>
          </cell>
        </row>
        <row r="3325">
          <cell r="A3325" t="str">
            <v>in storage</v>
          </cell>
          <cell r="K3325" t="str">
            <v>NPYG</v>
          </cell>
          <cell r="AB3325" t="str">
            <v>Liver</v>
          </cell>
        </row>
        <row r="3326">
          <cell r="A3326" t="str">
            <v>in storage</v>
          </cell>
          <cell r="K3326" t="str">
            <v>NPYG</v>
          </cell>
          <cell r="AB3326" t="str">
            <v>Skin</v>
          </cell>
        </row>
        <row r="3327">
          <cell r="A3327" t="str">
            <v>unk</v>
          </cell>
          <cell r="K3327" t="str">
            <v>NPYG</v>
          </cell>
          <cell r="AB3327" t="str">
            <v>Hair</v>
          </cell>
        </row>
        <row r="3328">
          <cell r="A3328" t="str">
            <v>in storage</v>
          </cell>
          <cell r="K3328" t="str">
            <v>EMON</v>
          </cell>
          <cell r="AB3328" t="str">
            <v>GI- small intestine</v>
          </cell>
        </row>
        <row r="3329">
          <cell r="A3329" t="str">
            <v>in storage</v>
          </cell>
          <cell r="K3329" t="str">
            <v>NPYG</v>
          </cell>
          <cell r="AB3329" t="str">
            <v>R- teste(s)</v>
          </cell>
        </row>
        <row r="3330">
          <cell r="A3330" t="str">
            <v>in storage</v>
          </cell>
          <cell r="K3330" t="str">
            <v>NPYG</v>
          </cell>
          <cell r="AB3330" t="str">
            <v>R- teste(s)</v>
          </cell>
        </row>
        <row r="3331">
          <cell r="A3331" t="str">
            <v>in storage</v>
          </cell>
          <cell r="K3331" t="str">
            <v>EMON</v>
          </cell>
          <cell r="AB3331" t="str">
            <v>GI- stomach</v>
          </cell>
        </row>
        <row r="3332">
          <cell r="A3332" t="str">
            <v>in storage</v>
          </cell>
          <cell r="K3332" t="str">
            <v>NPYG</v>
          </cell>
          <cell r="AB3332" t="str">
            <v>Muscle</v>
          </cell>
        </row>
        <row r="3333">
          <cell r="A3333" t="str">
            <v>in storage</v>
          </cell>
          <cell r="K3333" t="str">
            <v>NPYG</v>
          </cell>
          <cell r="AB3333" t="str">
            <v>Muscle</v>
          </cell>
        </row>
        <row r="3334">
          <cell r="A3334" t="str">
            <v>unk</v>
          </cell>
          <cell r="K3334" t="str">
            <v>VRUB</v>
          </cell>
          <cell r="AB3334" t="str">
            <v>R- placenta</v>
          </cell>
        </row>
        <row r="3335">
          <cell r="A3335" t="str">
            <v>gone</v>
          </cell>
          <cell r="K3335" t="str">
            <v>VRUB</v>
          </cell>
          <cell r="AB3335" t="str">
            <v>R- placenta</v>
          </cell>
        </row>
        <row r="3336">
          <cell r="A3336" t="str">
            <v>in storage</v>
          </cell>
          <cell r="K3336" t="str">
            <v>VRUB</v>
          </cell>
          <cell r="AB3336" t="str">
            <v>R- placenta</v>
          </cell>
        </row>
        <row r="3337">
          <cell r="A3337" t="str">
            <v>in storage</v>
          </cell>
          <cell r="K3337" t="str">
            <v>EMON</v>
          </cell>
          <cell r="AB3337" t="str">
            <v>GI Contents- stomach</v>
          </cell>
        </row>
        <row r="3338">
          <cell r="A3338" t="str">
            <v>in storage</v>
          </cell>
          <cell r="K3338" t="str">
            <v>VVV</v>
          </cell>
          <cell r="AB3338" t="str">
            <v>Adrenal gland</v>
          </cell>
        </row>
        <row r="3339">
          <cell r="A3339" t="str">
            <v>in storage</v>
          </cell>
          <cell r="K3339" t="str">
            <v>VRUB</v>
          </cell>
          <cell r="AB3339" t="str">
            <v>Kidney</v>
          </cell>
        </row>
        <row r="3340">
          <cell r="A3340" t="str">
            <v>in storage</v>
          </cell>
          <cell r="K3340" t="str">
            <v>VRUB</v>
          </cell>
          <cell r="AB3340" t="str">
            <v>Kidney</v>
          </cell>
        </row>
        <row r="3341">
          <cell r="A3341" t="str">
            <v>in storage</v>
          </cell>
          <cell r="K3341" t="str">
            <v>VRUB</v>
          </cell>
          <cell r="AB3341" t="str">
            <v>Spleen</v>
          </cell>
        </row>
        <row r="3342">
          <cell r="A3342" t="str">
            <v>in storage</v>
          </cell>
          <cell r="K3342" t="str">
            <v>VRUB</v>
          </cell>
          <cell r="AB3342" t="str">
            <v>Lung</v>
          </cell>
        </row>
        <row r="3343">
          <cell r="A3343" t="str">
            <v>in storage</v>
          </cell>
          <cell r="K3343" t="str">
            <v>VRUB</v>
          </cell>
          <cell r="AB3343" t="str">
            <v>Lung</v>
          </cell>
        </row>
        <row r="3344">
          <cell r="A3344" t="str">
            <v>in storage</v>
          </cell>
          <cell r="K3344" t="str">
            <v>VRUB</v>
          </cell>
          <cell r="AB3344" t="str">
            <v>Liver</v>
          </cell>
        </row>
        <row r="3345">
          <cell r="A3345" t="str">
            <v>in storage</v>
          </cell>
          <cell r="K3345" t="str">
            <v>VRUB</v>
          </cell>
          <cell r="AB3345" t="str">
            <v>Skin</v>
          </cell>
        </row>
        <row r="3346">
          <cell r="A3346" t="str">
            <v>in storage</v>
          </cell>
          <cell r="K3346" t="str">
            <v>VRUB</v>
          </cell>
          <cell r="AB3346" t="str">
            <v>Skin</v>
          </cell>
        </row>
        <row r="3347">
          <cell r="A3347" t="str">
            <v>in storage</v>
          </cell>
          <cell r="K3347" t="str">
            <v>VRUB</v>
          </cell>
          <cell r="AB3347" t="str">
            <v>Liver</v>
          </cell>
        </row>
        <row r="3348">
          <cell r="A3348" t="str">
            <v>in storage</v>
          </cell>
          <cell r="K3348" t="str">
            <v>VRUB</v>
          </cell>
          <cell r="AB3348" t="str">
            <v>R- teste(s)</v>
          </cell>
        </row>
        <row r="3349">
          <cell r="A3349" t="str">
            <v>in storage</v>
          </cell>
          <cell r="K3349" t="str">
            <v>VRUB</v>
          </cell>
          <cell r="AB3349" t="str">
            <v>R- teste(s)</v>
          </cell>
        </row>
        <row r="3350">
          <cell r="A3350" t="str">
            <v>in storage</v>
          </cell>
          <cell r="K3350" t="str">
            <v>VRUB</v>
          </cell>
          <cell r="AB3350" t="str">
            <v>Adrenal gland</v>
          </cell>
        </row>
        <row r="3351">
          <cell r="A3351" t="str">
            <v>in storage</v>
          </cell>
          <cell r="K3351" t="str">
            <v>VRUB</v>
          </cell>
          <cell r="AB3351" t="str">
            <v>Thymus</v>
          </cell>
        </row>
        <row r="3352">
          <cell r="A3352" t="str">
            <v>in storage</v>
          </cell>
          <cell r="K3352" t="str">
            <v>VRUB</v>
          </cell>
          <cell r="AB3352" t="str">
            <v>Thyroid</v>
          </cell>
        </row>
        <row r="3353">
          <cell r="A3353" t="str">
            <v>in storage</v>
          </cell>
          <cell r="K3353" t="str">
            <v>VRUB</v>
          </cell>
          <cell r="AB3353" t="str">
            <v>Muscle</v>
          </cell>
        </row>
        <row r="3354">
          <cell r="A3354" t="str">
            <v>in storage</v>
          </cell>
          <cell r="K3354" t="str">
            <v>VRUB</v>
          </cell>
          <cell r="AB3354" t="str">
            <v>Muscle</v>
          </cell>
        </row>
        <row r="3355">
          <cell r="A3355" t="str">
            <v>in storage</v>
          </cell>
          <cell r="K3355" t="str">
            <v>MZAZ</v>
          </cell>
          <cell r="AB3355" t="str">
            <v>RU- accessory sex glands/ bladder</v>
          </cell>
        </row>
        <row r="3356">
          <cell r="A3356" t="str">
            <v>in storage</v>
          </cell>
          <cell r="K3356" t="str">
            <v>EMON</v>
          </cell>
          <cell r="AB3356" t="str">
            <v>GI- cecum</v>
          </cell>
        </row>
        <row r="3357">
          <cell r="A3357" t="str">
            <v>in storage</v>
          </cell>
          <cell r="K3357" t="str">
            <v>MZAZ</v>
          </cell>
          <cell r="AB3357" t="str">
            <v>R- penis</v>
          </cell>
        </row>
        <row r="3358">
          <cell r="A3358" t="str">
            <v>gone</v>
          </cell>
          <cell r="K3358" t="str">
            <v>MZAZ</v>
          </cell>
          <cell r="AB3358" t="str">
            <v>Blood</v>
          </cell>
        </row>
        <row r="3359">
          <cell r="A3359" t="str">
            <v>in storage</v>
          </cell>
          <cell r="K3359" t="str">
            <v>MZAZ</v>
          </cell>
          <cell r="AB3359" t="str">
            <v>Eye</v>
          </cell>
        </row>
        <row r="3360">
          <cell r="A3360" t="str">
            <v>in storage</v>
          </cell>
          <cell r="K3360" t="str">
            <v>MZAZ</v>
          </cell>
          <cell r="AB3360" t="str">
            <v>Lung</v>
          </cell>
        </row>
        <row r="3361">
          <cell r="A3361" t="str">
            <v>in storage</v>
          </cell>
          <cell r="K3361" t="str">
            <v>MZAZ</v>
          </cell>
          <cell r="AB3361" t="str">
            <v>Skin</v>
          </cell>
        </row>
        <row r="3362">
          <cell r="A3362" t="str">
            <v>in storage</v>
          </cell>
          <cell r="K3362" t="str">
            <v>MZAZ</v>
          </cell>
          <cell r="AB3362" t="str">
            <v>Kidney</v>
          </cell>
        </row>
        <row r="3363">
          <cell r="A3363" t="str">
            <v>in storage</v>
          </cell>
          <cell r="K3363" t="str">
            <v>MZAZ</v>
          </cell>
          <cell r="AB3363" t="str">
            <v>Liver</v>
          </cell>
        </row>
        <row r="3364">
          <cell r="A3364" t="str">
            <v>in storage</v>
          </cell>
          <cell r="K3364" t="str">
            <v>EMON</v>
          </cell>
          <cell r="AB3364" t="str">
            <v>GI- large intestine</v>
          </cell>
        </row>
        <row r="3365">
          <cell r="A3365" t="str">
            <v>in storage</v>
          </cell>
          <cell r="K3365" t="str">
            <v>EMON</v>
          </cell>
          <cell r="AB3365" t="str">
            <v>GI- small intestine</v>
          </cell>
        </row>
        <row r="3366">
          <cell r="A3366" t="str">
            <v>in storage</v>
          </cell>
          <cell r="K3366" t="str">
            <v>EMON</v>
          </cell>
          <cell r="AB3366" t="str">
            <v>GI- stomach</v>
          </cell>
        </row>
        <row r="3367">
          <cell r="A3367" t="str">
            <v>in storage</v>
          </cell>
          <cell r="K3367" t="str">
            <v>MZAZ</v>
          </cell>
          <cell r="AB3367" t="str">
            <v>Pancreas</v>
          </cell>
        </row>
        <row r="3368">
          <cell r="A3368" t="str">
            <v>in storage</v>
          </cell>
          <cell r="K3368" t="str">
            <v>MZAZ</v>
          </cell>
          <cell r="AB3368" t="str">
            <v>Kidney</v>
          </cell>
        </row>
        <row r="3369">
          <cell r="A3369" t="str">
            <v>in storage</v>
          </cell>
          <cell r="K3369" t="str">
            <v>MZAZ</v>
          </cell>
          <cell r="AB3369" t="str">
            <v>Spleen</v>
          </cell>
        </row>
        <row r="3370">
          <cell r="A3370" t="str">
            <v>in storage</v>
          </cell>
          <cell r="K3370" t="str">
            <v>MZAZ</v>
          </cell>
          <cell r="AB3370" t="str">
            <v>Lung</v>
          </cell>
        </row>
        <row r="3371">
          <cell r="A3371" t="str">
            <v>in storage</v>
          </cell>
          <cell r="K3371" t="str">
            <v>MZAZ</v>
          </cell>
          <cell r="AB3371" t="str">
            <v>Liver</v>
          </cell>
        </row>
        <row r="3372">
          <cell r="A3372" t="str">
            <v>in storage</v>
          </cell>
          <cell r="K3372" t="str">
            <v>MZAZ</v>
          </cell>
          <cell r="AB3372" t="str">
            <v>Skin</v>
          </cell>
        </row>
        <row r="3373">
          <cell r="A3373" t="str">
            <v>unk</v>
          </cell>
          <cell r="K3373" t="str">
            <v>MZAZ</v>
          </cell>
          <cell r="AB3373" t="str">
            <v>Adrenal gland</v>
          </cell>
        </row>
        <row r="3374">
          <cell r="A3374" t="str">
            <v>unk</v>
          </cell>
          <cell r="K3374" t="str">
            <v>MZAZ</v>
          </cell>
          <cell r="AB3374" t="str">
            <v>Hair</v>
          </cell>
        </row>
        <row r="3375">
          <cell r="A3375" t="str">
            <v>in storage</v>
          </cell>
          <cell r="K3375" t="str">
            <v>MZAZ</v>
          </cell>
          <cell r="AB3375" t="str">
            <v>R- teste(s)</v>
          </cell>
        </row>
        <row r="3376">
          <cell r="A3376" t="str">
            <v>in storage</v>
          </cell>
          <cell r="K3376" t="str">
            <v>EMON</v>
          </cell>
          <cell r="AB3376" t="str">
            <v>GI Contents</v>
          </cell>
        </row>
        <row r="3377">
          <cell r="A3377" t="str">
            <v>in storage</v>
          </cell>
          <cell r="K3377" t="str">
            <v>ERUB</v>
          </cell>
          <cell r="AB3377" t="str">
            <v>GI- cecum/ colon</v>
          </cell>
        </row>
        <row r="3378">
          <cell r="A3378" t="str">
            <v>in storage</v>
          </cell>
          <cell r="K3378" t="str">
            <v>MZAZ</v>
          </cell>
          <cell r="AB3378" t="str">
            <v>R- teste(s)</v>
          </cell>
        </row>
        <row r="3379">
          <cell r="A3379" t="str">
            <v>in storage</v>
          </cell>
          <cell r="K3379" t="str">
            <v>MZAZ</v>
          </cell>
          <cell r="AB3379" t="str">
            <v>Muscle</v>
          </cell>
        </row>
        <row r="3380">
          <cell r="A3380" t="str">
            <v>in storage</v>
          </cell>
          <cell r="K3380" t="str">
            <v>MZAZ</v>
          </cell>
          <cell r="AB3380" t="str">
            <v>Muscle</v>
          </cell>
        </row>
        <row r="3381">
          <cell r="A3381" t="str">
            <v>in storage</v>
          </cell>
          <cell r="K3381" t="str">
            <v>LCAT</v>
          </cell>
          <cell r="AB3381" t="str">
            <v>R- placenta</v>
          </cell>
        </row>
        <row r="3382">
          <cell r="A3382" t="str">
            <v>in storage</v>
          </cell>
          <cell r="K3382" t="str">
            <v>ERUB</v>
          </cell>
          <cell r="AB3382" t="str">
            <v>GI- colon</v>
          </cell>
        </row>
        <row r="3383">
          <cell r="A3383" t="str">
            <v>in storage</v>
          </cell>
          <cell r="K3383" t="str">
            <v>ERUB</v>
          </cell>
          <cell r="AB3383" t="str">
            <v>GI- small intestine</v>
          </cell>
        </row>
        <row r="3384">
          <cell r="A3384" t="str">
            <v>in storage</v>
          </cell>
          <cell r="K3384" t="str">
            <v>ERUB</v>
          </cell>
          <cell r="AB3384" t="str">
            <v>GI- stomach</v>
          </cell>
        </row>
        <row r="3385">
          <cell r="A3385" t="str">
            <v>in storage</v>
          </cell>
          <cell r="K3385" t="str">
            <v>ERUB</v>
          </cell>
          <cell r="AB3385" t="str">
            <v>GI Tract</v>
          </cell>
        </row>
        <row r="3386">
          <cell r="A3386" t="str">
            <v>in storage</v>
          </cell>
          <cell r="K3386" t="str">
            <v>PCOQ</v>
          </cell>
          <cell r="AB3386" t="str">
            <v>Pancreas</v>
          </cell>
        </row>
        <row r="3387">
          <cell r="A3387" t="str">
            <v>in storage</v>
          </cell>
          <cell r="K3387" t="str">
            <v>PCOQ</v>
          </cell>
          <cell r="AB3387" t="str">
            <v>Kidney</v>
          </cell>
        </row>
        <row r="3388">
          <cell r="A3388" t="str">
            <v>in storage</v>
          </cell>
          <cell r="K3388" t="str">
            <v>PCOQ</v>
          </cell>
          <cell r="AB3388" t="str">
            <v>Kidney</v>
          </cell>
        </row>
        <row r="3389">
          <cell r="A3389" t="str">
            <v>in storage</v>
          </cell>
          <cell r="K3389" t="str">
            <v>PCOQ</v>
          </cell>
          <cell r="AB3389" t="str">
            <v>Spleen</v>
          </cell>
        </row>
        <row r="3390">
          <cell r="A3390" t="str">
            <v>in storage</v>
          </cell>
          <cell r="K3390" t="str">
            <v>PCOQ</v>
          </cell>
          <cell r="AB3390" t="str">
            <v>Lung</v>
          </cell>
        </row>
        <row r="3391">
          <cell r="A3391" t="str">
            <v>in storage</v>
          </cell>
          <cell r="K3391" t="str">
            <v>PCOQ</v>
          </cell>
          <cell r="AB3391" t="str">
            <v>Lung</v>
          </cell>
        </row>
        <row r="3392">
          <cell r="A3392" t="str">
            <v>in storage</v>
          </cell>
          <cell r="K3392" t="str">
            <v>PCOQ</v>
          </cell>
          <cell r="AB3392" t="str">
            <v>Liver</v>
          </cell>
        </row>
        <row r="3393">
          <cell r="A3393" t="str">
            <v>in storage</v>
          </cell>
          <cell r="K3393" t="str">
            <v>ERUB</v>
          </cell>
          <cell r="AB3393" t="str">
            <v>GI Tract</v>
          </cell>
        </row>
        <row r="3394">
          <cell r="A3394" t="str">
            <v>in storage</v>
          </cell>
          <cell r="K3394" t="str">
            <v>VVV</v>
          </cell>
          <cell r="AB3394" t="str">
            <v>Spleen</v>
          </cell>
        </row>
        <row r="3395">
          <cell r="A3395" t="str">
            <v>in storage</v>
          </cell>
          <cell r="K3395" t="str">
            <v>VVV</v>
          </cell>
          <cell r="AB3395" t="str">
            <v>Heart</v>
          </cell>
        </row>
        <row r="3396">
          <cell r="A3396" t="str">
            <v>in storage</v>
          </cell>
          <cell r="K3396" t="str">
            <v>VVV</v>
          </cell>
          <cell r="AB3396" t="str">
            <v>Gallbladder/ liver</v>
          </cell>
        </row>
        <row r="3397">
          <cell r="A3397" t="str">
            <v>in storage</v>
          </cell>
          <cell r="K3397" t="str">
            <v>VVV</v>
          </cell>
          <cell r="AB3397" t="str">
            <v>Skin</v>
          </cell>
        </row>
        <row r="3398">
          <cell r="A3398" t="str">
            <v>gone</v>
          </cell>
          <cell r="K3398" t="str">
            <v>VVV</v>
          </cell>
          <cell r="AB3398" t="str">
            <v>Kidney</v>
          </cell>
        </row>
        <row r="3399">
          <cell r="A3399" t="str">
            <v>unk</v>
          </cell>
          <cell r="K3399" t="str">
            <v>VVV</v>
          </cell>
          <cell r="AB3399" t="str">
            <v>Lung</v>
          </cell>
        </row>
        <row r="3400">
          <cell r="A3400" t="str">
            <v>in storage</v>
          </cell>
          <cell r="K3400" t="str">
            <v>VVV</v>
          </cell>
          <cell r="AB3400" t="str">
            <v>Heart</v>
          </cell>
        </row>
        <row r="3401">
          <cell r="A3401" t="str">
            <v>in storage</v>
          </cell>
          <cell r="K3401" t="str">
            <v>VVV</v>
          </cell>
          <cell r="AB3401" t="str">
            <v>Lung</v>
          </cell>
        </row>
        <row r="3402">
          <cell r="A3402" t="str">
            <v>in storage</v>
          </cell>
          <cell r="K3402" t="str">
            <v>VVV</v>
          </cell>
          <cell r="AB3402" t="str">
            <v>Skin</v>
          </cell>
        </row>
        <row r="3403">
          <cell r="A3403" t="str">
            <v>in storage</v>
          </cell>
          <cell r="K3403" t="str">
            <v>VVV</v>
          </cell>
          <cell r="AB3403" t="str">
            <v>Liver</v>
          </cell>
        </row>
        <row r="3404">
          <cell r="A3404" t="str">
            <v>in storage</v>
          </cell>
          <cell r="K3404" t="str">
            <v>VVV</v>
          </cell>
          <cell r="AB3404" t="str">
            <v>Kidney</v>
          </cell>
        </row>
        <row r="3405">
          <cell r="A3405" t="str">
            <v>in storage</v>
          </cell>
          <cell r="K3405" t="str">
            <v>VVV</v>
          </cell>
          <cell r="AB3405" t="str">
            <v>Adrenal gland</v>
          </cell>
        </row>
        <row r="3406">
          <cell r="A3406" t="str">
            <v>in storage</v>
          </cell>
          <cell r="K3406" t="str">
            <v>NPYG</v>
          </cell>
          <cell r="AB3406" t="str">
            <v>Lung</v>
          </cell>
        </row>
        <row r="3407">
          <cell r="A3407" t="str">
            <v>in storage</v>
          </cell>
          <cell r="K3407" t="str">
            <v>NPYG</v>
          </cell>
          <cell r="AB3407" t="str">
            <v>Skin</v>
          </cell>
        </row>
        <row r="3408">
          <cell r="A3408" t="str">
            <v>in storage</v>
          </cell>
          <cell r="K3408" t="str">
            <v>NPYG</v>
          </cell>
          <cell r="AB3408" t="str">
            <v>Liver</v>
          </cell>
        </row>
        <row r="3409">
          <cell r="A3409" t="str">
            <v>in storage</v>
          </cell>
          <cell r="K3409" t="str">
            <v>ERUB</v>
          </cell>
          <cell r="AB3409" t="str">
            <v>GI Tract</v>
          </cell>
        </row>
        <row r="3410">
          <cell r="A3410" t="str">
            <v>in storage</v>
          </cell>
          <cell r="K3410" t="str">
            <v>NPYG</v>
          </cell>
          <cell r="AB3410" t="str">
            <v>Kidney</v>
          </cell>
        </row>
        <row r="3411">
          <cell r="A3411" t="str">
            <v>in storage</v>
          </cell>
          <cell r="K3411" t="str">
            <v>NPYG</v>
          </cell>
          <cell r="AB3411" t="str">
            <v>Lung</v>
          </cell>
        </row>
        <row r="3412">
          <cell r="A3412" t="str">
            <v>in storage</v>
          </cell>
          <cell r="K3412" t="str">
            <v>NPYG</v>
          </cell>
          <cell r="AB3412" t="str">
            <v>Liver</v>
          </cell>
        </row>
        <row r="3413">
          <cell r="A3413" t="str">
            <v>in storage</v>
          </cell>
          <cell r="K3413" t="str">
            <v>NPYG</v>
          </cell>
          <cell r="AB3413" t="str">
            <v>Skin</v>
          </cell>
        </row>
        <row r="3414">
          <cell r="A3414" t="str">
            <v>in storage</v>
          </cell>
          <cell r="K3414" t="str">
            <v>NPYG</v>
          </cell>
          <cell r="AB3414" t="str">
            <v>Muscle</v>
          </cell>
        </row>
        <row r="3415">
          <cell r="A3415" t="str">
            <v>in storage</v>
          </cell>
          <cell r="K3415" t="str">
            <v>VVV</v>
          </cell>
          <cell r="AB3415" t="str">
            <v>Muscle</v>
          </cell>
        </row>
        <row r="3416">
          <cell r="A3416" t="str">
            <v>in storage</v>
          </cell>
          <cell r="K3416" t="str">
            <v>VVV</v>
          </cell>
          <cell r="AB3416" t="str">
            <v>Muscle</v>
          </cell>
        </row>
        <row r="3417">
          <cell r="A3417" t="str">
            <v>unk</v>
          </cell>
          <cell r="K3417" t="str">
            <v>HGG</v>
          </cell>
          <cell r="AB3417" t="str">
            <v>Tooth</v>
          </cell>
        </row>
        <row r="3418">
          <cell r="A3418" t="str">
            <v>in storage</v>
          </cell>
          <cell r="K3418" t="str">
            <v>HGG</v>
          </cell>
          <cell r="AB3418" t="str">
            <v>Eye</v>
          </cell>
        </row>
        <row r="3419">
          <cell r="A3419" t="str">
            <v>in storage</v>
          </cell>
          <cell r="K3419" t="str">
            <v>HGG</v>
          </cell>
          <cell r="AB3419" t="str">
            <v>Adrenal gland</v>
          </cell>
        </row>
        <row r="3420">
          <cell r="A3420" t="str">
            <v>in storage</v>
          </cell>
          <cell r="K3420" t="str">
            <v>ERUB</v>
          </cell>
          <cell r="AB3420" t="str">
            <v>GI- cecum</v>
          </cell>
        </row>
        <row r="3421">
          <cell r="A3421" t="str">
            <v>in storage</v>
          </cell>
          <cell r="K3421" t="str">
            <v>HGG</v>
          </cell>
          <cell r="AB3421" t="str">
            <v>R- reproductive tract</v>
          </cell>
        </row>
        <row r="3422">
          <cell r="A3422" t="str">
            <v>in storage</v>
          </cell>
          <cell r="K3422" t="str">
            <v>HGG</v>
          </cell>
          <cell r="AB3422" t="str">
            <v>Kidney</v>
          </cell>
        </row>
        <row r="3423">
          <cell r="A3423" t="str">
            <v>in storage</v>
          </cell>
          <cell r="K3423" t="str">
            <v>HGG</v>
          </cell>
          <cell r="AB3423" t="str">
            <v>Kidney</v>
          </cell>
        </row>
        <row r="3424">
          <cell r="A3424" t="str">
            <v>in storage</v>
          </cell>
          <cell r="K3424" t="str">
            <v>HGG</v>
          </cell>
          <cell r="AB3424" t="str">
            <v>Blood</v>
          </cell>
        </row>
        <row r="3425">
          <cell r="A3425" t="str">
            <v>in storage</v>
          </cell>
          <cell r="K3425" t="str">
            <v>HGG</v>
          </cell>
          <cell r="AB3425" t="str">
            <v>Blood</v>
          </cell>
        </row>
        <row r="3426">
          <cell r="A3426" t="str">
            <v>in storage</v>
          </cell>
          <cell r="K3426" t="str">
            <v>HGG</v>
          </cell>
          <cell r="AB3426" t="str">
            <v>Heart</v>
          </cell>
        </row>
        <row r="3427">
          <cell r="A3427" t="str">
            <v>in storage</v>
          </cell>
          <cell r="K3427" t="str">
            <v>HGG</v>
          </cell>
          <cell r="AB3427" t="str">
            <v>Heart</v>
          </cell>
        </row>
        <row r="3428">
          <cell r="A3428" t="str">
            <v>in storage</v>
          </cell>
          <cell r="K3428" t="str">
            <v>HGG</v>
          </cell>
          <cell r="AB3428" t="str">
            <v>Lung</v>
          </cell>
        </row>
        <row r="3429">
          <cell r="A3429" t="str">
            <v>in storage</v>
          </cell>
          <cell r="K3429" t="str">
            <v>HGG</v>
          </cell>
          <cell r="AB3429" t="str">
            <v>Skin</v>
          </cell>
        </row>
        <row r="3430">
          <cell r="A3430" t="str">
            <v>in storage</v>
          </cell>
          <cell r="K3430" t="str">
            <v>HGG</v>
          </cell>
          <cell r="AB3430" t="str">
            <v>Spleen</v>
          </cell>
        </row>
        <row r="3431">
          <cell r="A3431" t="str">
            <v>in storage</v>
          </cell>
          <cell r="K3431" t="str">
            <v>HGG</v>
          </cell>
          <cell r="AB3431" t="str">
            <v>Liver</v>
          </cell>
        </row>
        <row r="3432">
          <cell r="A3432" t="str">
            <v>in storage</v>
          </cell>
          <cell r="K3432" t="str">
            <v>ERUB</v>
          </cell>
          <cell r="AB3432" t="str">
            <v>GI- large intestine</v>
          </cell>
        </row>
        <row r="3433">
          <cell r="A3433" t="str">
            <v>in storage</v>
          </cell>
          <cell r="K3433" t="str">
            <v>HGG</v>
          </cell>
          <cell r="AB3433" t="str">
            <v>Liver</v>
          </cell>
        </row>
        <row r="3434">
          <cell r="A3434" t="str">
            <v>in storage</v>
          </cell>
          <cell r="K3434" t="str">
            <v>ERUB</v>
          </cell>
          <cell r="AB3434" t="str">
            <v>GI- small intestine</v>
          </cell>
        </row>
        <row r="3435">
          <cell r="A3435" t="str">
            <v>in storage</v>
          </cell>
          <cell r="K3435" t="str">
            <v>ERUB</v>
          </cell>
          <cell r="AB3435" t="str">
            <v>GI- stomach</v>
          </cell>
        </row>
        <row r="3436">
          <cell r="A3436" t="str">
            <v>unk</v>
          </cell>
          <cell r="K3436" t="str">
            <v>ERUB</v>
          </cell>
          <cell r="AB3436" t="str">
            <v>GI- esophagus</v>
          </cell>
        </row>
        <row r="3437">
          <cell r="A3437" t="str">
            <v>in storage</v>
          </cell>
          <cell r="K3437" t="str">
            <v>ERUB</v>
          </cell>
          <cell r="AB3437" t="str">
            <v>GI Contents- cecum</v>
          </cell>
        </row>
        <row r="3438">
          <cell r="A3438" t="str">
            <v>in storage</v>
          </cell>
          <cell r="K3438" t="str">
            <v>ERUB</v>
          </cell>
          <cell r="AB3438" t="str">
            <v>GI- cecum</v>
          </cell>
        </row>
        <row r="3439">
          <cell r="A3439" t="str">
            <v>in storage</v>
          </cell>
          <cell r="K3439" t="str">
            <v>ERUB</v>
          </cell>
          <cell r="AB3439" t="str">
            <v>GI- cecum</v>
          </cell>
        </row>
        <row r="3440">
          <cell r="A3440" t="str">
            <v>in storage</v>
          </cell>
          <cell r="K3440" t="str">
            <v>ERUB</v>
          </cell>
          <cell r="AB3440" t="str">
            <v>GI- small intestine</v>
          </cell>
        </row>
        <row r="3441">
          <cell r="A3441" t="str">
            <v>in storage</v>
          </cell>
          <cell r="K3441" t="str">
            <v>HGG</v>
          </cell>
          <cell r="AB3441" t="str">
            <v>Pancreas</v>
          </cell>
        </row>
        <row r="3442">
          <cell r="A3442" t="str">
            <v>in storage</v>
          </cell>
          <cell r="K3442" t="str">
            <v>HGG</v>
          </cell>
          <cell r="AB3442" t="str">
            <v>Kidney</v>
          </cell>
        </row>
        <row r="3443">
          <cell r="A3443" t="str">
            <v>in storage</v>
          </cell>
          <cell r="K3443" t="str">
            <v>HGG</v>
          </cell>
          <cell r="AB3443" t="str">
            <v>Kidney</v>
          </cell>
        </row>
        <row r="3444">
          <cell r="A3444" t="str">
            <v>in storage</v>
          </cell>
          <cell r="K3444" t="str">
            <v>HGG</v>
          </cell>
          <cell r="AB3444" t="str">
            <v>Spleen</v>
          </cell>
        </row>
        <row r="3445">
          <cell r="A3445" t="str">
            <v>in storage</v>
          </cell>
          <cell r="K3445" t="str">
            <v>HGG</v>
          </cell>
          <cell r="AB3445" t="str">
            <v>Heart</v>
          </cell>
        </row>
        <row r="3446">
          <cell r="A3446" t="str">
            <v>in storage</v>
          </cell>
          <cell r="K3446" t="str">
            <v>HGG</v>
          </cell>
          <cell r="AB3446" t="str">
            <v>Lung</v>
          </cell>
        </row>
        <row r="3447">
          <cell r="A3447" t="str">
            <v>in storage</v>
          </cell>
          <cell r="K3447" t="str">
            <v>HGG</v>
          </cell>
          <cell r="AB3447" t="str">
            <v>Lung</v>
          </cell>
        </row>
        <row r="3448">
          <cell r="A3448" t="str">
            <v>in storage</v>
          </cell>
          <cell r="K3448" t="str">
            <v>HGG</v>
          </cell>
          <cell r="AB3448" t="str">
            <v>Gallbladder/ liver</v>
          </cell>
        </row>
        <row r="3449">
          <cell r="A3449" t="str">
            <v>in storage</v>
          </cell>
          <cell r="K3449" t="str">
            <v>HGG</v>
          </cell>
          <cell r="AB3449" t="str">
            <v>Skin</v>
          </cell>
        </row>
        <row r="3450">
          <cell r="A3450" t="str">
            <v>unk</v>
          </cell>
          <cell r="K3450" t="str">
            <v>HGG</v>
          </cell>
          <cell r="AB3450" t="str">
            <v>Hair</v>
          </cell>
        </row>
        <row r="3451">
          <cell r="A3451" t="str">
            <v>unk</v>
          </cell>
          <cell r="K3451" t="str">
            <v>HGG</v>
          </cell>
          <cell r="AB3451" t="str">
            <v>Thyroid</v>
          </cell>
        </row>
        <row r="3452">
          <cell r="A3452" t="str">
            <v>in storage</v>
          </cell>
          <cell r="K3452" t="str">
            <v>HGG</v>
          </cell>
          <cell r="AB3452" t="str">
            <v>Lymph node</v>
          </cell>
        </row>
        <row r="3453">
          <cell r="A3453" t="str">
            <v>in storage</v>
          </cell>
          <cell r="K3453" t="str">
            <v>ERUB</v>
          </cell>
          <cell r="AB3453" t="str">
            <v>GI- stomach</v>
          </cell>
        </row>
        <row r="3454">
          <cell r="A3454" t="str">
            <v>unk</v>
          </cell>
          <cell r="K3454" t="str">
            <v>ERUB</v>
          </cell>
          <cell r="AB3454" t="str">
            <v>GI Contents- large intestine</v>
          </cell>
        </row>
        <row r="3455">
          <cell r="A3455" t="str">
            <v>in storage</v>
          </cell>
          <cell r="K3455" t="str">
            <v>HGG</v>
          </cell>
          <cell r="AB3455" t="str">
            <v>Trachea</v>
          </cell>
        </row>
        <row r="3456">
          <cell r="A3456" t="str">
            <v>in storage</v>
          </cell>
          <cell r="K3456" t="str">
            <v>HGG</v>
          </cell>
          <cell r="AB3456" t="str">
            <v>Muscle</v>
          </cell>
        </row>
        <row r="3457">
          <cell r="A3457" t="str">
            <v>in storage</v>
          </cell>
          <cell r="K3457" t="str">
            <v>HGG</v>
          </cell>
          <cell r="AB3457" t="str">
            <v>Muscle</v>
          </cell>
        </row>
        <row r="3458">
          <cell r="A3458" t="str">
            <v>in storage</v>
          </cell>
          <cell r="K3458" t="str">
            <v>HGG</v>
          </cell>
          <cell r="AB3458" t="str">
            <v>Muscle</v>
          </cell>
        </row>
        <row r="3459">
          <cell r="A3459" t="str">
            <v>in storage</v>
          </cell>
          <cell r="K3459" t="str">
            <v>HGG</v>
          </cell>
          <cell r="AB3459" t="str">
            <v>Eye</v>
          </cell>
        </row>
        <row r="3460">
          <cell r="A3460" t="str">
            <v>unk</v>
          </cell>
          <cell r="K3460" t="str">
            <v>MMUR</v>
          </cell>
          <cell r="AB3460" t="str">
            <v>Tail</v>
          </cell>
        </row>
        <row r="3461">
          <cell r="A3461" t="str">
            <v>in storage</v>
          </cell>
          <cell r="K3461" t="str">
            <v>HGG</v>
          </cell>
          <cell r="AB3461" t="str">
            <v>Adrenal gland</v>
          </cell>
        </row>
        <row r="3462">
          <cell r="A3462" t="str">
            <v>in storage</v>
          </cell>
          <cell r="K3462" t="str">
            <v>HGG</v>
          </cell>
          <cell r="AB3462" t="str">
            <v>Heart</v>
          </cell>
        </row>
        <row r="3463">
          <cell r="A3463" t="str">
            <v>in storage</v>
          </cell>
          <cell r="K3463" t="str">
            <v>HGG</v>
          </cell>
          <cell r="AB3463" t="str">
            <v>Heart</v>
          </cell>
        </row>
        <row r="3464">
          <cell r="A3464" t="str">
            <v>in storage</v>
          </cell>
          <cell r="K3464" t="str">
            <v>HGG</v>
          </cell>
          <cell r="AB3464" t="str">
            <v>Kidney</v>
          </cell>
        </row>
        <row r="3465">
          <cell r="A3465" t="str">
            <v>in storage</v>
          </cell>
          <cell r="K3465" t="str">
            <v>HGG</v>
          </cell>
          <cell r="AB3465" t="str">
            <v>Kidney</v>
          </cell>
        </row>
        <row r="3466">
          <cell r="A3466" t="str">
            <v>in storage</v>
          </cell>
          <cell r="K3466" t="str">
            <v>HGG</v>
          </cell>
          <cell r="AB3466" t="str">
            <v>Blood</v>
          </cell>
        </row>
        <row r="3467">
          <cell r="A3467" t="str">
            <v>in storage</v>
          </cell>
          <cell r="K3467" t="str">
            <v>HGG</v>
          </cell>
          <cell r="AB3467" t="str">
            <v>Lung</v>
          </cell>
        </row>
        <row r="3468">
          <cell r="A3468" t="str">
            <v>in storage</v>
          </cell>
          <cell r="K3468" t="str">
            <v>HGG</v>
          </cell>
          <cell r="AB3468" t="str">
            <v>Lung</v>
          </cell>
        </row>
        <row r="3469">
          <cell r="A3469" t="str">
            <v>in storage</v>
          </cell>
          <cell r="K3469" t="str">
            <v>HGG</v>
          </cell>
          <cell r="AB3469" t="str">
            <v>Skin</v>
          </cell>
        </row>
        <row r="3470">
          <cell r="A3470" t="str">
            <v>in storage</v>
          </cell>
          <cell r="K3470" t="str">
            <v>HGG</v>
          </cell>
          <cell r="AB3470" t="str">
            <v>Liver</v>
          </cell>
        </row>
        <row r="3471">
          <cell r="A3471" t="str">
            <v>in storage</v>
          </cell>
          <cell r="K3471" t="str">
            <v>HGG</v>
          </cell>
          <cell r="AB3471" t="str">
            <v>Liver</v>
          </cell>
        </row>
        <row r="3472">
          <cell r="A3472" t="str">
            <v>in storage</v>
          </cell>
          <cell r="K3472" t="str">
            <v>ERUB</v>
          </cell>
          <cell r="AB3472" t="str">
            <v>GI Contents- duodenum</v>
          </cell>
        </row>
        <row r="3473">
          <cell r="A3473" t="str">
            <v>in storage</v>
          </cell>
          <cell r="K3473" t="str">
            <v>ERUB</v>
          </cell>
          <cell r="AB3473" t="str">
            <v>GI Contents- ileum</v>
          </cell>
        </row>
        <row r="3474">
          <cell r="A3474" t="str">
            <v>unk</v>
          </cell>
          <cell r="K3474" t="str">
            <v>ERUB</v>
          </cell>
          <cell r="AB3474" t="str">
            <v>GI Contents- jejunum</v>
          </cell>
        </row>
        <row r="3475">
          <cell r="A3475" t="str">
            <v>in storage</v>
          </cell>
          <cell r="K3475" t="str">
            <v>ERUB</v>
          </cell>
          <cell r="AB3475" t="str">
            <v>GI Contents- stomach</v>
          </cell>
        </row>
        <row r="3476">
          <cell r="A3476" t="str">
            <v>in storage</v>
          </cell>
          <cell r="K3476" t="str">
            <v>ERUB</v>
          </cell>
          <cell r="AB3476" t="str">
            <v>GI Contents- cecum</v>
          </cell>
        </row>
        <row r="3477">
          <cell r="A3477" t="str">
            <v>in storage</v>
          </cell>
          <cell r="K3477" t="str">
            <v>ERUB</v>
          </cell>
          <cell r="AB3477" t="str">
            <v>GI- cecum</v>
          </cell>
        </row>
        <row r="3478">
          <cell r="A3478" t="str">
            <v>in storage</v>
          </cell>
          <cell r="K3478" t="str">
            <v>HGG</v>
          </cell>
          <cell r="AB3478" t="str">
            <v>Pancreas</v>
          </cell>
        </row>
        <row r="3479">
          <cell r="A3479" t="str">
            <v>in storage</v>
          </cell>
          <cell r="K3479" t="str">
            <v>HGG</v>
          </cell>
          <cell r="AB3479" t="str">
            <v>Kidney</v>
          </cell>
        </row>
        <row r="3480">
          <cell r="A3480" t="str">
            <v>in storage</v>
          </cell>
          <cell r="K3480" t="str">
            <v>HGG</v>
          </cell>
          <cell r="AB3480" t="str">
            <v>Kidney</v>
          </cell>
        </row>
        <row r="3481">
          <cell r="A3481" t="str">
            <v>in storage</v>
          </cell>
          <cell r="K3481" t="str">
            <v>HGG</v>
          </cell>
          <cell r="AB3481" t="str">
            <v>Spleen</v>
          </cell>
        </row>
        <row r="3482">
          <cell r="A3482" t="str">
            <v>in storage</v>
          </cell>
          <cell r="K3482" t="str">
            <v>HGG</v>
          </cell>
          <cell r="AB3482" t="str">
            <v>Heart</v>
          </cell>
        </row>
        <row r="3483">
          <cell r="A3483" t="str">
            <v>in storage</v>
          </cell>
          <cell r="K3483" t="str">
            <v>HGG</v>
          </cell>
          <cell r="AB3483" t="str">
            <v>Lung</v>
          </cell>
        </row>
        <row r="3484">
          <cell r="A3484" t="str">
            <v>in storage</v>
          </cell>
          <cell r="K3484" t="str">
            <v>HGG</v>
          </cell>
          <cell r="AB3484" t="str">
            <v>Lung</v>
          </cell>
        </row>
        <row r="3485">
          <cell r="A3485" t="str">
            <v>in storage</v>
          </cell>
          <cell r="K3485" t="str">
            <v>HGG</v>
          </cell>
          <cell r="AB3485" t="str">
            <v>Gallbladder/ liver</v>
          </cell>
        </row>
        <row r="3486">
          <cell r="A3486" t="str">
            <v>in storage</v>
          </cell>
          <cell r="K3486" t="str">
            <v>HGG</v>
          </cell>
          <cell r="AB3486" t="str">
            <v>Skin</v>
          </cell>
        </row>
        <row r="3487">
          <cell r="A3487" t="str">
            <v>in storage</v>
          </cell>
          <cell r="K3487" t="str">
            <v>HGG</v>
          </cell>
          <cell r="AB3487" t="str">
            <v>Thyroid</v>
          </cell>
        </row>
        <row r="3488">
          <cell r="A3488" t="str">
            <v>in storage</v>
          </cell>
          <cell r="K3488" t="str">
            <v>ERUB</v>
          </cell>
          <cell r="AB3488" t="str">
            <v>GI Contents- large intestine</v>
          </cell>
        </row>
        <row r="3489">
          <cell r="A3489" t="str">
            <v>in storage</v>
          </cell>
          <cell r="K3489" t="str">
            <v>ERUB</v>
          </cell>
          <cell r="AB3489" t="str">
            <v>GI- large intestine</v>
          </cell>
        </row>
        <row r="3490">
          <cell r="A3490" t="str">
            <v>in storage</v>
          </cell>
          <cell r="K3490" t="str">
            <v>HGG</v>
          </cell>
          <cell r="AB3490" t="str">
            <v>R- uterus</v>
          </cell>
        </row>
        <row r="3491">
          <cell r="A3491" t="str">
            <v>in storage</v>
          </cell>
          <cell r="K3491" t="str">
            <v>HGG</v>
          </cell>
          <cell r="AB3491" t="str">
            <v>Trachea</v>
          </cell>
        </row>
        <row r="3492">
          <cell r="A3492" t="str">
            <v>in storage</v>
          </cell>
          <cell r="K3492" t="str">
            <v>HGG</v>
          </cell>
          <cell r="AB3492" t="str">
            <v>Muscle</v>
          </cell>
        </row>
        <row r="3493">
          <cell r="A3493" t="str">
            <v>in storage</v>
          </cell>
          <cell r="K3493" t="str">
            <v>HGG</v>
          </cell>
          <cell r="AB3493" t="str">
            <v>Muscle</v>
          </cell>
        </row>
        <row r="3494">
          <cell r="A3494" t="str">
            <v>in storage</v>
          </cell>
          <cell r="K3494" t="str">
            <v>HGG</v>
          </cell>
          <cell r="AB3494" t="str">
            <v>Muscle</v>
          </cell>
        </row>
        <row r="3495">
          <cell r="A3495" t="str">
            <v>in storage</v>
          </cell>
          <cell r="K3495" t="str">
            <v>ERUB</v>
          </cell>
          <cell r="AB3495" t="str">
            <v>Adrenal gland</v>
          </cell>
        </row>
        <row r="3496">
          <cell r="A3496" t="str">
            <v>in storage</v>
          </cell>
          <cell r="K3496" t="str">
            <v>ERUB</v>
          </cell>
          <cell r="AB3496" t="str">
            <v>Eye</v>
          </cell>
        </row>
        <row r="3497">
          <cell r="A3497" t="str">
            <v>in storage</v>
          </cell>
          <cell r="K3497" t="str">
            <v>ERUB</v>
          </cell>
          <cell r="AB3497" t="str">
            <v>Kidney</v>
          </cell>
        </row>
        <row r="3498">
          <cell r="A3498" t="str">
            <v>in storage</v>
          </cell>
          <cell r="K3498" t="str">
            <v>ERUB</v>
          </cell>
          <cell r="AB3498" t="str">
            <v>Kidney</v>
          </cell>
        </row>
        <row r="3499">
          <cell r="A3499" t="str">
            <v>in storage</v>
          </cell>
          <cell r="K3499" t="str">
            <v>ERUB</v>
          </cell>
          <cell r="AB3499" t="str">
            <v>Spleen</v>
          </cell>
        </row>
        <row r="3500">
          <cell r="A3500" t="str">
            <v>in storage</v>
          </cell>
          <cell r="K3500" t="str">
            <v>ERUB</v>
          </cell>
          <cell r="AB3500" t="str">
            <v>Heart</v>
          </cell>
        </row>
        <row r="3501">
          <cell r="A3501" t="str">
            <v>in storage</v>
          </cell>
          <cell r="K3501" t="str">
            <v>ERUB</v>
          </cell>
          <cell r="AB3501" t="str">
            <v>Lung</v>
          </cell>
        </row>
        <row r="3502">
          <cell r="A3502" t="str">
            <v>in storage</v>
          </cell>
          <cell r="K3502" t="str">
            <v>ERUB</v>
          </cell>
          <cell r="AB3502" t="str">
            <v>Liver</v>
          </cell>
        </row>
        <row r="3503">
          <cell r="A3503" t="str">
            <v>in storage</v>
          </cell>
          <cell r="K3503" t="str">
            <v>ERUB</v>
          </cell>
          <cell r="AB3503" t="str">
            <v>Skin</v>
          </cell>
        </row>
        <row r="3504">
          <cell r="A3504" t="str">
            <v>in storage</v>
          </cell>
          <cell r="K3504" t="str">
            <v>ERUB</v>
          </cell>
          <cell r="AB3504" t="str">
            <v>R- teste(s)</v>
          </cell>
        </row>
        <row r="3505">
          <cell r="A3505" t="str">
            <v>in storage</v>
          </cell>
          <cell r="K3505" t="str">
            <v>ERUB</v>
          </cell>
          <cell r="AB3505" t="str">
            <v>R- teste(s)</v>
          </cell>
        </row>
        <row r="3506">
          <cell r="A3506" t="str">
            <v>in storage</v>
          </cell>
          <cell r="K3506" t="str">
            <v>ERUB</v>
          </cell>
          <cell r="AB3506" t="str">
            <v>Muscle</v>
          </cell>
        </row>
        <row r="3507">
          <cell r="A3507" t="str">
            <v>in storage</v>
          </cell>
          <cell r="K3507" t="str">
            <v>MMUR</v>
          </cell>
          <cell r="AB3507" t="str">
            <v>Eye</v>
          </cell>
        </row>
        <row r="3508">
          <cell r="A3508" t="str">
            <v>in storage</v>
          </cell>
          <cell r="K3508" t="str">
            <v>MMUR</v>
          </cell>
          <cell r="AB3508" t="str">
            <v>Spleen</v>
          </cell>
        </row>
        <row r="3509">
          <cell r="A3509" t="str">
            <v>in storage</v>
          </cell>
          <cell r="K3509" t="str">
            <v>MMUR</v>
          </cell>
          <cell r="AB3509" t="str">
            <v>Heart</v>
          </cell>
        </row>
        <row r="3510">
          <cell r="A3510" t="str">
            <v>in storage</v>
          </cell>
          <cell r="K3510" t="str">
            <v>MMUR</v>
          </cell>
          <cell r="AB3510" t="str">
            <v>Lung</v>
          </cell>
        </row>
        <row r="3511">
          <cell r="A3511" t="str">
            <v>in storage</v>
          </cell>
          <cell r="K3511" t="str">
            <v>MMUR</v>
          </cell>
          <cell r="AB3511" t="str">
            <v>Lung</v>
          </cell>
        </row>
        <row r="3512">
          <cell r="A3512" t="str">
            <v>in storage</v>
          </cell>
          <cell r="K3512" t="str">
            <v>MMUR</v>
          </cell>
          <cell r="AB3512" t="str">
            <v>Liver</v>
          </cell>
        </row>
        <row r="3513">
          <cell r="A3513" t="str">
            <v>in storage</v>
          </cell>
          <cell r="K3513" t="str">
            <v>MMUR</v>
          </cell>
          <cell r="AB3513" t="str">
            <v>Kidney</v>
          </cell>
        </row>
        <row r="3514">
          <cell r="A3514" t="str">
            <v>in storage</v>
          </cell>
          <cell r="K3514" t="str">
            <v>MMUR</v>
          </cell>
          <cell r="AB3514" t="str">
            <v>Kidney</v>
          </cell>
        </row>
        <row r="3515">
          <cell r="A3515" t="str">
            <v>gone</v>
          </cell>
          <cell r="K3515" t="str">
            <v>MMUR</v>
          </cell>
          <cell r="AB3515" t="str">
            <v>Skin</v>
          </cell>
        </row>
        <row r="3516">
          <cell r="A3516" t="str">
            <v>in storage</v>
          </cell>
          <cell r="K3516" t="str">
            <v>MMUR</v>
          </cell>
          <cell r="AB3516" t="str">
            <v>Eye</v>
          </cell>
        </row>
        <row r="3517">
          <cell r="A3517" t="str">
            <v>in storage</v>
          </cell>
          <cell r="K3517" t="str">
            <v>MMUR</v>
          </cell>
          <cell r="AB3517" t="str">
            <v>Eye</v>
          </cell>
        </row>
        <row r="3518">
          <cell r="A3518" t="str">
            <v>in storage</v>
          </cell>
          <cell r="K3518" t="str">
            <v>MMUR</v>
          </cell>
          <cell r="AB3518" t="str">
            <v>Muscle</v>
          </cell>
        </row>
        <row r="3519">
          <cell r="A3519" t="str">
            <v>in storage</v>
          </cell>
          <cell r="K3519" t="str">
            <v>MMUR</v>
          </cell>
          <cell r="AB3519" t="str">
            <v>Spleen</v>
          </cell>
        </row>
        <row r="3520">
          <cell r="A3520" t="str">
            <v>in storage</v>
          </cell>
          <cell r="K3520" t="str">
            <v>MMUR</v>
          </cell>
          <cell r="AB3520" t="str">
            <v>Heart</v>
          </cell>
        </row>
        <row r="3521">
          <cell r="A3521" t="str">
            <v>in storage</v>
          </cell>
          <cell r="K3521" t="str">
            <v>MMUR</v>
          </cell>
          <cell r="AB3521" t="str">
            <v>Lung</v>
          </cell>
        </row>
        <row r="3522">
          <cell r="A3522" t="str">
            <v>in storage</v>
          </cell>
          <cell r="K3522" t="str">
            <v>MMUR</v>
          </cell>
          <cell r="AB3522" t="str">
            <v>Lung</v>
          </cell>
        </row>
        <row r="3523">
          <cell r="A3523" t="str">
            <v>in storage</v>
          </cell>
          <cell r="K3523" t="str">
            <v>MMUR</v>
          </cell>
          <cell r="AB3523" t="str">
            <v>Kidney</v>
          </cell>
        </row>
        <row r="3524">
          <cell r="A3524" t="str">
            <v>in storage</v>
          </cell>
          <cell r="K3524" t="str">
            <v>MMUR</v>
          </cell>
          <cell r="AB3524" t="str">
            <v>Liver</v>
          </cell>
        </row>
        <row r="3525">
          <cell r="A3525" t="str">
            <v>in storage</v>
          </cell>
          <cell r="K3525" t="str">
            <v>MMUR</v>
          </cell>
          <cell r="AB3525" t="str">
            <v>Pelt</v>
          </cell>
        </row>
        <row r="3526">
          <cell r="A3526" t="str">
            <v>in storage</v>
          </cell>
          <cell r="K3526" t="str">
            <v>MMUR</v>
          </cell>
          <cell r="AB3526" t="str">
            <v>Skin</v>
          </cell>
        </row>
        <row r="3527">
          <cell r="A3527" t="str">
            <v>in storage</v>
          </cell>
          <cell r="K3527" t="str">
            <v>MMUR</v>
          </cell>
          <cell r="AB3527" t="str">
            <v>Adrenal gland</v>
          </cell>
        </row>
        <row r="3528">
          <cell r="A3528" t="str">
            <v>in storage</v>
          </cell>
          <cell r="K3528" t="str">
            <v>MMUR</v>
          </cell>
          <cell r="AB3528" t="str">
            <v>Eye</v>
          </cell>
        </row>
        <row r="3529">
          <cell r="A3529" t="str">
            <v>in storage</v>
          </cell>
          <cell r="K3529" t="str">
            <v>MMUR</v>
          </cell>
          <cell r="AB3529" t="str">
            <v>Eye</v>
          </cell>
        </row>
        <row r="3530">
          <cell r="A3530" t="str">
            <v>in storage</v>
          </cell>
          <cell r="K3530" t="str">
            <v>MMUR</v>
          </cell>
          <cell r="AB3530" t="str">
            <v>R- teste(s)</v>
          </cell>
        </row>
        <row r="3531">
          <cell r="A3531" t="str">
            <v>in storage</v>
          </cell>
          <cell r="K3531" t="str">
            <v>MMUR</v>
          </cell>
          <cell r="AB3531" t="str">
            <v>Muscle</v>
          </cell>
        </row>
        <row r="3532">
          <cell r="A3532" t="str">
            <v>in storage</v>
          </cell>
          <cell r="K3532" t="str">
            <v>PCOQ</v>
          </cell>
          <cell r="AB3532" t="str">
            <v>Adrenal gland</v>
          </cell>
        </row>
        <row r="3533">
          <cell r="A3533" t="str">
            <v>in storage</v>
          </cell>
          <cell r="K3533" t="str">
            <v>PCOQ</v>
          </cell>
          <cell r="AB3533" t="str">
            <v>Adrenal gland</v>
          </cell>
        </row>
        <row r="3534">
          <cell r="A3534" t="str">
            <v>in storage</v>
          </cell>
          <cell r="K3534" t="str">
            <v>ERUB</v>
          </cell>
          <cell r="AB3534" t="str">
            <v>GI- small intestine</v>
          </cell>
        </row>
        <row r="3535">
          <cell r="A3535" t="str">
            <v>in storage</v>
          </cell>
          <cell r="K3535" t="str">
            <v>PCOQ</v>
          </cell>
          <cell r="AB3535" t="str">
            <v>Eye</v>
          </cell>
        </row>
        <row r="3536">
          <cell r="A3536" t="str">
            <v>in storage</v>
          </cell>
          <cell r="K3536" t="str">
            <v>ERUB</v>
          </cell>
          <cell r="AB3536" t="str">
            <v>GI- stomach</v>
          </cell>
        </row>
        <row r="3537">
          <cell r="A3537" t="str">
            <v>in storage</v>
          </cell>
          <cell r="K3537" t="str">
            <v>ERUF</v>
          </cell>
          <cell r="AB3537" t="str">
            <v>GI Tract</v>
          </cell>
        </row>
        <row r="3538">
          <cell r="A3538" t="str">
            <v>in storage</v>
          </cell>
          <cell r="K3538" t="str">
            <v>ERUF</v>
          </cell>
          <cell r="AB3538" t="str">
            <v>GI Contents- large intestine</v>
          </cell>
        </row>
        <row r="3539">
          <cell r="A3539" t="str">
            <v>in storage</v>
          </cell>
          <cell r="K3539" t="str">
            <v>PCOQ</v>
          </cell>
          <cell r="AB3539" t="str">
            <v>Kidney</v>
          </cell>
        </row>
        <row r="3540">
          <cell r="A3540" t="str">
            <v>in storage</v>
          </cell>
          <cell r="K3540" t="str">
            <v>PCOQ</v>
          </cell>
          <cell r="AB3540" t="str">
            <v>Kidney</v>
          </cell>
        </row>
        <row r="3541">
          <cell r="A3541" t="str">
            <v>in storage</v>
          </cell>
          <cell r="K3541" t="str">
            <v>PCOQ</v>
          </cell>
          <cell r="AB3541" t="str">
            <v>Spleen</v>
          </cell>
        </row>
        <row r="3542">
          <cell r="A3542" t="str">
            <v>in storage</v>
          </cell>
          <cell r="K3542" t="str">
            <v>PCOQ</v>
          </cell>
          <cell r="AB3542" t="str">
            <v>Heart</v>
          </cell>
        </row>
        <row r="3543">
          <cell r="A3543" t="str">
            <v>in storage</v>
          </cell>
          <cell r="K3543" t="str">
            <v>PCOQ</v>
          </cell>
          <cell r="AB3543" t="str">
            <v>Lung</v>
          </cell>
        </row>
        <row r="3544">
          <cell r="A3544" t="str">
            <v>in storage</v>
          </cell>
          <cell r="K3544" t="str">
            <v>PCOQ</v>
          </cell>
          <cell r="AB3544" t="str">
            <v>Lung</v>
          </cell>
        </row>
        <row r="3545">
          <cell r="A3545" t="str">
            <v>in storage</v>
          </cell>
          <cell r="K3545" t="str">
            <v>PCOQ</v>
          </cell>
          <cell r="AB3545" t="str">
            <v>Liver</v>
          </cell>
        </row>
        <row r="3546">
          <cell r="A3546" t="str">
            <v>in storage</v>
          </cell>
          <cell r="K3546" t="str">
            <v>PCOQ</v>
          </cell>
          <cell r="AB3546" t="str">
            <v>Skin</v>
          </cell>
        </row>
        <row r="3547">
          <cell r="A3547" t="str">
            <v>in storage</v>
          </cell>
          <cell r="K3547" t="str">
            <v>PCOQ</v>
          </cell>
          <cell r="AB3547" t="str">
            <v>Skin</v>
          </cell>
        </row>
        <row r="3548">
          <cell r="A3548" t="str">
            <v>in storage</v>
          </cell>
          <cell r="K3548" t="str">
            <v>PCOQ</v>
          </cell>
          <cell r="AB3548" t="str">
            <v>Skin</v>
          </cell>
        </row>
        <row r="3549">
          <cell r="A3549" t="str">
            <v>in storage</v>
          </cell>
          <cell r="K3549" t="str">
            <v>PCOQ</v>
          </cell>
          <cell r="AB3549" t="str">
            <v>Thyroid</v>
          </cell>
        </row>
        <row r="3550">
          <cell r="A3550" t="str">
            <v>in storage</v>
          </cell>
          <cell r="K3550" t="str">
            <v>PCOQ</v>
          </cell>
          <cell r="AB3550" t="str">
            <v>R- teste(s)</v>
          </cell>
        </row>
        <row r="3551">
          <cell r="A3551" t="str">
            <v>in storage</v>
          </cell>
          <cell r="K3551" t="str">
            <v>PCOQ</v>
          </cell>
          <cell r="AB3551" t="str">
            <v>R- teste(s)</v>
          </cell>
        </row>
        <row r="3552">
          <cell r="A3552" t="str">
            <v>in storage</v>
          </cell>
          <cell r="K3552" t="str">
            <v>ERUF</v>
          </cell>
          <cell r="AB3552" t="str">
            <v>GI Contents- large intestine</v>
          </cell>
        </row>
        <row r="3553">
          <cell r="A3553" t="str">
            <v>in storage</v>
          </cell>
          <cell r="K3553" t="str">
            <v>PCOQ</v>
          </cell>
          <cell r="AB3553" t="str">
            <v>Muscle</v>
          </cell>
        </row>
        <row r="3554">
          <cell r="A3554" t="str">
            <v>in storage</v>
          </cell>
          <cell r="K3554" t="str">
            <v>ERUF</v>
          </cell>
          <cell r="AB3554" t="str">
            <v>GI Contents- jejunum</v>
          </cell>
        </row>
        <row r="3555">
          <cell r="A3555" t="str">
            <v>unk</v>
          </cell>
          <cell r="K3555" t="str">
            <v>ERUF</v>
          </cell>
          <cell r="AB3555" t="str">
            <v>GI Contents- stomach</v>
          </cell>
        </row>
        <row r="3556">
          <cell r="A3556" t="str">
            <v>in storage</v>
          </cell>
          <cell r="K3556" t="str">
            <v>EMON</v>
          </cell>
          <cell r="AB3556" t="str">
            <v>RU- bladder/ reproductive tract</v>
          </cell>
        </row>
        <row r="3557">
          <cell r="A3557" t="str">
            <v>in storage</v>
          </cell>
          <cell r="K3557" t="str">
            <v>ERUF</v>
          </cell>
          <cell r="AB3557" t="str">
            <v>GI- large intestine</v>
          </cell>
        </row>
        <row r="3558">
          <cell r="A3558" t="str">
            <v>in storage</v>
          </cell>
          <cell r="K3558" t="str">
            <v>EMON</v>
          </cell>
          <cell r="AB3558" t="str">
            <v>Eye</v>
          </cell>
        </row>
        <row r="3559">
          <cell r="A3559" t="str">
            <v>in storage</v>
          </cell>
          <cell r="K3559" t="str">
            <v>ERUF</v>
          </cell>
          <cell r="AB3559" t="str">
            <v>GI- small intestine</v>
          </cell>
        </row>
        <row r="3560">
          <cell r="A3560" t="str">
            <v>in storage</v>
          </cell>
          <cell r="K3560" t="str">
            <v>ERUF</v>
          </cell>
          <cell r="AB3560" t="str">
            <v>GI- esophagus/ stomach</v>
          </cell>
        </row>
        <row r="3561">
          <cell r="A3561" t="str">
            <v>in storage</v>
          </cell>
          <cell r="K3561" t="str">
            <v>ERUF</v>
          </cell>
          <cell r="AB3561" t="str">
            <v>GI Tract</v>
          </cell>
        </row>
        <row r="3562">
          <cell r="A3562" t="str">
            <v>in storage</v>
          </cell>
          <cell r="K3562" t="str">
            <v>EMON</v>
          </cell>
          <cell r="AB3562" t="str">
            <v>Pancreas</v>
          </cell>
        </row>
        <row r="3563">
          <cell r="A3563" t="str">
            <v>in storage</v>
          </cell>
          <cell r="K3563" t="str">
            <v>EMON</v>
          </cell>
          <cell r="AB3563" t="str">
            <v>Kidney</v>
          </cell>
        </row>
        <row r="3564">
          <cell r="A3564" t="str">
            <v>in storage</v>
          </cell>
          <cell r="K3564" t="str">
            <v>EMON</v>
          </cell>
          <cell r="AB3564" t="str">
            <v>Spleen</v>
          </cell>
        </row>
        <row r="3565">
          <cell r="A3565" t="str">
            <v>in storage</v>
          </cell>
          <cell r="K3565" t="str">
            <v>EMON</v>
          </cell>
          <cell r="AB3565" t="str">
            <v>Heart</v>
          </cell>
        </row>
        <row r="3566">
          <cell r="A3566" t="str">
            <v>in storage</v>
          </cell>
          <cell r="K3566" t="str">
            <v>EMON</v>
          </cell>
          <cell r="AB3566" t="str">
            <v>Lung</v>
          </cell>
        </row>
        <row r="3567">
          <cell r="A3567" t="str">
            <v>in storage</v>
          </cell>
          <cell r="K3567" t="str">
            <v>EMON</v>
          </cell>
          <cell r="AB3567" t="str">
            <v>Lung</v>
          </cell>
        </row>
        <row r="3568">
          <cell r="A3568" t="str">
            <v>in storage</v>
          </cell>
          <cell r="K3568" t="str">
            <v>EMON</v>
          </cell>
          <cell r="AB3568" t="str">
            <v>Liver</v>
          </cell>
        </row>
        <row r="3569">
          <cell r="A3569" t="str">
            <v>in storage</v>
          </cell>
          <cell r="K3569" t="str">
            <v>EMON</v>
          </cell>
          <cell r="AB3569" t="str">
            <v>Skin</v>
          </cell>
        </row>
        <row r="3570">
          <cell r="A3570" t="str">
            <v>unk</v>
          </cell>
          <cell r="K3570" t="str">
            <v>EMON</v>
          </cell>
          <cell r="AB3570" t="str">
            <v>Blood</v>
          </cell>
        </row>
        <row r="3571">
          <cell r="A3571" t="str">
            <v>unk</v>
          </cell>
          <cell r="K3571" t="str">
            <v>EMON</v>
          </cell>
          <cell r="AB3571" t="str">
            <v>Kidney</v>
          </cell>
        </row>
        <row r="3572">
          <cell r="A3572" t="str">
            <v>in storage</v>
          </cell>
          <cell r="K3572" t="str">
            <v>ERUF</v>
          </cell>
          <cell r="AB3572" t="str">
            <v>GI Tract</v>
          </cell>
        </row>
        <row r="3573">
          <cell r="A3573" t="str">
            <v>in storage</v>
          </cell>
          <cell r="K3573" t="str">
            <v>EMON</v>
          </cell>
          <cell r="AB3573" t="str">
            <v>R- teste(s)</v>
          </cell>
        </row>
        <row r="3574">
          <cell r="A3574" t="str">
            <v>in storage</v>
          </cell>
          <cell r="K3574" t="str">
            <v>GMOH</v>
          </cell>
          <cell r="AB3574" t="str">
            <v>GI- cecum</v>
          </cell>
        </row>
        <row r="3575">
          <cell r="A3575" t="str">
            <v>in storage</v>
          </cell>
          <cell r="K3575" t="str">
            <v>GMOH</v>
          </cell>
          <cell r="AB3575" t="str">
            <v>Muscle</v>
          </cell>
        </row>
        <row r="3576">
          <cell r="A3576" t="str">
            <v>in storage</v>
          </cell>
          <cell r="K3576" t="str">
            <v>ESAN</v>
          </cell>
          <cell r="AB3576" t="str">
            <v>GI Tract</v>
          </cell>
        </row>
        <row r="3577">
          <cell r="A3577" t="str">
            <v>in storage</v>
          </cell>
          <cell r="K3577" t="str">
            <v>ESAN</v>
          </cell>
          <cell r="AB3577" t="str">
            <v>GI Contents- large intestine</v>
          </cell>
        </row>
        <row r="3578">
          <cell r="A3578" t="str">
            <v>in storage</v>
          </cell>
          <cell r="K3578" t="str">
            <v>EMON</v>
          </cell>
          <cell r="AB3578" t="str">
            <v>Muscle</v>
          </cell>
        </row>
        <row r="3579">
          <cell r="A3579" t="str">
            <v>in storage</v>
          </cell>
          <cell r="K3579" t="str">
            <v>EMON</v>
          </cell>
          <cell r="AB3579" t="str">
            <v>Mass- liver</v>
          </cell>
        </row>
        <row r="3580">
          <cell r="A3580" t="str">
            <v>gone</v>
          </cell>
          <cell r="K3580" t="str">
            <v>ECOR</v>
          </cell>
          <cell r="AB3580" t="str">
            <v>R- sperm plug</v>
          </cell>
        </row>
        <row r="3581">
          <cell r="A3581" t="str">
            <v>in storage</v>
          </cell>
          <cell r="K3581" t="str">
            <v>PCOQ</v>
          </cell>
          <cell r="AB3581" t="str">
            <v>R- placenta</v>
          </cell>
        </row>
        <row r="3582">
          <cell r="A3582" t="str">
            <v>in storage</v>
          </cell>
          <cell r="K3582" t="str">
            <v>ESAN</v>
          </cell>
          <cell r="AB3582" t="str">
            <v>GI Tract</v>
          </cell>
        </row>
        <row r="3583">
          <cell r="A3583" t="str">
            <v>in storage</v>
          </cell>
          <cell r="K3583" t="str">
            <v>MMUR</v>
          </cell>
          <cell r="AB3583" t="str">
            <v>R- teste(s)</v>
          </cell>
        </row>
        <row r="3584">
          <cell r="A3584" t="str">
            <v>in storage</v>
          </cell>
          <cell r="K3584" t="str">
            <v>MMUR</v>
          </cell>
          <cell r="AB3584" t="str">
            <v>Liver</v>
          </cell>
        </row>
        <row r="3585">
          <cell r="A3585" t="str">
            <v>in storage</v>
          </cell>
          <cell r="K3585" t="str">
            <v>ESAN</v>
          </cell>
          <cell r="AB3585" t="str">
            <v>GI- large intestine</v>
          </cell>
        </row>
        <row r="3586">
          <cell r="A3586" t="str">
            <v>in storage</v>
          </cell>
          <cell r="K3586" t="str">
            <v>MMUR</v>
          </cell>
          <cell r="AB3586" t="str">
            <v>Spleen</v>
          </cell>
        </row>
        <row r="3587">
          <cell r="A3587" t="str">
            <v>in storage</v>
          </cell>
          <cell r="K3587" t="str">
            <v>MMUR</v>
          </cell>
          <cell r="AB3587" t="str">
            <v>Lung</v>
          </cell>
        </row>
        <row r="3588">
          <cell r="A3588" t="str">
            <v>in storage</v>
          </cell>
          <cell r="K3588" t="str">
            <v>MMUR</v>
          </cell>
          <cell r="AB3588" t="str">
            <v>Kidney</v>
          </cell>
        </row>
        <row r="3589">
          <cell r="A3589" t="str">
            <v>gone</v>
          </cell>
          <cell r="K3589" t="str">
            <v>MMUR</v>
          </cell>
          <cell r="AB3589" t="str">
            <v>Skin</v>
          </cell>
        </row>
        <row r="3590">
          <cell r="A3590" t="str">
            <v>in storage</v>
          </cell>
          <cell r="K3590" t="str">
            <v>MMUR</v>
          </cell>
          <cell r="AB3590" t="str">
            <v>Adrenal gland</v>
          </cell>
        </row>
        <row r="3591">
          <cell r="A3591" t="str">
            <v>in storage</v>
          </cell>
          <cell r="K3591" t="str">
            <v>MMUR</v>
          </cell>
          <cell r="AB3591" t="str">
            <v>Eye</v>
          </cell>
        </row>
        <row r="3592">
          <cell r="A3592" t="str">
            <v>in storage</v>
          </cell>
          <cell r="K3592" t="str">
            <v>MMUR</v>
          </cell>
          <cell r="AB3592" t="str">
            <v>Muscle</v>
          </cell>
        </row>
        <row r="3593">
          <cell r="A3593" t="str">
            <v>in storage</v>
          </cell>
          <cell r="K3593" t="str">
            <v>ESAN</v>
          </cell>
          <cell r="AB3593" t="str">
            <v>GI- small intestine</v>
          </cell>
        </row>
        <row r="3594">
          <cell r="A3594" t="str">
            <v>unk</v>
          </cell>
          <cell r="K3594" t="str">
            <v>ESAN</v>
          </cell>
          <cell r="AB3594" t="str">
            <v>GI- stomach</v>
          </cell>
        </row>
        <row r="3595">
          <cell r="A3595" t="str">
            <v>in storage</v>
          </cell>
          <cell r="K3595" t="str">
            <v>PCOQ</v>
          </cell>
          <cell r="AB3595" t="str">
            <v>Kidney</v>
          </cell>
        </row>
        <row r="3596">
          <cell r="A3596" t="str">
            <v>in storage</v>
          </cell>
          <cell r="K3596" t="str">
            <v>PCOQ</v>
          </cell>
          <cell r="AB3596" t="str">
            <v>Spleen</v>
          </cell>
        </row>
        <row r="3597">
          <cell r="A3597" t="str">
            <v>in storage</v>
          </cell>
          <cell r="K3597" t="str">
            <v>PCOQ</v>
          </cell>
          <cell r="AB3597" t="str">
            <v>Lung</v>
          </cell>
        </row>
        <row r="3598">
          <cell r="A3598" t="str">
            <v>in storage</v>
          </cell>
          <cell r="K3598" t="str">
            <v>PCOQ</v>
          </cell>
          <cell r="AB3598" t="str">
            <v>Gallbladder/ liver</v>
          </cell>
        </row>
        <row r="3599">
          <cell r="A3599" t="str">
            <v>in storage</v>
          </cell>
          <cell r="K3599" t="str">
            <v>PCOQ</v>
          </cell>
          <cell r="AB3599" t="str">
            <v>Skin</v>
          </cell>
        </row>
        <row r="3600">
          <cell r="A3600" t="str">
            <v>in storage</v>
          </cell>
          <cell r="K3600" t="str">
            <v>PCOQ</v>
          </cell>
          <cell r="AB3600" t="str">
            <v>Heart</v>
          </cell>
        </row>
        <row r="3601">
          <cell r="A3601" t="str">
            <v>unk</v>
          </cell>
          <cell r="K3601" t="str">
            <v>PCOQ</v>
          </cell>
          <cell r="AB3601" t="str">
            <v>Kidney</v>
          </cell>
        </row>
        <row r="3602">
          <cell r="A3602" t="str">
            <v>in storage</v>
          </cell>
          <cell r="K3602" t="str">
            <v>PCOQ</v>
          </cell>
          <cell r="AB3602" t="str">
            <v>R- teste(s)</v>
          </cell>
        </row>
        <row r="3603">
          <cell r="A3603" t="str">
            <v>in storage</v>
          </cell>
          <cell r="K3603" t="str">
            <v>PCOQ</v>
          </cell>
          <cell r="AB3603" t="str">
            <v>Muscle</v>
          </cell>
        </row>
        <row r="3604">
          <cell r="A3604" t="str">
            <v>in storage</v>
          </cell>
          <cell r="K3604" t="str">
            <v>LCAT</v>
          </cell>
          <cell r="AB3604" t="str">
            <v>Hair</v>
          </cell>
        </row>
        <row r="3605">
          <cell r="A3605" t="str">
            <v>in storage</v>
          </cell>
          <cell r="K3605" t="str">
            <v>LCAT</v>
          </cell>
          <cell r="AB3605" t="str">
            <v>Hair</v>
          </cell>
        </row>
        <row r="3606">
          <cell r="A3606" t="str">
            <v>in storage</v>
          </cell>
          <cell r="K3606" t="str">
            <v>LCAT</v>
          </cell>
          <cell r="AB3606" t="str">
            <v>Hair</v>
          </cell>
        </row>
        <row r="3607">
          <cell r="A3607" t="str">
            <v>in storage</v>
          </cell>
          <cell r="K3607" t="str">
            <v>LCAT</v>
          </cell>
          <cell r="AB3607" t="str">
            <v>Hair</v>
          </cell>
        </row>
        <row r="3608">
          <cell r="A3608" t="str">
            <v>in storage</v>
          </cell>
          <cell r="K3608" t="str">
            <v>ECOR</v>
          </cell>
          <cell r="AB3608" t="str">
            <v>Tail</v>
          </cell>
        </row>
        <row r="3609">
          <cell r="A3609" t="str">
            <v>in storage</v>
          </cell>
          <cell r="K3609" t="str">
            <v>VRUB</v>
          </cell>
          <cell r="AB3609" t="str">
            <v>Eye</v>
          </cell>
        </row>
        <row r="3610">
          <cell r="A3610" t="str">
            <v>in storage</v>
          </cell>
          <cell r="K3610" t="str">
            <v>VRUB</v>
          </cell>
          <cell r="AB3610" t="str">
            <v>Thyroid</v>
          </cell>
        </row>
        <row r="3611">
          <cell r="A3611" t="str">
            <v>in storage</v>
          </cell>
          <cell r="K3611" t="str">
            <v>VRUB</v>
          </cell>
          <cell r="AB3611" t="str">
            <v>Thyroid</v>
          </cell>
        </row>
        <row r="3612">
          <cell r="A3612" t="str">
            <v>in storage</v>
          </cell>
          <cell r="K3612" t="str">
            <v>VRUB</v>
          </cell>
          <cell r="AB3612" t="str">
            <v>Trachea</v>
          </cell>
        </row>
        <row r="3613">
          <cell r="A3613" t="str">
            <v>in storage</v>
          </cell>
          <cell r="K3613" t="str">
            <v>VRUB</v>
          </cell>
          <cell r="AB3613" t="str">
            <v>Liver</v>
          </cell>
        </row>
        <row r="3614">
          <cell r="A3614" t="str">
            <v>in storage</v>
          </cell>
          <cell r="K3614" t="str">
            <v>EUL</v>
          </cell>
          <cell r="AB3614" t="str">
            <v>GI Tract</v>
          </cell>
        </row>
        <row r="3615">
          <cell r="A3615" t="str">
            <v>in storage</v>
          </cell>
          <cell r="K3615" t="str">
            <v>EUL</v>
          </cell>
          <cell r="AB3615" t="str">
            <v>GI Tract</v>
          </cell>
        </row>
        <row r="3616">
          <cell r="A3616" t="str">
            <v>in storage</v>
          </cell>
          <cell r="K3616" t="str">
            <v>VRUB</v>
          </cell>
          <cell r="AB3616" t="str">
            <v>Kidney</v>
          </cell>
        </row>
        <row r="3617">
          <cell r="A3617" t="str">
            <v>in storage</v>
          </cell>
          <cell r="K3617" t="str">
            <v>VRUB</v>
          </cell>
          <cell r="AB3617" t="str">
            <v>Kidney</v>
          </cell>
        </row>
        <row r="3618">
          <cell r="A3618" t="str">
            <v>in storage</v>
          </cell>
          <cell r="K3618" t="str">
            <v>VRUB</v>
          </cell>
          <cell r="AB3618" t="str">
            <v>Spleen</v>
          </cell>
        </row>
        <row r="3619">
          <cell r="A3619" t="str">
            <v>in storage</v>
          </cell>
          <cell r="K3619" t="str">
            <v>VRUB</v>
          </cell>
          <cell r="AB3619" t="str">
            <v>Heart</v>
          </cell>
        </row>
        <row r="3620">
          <cell r="A3620" t="str">
            <v>in storage</v>
          </cell>
          <cell r="K3620" t="str">
            <v>VRUB</v>
          </cell>
          <cell r="AB3620" t="str">
            <v>Lung</v>
          </cell>
        </row>
        <row r="3621">
          <cell r="A3621" t="str">
            <v>in storage</v>
          </cell>
          <cell r="K3621" t="str">
            <v>VRUB</v>
          </cell>
          <cell r="AB3621" t="str">
            <v>Lung</v>
          </cell>
        </row>
        <row r="3622">
          <cell r="A3622" t="str">
            <v>in storage</v>
          </cell>
          <cell r="K3622" t="str">
            <v>VRUB</v>
          </cell>
          <cell r="AB3622" t="str">
            <v>Skin</v>
          </cell>
        </row>
        <row r="3623">
          <cell r="A3623" t="str">
            <v>unk</v>
          </cell>
          <cell r="K3623" t="str">
            <v>VRUB</v>
          </cell>
          <cell r="AB3623" t="str">
            <v>Hair</v>
          </cell>
        </row>
        <row r="3624">
          <cell r="A3624" t="str">
            <v>in storage</v>
          </cell>
          <cell r="K3624" t="str">
            <v>VRUB</v>
          </cell>
          <cell r="AB3624" t="str">
            <v>R- teste(s)</v>
          </cell>
        </row>
        <row r="3625">
          <cell r="A3625" t="str">
            <v>in storage</v>
          </cell>
          <cell r="K3625" t="str">
            <v>VRUB</v>
          </cell>
          <cell r="AB3625" t="str">
            <v>Muscle</v>
          </cell>
        </row>
        <row r="3626">
          <cell r="A3626" t="str">
            <v>in storage</v>
          </cell>
          <cell r="K3626" t="str">
            <v>LCAT</v>
          </cell>
          <cell r="AB3626" t="str">
            <v>Hair</v>
          </cell>
        </row>
        <row r="3627">
          <cell r="A3627" t="str">
            <v>in storage</v>
          </cell>
          <cell r="K3627" t="str">
            <v>EMON</v>
          </cell>
          <cell r="AB3627" t="str">
            <v>Muscle</v>
          </cell>
        </row>
        <row r="3628">
          <cell r="A3628" t="str">
            <v>in storage</v>
          </cell>
          <cell r="K3628" t="str">
            <v>EMON</v>
          </cell>
          <cell r="AB3628" t="str">
            <v>Adrenal gland</v>
          </cell>
        </row>
        <row r="3629">
          <cell r="A3629" t="str">
            <v>in storage</v>
          </cell>
          <cell r="K3629" t="str">
            <v>EMON</v>
          </cell>
          <cell r="AB3629" t="str">
            <v>RU- bladder/ penis</v>
          </cell>
        </row>
        <row r="3630">
          <cell r="A3630" t="str">
            <v>in storage</v>
          </cell>
          <cell r="K3630" t="str">
            <v>EMON</v>
          </cell>
          <cell r="AB3630" t="str">
            <v>Eye</v>
          </cell>
        </row>
        <row r="3631">
          <cell r="A3631" t="str">
            <v>in storage</v>
          </cell>
          <cell r="K3631" t="str">
            <v>EUL</v>
          </cell>
          <cell r="AB3631" t="str">
            <v>GI- esophagus</v>
          </cell>
        </row>
        <row r="3632">
          <cell r="A3632" t="str">
            <v>in storage</v>
          </cell>
          <cell r="K3632" t="str">
            <v>EMON</v>
          </cell>
          <cell r="AB3632" t="str">
            <v>Kidney</v>
          </cell>
        </row>
        <row r="3633">
          <cell r="A3633" t="str">
            <v>in storage</v>
          </cell>
          <cell r="K3633" t="str">
            <v>EMON</v>
          </cell>
          <cell r="AB3633" t="str">
            <v>Kidney</v>
          </cell>
        </row>
        <row r="3634">
          <cell r="A3634" t="str">
            <v>in storage</v>
          </cell>
          <cell r="K3634" t="str">
            <v>EMON</v>
          </cell>
          <cell r="AB3634" t="str">
            <v>Spleen</v>
          </cell>
        </row>
        <row r="3635">
          <cell r="A3635" t="str">
            <v>in storage</v>
          </cell>
          <cell r="K3635" t="str">
            <v>EMON</v>
          </cell>
          <cell r="AB3635" t="str">
            <v>Lung</v>
          </cell>
        </row>
        <row r="3636">
          <cell r="A3636" t="str">
            <v>in storage</v>
          </cell>
          <cell r="K3636" t="str">
            <v>EMON</v>
          </cell>
          <cell r="AB3636" t="str">
            <v>Lung</v>
          </cell>
        </row>
        <row r="3637">
          <cell r="A3637" t="str">
            <v>in storage</v>
          </cell>
          <cell r="K3637" t="str">
            <v>EMON</v>
          </cell>
          <cell r="AB3637" t="str">
            <v>Gallbladder/ liver</v>
          </cell>
        </row>
        <row r="3638">
          <cell r="A3638" t="str">
            <v>in storage</v>
          </cell>
          <cell r="K3638" t="str">
            <v>EMON</v>
          </cell>
          <cell r="AB3638" t="str">
            <v>Skin</v>
          </cell>
        </row>
        <row r="3639">
          <cell r="A3639" t="str">
            <v>in storage</v>
          </cell>
          <cell r="K3639" t="str">
            <v>EMON</v>
          </cell>
          <cell r="AB3639" t="str">
            <v>Thymus</v>
          </cell>
        </row>
        <row r="3640">
          <cell r="A3640" t="str">
            <v>in storage</v>
          </cell>
          <cell r="K3640" t="str">
            <v>EMON</v>
          </cell>
          <cell r="AB3640" t="str">
            <v>Thyroid</v>
          </cell>
        </row>
        <row r="3641">
          <cell r="A3641" t="str">
            <v>in storage</v>
          </cell>
          <cell r="K3641" t="str">
            <v>EMON</v>
          </cell>
          <cell r="AB3641" t="str">
            <v>R- teste(s)</v>
          </cell>
        </row>
        <row r="3642">
          <cell r="A3642" t="str">
            <v>in storage</v>
          </cell>
          <cell r="K3642" t="str">
            <v>EMON</v>
          </cell>
          <cell r="AB3642" t="str">
            <v>R- teste(s)</v>
          </cell>
        </row>
        <row r="3643">
          <cell r="A3643" t="str">
            <v>in storage</v>
          </cell>
          <cell r="K3643" t="str">
            <v>EMON</v>
          </cell>
          <cell r="AB3643" t="str">
            <v>Muscle</v>
          </cell>
        </row>
        <row r="3644">
          <cell r="A3644" t="str">
            <v>in storage</v>
          </cell>
          <cell r="K3644" t="str">
            <v>EMON</v>
          </cell>
          <cell r="AB3644" t="str">
            <v>Lung/ Trachea</v>
          </cell>
        </row>
        <row r="3645">
          <cell r="A3645" t="str">
            <v>in storage</v>
          </cell>
          <cell r="K3645" t="str">
            <v>EMON</v>
          </cell>
          <cell r="AB3645" t="str">
            <v>Eye</v>
          </cell>
        </row>
        <row r="3646">
          <cell r="A3646" t="str">
            <v>in storage</v>
          </cell>
          <cell r="K3646" t="str">
            <v>EMON</v>
          </cell>
          <cell r="AB3646" t="str">
            <v>Eye</v>
          </cell>
        </row>
        <row r="3647">
          <cell r="A3647" t="str">
            <v>in storage</v>
          </cell>
          <cell r="K3647" t="str">
            <v>EUL</v>
          </cell>
          <cell r="AB3647" t="str">
            <v>GI- esophagus</v>
          </cell>
        </row>
        <row r="3648">
          <cell r="A3648" t="str">
            <v>in storage</v>
          </cell>
          <cell r="K3648" t="str">
            <v>EMON</v>
          </cell>
          <cell r="AB3648" t="str">
            <v>Kidney</v>
          </cell>
        </row>
        <row r="3649">
          <cell r="A3649" t="str">
            <v>in storage</v>
          </cell>
          <cell r="K3649" t="str">
            <v>EMON</v>
          </cell>
          <cell r="AB3649" t="str">
            <v>Liver</v>
          </cell>
        </row>
        <row r="3650">
          <cell r="A3650" t="str">
            <v>in storage</v>
          </cell>
          <cell r="K3650" t="str">
            <v>EMON</v>
          </cell>
          <cell r="AB3650" t="str">
            <v>Skin</v>
          </cell>
        </row>
        <row r="3651">
          <cell r="A3651" t="str">
            <v>unk</v>
          </cell>
          <cell r="K3651" t="str">
            <v>EMON</v>
          </cell>
          <cell r="AB3651" t="str">
            <v>Heart</v>
          </cell>
        </row>
        <row r="3652">
          <cell r="A3652" t="str">
            <v>in storage</v>
          </cell>
          <cell r="K3652" t="str">
            <v>EMON</v>
          </cell>
          <cell r="AB3652" t="str">
            <v>R- teste(s)</v>
          </cell>
        </row>
        <row r="3653">
          <cell r="A3653" t="str">
            <v>in storage</v>
          </cell>
          <cell r="K3653" t="str">
            <v>LCAT</v>
          </cell>
          <cell r="AB3653" t="str">
            <v>Eye</v>
          </cell>
        </row>
        <row r="3654">
          <cell r="A3654" t="str">
            <v>in storage</v>
          </cell>
          <cell r="K3654" t="str">
            <v>LCAT</v>
          </cell>
          <cell r="AB3654" t="str">
            <v>Eye</v>
          </cell>
        </row>
        <row r="3655">
          <cell r="A3655" t="str">
            <v>in storage</v>
          </cell>
          <cell r="K3655" t="str">
            <v>EUL</v>
          </cell>
          <cell r="AB3655" t="str">
            <v>GI Tract</v>
          </cell>
        </row>
        <row r="3656">
          <cell r="A3656" t="str">
            <v>in storage</v>
          </cell>
          <cell r="K3656" t="str">
            <v>LCAT</v>
          </cell>
          <cell r="AB3656" t="str">
            <v>Kidney</v>
          </cell>
        </row>
        <row r="3657">
          <cell r="A3657" t="str">
            <v>in storage</v>
          </cell>
          <cell r="K3657" t="str">
            <v>LCAT</v>
          </cell>
          <cell r="AB3657" t="str">
            <v>Kidney</v>
          </cell>
        </row>
        <row r="3658">
          <cell r="A3658" t="str">
            <v>in storage</v>
          </cell>
          <cell r="K3658" t="str">
            <v>LCAT</v>
          </cell>
          <cell r="AB3658" t="str">
            <v>Spleen</v>
          </cell>
        </row>
        <row r="3659">
          <cell r="A3659" t="str">
            <v>in storage</v>
          </cell>
          <cell r="K3659" t="str">
            <v>LCAT</v>
          </cell>
          <cell r="AB3659" t="str">
            <v>Heart</v>
          </cell>
        </row>
        <row r="3660">
          <cell r="A3660" t="str">
            <v>in storage</v>
          </cell>
          <cell r="K3660" t="str">
            <v>LCAT</v>
          </cell>
          <cell r="AB3660" t="str">
            <v>Lung</v>
          </cell>
        </row>
        <row r="3661">
          <cell r="A3661" t="str">
            <v>in storage</v>
          </cell>
          <cell r="K3661" t="str">
            <v>LCAT</v>
          </cell>
          <cell r="AB3661" t="str">
            <v>Lung</v>
          </cell>
        </row>
        <row r="3662">
          <cell r="A3662" t="str">
            <v>in storage</v>
          </cell>
          <cell r="K3662" t="str">
            <v>LCAT</v>
          </cell>
          <cell r="AB3662" t="str">
            <v>Liver</v>
          </cell>
        </row>
        <row r="3663">
          <cell r="A3663" t="str">
            <v>gone</v>
          </cell>
          <cell r="K3663" t="str">
            <v>LCAT</v>
          </cell>
          <cell r="AB3663" t="str">
            <v>Skin</v>
          </cell>
        </row>
        <row r="3664">
          <cell r="A3664" t="str">
            <v>in storage</v>
          </cell>
          <cell r="K3664" t="str">
            <v>LCAT</v>
          </cell>
          <cell r="AB3664" t="str">
            <v>Thymus</v>
          </cell>
        </row>
        <row r="3665">
          <cell r="A3665" t="str">
            <v>in storage</v>
          </cell>
          <cell r="K3665" t="str">
            <v>LCAT</v>
          </cell>
          <cell r="AB3665" t="str">
            <v>Muscle</v>
          </cell>
        </row>
        <row r="3666">
          <cell r="A3666" t="str">
            <v>in storage</v>
          </cell>
          <cell r="K3666" t="str">
            <v>EUL</v>
          </cell>
          <cell r="AB3666" t="str">
            <v>GI Tract</v>
          </cell>
        </row>
        <row r="3667">
          <cell r="A3667" t="str">
            <v>in storage</v>
          </cell>
          <cell r="K3667" t="str">
            <v>LCAT</v>
          </cell>
          <cell r="AB3667" t="str">
            <v>Kidney</v>
          </cell>
        </row>
        <row r="3668">
          <cell r="A3668" t="str">
            <v>gone</v>
          </cell>
          <cell r="K3668" t="str">
            <v>LCAT</v>
          </cell>
          <cell r="AB3668" t="str">
            <v>Kidney</v>
          </cell>
        </row>
        <row r="3669">
          <cell r="A3669" t="str">
            <v>in storage</v>
          </cell>
          <cell r="K3669" t="str">
            <v>LCAT</v>
          </cell>
          <cell r="AB3669" t="str">
            <v>Spleen</v>
          </cell>
        </row>
        <row r="3670">
          <cell r="A3670" t="str">
            <v>in storage</v>
          </cell>
          <cell r="K3670" t="str">
            <v>LCAT</v>
          </cell>
          <cell r="AB3670" t="str">
            <v>Heart</v>
          </cell>
        </row>
        <row r="3671">
          <cell r="A3671" t="str">
            <v>in storage</v>
          </cell>
          <cell r="K3671" t="str">
            <v>LCAT</v>
          </cell>
          <cell r="AB3671" t="str">
            <v>Lung</v>
          </cell>
        </row>
        <row r="3672">
          <cell r="A3672" t="str">
            <v>in storage</v>
          </cell>
          <cell r="K3672" t="str">
            <v>LCAT</v>
          </cell>
          <cell r="AB3672" t="str">
            <v>Gallbladder/ liver</v>
          </cell>
        </row>
        <row r="3673">
          <cell r="A3673" t="str">
            <v>in storage</v>
          </cell>
          <cell r="K3673" t="str">
            <v>LCAT</v>
          </cell>
          <cell r="AB3673" t="str">
            <v>Thymus</v>
          </cell>
        </row>
        <row r="3674">
          <cell r="A3674" t="str">
            <v>in storage</v>
          </cell>
          <cell r="K3674" t="str">
            <v>MMUR</v>
          </cell>
          <cell r="AB3674" t="str">
            <v>Eye</v>
          </cell>
        </row>
        <row r="3675">
          <cell r="A3675" t="str">
            <v>in storage</v>
          </cell>
          <cell r="K3675" t="str">
            <v>EUL</v>
          </cell>
          <cell r="AB3675" t="str">
            <v>GI- cecum</v>
          </cell>
        </row>
        <row r="3676">
          <cell r="A3676" t="str">
            <v>in storage</v>
          </cell>
          <cell r="K3676" t="str">
            <v>GMOH</v>
          </cell>
          <cell r="AB3676" t="str">
            <v>GI- cecum</v>
          </cell>
        </row>
        <row r="3677">
          <cell r="A3677" t="str">
            <v>in storage</v>
          </cell>
          <cell r="K3677" t="str">
            <v>GMOH</v>
          </cell>
          <cell r="AB3677" t="str">
            <v>GI Tract</v>
          </cell>
        </row>
        <row r="3678">
          <cell r="A3678" t="str">
            <v>in storage</v>
          </cell>
          <cell r="K3678" t="str">
            <v>MMUR</v>
          </cell>
          <cell r="AB3678" t="str">
            <v>Liver</v>
          </cell>
        </row>
        <row r="3679">
          <cell r="A3679" t="str">
            <v>in storage</v>
          </cell>
          <cell r="K3679" t="str">
            <v>MMUR</v>
          </cell>
          <cell r="AB3679" t="str">
            <v>Heart</v>
          </cell>
        </row>
        <row r="3680">
          <cell r="A3680" t="str">
            <v>in storage</v>
          </cell>
          <cell r="K3680" t="str">
            <v>MMUR</v>
          </cell>
          <cell r="AB3680" t="str">
            <v>Lung</v>
          </cell>
        </row>
        <row r="3681">
          <cell r="A3681" t="str">
            <v>in storage</v>
          </cell>
          <cell r="K3681" t="str">
            <v>MMUR</v>
          </cell>
          <cell r="AB3681" t="str">
            <v>Kidney</v>
          </cell>
        </row>
        <row r="3682">
          <cell r="A3682" t="str">
            <v>in storage</v>
          </cell>
          <cell r="K3682" t="str">
            <v>MMUR</v>
          </cell>
          <cell r="AB3682" t="str">
            <v>Kidney</v>
          </cell>
        </row>
        <row r="3683">
          <cell r="A3683" t="str">
            <v>gone</v>
          </cell>
          <cell r="K3683" t="str">
            <v>MMUR</v>
          </cell>
          <cell r="AB3683" t="str">
            <v>Skin</v>
          </cell>
        </row>
        <row r="3684">
          <cell r="A3684" t="str">
            <v>unk</v>
          </cell>
          <cell r="K3684" t="str">
            <v>MMUR</v>
          </cell>
          <cell r="AB3684" t="str">
            <v>Mandible/ Maxilla</v>
          </cell>
        </row>
        <row r="3685">
          <cell r="A3685" t="str">
            <v>unk</v>
          </cell>
          <cell r="K3685" t="str">
            <v>MMUR</v>
          </cell>
          <cell r="AB3685" t="str">
            <v>Spleen</v>
          </cell>
        </row>
        <row r="3686">
          <cell r="A3686" t="str">
            <v>in storage</v>
          </cell>
          <cell r="K3686" t="str">
            <v>MMUR</v>
          </cell>
          <cell r="AB3686" t="str">
            <v>R- teste(s)</v>
          </cell>
        </row>
        <row r="3687">
          <cell r="A3687" t="str">
            <v>in storage</v>
          </cell>
          <cell r="K3687" t="str">
            <v>MMUR</v>
          </cell>
          <cell r="AB3687" t="str">
            <v>Muscle</v>
          </cell>
        </row>
        <row r="3688">
          <cell r="A3688" t="str">
            <v>in storage</v>
          </cell>
          <cell r="K3688" t="str">
            <v>VVV</v>
          </cell>
          <cell r="AB3688" t="str">
            <v>Mass- liver</v>
          </cell>
        </row>
        <row r="3689">
          <cell r="A3689" t="str">
            <v>in storage</v>
          </cell>
          <cell r="K3689" t="str">
            <v>GMOH</v>
          </cell>
          <cell r="AB3689" t="str">
            <v>Muscle</v>
          </cell>
        </row>
        <row r="3690">
          <cell r="A3690" t="str">
            <v>in storage</v>
          </cell>
          <cell r="K3690" t="str">
            <v>GMOH</v>
          </cell>
          <cell r="AB3690" t="str">
            <v>Muscle</v>
          </cell>
        </row>
        <row r="3691">
          <cell r="A3691" t="str">
            <v>in storage</v>
          </cell>
          <cell r="K3691" t="str">
            <v>GMOH</v>
          </cell>
          <cell r="AB3691" t="str">
            <v>Muscle</v>
          </cell>
        </row>
        <row r="3692">
          <cell r="A3692" t="str">
            <v>in storage</v>
          </cell>
          <cell r="K3692" t="str">
            <v>VVV</v>
          </cell>
          <cell r="AB3692" t="str">
            <v>Liver</v>
          </cell>
        </row>
        <row r="3693">
          <cell r="A3693" t="str">
            <v>unk</v>
          </cell>
          <cell r="K3693" t="str">
            <v>VVV</v>
          </cell>
          <cell r="AB3693" t="str">
            <v>Liver</v>
          </cell>
        </row>
        <row r="3694">
          <cell r="A3694" t="str">
            <v>in storage</v>
          </cell>
          <cell r="K3694" t="str">
            <v>GMOH</v>
          </cell>
          <cell r="AB3694" t="str">
            <v>Spleen</v>
          </cell>
        </row>
        <row r="3695">
          <cell r="A3695" t="str">
            <v>in storage</v>
          </cell>
          <cell r="K3695" t="str">
            <v>GMOH</v>
          </cell>
          <cell r="AB3695" t="str">
            <v>Liver</v>
          </cell>
        </row>
        <row r="3696">
          <cell r="A3696" t="str">
            <v>in storage</v>
          </cell>
          <cell r="K3696" t="str">
            <v>GMOH</v>
          </cell>
          <cell r="AB3696" t="str">
            <v>Liver</v>
          </cell>
        </row>
        <row r="3697">
          <cell r="A3697" t="str">
            <v>in storage</v>
          </cell>
          <cell r="K3697" t="str">
            <v>VVV</v>
          </cell>
          <cell r="AB3697" t="str">
            <v>Kidney</v>
          </cell>
        </row>
        <row r="3698">
          <cell r="A3698" t="str">
            <v>in storage</v>
          </cell>
          <cell r="K3698" t="str">
            <v>VVV</v>
          </cell>
          <cell r="AB3698" t="str">
            <v>Kidney</v>
          </cell>
        </row>
        <row r="3699">
          <cell r="A3699" t="str">
            <v>in storage</v>
          </cell>
          <cell r="K3699" t="str">
            <v>VVV</v>
          </cell>
          <cell r="AB3699" t="str">
            <v>Spleen</v>
          </cell>
        </row>
        <row r="3700">
          <cell r="A3700" t="str">
            <v>in storage</v>
          </cell>
          <cell r="K3700" t="str">
            <v>VVV</v>
          </cell>
          <cell r="AB3700" t="str">
            <v>Heart</v>
          </cell>
        </row>
        <row r="3701">
          <cell r="A3701" t="str">
            <v>in storage</v>
          </cell>
          <cell r="K3701" t="str">
            <v>VVV</v>
          </cell>
          <cell r="AB3701" t="str">
            <v>Lung</v>
          </cell>
        </row>
        <row r="3702">
          <cell r="A3702" t="str">
            <v>in storage</v>
          </cell>
          <cell r="K3702" t="str">
            <v>VVV</v>
          </cell>
          <cell r="AB3702" t="str">
            <v>Lung</v>
          </cell>
        </row>
        <row r="3703">
          <cell r="A3703" t="str">
            <v>in storage</v>
          </cell>
          <cell r="K3703" t="str">
            <v>VVV</v>
          </cell>
          <cell r="AB3703" t="str">
            <v>Skin</v>
          </cell>
        </row>
        <row r="3704">
          <cell r="A3704" t="str">
            <v>in storage</v>
          </cell>
          <cell r="K3704" t="str">
            <v>VVV</v>
          </cell>
          <cell r="AB3704" t="str">
            <v>R- teste(s)</v>
          </cell>
        </row>
        <row r="3705">
          <cell r="A3705" t="str">
            <v>in storage</v>
          </cell>
          <cell r="K3705" t="str">
            <v>VVV</v>
          </cell>
          <cell r="AB3705" t="str">
            <v>Mass- liver</v>
          </cell>
        </row>
        <row r="3706">
          <cell r="A3706" t="str">
            <v>in storage</v>
          </cell>
          <cell r="K3706" t="str">
            <v>VVV</v>
          </cell>
          <cell r="AB3706" t="str">
            <v>Muscle</v>
          </cell>
        </row>
        <row r="3707">
          <cell r="A3707" t="str">
            <v>on hold</v>
          </cell>
          <cell r="K3707" t="str">
            <v>MMUR</v>
          </cell>
          <cell r="AB3707" t="str">
            <v>R- sperm plug</v>
          </cell>
        </row>
        <row r="3708">
          <cell r="A3708" t="str">
            <v>in storage</v>
          </cell>
          <cell r="K3708" t="str">
            <v>NPYG</v>
          </cell>
          <cell r="AB3708" t="str">
            <v>Adrenal gland</v>
          </cell>
        </row>
        <row r="3709">
          <cell r="A3709" t="str">
            <v>in storage</v>
          </cell>
          <cell r="K3709" t="str">
            <v>NPYG</v>
          </cell>
          <cell r="AB3709" t="str">
            <v>Eye</v>
          </cell>
        </row>
        <row r="3710">
          <cell r="A3710" t="str">
            <v>in storage</v>
          </cell>
          <cell r="K3710" t="str">
            <v>NPYG</v>
          </cell>
          <cell r="AB3710" t="str">
            <v>R- ovary/ uterus</v>
          </cell>
        </row>
        <row r="3711">
          <cell r="A3711" t="str">
            <v>in storage</v>
          </cell>
          <cell r="K3711" t="str">
            <v>GMOH</v>
          </cell>
          <cell r="AB3711" t="str">
            <v>Liver</v>
          </cell>
        </row>
        <row r="3712">
          <cell r="A3712" t="str">
            <v>in storage</v>
          </cell>
          <cell r="K3712" t="str">
            <v>HGG</v>
          </cell>
          <cell r="AB3712" t="str">
            <v>GI Contents- cecum</v>
          </cell>
        </row>
        <row r="3713">
          <cell r="A3713" t="str">
            <v>in storage</v>
          </cell>
          <cell r="K3713" t="str">
            <v>NPYG</v>
          </cell>
          <cell r="AB3713" t="str">
            <v>Pancreas</v>
          </cell>
        </row>
        <row r="3714">
          <cell r="A3714" t="str">
            <v>in storage</v>
          </cell>
          <cell r="K3714" t="str">
            <v>NPYG</v>
          </cell>
          <cell r="AB3714" t="str">
            <v>Kidney</v>
          </cell>
        </row>
        <row r="3715">
          <cell r="A3715" t="str">
            <v>in storage</v>
          </cell>
          <cell r="K3715" t="str">
            <v>NPYG</v>
          </cell>
          <cell r="AB3715" t="str">
            <v>Kidney</v>
          </cell>
        </row>
        <row r="3716">
          <cell r="A3716" t="str">
            <v>in storage</v>
          </cell>
          <cell r="K3716" t="str">
            <v>NPYG</v>
          </cell>
          <cell r="AB3716" t="str">
            <v>Spleen</v>
          </cell>
        </row>
        <row r="3717">
          <cell r="A3717" t="str">
            <v>in storage</v>
          </cell>
          <cell r="K3717" t="str">
            <v>NPYG</v>
          </cell>
          <cell r="AB3717" t="str">
            <v>Heart</v>
          </cell>
        </row>
        <row r="3718">
          <cell r="A3718" t="str">
            <v>in storage</v>
          </cell>
          <cell r="K3718" t="str">
            <v>NPYG</v>
          </cell>
          <cell r="AB3718" t="str">
            <v>Lung</v>
          </cell>
        </row>
        <row r="3719">
          <cell r="A3719" t="str">
            <v>in storage</v>
          </cell>
          <cell r="K3719" t="str">
            <v>NPYG</v>
          </cell>
          <cell r="AB3719" t="str">
            <v>Lung</v>
          </cell>
        </row>
        <row r="3720">
          <cell r="A3720" t="str">
            <v>in storage</v>
          </cell>
          <cell r="K3720" t="str">
            <v>NPYG</v>
          </cell>
          <cell r="AB3720" t="str">
            <v>Liver</v>
          </cell>
        </row>
        <row r="3721">
          <cell r="A3721" t="str">
            <v>in storage</v>
          </cell>
          <cell r="K3721" t="str">
            <v>NPYG</v>
          </cell>
          <cell r="AB3721" t="str">
            <v>Skin</v>
          </cell>
        </row>
        <row r="3722">
          <cell r="A3722" t="str">
            <v>in storage</v>
          </cell>
          <cell r="K3722" t="str">
            <v>NPYG</v>
          </cell>
          <cell r="AB3722" t="str">
            <v>Muscle</v>
          </cell>
        </row>
        <row r="3723">
          <cell r="A3723" t="str">
            <v>in storage</v>
          </cell>
          <cell r="K3723" t="str">
            <v>ERUF</v>
          </cell>
          <cell r="AB3723" t="str">
            <v>Adrenal gland</v>
          </cell>
        </row>
        <row r="3724">
          <cell r="A3724" t="str">
            <v>in storage</v>
          </cell>
          <cell r="K3724" t="str">
            <v>ERUF</v>
          </cell>
          <cell r="AB3724" t="str">
            <v>Aorta/ Trachea</v>
          </cell>
        </row>
        <row r="3725">
          <cell r="A3725" t="str">
            <v>in storage</v>
          </cell>
          <cell r="K3725" t="str">
            <v>ERUF</v>
          </cell>
          <cell r="AB3725" t="str">
            <v>Blood</v>
          </cell>
        </row>
        <row r="3726">
          <cell r="A3726" t="str">
            <v>in storage</v>
          </cell>
          <cell r="K3726" t="str">
            <v>ERUF</v>
          </cell>
          <cell r="AB3726" t="str">
            <v>Heart</v>
          </cell>
        </row>
        <row r="3727">
          <cell r="A3727" t="str">
            <v>in storage</v>
          </cell>
          <cell r="K3727" t="str">
            <v>ERUF</v>
          </cell>
          <cell r="AB3727" t="str">
            <v>Lung</v>
          </cell>
        </row>
        <row r="3728">
          <cell r="A3728" t="str">
            <v>in storage</v>
          </cell>
          <cell r="K3728" t="str">
            <v>ERUF</v>
          </cell>
          <cell r="AB3728" t="str">
            <v>Pancreas</v>
          </cell>
        </row>
        <row r="3729">
          <cell r="A3729" t="str">
            <v>in storage</v>
          </cell>
          <cell r="K3729" t="str">
            <v>ERUF</v>
          </cell>
          <cell r="AB3729" t="str">
            <v>Skin</v>
          </cell>
        </row>
        <row r="3730">
          <cell r="A3730" t="str">
            <v>in storage</v>
          </cell>
          <cell r="K3730" t="str">
            <v>ERUF</v>
          </cell>
          <cell r="AB3730" t="str">
            <v>Spleen</v>
          </cell>
        </row>
        <row r="3731">
          <cell r="A3731" t="str">
            <v>in storage</v>
          </cell>
          <cell r="K3731" t="str">
            <v>ERUF</v>
          </cell>
          <cell r="AB3731" t="str">
            <v>Liver</v>
          </cell>
        </row>
        <row r="3732">
          <cell r="A3732" t="str">
            <v>in storage</v>
          </cell>
          <cell r="K3732" t="str">
            <v>ERUF</v>
          </cell>
          <cell r="AB3732" t="str">
            <v>Eye</v>
          </cell>
        </row>
        <row r="3733">
          <cell r="A3733" t="str">
            <v>in storage</v>
          </cell>
          <cell r="K3733" t="str">
            <v>ERUF</v>
          </cell>
          <cell r="AB3733" t="str">
            <v>Kidney</v>
          </cell>
        </row>
        <row r="3734">
          <cell r="A3734" t="str">
            <v>in storage</v>
          </cell>
          <cell r="K3734" t="str">
            <v>HGG</v>
          </cell>
          <cell r="AB3734" t="str">
            <v>GI Tract</v>
          </cell>
        </row>
        <row r="3735">
          <cell r="A3735" t="str">
            <v>in storage</v>
          </cell>
          <cell r="K3735" t="str">
            <v>ERUF</v>
          </cell>
          <cell r="AB3735" t="str">
            <v>Pancreas</v>
          </cell>
        </row>
        <row r="3736">
          <cell r="A3736" t="str">
            <v>in storage</v>
          </cell>
          <cell r="K3736" t="str">
            <v>ERUF</v>
          </cell>
          <cell r="AB3736" t="str">
            <v>Kidney</v>
          </cell>
        </row>
        <row r="3737">
          <cell r="A3737" t="str">
            <v>in storage</v>
          </cell>
          <cell r="K3737" t="str">
            <v>ERUF</v>
          </cell>
          <cell r="AB3737" t="str">
            <v>Kidney</v>
          </cell>
        </row>
        <row r="3738">
          <cell r="A3738" t="str">
            <v>in storage</v>
          </cell>
          <cell r="K3738" t="str">
            <v>ERUF</v>
          </cell>
          <cell r="AB3738" t="str">
            <v>Spleen</v>
          </cell>
        </row>
        <row r="3739">
          <cell r="A3739" t="str">
            <v>in storage</v>
          </cell>
          <cell r="K3739" t="str">
            <v>ERUF</v>
          </cell>
          <cell r="AB3739" t="str">
            <v>Heart</v>
          </cell>
        </row>
        <row r="3740">
          <cell r="A3740" t="str">
            <v>in storage</v>
          </cell>
          <cell r="K3740" t="str">
            <v>ERUF</v>
          </cell>
          <cell r="AB3740" t="str">
            <v>Lung</v>
          </cell>
        </row>
        <row r="3741">
          <cell r="A3741" t="str">
            <v>in storage</v>
          </cell>
          <cell r="K3741" t="str">
            <v>ERUF</v>
          </cell>
          <cell r="AB3741" t="str">
            <v>Lung</v>
          </cell>
        </row>
        <row r="3742">
          <cell r="A3742" t="str">
            <v>in storage</v>
          </cell>
          <cell r="K3742" t="str">
            <v>ERUF</v>
          </cell>
          <cell r="AB3742" t="str">
            <v>Liver</v>
          </cell>
        </row>
        <row r="3743">
          <cell r="A3743" t="str">
            <v>in storage</v>
          </cell>
          <cell r="K3743" t="str">
            <v>ERUF</v>
          </cell>
          <cell r="AB3743" t="str">
            <v>Liver</v>
          </cell>
        </row>
        <row r="3744">
          <cell r="A3744" t="str">
            <v>in storage</v>
          </cell>
          <cell r="K3744" t="str">
            <v>ERUF</v>
          </cell>
          <cell r="AB3744" t="str">
            <v>Liver</v>
          </cell>
        </row>
        <row r="3745">
          <cell r="A3745" t="str">
            <v>in storage</v>
          </cell>
          <cell r="K3745" t="str">
            <v>ERUF</v>
          </cell>
          <cell r="AB3745" t="str">
            <v>Liver</v>
          </cell>
        </row>
        <row r="3746">
          <cell r="A3746" t="str">
            <v>in storage</v>
          </cell>
          <cell r="K3746" t="str">
            <v>ERUF</v>
          </cell>
          <cell r="AB3746" t="str">
            <v>Liver</v>
          </cell>
        </row>
        <row r="3747">
          <cell r="A3747" t="str">
            <v>in storage</v>
          </cell>
          <cell r="K3747" t="str">
            <v>ERUF</v>
          </cell>
          <cell r="AB3747" t="str">
            <v>Liver</v>
          </cell>
        </row>
        <row r="3748">
          <cell r="A3748" t="str">
            <v>in storage</v>
          </cell>
          <cell r="K3748" t="str">
            <v>ERUF</v>
          </cell>
          <cell r="AB3748" t="str">
            <v>Liver</v>
          </cell>
        </row>
        <row r="3749">
          <cell r="A3749" t="str">
            <v>in storage</v>
          </cell>
          <cell r="K3749" t="str">
            <v>ERUF</v>
          </cell>
          <cell r="AB3749" t="str">
            <v>Liver</v>
          </cell>
        </row>
        <row r="3750">
          <cell r="A3750" t="str">
            <v>in storage</v>
          </cell>
          <cell r="K3750" t="str">
            <v>ERUF</v>
          </cell>
          <cell r="AB3750" t="str">
            <v>Liver</v>
          </cell>
        </row>
        <row r="3751">
          <cell r="A3751" t="str">
            <v>in storage</v>
          </cell>
          <cell r="K3751" t="str">
            <v>ERUF</v>
          </cell>
          <cell r="AB3751" t="str">
            <v>Liver</v>
          </cell>
        </row>
        <row r="3752">
          <cell r="A3752" t="str">
            <v>in storage</v>
          </cell>
          <cell r="K3752" t="str">
            <v>ERUF</v>
          </cell>
          <cell r="AB3752" t="str">
            <v>Liver</v>
          </cell>
        </row>
        <row r="3753">
          <cell r="A3753" t="str">
            <v>in storage</v>
          </cell>
          <cell r="K3753" t="str">
            <v>ERUF</v>
          </cell>
          <cell r="AB3753" t="str">
            <v>Liver</v>
          </cell>
        </row>
        <row r="3754">
          <cell r="A3754" t="str">
            <v>in storage</v>
          </cell>
          <cell r="K3754" t="str">
            <v>ERUF</v>
          </cell>
          <cell r="AB3754" t="str">
            <v>Liver</v>
          </cell>
        </row>
        <row r="3755">
          <cell r="A3755" t="str">
            <v>in storage</v>
          </cell>
          <cell r="K3755" t="str">
            <v>ERUF</v>
          </cell>
          <cell r="AB3755" t="str">
            <v>Skin</v>
          </cell>
        </row>
        <row r="3756">
          <cell r="A3756" t="str">
            <v>unk</v>
          </cell>
          <cell r="K3756" t="str">
            <v>ERUF</v>
          </cell>
          <cell r="AB3756" t="str">
            <v>Hair</v>
          </cell>
        </row>
        <row r="3757">
          <cell r="A3757" t="str">
            <v>in storage</v>
          </cell>
          <cell r="K3757" t="str">
            <v>ERUF</v>
          </cell>
          <cell r="AB3757" t="str">
            <v>pituitary gland</v>
          </cell>
        </row>
        <row r="3758">
          <cell r="A3758" t="str">
            <v>in storage</v>
          </cell>
          <cell r="K3758" t="str">
            <v>ERUF</v>
          </cell>
          <cell r="AB3758" t="str">
            <v>Thyroid</v>
          </cell>
        </row>
        <row r="3759">
          <cell r="A3759" t="str">
            <v>in storage</v>
          </cell>
          <cell r="K3759" t="str">
            <v>ERUF</v>
          </cell>
          <cell r="AB3759" t="str">
            <v>Gallbladder/ liver</v>
          </cell>
        </row>
        <row r="3760">
          <cell r="A3760" t="str">
            <v>in storage</v>
          </cell>
          <cell r="K3760" t="str">
            <v>ERUF</v>
          </cell>
          <cell r="AB3760" t="str">
            <v>Mass- liver</v>
          </cell>
        </row>
        <row r="3761">
          <cell r="A3761" t="str">
            <v>in storage</v>
          </cell>
          <cell r="K3761" t="str">
            <v>ERUF</v>
          </cell>
          <cell r="AB3761" t="str">
            <v>Muscle</v>
          </cell>
        </row>
        <row r="3762">
          <cell r="A3762" t="str">
            <v>in storage</v>
          </cell>
          <cell r="K3762" t="str">
            <v>ERUF</v>
          </cell>
          <cell r="AB3762" t="str">
            <v>Muscle</v>
          </cell>
        </row>
        <row r="3763">
          <cell r="A3763" t="str">
            <v>in storage</v>
          </cell>
          <cell r="K3763" t="str">
            <v>LCAT</v>
          </cell>
          <cell r="AB3763" t="str">
            <v>Tail</v>
          </cell>
        </row>
        <row r="3764">
          <cell r="A3764" t="str">
            <v>unk</v>
          </cell>
          <cell r="K3764" t="str">
            <v>NCOU</v>
          </cell>
          <cell r="AB3764" t="str">
            <v>Mass- kidney</v>
          </cell>
        </row>
        <row r="3765">
          <cell r="A3765" t="str">
            <v>in storage</v>
          </cell>
          <cell r="K3765" t="str">
            <v>NCOU</v>
          </cell>
          <cell r="AB3765" t="str">
            <v>Adrenal gland</v>
          </cell>
        </row>
        <row r="3766">
          <cell r="A3766" t="str">
            <v>in storage</v>
          </cell>
          <cell r="K3766" t="str">
            <v>NCOU</v>
          </cell>
          <cell r="AB3766" t="str">
            <v>Adrenal gland</v>
          </cell>
        </row>
        <row r="3767">
          <cell r="A3767" t="str">
            <v>in storage</v>
          </cell>
          <cell r="K3767" t="str">
            <v>NCOU</v>
          </cell>
          <cell r="AB3767" t="str">
            <v>R- ovary/ uterus</v>
          </cell>
        </row>
        <row r="3768">
          <cell r="A3768" t="str">
            <v>in storage</v>
          </cell>
          <cell r="K3768" t="str">
            <v>NCOU</v>
          </cell>
          <cell r="AB3768" t="str">
            <v>Blood</v>
          </cell>
        </row>
        <row r="3769">
          <cell r="A3769" t="str">
            <v>in storage</v>
          </cell>
          <cell r="K3769" t="str">
            <v>NCOU</v>
          </cell>
          <cell r="AB3769" t="str">
            <v>Blood</v>
          </cell>
        </row>
        <row r="3770">
          <cell r="A3770" t="str">
            <v>in storage</v>
          </cell>
          <cell r="K3770" t="str">
            <v>NCOU</v>
          </cell>
          <cell r="AB3770" t="str">
            <v>Pancreas</v>
          </cell>
        </row>
        <row r="3771">
          <cell r="A3771" t="str">
            <v>in storage</v>
          </cell>
          <cell r="K3771" t="str">
            <v>NCOU</v>
          </cell>
          <cell r="AB3771" t="str">
            <v>Pancreas</v>
          </cell>
        </row>
        <row r="3772">
          <cell r="A3772" t="str">
            <v>in storage</v>
          </cell>
          <cell r="K3772" t="str">
            <v>NCOU</v>
          </cell>
          <cell r="AB3772" t="str">
            <v>Skin</v>
          </cell>
        </row>
        <row r="3773">
          <cell r="A3773" t="str">
            <v>in storage</v>
          </cell>
          <cell r="K3773" t="str">
            <v>NCOU</v>
          </cell>
          <cell r="AB3773" t="str">
            <v>Skin</v>
          </cell>
        </row>
        <row r="3774">
          <cell r="A3774" t="str">
            <v>in storage</v>
          </cell>
          <cell r="K3774" t="str">
            <v>NCOU</v>
          </cell>
          <cell r="AB3774" t="str">
            <v>Kidney</v>
          </cell>
        </row>
        <row r="3775">
          <cell r="A3775" t="str">
            <v>in storage</v>
          </cell>
          <cell r="K3775" t="str">
            <v>NCOU</v>
          </cell>
          <cell r="AB3775" t="str">
            <v>Kidney</v>
          </cell>
        </row>
        <row r="3776">
          <cell r="A3776" t="str">
            <v>in storage</v>
          </cell>
          <cell r="K3776" t="str">
            <v>NCOU</v>
          </cell>
          <cell r="AB3776" t="str">
            <v>Heart</v>
          </cell>
        </row>
        <row r="3777">
          <cell r="A3777" t="str">
            <v>in storage</v>
          </cell>
          <cell r="K3777" t="str">
            <v>NCOU</v>
          </cell>
          <cell r="AB3777" t="str">
            <v>Heart</v>
          </cell>
        </row>
        <row r="3778">
          <cell r="A3778" t="str">
            <v>in storage</v>
          </cell>
          <cell r="K3778" t="str">
            <v>NCOU</v>
          </cell>
          <cell r="AB3778" t="str">
            <v>Lung</v>
          </cell>
        </row>
        <row r="3779">
          <cell r="A3779" t="str">
            <v>in storage</v>
          </cell>
          <cell r="K3779" t="str">
            <v>NCOU</v>
          </cell>
          <cell r="AB3779" t="str">
            <v>Lung</v>
          </cell>
        </row>
        <row r="3780">
          <cell r="A3780" t="str">
            <v>in storage</v>
          </cell>
          <cell r="K3780" t="str">
            <v>NCOU</v>
          </cell>
          <cell r="AB3780" t="str">
            <v>Spleen</v>
          </cell>
        </row>
        <row r="3781">
          <cell r="A3781" t="str">
            <v>in storage</v>
          </cell>
          <cell r="K3781" t="str">
            <v>NCOU</v>
          </cell>
          <cell r="AB3781" t="str">
            <v>Spleen</v>
          </cell>
        </row>
        <row r="3782">
          <cell r="A3782" t="str">
            <v>in storage</v>
          </cell>
          <cell r="K3782" t="str">
            <v>NCOU</v>
          </cell>
          <cell r="AB3782" t="str">
            <v>Liver</v>
          </cell>
        </row>
        <row r="3783">
          <cell r="A3783" t="str">
            <v>in storage</v>
          </cell>
          <cell r="K3783" t="str">
            <v>NCOU</v>
          </cell>
          <cell r="AB3783" t="str">
            <v>Liver</v>
          </cell>
        </row>
        <row r="3784">
          <cell r="A3784" t="str">
            <v>in storage</v>
          </cell>
          <cell r="K3784" t="str">
            <v>HGG</v>
          </cell>
          <cell r="AB3784" t="str">
            <v>GI Tract</v>
          </cell>
        </row>
        <row r="3785">
          <cell r="A3785" t="str">
            <v>in storage</v>
          </cell>
          <cell r="K3785" t="str">
            <v>HGG</v>
          </cell>
          <cell r="AB3785" t="str">
            <v>GI Tract</v>
          </cell>
        </row>
        <row r="3786">
          <cell r="A3786" t="str">
            <v>in storage</v>
          </cell>
          <cell r="K3786" t="str">
            <v>HGG</v>
          </cell>
          <cell r="AB3786" t="str">
            <v>GI Contents- small intestine</v>
          </cell>
        </row>
        <row r="3787">
          <cell r="A3787" t="str">
            <v>in storage</v>
          </cell>
          <cell r="K3787" t="str">
            <v>NCOU</v>
          </cell>
          <cell r="AB3787" t="str">
            <v>Kidney</v>
          </cell>
        </row>
        <row r="3788">
          <cell r="A3788" t="str">
            <v>in storage</v>
          </cell>
          <cell r="K3788" t="str">
            <v>NCOU</v>
          </cell>
          <cell r="AB3788" t="str">
            <v>Kidney</v>
          </cell>
        </row>
        <row r="3789">
          <cell r="A3789" t="str">
            <v>in storage</v>
          </cell>
          <cell r="K3789" t="str">
            <v>NCOU</v>
          </cell>
          <cell r="AB3789" t="str">
            <v>Spleen</v>
          </cell>
        </row>
        <row r="3790">
          <cell r="A3790" t="str">
            <v>in storage</v>
          </cell>
          <cell r="K3790" t="str">
            <v>NCOU</v>
          </cell>
          <cell r="AB3790" t="str">
            <v>Heart</v>
          </cell>
        </row>
        <row r="3791">
          <cell r="A3791" t="str">
            <v>in storage</v>
          </cell>
          <cell r="K3791" t="str">
            <v>NCOU</v>
          </cell>
          <cell r="AB3791" t="str">
            <v>Lung</v>
          </cell>
        </row>
        <row r="3792">
          <cell r="A3792" t="str">
            <v>in storage</v>
          </cell>
          <cell r="K3792" t="str">
            <v>NCOU</v>
          </cell>
          <cell r="AB3792" t="str">
            <v>Liver</v>
          </cell>
        </row>
        <row r="3793">
          <cell r="A3793" t="str">
            <v>in storage</v>
          </cell>
          <cell r="K3793" t="str">
            <v>NCOU</v>
          </cell>
          <cell r="AB3793" t="str">
            <v>Skin</v>
          </cell>
        </row>
        <row r="3794">
          <cell r="A3794" t="str">
            <v>unk</v>
          </cell>
          <cell r="K3794" t="str">
            <v>NCOU</v>
          </cell>
          <cell r="AB3794" t="str">
            <v>Eye</v>
          </cell>
        </row>
        <row r="3795">
          <cell r="A3795" t="str">
            <v>unk</v>
          </cell>
          <cell r="K3795" t="str">
            <v>NCOU</v>
          </cell>
          <cell r="AB3795" t="str">
            <v>Pancreas</v>
          </cell>
        </row>
        <row r="3796">
          <cell r="A3796" t="str">
            <v>in storage</v>
          </cell>
          <cell r="K3796" t="str">
            <v>NCOU</v>
          </cell>
          <cell r="AB3796" t="str">
            <v>Mass- liver</v>
          </cell>
        </row>
        <row r="3797">
          <cell r="A3797" t="str">
            <v>in storage</v>
          </cell>
          <cell r="K3797" t="str">
            <v>NCOU</v>
          </cell>
          <cell r="AB3797" t="str">
            <v>Muscle</v>
          </cell>
        </row>
        <row r="3798">
          <cell r="A3798" t="str">
            <v>in storage</v>
          </cell>
          <cell r="K3798" t="str">
            <v>NCOU</v>
          </cell>
          <cell r="AB3798" t="str">
            <v>Muscle</v>
          </cell>
        </row>
        <row r="3799">
          <cell r="A3799" t="str">
            <v>in storage</v>
          </cell>
          <cell r="K3799" t="str">
            <v>NCOU</v>
          </cell>
          <cell r="AB3799" t="str">
            <v>Muscle</v>
          </cell>
        </row>
        <row r="3800">
          <cell r="A3800" t="str">
            <v>in storage</v>
          </cell>
          <cell r="K3800" t="str">
            <v>LCAT</v>
          </cell>
          <cell r="AB3800" t="str">
            <v>Liver</v>
          </cell>
        </row>
        <row r="3801">
          <cell r="A3801" t="str">
            <v>in storage</v>
          </cell>
          <cell r="K3801" t="str">
            <v>HGG</v>
          </cell>
          <cell r="AB3801" t="str">
            <v>GI Contents- small intestine</v>
          </cell>
        </row>
        <row r="3802">
          <cell r="A3802" t="str">
            <v>in storage</v>
          </cell>
          <cell r="K3802" t="str">
            <v>LCAT</v>
          </cell>
          <cell r="AB3802" t="str">
            <v>Kidney</v>
          </cell>
        </row>
        <row r="3803">
          <cell r="A3803" t="str">
            <v>in storage</v>
          </cell>
          <cell r="K3803" t="str">
            <v>LCAT</v>
          </cell>
          <cell r="AB3803" t="str">
            <v>Kidney</v>
          </cell>
        </row>
        <row r="3804">
          <cell r="A3804" t="str">
            <v>in storage</v>
          </cell>
          <cell r="K3804" t="str">
            <v>LCAT</v>
          </cell>
          <cell r="AB3804" t="str">
            <v>Spleen</v>
          </cell>
        </row>
        <row r="3805">
          <cell r="A3805" t="str">
            <v>in storage</v>
          </cell>
          <cell r="K3805" t="str">
            <v>LCAT</v>
          </cell>
          <cell r="AB3805" t="str">
            <v>Heart</v>
          </cell>
        </row>
        <row r="3806">
          <cell r="A3806" t="str">
            <v>in storage</v>
          </cell>
          <cell r="K3806" t="str">
            <v>LCAT</v>
          </cell>
          <cell r="AB3806" t="str">
            <v>Lung</v>
          </cell>
        </row>
        <row r="3807">
          <cell r="A3807" t="str">
            <v>in storage</v>
          </cell>
          <cell r="K3807" t="str">
            <v>LCAT</v>
          </cell>
          <cell r="AB3807" t="str">
            <v>Lung</v>
          </cell>
        </row>
        <row r="3808">
          <cell r="A3808" t="str">
            <v>in storage</v>
          </cell>
          <cell r="K3808" t="str">
            <v>LCAT</v>
          </cell>
          <cell r="AB3808" t="str">
            <v>Skin</v>
          </cell>
        </row>
        <row r="3809">
          <cell r="A3809" t="str">
            <v>in storage</v>
          </cell>
          <cell r="K3809" t="str">
            <v>LCAT</v>
          </cell>
          <cell r="AB3809" t="str">
            <v>Thyroid</v>
          </cell>
        </row>
        <row r="3810">
          <cell r="A3810" t="str">
            <v>in storage</v>
          </cell>
          <cell r="K3810" t="str">
            <v>HGG</v>
          </cell>
          <cell r="AB3810" t="str">
            <v>GI Contents- colon</v>
          </cell>
        </row>
        <row r="3811">
          <cell r="A3811" t="str">
            <v>in storage</v>
          </cell>
          <cell r="K3811" t="str">
            <v>LCAT</v>
          </cell>
          <cell r="AB3811" t="str">
            <v>Trachea</v>
          </cell>
        </row>
        <row r="3812">
          <cell r="A3812" t="str">
            <v>in storage</v>
          </cell>
          <cell r="K3812" t="str">
            <v>LCAT</v>
          </cell>
          <cell r="AB3812" t="str">
            <v>Muscle</v>
          </cell>
        </row>
        <row r="3813">
          <cell r="A3813" t="str">
            <v>in storage</v>
          </cell>
          <cell r="K3813" t="str">
            <v>ECOL</v>
          </cell>
          <cell r="AB3813" t="str">
            <v>Muscle</v>
          </cell>
        </row>
        <row r="3814">
          <cell r="A3814" t="str">
            <v>in storage</v>
          </cell>
          <cell r="K3814" t="str">
            <v>ECOL</v>
          </cell>
          <cell r="AB3814" t="str">
            <v>Eye</v>
          </cell>
        </row>
        <row r="3815">
          <cell r="A3815" t="str">
            <v>in storage</v>
          </cell>
          <cell r="K3815" t="str">
            <v>ECOL</v>
          </cell>
          <cell r="AB3815" t="str">
            <v>Liver</v>
          </cell>
        </row>
        <row r="3816">
          <cell r="A3816" t="str">
            <v>in storage</v>
          </cell>
          <cell r="K3816" t="str">
            <v>HGG</v>
          </cell>
          <cell r="AB3816" t="str">
            <v>GI Contents- colon</v>
          </cell>
        </row>
        <row r="3817">
          <cell r="A3817" t="str">
            <v>in storage</v>
          </cell>
          <cell r="K3817" t="str">
            <v>HGG</v>
          </cell>
          <cell r="AB3817" t="str">
            <v>GI Tract</v>
          </cell>
        </row>
        <row r="3818">
          <cell r="A3818" t="str">
            <v>in storage</v>
          </cell>
          <cell r="K3818" t="str">
            <v>ECOL</v>
          </cell>
          <cell r="AB3818" t="str">
            <v>Spleen</v>
          </cell>
        </row>
        <row r="3819">
          <cell r="A3819" t="str">
            <v>in storage</v>
          </cell>
          <cell r="K3819" t="str">
            <v>ECOL</v>
          </cell>
          <cell r="AB3819" t="str">
            <v>Heart</v>
          </cell>
        </row>
        <row r="3820">
          <cell r="A3820" t="str">
            <v>in storage</v>
          </cell>
          <cell r="K3820" t="str">
            <v>ECOL</v>
          </cell>
          <cell r="AB3820" t="str">
            <v>Lung</v>
          </cell>
        </row>
        <row r="3821">
          <cell r="A3821" t="str">
            <v>in storage</v>
          </cell>
          <cell r="K3821" t="str">
            <v>ECOL</v>
          </cell>
          <cell r="AB3821" t="str">
            <v>Lung</v>
          </cell>
        </row>
        <row r="3822">
          <cell r="A3822" t="str">
            <v>in storage</v>
          </cell>
          <cell r="K3822" t="str">
            <v>ECOL</v>
          </cell>
          <cell r="AB3822" t="str">
            <v>Skin</v>
          </cell>
        </row>
        <row r="3823">
          <cell r="A3823" t="str">
            <v>unk</v>
          </cell>
          <cell r="K3823" t="str">
            <v>ECOL</v>
          </cell>
          <cell r="AB3823" t="str">
            <v>Hair</v>
          </cell>
        </row>
        <row r="3824">
          <cell r="A3824" t="str">
            <v>unk</v>
          </cell>
          <cell r="K3824" t="str">
            <v>ECOL</v>
          </cell>
          <cell r="AB3824" t="str">
            <v>Hair</v>
          </cell>
        </row>
        <row r="3825">
          <cell r="A3825" t="str">
            <v>in storage</v>
          </cell>
          <cell r="K3825" t="str">
            <v>ECOL</v>
          </cell>
          <cell r="AB3825" t="str">
            <v>Kidney</v>
          </cell>
        </row>
        <row r="3826">
          <cell r="A3826" t="str">
            <v>in storage</v>
          </cell>
          <cell r="K3826" t="str">
            <v>ECOL</v>
          </cell>
          <cell r="AB3826" t="str">
            <v>Mass- liver</v>
          </cell>
        </row>
        <row r="3827">
          <cell r="A3827" t="str">
            <v>in storage</v>
          </cell>
          <cell r="K3827" t="str">
            <v>LCAT</v>
          </cell>
          <cell r="AB3827" t="str">
            <v>Tail</v>
          </cell>
        </row>
        <row r="3828">
          <cell r="A3828" t="str">
            <v>in storage</v>
          </cell>
          <cell r="K3828" t="str">
            <v>ECOR</v>
          </cell>
          <cell r="AB3828" t="str">
            <v>Mass- abdominal</v>
          </cell>
        </row>
        <row r="3829">
          <cell r="A3829" t="str">
            <v>in storage</v>
          </cell>
          <cell r="K3829" t="str">
            <v>ECOR</v>
          </cell>
          <cell r="AB3829" t="str">
            <v>Muscle</v>
          </cell>
        </row>
        <row r="3830">
          <cell r="A3830" t="str">
            <v>in storage</v>
          </cell>
          <cell r="K3830" t="str">
            <v>ECOR</v>
          </cell>
          <cell r="AB3830" t="str">
            <v>Muscle</v>
          </cell>
        </row>
        <row r="3831">
          <cell r="A3831" t="str">
            <v>gone</v>
          </cell>
          <cell r="K3831" t="str">
            <v>ECOR</v>
          </cell>
          <cell r="AB3831" t="str">
            <v>Skin</v>
          </cell>
        </row>
        <row r="3832">
          <cell r="A3832" t="str">
            <v>in storage</v>
          </cell>
          <cell r="K3832" t="str">
            <v>ECOR</v>
          </cell>
          <cell r="AB3832" t="str">
            <v>Kidney</v>
          </cell>
        </row>
        <row r="3833">
          <cell r="A3833" t="str">
            <v>in storage</v>
          </cell>
          <cell r="K3833" t="str">
            <v>ECOR</v>
          </cell>
          <cell r="AB3833" t="str">
            <v>Blood</v>
          </cell>
        </row>
        <row r="3834">
          <cell r="A3834" t="str">
            <v>in storage</v>
          </cell>
          <cell r="K3834" t="str">
            <v>ECOR</v>
          </cell>
          <cell r="AB3834" t="str">
            <v>Liver</v>
          </cell>
        </row>
        <row r="3835">
          <cell r="A3835" t="str">
            <v>unk</v>
          </cell>
          <cell r="K3835" t="str">
            <v>ECOR</v>
          </cell>
          <cell r="AB3835" t="str">
            <v>Heart</v>
          </cell>
        </row>
        <row r="3836">
          <cell r="A3836" t="str">
            <v>in storage</v>
          </cell>
          <cell r="K3836" t="str">
            <v>HGG</v>
          </cell>
          <cell r="AB3836" t="str">
            <v>GI- cecum</v>
          </cell>
        </row>
        <row r="3837">
          <cell r="A3837" t="str">
            <v>in storage</v>
          </cell>
          <cell r="K3837" t="str">
            <v>ECOR</v>
          </cell>
          <cell r="AB3837" t="str">
            <v>Eye</v>
          </cell>
        </row>
        <row r="3838">
          <cell r="A3838" t="str">
            <v>in storage</v>
          </cell>
          <cell r="K3838" t="str">
            <v>ECOR</v>
          </cell>
          <cell r="AB3838" t="str">
            <v>Liver</v>
          </cell>
        </row>
        <row r="3839">
          <cell r="A3839" t="str">
            <v>in storage</v>
          </cell>
          <cell r="K3839" t="str">
            <v>HGG</v>
          </cell>
          <cell r="AB3839" t="str">
            <v>GI- colon</v>
          </cell>
        </row>
        <row r="3840">
          <cell r="A3840" t="str">
            <v>in storage</v>
          </cell>
          <cell r="K3840" t="str">
            <v>HGG</v>
          </cell>
          <cell r="AB3840" t="str">
            <v>GI- small intestine</v>
          </cell>
        </row>
        <row r="3841">
          <cell r="A3841" t="str">
            <v>in storage</v>
          </cell>
          <cell r="K3841" t="str">
            <v>HGG</v>
          </cell>
          <cell r="AB3841" t="str">
            <v>GI- stomach</v>
          </cell>
        </row>
        <row r="3842">
          <cell r="A3842" t="str">
            <v>in storage</v>
          </cell>
          <cell r="K3842" t="str">
            <v>ECOR</v>
          </cell>
          <cell r="AB3842" t="str">
            <v>Pancreas</v>
          </cell>
        </row>
        <row r="3843">
          <cell r="A3843" t="str">
            <v>in storage</v>
          </cell>
          <cell r="K3843" t="str">
            <v>ECOR</v>
          </cell>
          <cell r="AB3843" t="str">
            <v>Kidney</v>
          </cell>
        </row>
        <row r="3844">
          <cell r="A3844" t="str">
            <v>in storage</v>
          </cell>
          <cell r="K3844" t="str">
            <v>ECOR</v>
          </cell>
          <cell r="AB3844" t="str">
            <v>Kidney</v>
          </cell>
        </row>
        <row r="3845">
          <cell r="A3845" t="str">
            <v>in storage</v>
          </cell>
          <cell r="K3845" t="str">
            <v>ECOR</v>
          </cell>
          <cell r="AB3845" t="str">
            <v>Spleen</v>
          </cell>
        </row>
        <row r="3846">
          <cell r="A3846" t="str">
            <v>in storage</v>
          </cell>
          <cell r="K3846" t="str">
            <v>ECOR</v>
          </cell>
          <cell r="AB3846" t="str">
            <v>Heart</v>
          </cell>
        </row>
        <row r="3847">
          <cell r="A3847" t="str">
            <v>in storage</v>
          </cell>
          <cell r="K3847" t="str">
            <v>ECOR</v>
          </cell>
          <cell r="AB3847" t="str">
            <v>Skin</v>
          </cell>
        </row>
        <row r="3848">
          <cell r="A3848" t="str">
            <v>in storage</v>
          </cell>
          <cell r="K3848" t="str">
            <v>ECOR</v>
          </cell>
          <cell r="AB3848" t="str">
            <v>Lung</v>
          </cell>
        </row>
        <row r="3849">
          <cell r="A3849" t="str">
            <v>in storage</v>
          </cell>
          <cell r="K3849" t="str">
            <v>ECOR</v>
          </cell>
          <cell r="AB3849" t="str">
            <v>Mass- liver</v>
          </cell>
        </row>
        <row r="3850">
          <cell r="A3850" t="str">
            <v>in storage</v>
          </cell>
          <cell r="K3850" t="str">
            <v>ECOL</v>
          </cell>
          <cell r="AB3850" t="str">
            <v>Muscle</v>
          </cell>
        </row>
        <row r="3851">
          <cell r="A3851" t="str">
            <v>in storage</v>
          </cell>
          <cell r="K3851" t="str">
            <v>ECOL</v>
          </cell>
          <cell r="AB3851" t="str">
            <v>RU- accessory sex glands/ bladder</v>
          </cell>
        </row>
        <row r="3852">
          <cell r="A3852" t="str">
            <v>in storage</v>
          </cell>
          <cell r="K3852" t="str">
            <v>ECOL</v>
          </cell>
          <cell r="AB3852" t="str">
            <v>Eye</v>
          </cell>
        </row>
        <row r="3853">
          <cell r="A3853" t="str">
            <v>in storage</v>
          </cell>
          <cell r="K3853" t="str">
            <v>ECOL</v>
          </cell>
          <cell r="AB3853" t="str">
            <v>Liver</v>
          </cell>
        </row>
        <row r="3854">
          <cell r="A3854" t="str">
            <v>in storage</v>
          </cell>
          <cell r="K3854" t="str">
            <v>HGG</v>
          </cell>
          <cell r="AB3854" t="str">
            <v>GI- duodenum</v>
          </cell>
        </row>
        <row r="3855">
          <cell r="A3855" t="str">
            <v>in storage</v>
          </cell>
          <cell r="K3855" t="str">
            <v>HGG</v>
          </cell>
          <cell r="AB3855" t="str">
            <v>GI- cecum</v>
          </cell>
        </row>
        <row r="3856">
          <cell r="A3856" t="str">
            <v>in storage</v>
          </cell>
          <cell r="K3856" t="str">
            <v>ECOL</v>
          </cell>
          <cell r="AB3856" t="str">
            <v>Kidney</v>
          </cell>
        </row>
        <row r="3857">
          <cell r="A3857" t="str">
            <v>in storage</v>
          </cell>
          <cell r="K3857" t="str">
            <v>ECOL</v>
          </cell>
          <cell r="AB3857" t="str">
            <v>Kidney</v>
          </cell>
        </row>
        <row r="3858">
          <cell r="A3858" t="str">
            <v>in storage</v>
          </cell>
          <cell r="K3858" t="str">
            <v>ECOL</v>
          </cell>
          <cell r="AB3858" t="str">
            <v>Spleen</v>
          </cell>
        </row>
        <row r="3859">
          <cell r="A3859" t="str">
            <v>in storage</v>
          </cell>
          <cell r="K3859" t="str">
            <v>ECOL</v>
          </cell>
          <cell r="AB3859" t="str">
            <v>Heart</v>
          </cell>
        </row>
        <row r="3860">
          <cell r="A3860" t="str">
            <v>in storage</v>
          </cell>
          <cell r="K3860" t="str">
            <v>ECOL</v>
          </cell>
          <cell r="AB3860" t="str">
            <v>Lung</v>
          </cell>
        </row>
        <row r="3861">
          <cell r="A3861" t="str">
            <v>in storage</v>
          </cell>
          <cell r="K3861" t="str">
            <v>ECOL</v>
          </cell>
          <cell r="AB3861" t="str">
            <v>Lung</v>
          </cell>
        </row>
        <row r="3862">
          <cell r="A3862" t="str">
            <v>in storage</v>
          </cell>
          <cell r="K3862" t="str">
            <v>ECOL</v>
          </cell>
          <cell r="AB3862" t="str">
            <v>Skin</v>
          </cell>
        </row>
        <row r="3863">
          <cell r="A3863" t="str">
            <v>in storage</v>
          </cell>
          <cell r="K3863" t="str">
            <v>ECOL</v>
          </cell>
          <cell r="AB3863" t="str">
            <v>R- teste(s)</v>
          </cell>
        </row>
        <row r="3864">
          <cell r="A3864" t="str">
            <v>in storage</v>
          </cell>
          <cell r="K3864" t="str">
            <v>ECOL</v>
          </cell>
          <cell r="AB3864" t="str">
            <v>R- teste(s)</v>
          </cell>
        </row>
        <row r="3865">
          <cell r="A3865" t="str">
            <v>in storage</v>
          </cell>
          <cell r="K3865" t="str">
            <v>EMAC</v>
          </cell>
          <cell r="AB3865" t="str">
            <v>Muscle</v>
          </cell>
        </row>
        <row r="3866">
          <cell r="A3866" t="str">
            <v>in storage</v>
          </cell>
          <cell r="K3866" t="str">
            <v>EMAC</v>
          </cell>
          <cell r="AB3866" t="str">
            <v>Muscle</v>
          </cell>
        </row>
        <row r="3867">
          <cell r="A3867" t="str">
            <v>in storage</v>
          </cell>
          <cell r="K3867" t="str">
            <v>HGG</v>
          </cell>
          <cell r="AB3867" t="str">
            <v>GI- esophagus</v>
          </cell>
        </row>
        <row r="3868">
          <cell r="A3868" t="str">
            <v>in storage</v>
          </cell>
          <cell r="K3868" t="str">
            <v>EMAC</v>
          </cell>
          <cell r="AB3868" t="str">
            <v>Kidney</v>
          </cell>
        </row>
        <row r="3869">
          <cell r="A3869" t="str">
            <v>in storage</v>
          </cell>
          <cell r="K3869" t="str">
            <v>EMAC</v>
          </cell>
          <cell r="AB3869" t="str">
            <v>Blood</v>
          </cell>
        </row>
        <row r="3870">
          <cell r="A3870" t="str">
            <v>in storage</v>
          </cell>
          <cell r="K3870" t="str">
            <v>EMAC</v>
          </cell>
          <cell r="AB3870" t="str">
            <v>Heart</v>
          </cell>
        </row>
        <row r="3871">
          <cell r="A3871" t="str">
            <v>in storage</v>
          </cell>
          <cell r="K3871" t="str">
            <v>EMAC</v>
          </cell>
          <cell r="AB3871" t="str">
            <v>Skin</v>
          </cell>
        </row>
        <row r="3872">
          <cell r="A3872" t="str">
            <v>in storage</v>
          </cell>
          <cell r="K3872" t="str">
            <v>EMAC</v>
          </cell>
          <cell r="AB3872" t="str">
            <v>Liver</v>
          </cell>
        </row>
        <row r="3873">
          <cell r="A3873" t="str">
            <v>in storage</v>
          </cell>
          <cell r="K3873" t="str">
            <v>EMAC</v>
          </cell>
          <cell r="AB3873" t="str">
            <v>Eye</v>
          </cell>
        </row>
        <row r="3874">
          <cell r="A3874" t="str">
            <v>in storage</v>
          </cell>
          <cell r="K3874" t="str">
            <v>EMAC</v>
          </cell>
          <cell r="AB3874" t="str">
            <v>Lymph node- mesenteric</v>
          </cell>
        </row>
        <row r="3875">
          <cell r="A3875" t="str">
            <v>in storage</v>
          </cell>
          <cell r="K3875" t="str">
            <v>EMAC</v>
          </cell>
          <cell r="AB3875" t="str">
            <v>Liver</v>
          </cell>
        </row>
        <row r="3876">
          <cell r="A3876" t="str">
            <v>in storage</v>
          </cell>
          <cell r="K3876" t="str">
            <v>HGG</v>
          </cell>
          <cell r="AB3876" t="str">
            <v>GI- rectum</v>
          </cell>
        </row>
        <row r="3877">
          <cell r="A3877" t="str">
            <v>in storage</v>
          </cell>
          <cell r="K3877" t="str">
            <v>HGG</v>
          </cell>
          <cell r="AB3877" t="str">
            <v>GI- colon</v>
          </cell>
        </row>
        <row r="3878">
          <cell r="A3878" t="str">
            <v>in storage</v>
          </cell>
          <cell r="K3878" t="str">
            <v>HGG</v>
          </cell>
          <cell r="AB3878" t="str">
            <v>GI- colon</v>
          </cell>
        </row>
        <row r="3879">
          <cell r="A3879" t="str">
            <v>in storage</v>
          </cell>
          <cell r="K3879" t="str">
            <v>EMAC</v>
          </cell>
          <cell r="AB3879" t="str">
            <v>Pancreas</v>
          </cell>
        </row>
        <row r="3880">
          <cell r="A3880" t="str">
            <v>in storage</v>
          </cell>
          <cell r="K3880" t="str">
            <v>EMAC</v>
          </cell>
          <cell r="AB3880" t="str">
            <v>Kidney</v>
          </cell>
        </row>
        <row r="3881">
          <cell r="A3881" t="str">
            <v>in storage</v>
          </cell>
          <cell r="K3881" t="str">
            <v>EMAC</v>
          </cell>
          <cell r="AB3881" t="str">
            <v>Kidney</v>
          </cell>
        </row>
        <row r="3882">
          <cell r="A3882" t="str">
            <v>in storage</v>
          </cell>
          <cell r="K3882" t="str">
            <v>EMAC</v>
          </cell>
          <cell r="AB3882" t="str">
            <v>Spleen</v>
          </cell>
        </row>
        <row r="3883">
          <cell r="A3883" t="str">
            <v>in storage</v>
          </cell>
          <cell r="K3883" t="str">
            <v>EMAC</v>
          </cell>
          <cell r="AB3883" t="str">
            <v>Heart</v>
          </cell>
        </row>
        <row r="3884">
          <cell r="A3884" t="str">
            <v>in storage</v>
          </cell>
          <cell r="K3884" t="str">
            <v>EMAC</v>
          </cell>
          <cell r="AB3884" t="str">
            <v>Lung</v>
          </cell>
        </row>
        <row r="3885">
          <cell r="A3885" t="str">
            <v>in storage</v>
          </cell>
          <cell r="K3885" t="str">
            <v>EMAC</v>
          </cell>
          <cell r="AB3885" t="str">
            <v>Lung</v>
          </cell>
        </row>
        <row r="3886">
          <cell r="A3886" t="str">
            <v>in storage</v>
          </cell>
          <cell r="K3886" t="str">
            <v>EMAC</v>
          </cell>
          <cell r="AB3886" t="str">
            <v>Skin</v>
          </cell>
        </row>
        <row r="3887">
          <cell r="A3887" t="str">
            <v>unk</v>
          </cell>
          <cell r="K3887" t="str">
            <v>EMAC</v>
          </cell>
          <cell r="AB3887" t="str">
            <v>Hair</v>
          </cell>
        </row>
        <row r="3888">
          <cell r="A3888" t="str">
            <v>in storage</v>
          </cell>
          <cell r="K3888" t="str">
            <v>EMAC</v>
          </cell>
          <cell r="AB3888" t="str">
            <v>R- teste(s)</v>
          </cell>
        </row>
        <row r="3889">
          <cell r="A3889" t="str">
            <v>in storage</v>
          </cell>
          <cell r="K3889" t="str">
            <v>EMAC</v>
          </cell>
          <cell r="AB3889" t="str">
            <v>R- teste(s)</v>
          </cell>
        </row>
        <row r="3890">
          <cell r="A3890" t="str">
            <v>in storage</v>
          </cell>
          <cell r="K3890" t="str">
            <v>EMAC</v>
          </cell>
          <cell r="AB3890" t="str">
            <v>Mass- liver</v>
          </cell>
        </row>
        <row r="3891">
          <cell r="A3891" t="str">
            <v>on hold</v>
          </cell>
          <cell r="K3891" t="str">
            <v>EFLA</v>
          </cell>
          <cell r="AB3891" t="str">
            <v>R- sperm plug</v>
          </cell>
        </row>
        <row r="3892">
          <cell r="A3892" t="str">
            <v>in storage</v>
          </cell>
          <cell r="K3892" t="str">
            <v>EFLA</v>
          </cell>
          <cell r="AB3892" t="str">
            <v>Muscle</v>
          </cell>
        </row>
        <row r="3893">
          <cell r="A3893" t="str">
            <v>in storage</v>
          </cell>
          <cell r="K3893" t="str">
            <v>HGG</v>
          </cell>
          <cell r="AB3893" t="str">
            <v>GI- large intestine</v>
          </cell>
        </row>
        <row r="3894">
          <cell r="A3894" t="str">
            <v>in storage</v>
          </cell>
          <cell r="K3894" t="str">
            <v>EFLA</v>
          </cell>
          <cell r="AB3894" t="str">
            <v>Eye</v>
          </cell>
        </row>
        <row r="3895">
          <cell r="A3895" t="str">
            <v>in storage</v>
          </cell>
          <cell r="K3895" t="str">
            <v>EFLA</v>
          </cell>
          <cell r="AB3895" t="str">
            <v>Liver</v>
          </cell>
        </row>
        <row r="3896">
          <cell r="A3896" t="str">
            <v>in storage</v>
          </cell>
          <cell r="K3896" t="str">
            <v>HGG</v>
          </cell>
          <cell r="AB3896" t="str">
            <v>GI- small intestine</v>
          </cell>
        </row>
        <row r="3897">
          <cell r="A3897" t="str">
            <v>in storage</v>
          </cell>
          <cell r="K3897" t="str">
            <v>HGG</v>
          </cell>
          <cell r="AB3897" t="str">
            <v>GI- stomach</v>
          </cell>
        </row>
        <row r="3898">
          <cell r="A3898" t="str">
            <v>in storage</v>
          </cell>
          <cell r="K3898" t="str">
            <v>HGG</v>
          </cell>
          <cell r="AB3898" t="str">
            <v>GI- ileum</v>
          </cell>
        </row>
        <row r="3899">
          <cell r="A3899" t="str">
            <v>in storage</v>
          </cell>
          <cell r="K3899" t="str">
            <v>EFLA</v>
          </cell>
          <cell r="AB3899" t="str">
            <v>Kidney</v>
          </cell>
        </row>
        <row r="3900">
          <cell r="A3900" t="str">
            <v>in storage</v>
          </cell>
          <cell r="K3900" t="str">
            <v>EFLA</v>
          </cell>
          <cell r="AB3900" t="str">
            <v>Kidney</v>
          </cell>
        </row>
        <row r="3901">
          <cell r="A3901" t="str">
            <v>in storage</v>
          </cell>
          <cell r="K3901" t="str">
            <v>EFLA</v>
          </cell>
          <cell r="AB3901" t="str">
            <v>Spleen</v>
          </cell>
        </row>
        <row r="3902">
          <cell r="A3902" t="str">
            <v>in storage</v>
          </cell>
          <cell r="K3902" t="str">
            <v>EFLA</v>
          </cell>
          <cell r="AB3902" t="str">
            <v>Heart</v>
          </cell>
        </row>
        <row r="3903">
          <cell r="A3903" t="str">
            <v>in storage</v>
          </cell>
          <cell r="K3903" t="str">
            <v>EFLA</v>
          </cell>
          <cell r="AB3903" t="str">
            <v>Lung</v>
          </cell>
        </row>
        <row r="3904">
          <cell r="A3904" t="str">
            <v>in storage</v>
          </cell>
          <cell r="K3904" t="str">
            <v>EFLA</v>
          </cell>
          <cell r="AB3904" t="str">
            <v>Lung</v>
          </cell>
        </row>
        <row r="3905">
          <cell r="A3905" t="str">
            <v>in storage</v>
          </cell>
          <cell r="K3905" t="str">
            <v>EFLA</v>
          </cell>
          <cell r="AB3905" t="str">
            <v>Skin</v>
          </cell>
        </row>
        <row r="3906">
          <cell r="A3906" t="str">
            <v>in storage</v>
          </cell>
          <cell r="K3906" t="str">
            <v>EMAC</v>
          </cell>
          <cell r="AB3906" t="str">
            <v>Muscle</v>
          </cell>
        </row>
        <row r="3907">
          <cell r="A3907" t="str">
            <v>in storage</v>
          </cell>
          <cell r="K3907" t="str">
            <v>EMAC</v>
          </cell>
          <cell r="AB3907" t="str">
            <v>Muscle</v>
          </cell>
        </row>
        <row r="3908">
          <cell r="A3908" t="str">
            <v>in storage</v>
          </cell>
          <cell r="K3908" t="str">
            <v>EMAC</v>
          </cell>
          <cell r="AB3908" t="str">
            <v>Adrenal gland</v>
          </cell>
        </row>
        <row r="3909">
          <cell r="A3909" t="str">
            <v>in storage</v>
          </cell>
          <cell r="K3909" t="str">
            <v>EMAC</v>
          </cell>
          <cell r="AB3909" t="str">
            <v>Blood</v>
          </cell>
        </row>
        <row r="3910">
          <cell r="A3910" t="str">
            <v>in storage</v>
          </cell>
          <cell r="K3910" t="str">
            <v>EMAC</v>
          </cell>
          <cell r="AB3910" t="str">
            <v>Heart</v>
          </cell>
        </row>
        <row r="3911">
          <cell r="A3911" t="str">
            <v>in storage</v>
          </cell>
          <cell r="K3911" t="str">
            <v>EMAC</v>
          </cell>
          <cell r="AB3911" t="str">
            <v>Skin</v>
          </cell>
        </row>
        <row r="3912">
          <cell r="A3912" t="str">
            <v>in storage</v>
          </cell>
          <cell r="K3912" t="str">
            <v>EMAC</v>
          </cell>
          <cell r="AB3912" t="str">
            <v>Spleen</v>
          </cell>
        </row>
        <row r="3913">
          <cell r="A3913" t="str">
            <v>in storage</v>
          </cell>
          <cell r="K3913" t="str">
            <v>EMAC</v>
          </cell>
          <cell r="AB3913" t="str">
            <v>Liver</v>
          </cell>
        </row>
        <row r="3914">
          <cell r="A3914" t="str">
            <v>in storage</v>
          </cell>
          <cell r="K3914" t="str">
            <v>EMAC</v>
          </cell>
          <cell r="AB3914" t="str">
            <v>Kidney</v>
          </cell>
        </row>
        <row r="3915">
          <cell r="A3915" t="str">
            <v>in storage</v>
          </cell>
          <cell r="K3915" t="str">
            <v>EMAC</v>
          </cell>
          <cell r="AB3915" t="str">
            <v>Lung</v>
          </cell>
        </row>
        <row r="3916">
          <cell r="A3916" t="str">
            <v>in storage</v>
          </cell>
          <cell r="K3916" t="str">
            <v>EMAC</v>
          </cell>
          <cell r="AB3916" t="str">
            <v>Eye</v>
          </cell>
        </row>
        <row r="3917">
          <cell r="A3917" t="str">
            <v>in storage</v>
          </cell>
          <cell r="K3917" t="str">
            <v>EMAC</v>
          </cell>
          <cell r="AB3917" t="str">
            <v>Liver</v>
          </cell>
        </row>
        <row r="3918">
          <cell r="A3918" t="str">
            <v>in storage</v>
          </cell>
          <cell r="K3918" t="str">
            <v>HGG</v>
          </cell>
          <cell r="AB3918" t="str">
            <v>GI- jejunum</v>
          </cell>
        </row>
        <row r="3919">
          <cell r="A3919" t="str">
            <v>in storage</v>
          </cell>
          <cell r="K3919" t="str">
            <v>EMAC</v>
          </cell>
          <cell r="AB3919" t="str">
            <v>Pancreas</v>
          </cell>
        </row>
        <row r="3920">
          <cell r="A3920" t="str">
            <v>in storage</v>
          </cell>
          <cell r="K3920" t="str">
            <v>EMAC</v>
          </cell>
          <cell r="AB3920" t="str">
            <v>Kidney</v>
          </cell>
        </row>
        <row r="3921">
          <cell r="A3921" t="str">
            <v>in storage</v>
          </cell>
          <cell r="K3921" t="str">
            <v>EMAC</v>
          </cell>
          <cell r="AB3921" t="str">
            <v>Kidney</v>
          </cell>
        </row>
        <row r="3922">
          <cell r="A3922" t="str">
            <v>in storage</v>
          </cell>
          <cell r="K3922" t="str">
            <v>EMAC</v>
          </cell>
          <cell r="AB3922" t="str">
            <v>Spleen</v>
          </cell>
        </row>
        <row r="3923">
          <cell r="A3923" t="str">
            <v>in storage</v>
          </cell>
          <cell r="K3923" t="str">
            <v>EMAC</v>
          </cell>
          <cell r="AB3923" t="str">
            <v>Heart</v>
          </cell>
        </row>
        <row r="3924">
          <cell r="A3924" t="str">
            <v>in storage</v>
          </cell>
          <cell r="K3924" t="str">
            <v>EMAC</v>
          </cell>
          <cell r="AB3924" t="str">
            <v>Lung</v>
          </cell>
        </row>
        <row r="3925">
          <cell r="A3925" t="str">
            <v>in storage</v>
          </cell>
          <cell r="K3925" t="str">
            <v>EMAC</v>
          </cell>
          <cell r="AB3925" t="str">
            <v>Lung</v>
          </cell>
        </row>
        <row r="3926">
          <cell r="A3926" t="str">
            <v>in storage</v>
          </cell>
          <cell r="K3926" t="str">
            <v>EMAC</v>
          </cell>
          <cell r="AB3926" t="str">
            <v>Skin</v>
          </cell>
        </row>
        <row r="3927">
          <cell r="A3927" t="str">
            <v>unk</v>
          </cell>
          <cell r="K3927" t="str">
            <v>EMAC</v>
          </cell>
          <cell r="AB3927" t="str">
            <v>Hair</v>
          </cell>
        </row>
        <row r="3928">
          <cell r="A3928" t="str">
            <v>in storage</v>
          </cell>
          <cell r="K3928" t="str">
            <v>EMAC</v>
          </cell>
          <cell r="AB3928" t="str">
            <v>Thyroid</v>
          </cell>
        </row>
        <row r="3929">
          <cell r="A3929" t="str">
            <v>in storage</v>
          </cell>
          <cell r="K3929" t="str">
            <v>EMAC</v>
          </cell>
          <cell r="AB3929" t="str">
            <v>R- teste(s)</v>
          </cell>
        </row>
        <row r="3930">
          <cell r="A3930" t="str">
            <v>in storage</v>
          </cell>
          <cell r="K3930" t="str">
            <v>EMAC</v>
          </cell>
          <cell r="AB3930" t="str">
            <v>R- teste(s)</v>
          </cell>
        </row>
        <row r="3931">
          <cell r="A3931" t="str">
            <v>in storage</v>
          </cell>
          <cell r="K3931" t="str">
            <v>EMAC</v>
          </cell>
          <cell r="AB3931" t="str">
            <v>RU- urogenital tract</v>
          </cell>
        </row>
        <row r="3932">
          <cell r="A3932" t="str">
            <v>in storage</v>
          </cell>
          <cell r="K3932" t="str">
            <v>HGG</v>
          </cell>
          <cell r="AB3932" t="str">
            <v>Eye</v>
          </cell>
        </row>
        <row r="3933">
          <cell r="A3933" t="str">
            <v>in storage</v>
          </cell>
          <cell r="K3933" t="str">
            <v>HGG</v>
          </cell>
          <cell r="AB3933" t="str">
            <v>Kidney</v>
          </cell>
        </row>
        <row r="3934">
          <cell r="A3934" t="str">
            <v>in storage</v>
          </cell>
          <cell r="K3934" t="str">
            <v>HGG</v>
          </cell>
          <cell r="AB3934" t="str">
            <v>Liver</v>
          </cell>
        </row>
        <row r="3935">
          <cell r="A3935" t="str">
            <v>in storage</v>
          </cell>
          <cell r="K3935" t="str">
            <v>HGG</v>
          </cell>
          <cell r="AB3935" t="str">
            <v>Skin</v>
          </cell>
        </row>
        <row r="3936">
          <cell r="A3936" t="str">
            <v>in storage</v>
          </cell>
          <cell r="K3936" t="str">
            <v>HGG</v>
          </cell>
          <cell r="AB3936" t="str">
            <v>Liver</v>
          </cell>
        </row>
        <row r="3937">
          <cell r="A3937" t="str">
            <v>in storage</v>
          </cell>
          <cell r="K3937" t="str">
            <v>HGG</v>
          </cell>
          <cell r="AB3937" t="str">
            <v>GI- esophagus</v>
          </cell>
        </row>
        <row r="3938">
          <cell r="A3938" t="str">
            <v>in storage</v>
          </cell>
          <cell r="K3938" t="str">
            <v>HGG</v>
          </cell>
          <cell r="AB3938" t="str">
            <v>GI- colon</v>
          </cell>
        </row>
        <row r="3939">
          <cell r="A3939" t="str">
            <v>in storage</v>
          </cell>
          <cell r="K3939" t="str">
            <v>HGG</v>
          </cell>
          <cell r="AB3939" t="str">
            <v>GI- colon</v>
          </cell>
        </row>
        <row r="3940">
          <cell r="A3940" t="str">
            <v>in storage</v>
          </cell>
          <cell r="K3940" t="str">
            <v>HGG</v>
          </cell>
          <cell r="AB3940" t="str">
            <v>Pancreas</v>
          </cell>
        </row>
        <row r="3941">
          <cell r="A3941" t="str">
            <v>in storage</v>
          </cell>
          <cell r="K3941" t="str">
            <v>HGG</v>
          </cell>
          <cell r="AB3941" t="str">
            <v>Kidney</v>
          </cell>
        </row>
        <row r="3942">
          <cell r="A3942" t="str">
            <v>in storage</v>
          </cell>
          <cell r="K3942" t="str">
            <v>HGG</v>
          </cell>
          <cell r="AB3942" t="str">
            <v>Kidney</v>
          </cell>
        </row>
        <row r="3943">
          <cell r="A3943" t="str">
            <v>in storage</v>
          </cell>
          <cell r="K3943" t="str">
            <v>HGG</v>
          </cell>
          <cell r="AB3943" t="str">
            <v>Spleen</v>
          </cell>
        </row>
        <row r="3944">
          <cell r="A3944" t="str">
            <v>in storage</v>
          </cell>
          <cell r="K3944" t="str">
            <v>HGG</v>
          </cell>
          <cell r="AB3944" t="str">
            <v>Heart</v>
          </cell>
        </row>
        <row r="3945">
          <cell r="A3945" t="str">
            <v>in storage</v>
          </cell>
          <cell r="K3945" t="str">
            <v>HGG</v>
          </cell>
          <cell r="AB3945" t="str">
            <v>Lung</v>
          </cell>
        </row>
        <row r="3946">
          <cell r="A3946" t="str">
            <v>in storage</v>
          </cell>
          <cell r="K3946" t="str">
            <v>HGG</v>
          </cell>
          <cell r="AB3946" t="str">
            <v>Lung</v>
          </cell>
        </row>
        <row r="3947">
          <cell r="A3947" t="str">
            <v>in storage</v>
          </cell>
          <cell r="K3947" t="str">
            <v>HGG</v>
          </cell>
          <cell r="AB3947" t="str">
            <v>Skin</v>
          </cell>
        </row>
        <row r="3948">
          <cell r="A3948" t="str">
            <v>in storage</v>
          </cell>
          <cell r="K3948" t="str">
            <v>HGG</v>
          </cell>
          <cell r="AB3948" t="str">
            <v>Muscle</v>
          </cell>
        </row>
        <row r="3949">
          <cell r="A3949" t="str">
            <v>in storage</v>
          </cell>
          <cell r="K3949" t="str">
            <v>HGG</v>
          </cell>
          <cell r="AB3949" t="str">
            <v>Muscle</v>
          </cell>
        </row>
        <row r="3950">
          <cell r="A3950" t="str">
            <v>in storage</v>
          </cell>
          <cell r="K3950" t="str">
            <v>EFUL</v>
          </cell>
          <cell r="AB3950" t="str">
            <v>Muscle</v>
          </cell>
        </row>
        <row r="3951">
          <cell r="A3951" t="str">
            <v>in storage</v>
          </cell>
          <cell r="K3951" t="str">
            <v>EFUL</v>
          </cell>
          <cell r="AB3951" t="str">
            <v>Muscle</v>
          </cell>
        </row>
        <row r="3952">
          <cell r="A3952" t="str">
            <v>in storage</v>
          </cell>
          <cell r="K3952" t="str">
            <v>EFUL</v>
          </cell>
          <cell r="AB3952" t="str">
            <v>Kidney</v>
          </cell>
        </row>
        <row r="3953">
          <cell r="A3953" t="str">
            <v>in storage</v>
          </cell>
          <cell r="K3953" t="str">
            <v>EFUL</v>
          </cell>
          <cell r="AB3953" t="str">
            <v>Blood</v>
          </cell>
        </row>
        <row r="3954">
          <cell r="A3954" t="str">
            <v>in storage</v>
          </cell>
          <cell r="K3954" t="str">
            <v>EFUL</v>
          </cell>
          <cell r="AB3954" t="str">
            <v>Blood</v>
          </cell>
        </row>
        <row r="3955">
          <cell r="A3955" t="str">
            <v>in storage</v>
          </cell>
          <cell r="K3955" t="str">
            <v>EFUL</v>
          </cell>
          <cell r="AB3955" t="str">
            <v>Heart</v>
          </cell>
        </row>
        <row r="3956">
          <cell r="A3956" t="str">
            <v>in storage</v>
          </cell>
          <cell r="K3956" t="str">
            <v>EFUL</v>
          </cell>
          <cell r="AB3956" t="str">
            <v>Lung</v>
          </cell>
        </row>
        <row r="3957">
          <cell r="A3957" t="str">
            <v>in storage</v>
          </cell>
          <cell r="K3957" t="str">
            <v>EFUL</v>
          </cell>
          <cell r="AB3957" t="str">
            <v>Pancreas</v>
          </cell>
        </row>
        <row r="3958">
          <cell r="A3958" t="str">
            <v>in storage</v>
          </cell>
          <cell r="K3958" t="str">
            <v>EFUL</v>
          </cell>
          <cell r="AB3958" t="str">
            <v>Skin</v>
          </cell>
        </row>
        <row r="3959">
          <cell r="A3959" t="str">
            <v>in storage</v>
          </cell>
          <cell r="K3959" t="str">
            <v>EFUL</v>
          </cell>
          <cell r="AB3959" t="str">
            <v>Liver</v>
          </cell>
        </row>
        <row r="3960">
          <cell r="A3960" t="str">
            <v>in storage</v>
          </cell>
          <cell r="K3960" t="str">
            <v>EFUL</v>
          </cell>
          <cell r="AB3960" t="str">
            <v>Eye</v>
          </cell>
        </row>
        <row r="3961">
          <cell r="A3961" t="str">
            <v>in storage</v>
          </cell>
          <cell r="K3961" t="str">
            <v>HGG</v>
          </cell>
          <cell r="AB3961" t="str">
            <v>GI- jejunum/ small intestine</v>
          </cell>
        </row>
        <row r="3962">
          <cell r="A3962" t="str">
            <v>in storage</v>
          </cell>
          <cell r="K3962" t="str">
            <v>EFUL</v>
          </cell>
          <cell r="AB3962" t="str">
            <v>Pancreas</v>
          </cell>
        </row>
        <row r="3963">
          <cell r="A3963" t="str">
            <v>in storage</v>
          </cell>
          <cell r="K3963" t="str">
            <v>EFUL</v>
          </cell>
          <cell r="AB3963" t="str">
            <v>Kidney</v>
          </cell>
        </row>
        <row r="3964">
          <cell r="A3964" t="str">
            <v>in storage</v>
          </cell>
          <cell r="K3964" t="str">
            <v>EFUL</v>
          </cell>
          <cell r="AB3964" t="str">
            <v>Kidney</v>
          </cell>
        </row>
        <row r="3965">
          <cell r="A3965" t="str">
            <v>in storage</v>
          </cell>
          <cell r="K3965" t="str">
            <v>EFUL</v>
          </cell>
          <cell r="AB3965" t="str">
            <v>Spleen</v>
          </cell>
        </row>
        <row r="3966">
          <cell r="A3966" t="str">
            <v>in storage</v>
          </cell>
          <cell r="K3966" t="str">
            <v>EFUL</v>
          </cell>
          <cell r="AB3966" t="str">
            <v>Heart</v>
          </cell>
        </row>
        <row r="3967">
          <cell r="A3967" t="str">
            <v>in storage</v>
          </cell>
          <cell r="K3967" t="str">
            <v>EFUL</v>
          </cell>
          <cell r="AB3967" t="str">
            <v>Lung</v>
          </cell>
        </row>
        <row r="3968">
          <cell r="A3968" t="str">
            <v>in storage</v>
          </cell>
          <cell r="K3968" t="str">
            <v>EFUL</v>
          </cell>
          <cell r="AB3968" t="str">
            <v>Lung</v>
          </cell>
        </row>
        <row r="3969">
          <cell r="A3969" t="str">
            <v>in storage</v>
          </cell>
          <cell r="K3969" t="str">
            <v>EFUL</v>
          </cell>
          <cell r="AB3969" t="str">
            <v>Liver</v>
          </cell>
        </row>
        <row r="3970">
          <cell r="A3970" t="str">
            <v>in storage</v>
          </cell>
          <cell r="K3970" t="str">
            <v>EFUL</v>
          </cell>
          <cell r="AB3970" t="str">
            <v>Skin</v>
          </cell>
        </row>
        <row r="3971">
          <cell r="A3971" t="str">
            <v>unk</v>
          </cell>
          <cell r="K3971" t="str">
            <v>EFUL</v>
          </cell>
          <cell r="AB3971" t="str">
            <v>Eye</v>
          </cell>
        </row>
        <row r="3972">
          <cell r="A3972" t="str">
            <v>unk</v>
          </cell>
          <cell r="K3972" t="str">
            <v>EFUL</v>
          </cell>
          <cell r="AB3972" t="str">
            <v>Hair</v>
          </cell>
        </row>
        <row r="3973">
          <cell r="A3973" t="str">
            <v>in storage</v>
          </cell>
          <cell r="K3973" t="str">
            <v>PCOQ</v>
          </cell>
          <cell r="AB3973" t="str">
            <v>R- amniotic sac</v>
          </cell>
        </row>
        <row r="3974">
          <cell r="A3974" t="str">
            <v>in storage</v>
          </cell>
          <cell r="K3974" t="str">
            <v>PCOQ</v>
          </cell>
          <cell r="AB3974" t="str">
            <v>Liver</v>
          </cell>
        </row>
        <row r="3975">
          <cell r="A3975" t="str">
            <v>in storage</v>
          </cell>
          <cell r="K3975" t="str">
            <v>HGG</v>
          </cell>
          <cell r="AB3975" t="str">
            <v>GI- small intestine</v>
          </cell>
        </row>
        <row r="3976">
          <cell r="A3976" t="str">
            <v>in storage</v>
          </cell>
          <cell r="K3976" t="str">
            <v>PCOQ</v>
          </cell>
          <cell r="AB3976" t="str">
            <v>Kidney</v>
          </cell>
        </row>
        <row r="3977">
          <cell r="A3977" t="str">
            <v>in storage</v>
          </cell>
          <cell r="K3977" t="str">
            <v>PCOQ</v>
          </cell>
          <cell r="AB3977" t="str">
            <v>Kidney</v>
          </cell>
        </row>
        <row r="3978">
          <cell r="A3978" t="str">
            <v>in storage</v>
          </cell>
          <cell r="K3978" t="str">
            <v>PCOQ</v>
          </cell>
          <cell r="AB3978" t="str">
            <v>Spleen</v>
          </cell>
        </row>
        <row r="3979">
          <cell r="A3979" t="str">
            <v>in storage</v>
          </cell>
          <cell r="K3979" t="str">
            <v>PCOQ</v>
          </cell>
          <cell r="AB3979" t="str">
            <v>Lung</v>
          </cell>
        </row>
        <row r="3980">
          <cell r="A3980" t="str">
            <v>in storage</v>
          </cell>
          <cell r="K3980" t="str">
            <v>PCOQ</v>
          </cell>
          <cell r="AB3980" t="str">
            <v>Lung</v>
          </cell>
        </row>
        <row r="3981">
          <cell r="A3981" t="str">
            <v>in storage</v>
          </cell>
          <cell r="K3981" t="str">
            <v>PCOQ</v>
          </cell>
          <cell r="AB3981" t="str">
            <v>Heart</v>
          </cell>
        </row>
        <row r="3982">
          <cell r="A3982" t="str">
            <v>in storage</v>
          </cell>
          <cell r="K3982" t="str">
            <v>DMAD</v>
          </cell>
          <cell r="AB3982" t="str">
            <v>Muscle</v>
          </cell>
        </row>
        <row r="3983">
          <cell r="A3983" t="str">
            <v>in storage</v>
          </cell>
          <cell r="K3983" t="str">
            <v>DMAD</v>
          </cell>
          <cell r="AB3983" t="str">
            <v>Muscle</v>
          </cell>
        </row>
        <row r="3984">
          <cell r="A3984" t="str">
            <v>in storage</v>
          </cell>
          <cell r="K3984" t="str">
            <v>DMAD</v>
          </cell>
          <cell r="AB3984" t="str">
            <v>Muscle</v>
          </cell>
        </row>
        <row r="3985">
          <cell r="A3985" t="str">
            <v>in storage</v>
          </cell>
          <cell r="K3985" t="str">
            <v>DMAD</v>
          </cell>
          <cell r="AB3985" t="str">
            <v>Adrenal gland</v>
          </cell>
        </row>
        <row r="3986">
          <cell r="A3986" t="str">
            <v>in storage</v>
          </cell>
          <cell r="K3986" t="str">
            <v>DMAD</v>
          </cell>
          <cell r="AB3986" t="str">
            <v>Kidney</v>
          </cell>
        </row>
        <row r="3987">
          <cell r="A3987" t="str">
            <v>in storage</v>
          </cell>
          <cell r="K3987" t="str">
            <v>DMAD</v>
          </cell>
          <cell r="AB3987" t="str">
            <v>Kidney</v>
          </cell>
        </row>
        <row r="3988">
          <cell r="A3988" t="str">
            <v>gone</v>
          </cell>
          <cell r="K3988" t="str">
            <v>DMAD</v>
          </cell>
          <cell r="AB3988" t="str">
            <v>Blood</v>
          </cell>
        </row>
        <row r="3989">
          <cell r="A3989" t="str">
            <v>in storage</v>
          </cell>
          <cell r="K3989" t="str">
            <v>DMAD</v>
          </cell>
          <cell r="AB3989" t="str">
            <v>Blood</v>
          </cell>
        </row>
        <row r="3990">
          <cell r="A3990" t="str">
            <v>in storage</v>
          </cell>
          <cell r="K3990" t="str">
            <v>DMAD</v>
          </cell>
          <cell r="AB3990" t="str">
            <v>Heart</v>
          </cell>
        </row>
        <row r="3991">
          <cell r="A3991" t="str">
            <v>in storage</v>
          </cell>
          <cell r="K3991" t="str">
            <v>DMAD</v>
          </cell>
          <cell r="AB3991" t="str">
            <v>Heart</v>
          </cell>
        </row>
        <row r="3992">
          <cell r="A3992" t="str">
            <v>in storage</v>
          </cell>
          <cell r="K3992" t="str">
            <v>DMAD</v>
          </cell>
          <cell r="AB3992" t="str">
            <v>Lung</v>
          </cell>
        </row>
        <row r="3993">
          <cell r="A3993" t="str">
            <v>in storage</v>
          </cell>
          <cell r="K3993" t="str">
            <v>DMAD</v>
          </cell>
          <cell r="AB3993" t="str">
            <v>Lung</v>
          </cell>
        </row>
        <row r="3994">
          <cell r="A3994" t="str">
            <v>in storage</v>
          </cell>
          <cell r="K3994" t="str">
            <v>DMAD</v>
          </cell>
          <cell r="AB3994" t="str">
            <v>Pancreas</v>
          </cell>
        </row>
        <row r="3995">
          <cell r="A3995" t="str">
            <v>in storage</v>
          </cell>
          <cell r="K3995" t="str">
            <v>DMAD</v>
          </cell>
          <cell r="AB3995" t="str">
            <v>Pancreas</v>
          </cell>
        </row>
        <row r="3996">
          <cell r="A3996" t="str">
            <v>in storage</v>
          </cell>
          <cell r="K3996" t="str">
            <v>DMAD</v>
          </cell>
          <cell r="AB3996" t="str">
            <v>Skin</v>
          </cell>
        </row>
        <row r="3997">
          <cell r="A3997" t="str">
            <v>in storage</v>
          </cell>
          <cell r="K3997" t="str">
            <v>DMAD</v>
          </cell>
          <cell r="AB3997" t="str">
            <v>Skin</v>
          </cell>
        </row>
        <row r="3998">
          <cell r="A3998" t="str">
            <v>in storage</v>
          </cell>
          <cell r="K3998" t="str">
            <v>DMAD</v>
          </cell>
          <cell r="AB3998" t="str">
            <v>Spleen</v>
          </cell>
        </row>
        <row r="3999">
          <cell r="A3999" t="str">
            <v>in storage</v>
          </cell>
          <cell r="K3999" t="str">
            <v>DMAD</v>
          </cell>
          <cell r="AB3999" t="str">
            <v>Spleen</v>
          </cell>
        </row>
        <row r="4000">
          <cell r="A4000" t="str">
            <v>in storage</v>
          </cell>
          <cell r="K4000" t="str">
            <v>DMAD</v>
          </cell>
          <cell r="AB4000" t="str">
            <v>Liver</v>
          </cell>
        </row>
        <row r="4001">
          <cell r="A4001" t="str">
            <v>in storage</v>
          </cell>
          <cell r="K4001" t="str">
            <v>DMAD</v>
          </cell>
          <cell r="AB4001" t="str">
            <v>Liver</v>
          </cell>
        </row>
        <row r="4002">
          <cell r="A4002" t="str">
            <v>in storage</v>
          </cell>
          <cell r="K4002" t="str">
            <v>HGG</v>
          </cell>
          <cell r="AB4002" t="str">
            <v>GI- stomach</v>
          </cell>
        </row>
        <row r="4003">
          <cell r="A4003" t="str">
            <v>in storage</v>
          </cell>
          <cell r="K4003" t="str">
            <v>DMAD</v>
          </cell>
          <cell r="AB4003" t="str">
            <v>R- penis</v>
          </cell>
        </row>
        <row r="4004">
          <cell r="A4004" t="str">
            <v>in storage</v>
          </cell>
          <cell r="K4004" t="str">
            <v>DMAD</v>
          </cell>
          <cell r="AB4004" t="str">
            <v>R- prostate</v>
          </cell>
        </row>
        <row r="4005">
          <cell r="A4005" t="str">
            <v>in storage</v>
          </cell>
          <cell r="K4005" t="str">
            <v>HGG</v>
          </cell>
          <cell r="AB4005" t="str">
            <v>GI- ileum</v>
          </cell>
        </row>
        <row r="4006">
          <cell r="A4006" t="str">
            <v>in storage</v>
          </cell>
          <cell r="K4006" t="str">
            <v>DMAD</v>
          </cell>
          <cell r="AB4006" t="str">
            <v>Eye</v>
          </cell>
        </row>
        <row r="4007">
          <cell r="A4007" t="str">
            <v>in storage</v>
          </cell>
          <cell r="K4007" t="str">
            <v>HGG</v>
          </cell>
          <cell r="AB4007" t="str">
            <v>GI- jejunum</v>
          </cell>
        </row>
        <row r="4008">
          <cell r="A4008" t="str">
            <v>in storage</v>
          </cell>
          <cell r="K4008" t="str">
            <v>DMAD</v>
          </cell>
          <cell r="AB4008" t="str">
            <v>Lymph node- mesenteric</v>
          </cell>
        </row>
        <row r="4009">
          <cell r="A4009" t="str">
            <v>in storage</v>
          </cell>
          <cell r="K4009" t="str">
            <v>DMAD</v>
          </cell>
          <cell r="AB4009" t="str">
            <v>Sciatic nerve</v>
          </cell>
        </row>
        <row r="4010">
          <cell r="A4010" t="str">
            <v>in storage</v>
          </cell>
          <cell r="K4010" t="str">
            <v>HGG</v>
          </cell>
          <cell r="AB4010" t="str">
            <v>GI- large intestine</v>
          </cell>
        </row>
        <row r="4011">
          <cell r="A4011" t="str">
            <v>in storage</v>
          </cell>
          <cell r="K4011" t="str">
            <v>HGG</v>
          </cell>
          <cell r="AB4011" t="str">
            <v>GI- small intestine</v>
          </cell>
        </row>
        <row r="4012">
          <cell r="A4012" t="str">
            <v>in storage</v>
          </cell>
          <cell r="K4012" t="str">
            <v>HGG</v>
          </cell>
          <cell r="AB4012" t="str">
            <v>GI- stomach</v>
          </cell>
        </row>
        <row r="4013">
          <cell r="A4013" t="str">
            <v>in storage</v>
          </cell>
          <cell r="K4013" t="str">
            <v>DMAD</v>
          </cell>
          <cell r="AB4013" t="str">
            <v>Pancreas</v>
          </cell>
        </row>
        <row r="4014">
          <cell r="A4014" t="str">
            <v>in storage</v>
          </cell>
          <cell r="K4014" t="str">
            <v>DMAD</v>
          </cell>
          <cell r="AB4014" t="str">
            <v>Spleen</v>
          </cell>
        </row>
        <row r="4015">
          <cell r="A4015" t="str">
            <v>in storage</v>
          </cell>
          <cell r="K4015" t="str">
            <v>DMAD</v>
          </cell>
          <cell r="AB4015" t="str">
            <v>Heart</v>
          </cell>
        </row>
        <row r="4016">
          <cell r="A4016" t="str">
            <v>in storage</v>
          </cell>
          <cell r="K4016" t="str">
            <v>DMAD</v>
          </cell>
          <cell r="AB4016" t="str">
            <v>Lung</v>
          </cell>
        </row>
        <row r="4017">
          <cell r="A4017" t="str">
            <v>in storage</v>
          </cell>
          <cell r="K4017" t="str">
            <v>DMAD</v>
          </cell>
          <cell r="AB4017" t="str">
            <v>Lung</v>
          </cell>
        </row>
        <row r="4018">
          <cell r="A4018" t="str">
            <v>in storage</v>
          </cell>
          <cell r="K4018" t="str">
            <v>DMAD</v>
          </cell>
          <cell r="AB4018" t="str">
            <v>U- bladder</v>
          </cell>
        </row>
        <row r="4019">
          <cell r="A4019" t="str">
            <v>in storage</v>
          </cell>
          <cell r="K4019" t="str">
            <v>DMAD</v>
          </cell>
          <cell r="AB4019" t="str">
            <v>Liver</v>
          </cell>
        </row>
        <row r="4020">
          <cell r="A4020" t="str">
            <v>in storage</v>
          </cell>
          <cell r="K4020" t="str">
            <v>DMAD</v>
          </cell>
          <cell r="AB4020" t="str">
            <v>Skin</v>
          </cell>
        </row>
        <row r="4021">
          <cell r="A4021" t="str">
            <v>in storage</v>
          </cell>
          <cell r="K4021" t="str">
            <v>DMAD</v>
          </cell>
          <cell r="AB4021" t="str">
            <v>Skin</v>
          </cell>
        </row>
        <row r="4022">
          <cell r="A4022" t="str">
            <v>unk</v>
          </cell>
          <cell r="K4022" t="str">
            <v>DMAD</v>
          </cell>
          <cell r="AB4022" t="str">
            <v>Hair</v>
          </cell>
        </row>
        <row r="4023">
          <cell r="A4023" t="str">
            <v>unk</v>
          </cell>
          <cell r="K4023" t="str">
            <v>DMAD</v>
          </cell>
          <cell r="AB4023" t="str">
            <v>Hair</v>
          </cell>
        </row>
        <row r="4024">
          <cell r="A4024" t="str">
            <v>in storage</v>
          </cell>
          <cell r="K4024" t="str">
            <v>DMAD</v>
          </cell>
          <cell r="AB4024" t="str">
            <v>R- teste(s)</v>
          </cell>
        </row>
        <row r="4025">
          <cell r="A4025" t="str">
            <v>in storage</v>
          </cell>
          <cell r="K4025" t="str">
            <v>DMAD</v>
          </cell>
          <cell r="AB4025" t="str">
            <v>R- teste(s)</v>
          </cell>
        </row>
        <row r="4026">
          <cell r="A4026" t="str">
            <v>in storage</v>
          </cell>
          <cell r="K4026" t="str">
            <v>DMAD</v>
          </cell>
          <cell r="AB4026" t="str">
            <v>Kidney</v>
          </cell>
        </row>
        <row r="4027">
          <cell r="A4027" t="str">
            <v>in storage</v>
          </cell>
          <cell r="K4027" t="str">
            <v>DMAD</v>
          </cell>
          <cell r="AB4027" t="str">
            <v>R- teste(s)</v>
          </cell>
        </row>
        <row r="4028">
          <cell r="A4028" t="str">
            <v>in storage</v>
          </cell>
          <cell r="K4028" t="str">
            <v>DMAD</v>
          </cell>
          <cell r="AB4028" t="str">
            <v>R- teste(s)</v>
          </cell>
        </row>
        <row r="4029">
          <cell r="A4029" t="str">
            <v>in storage</v>
          </cell>
          <cell r="K4029" t="str">
            <v>HGG</v>
          </cell>
          <cell r="AB4029" t="str">
            <v>GI- cecum</v>
          </cell>
        </row>
        <row r="4030">
          <cell r="A4030" t="str">
            <v>in storage</v>
          </cell>
          <cell r="K4030" t="str">
            <v>DMAD</v>
          </cell>
          <cell r="AB4030" t="str">
            <v>Eye</v>
          </cell>
        </row>
        <row r="4031">
          <cell r="A4031" t="str">
            <v>in storage</v>
          </cell>
          <cell r="K4031" t="str">
            <v>ECOR</v>
          </cell>
          <cell r="AB4031" t="str">
            <v>Mass- bladder</v>
          </cell>
        </row>
        <row r="4032">
          <cell r="A4032" t="str">
            <v>in storage</v>
          </cell>
          <cell r="K4032" t="str">
            <v>ECOR</v>
          </cell>
          <cell r="AB4032" t="str">
            <v>Mass- bladder</v>
          </cell>
        </row>
        <row r="4033">
          <cell r="A4033" t="str">
            <v>in storage</v>
          </cell>
          <cell r="K4033" t="str">
            <v>ECOR</v>
          </cell>
          <cell r="AB4033" t="str">
            <v>Muscle</v>
          </cell>
        </row>
        <row r="4034">
          <cell r="A4034" t="str">
            <v>in storage</v>
          </cell>
          <cell r="K4034" t="str">
            <v>ECOR</v>
          </cell>
          <cell r="AB4034" t="str">
            <v>Muscle</v>
          </cell>
        </row>
        <row r="4035">
          <cell r="A4035" t="str">
            <v>in storage</v>
          </cell>
          <cell r="K4035" t="str">
            <v>ECOR</v>
          </cell>
          <cell r="AB4035" t="str">
            <v>Muscle</v>
          </cell>
        </row>
        <row r="4036">
          <cell r="A4036" t="str">
            <v>in storage</v>
          </cell>
          <cell r="K4036" t="str">
            <v>ECOR</v>
          </cell>
          <cell r="AB4036" t="str">
            <v>Eye</v>
          </cell>
        </row>
        <row r="4037">
          <cell r="A4037" t="str">
            <v>in storage</v>
          </cell>
          <cell r="K4037" t="str">
            <v>ECOR</v>
          </cell>
          <cell r="AB4037" t="str">
            <v>Adrenal gland</v>
          </cell>
        </row>
        <row r="4038">
          <cell r="A4038" t="str">
            <v>in storage</v>
          </cell>
          <cell r="K4038" t="str">
            <v>ECOR</v>
          </cell>
          <cell r="AB4038" t="str">
            <v>Kidney</v>
          </cell>
        </row>
        <row r="4039">
          <cell r="A4039" t="str">
            <v>in storage</v>
          </cell>
          <cell r="K4039" t="str">
            <v>ECOR</v>
          </cell>
          <cell r="AB4039" t="str">
            <v>Kidney</v>
          </cell>
        </row>
        <row r="4040">
          <cell r="A4040" t="str">
            <v>in storage</v>
          </cell>
          <cell r="K4040" t="str">
            <v>ECOR</v>
          </cell>
          <cell r="AB4040" t="str">
            <v>Liver</v>
          </cell>
        </row>
        <row r="4041">
          <cell r="A4041" t="str">
            <v>in storage</v>
          </cell>
          <cell r="K4041" t="str">
            <v>ECOR</v>
          </cell>
          <cell r="AB4041" t="str">
            <v>Liver</v>
          </cell>
        </row>
        <row r="4042">
          <cell r="A4042" t="str">
            <v>in storage</v>
          </cell>
          <cell r="K4042" t="str">
            <v>ECOR</v>
          </cell>
          <cell r="AB4042" t="str">
            <v>Blood</v>
          </cell>
        </row>
        <row r="4043">
          <cell r="A4043" t="str">
            <v>in storage</v>
          </cell>
          <cell r="K4043" t="str">
            <v>ECOR</v>
          </cell>
          <cell r="AB4043" t="str">
            <v>Blood</v>
          </cell>
        </row>
        <row r="4044">
          <cell r="A4044" t="str">
            <v>in storage</v>
          </cell>
          <cell r="K4044" t="str">
            <v>ECOR</v>
          </cell>
          <cell r="AB4044" t="str">
            <v>Skin</v>
          </cell>
        </row>
        <row r="4045">
          <cell r="A4045" t="str">
            <v>in storage</v>
          </cell>
          <cell r="K4045" t="str">
            <v>HGG</v>
          </cell>
          <cell r="AB4045" t="str">
            <v>GI- large intestine</v>
          </cell>
        </row>
        <row r="4046">
          <cell r="A4046" t="str">
            <v>in storage</v>
          </cell>
          <cell r="K4046" t="str">
            <v>HGG</v>
          </cell>
          <cell r="AB4046" t="str">
            <v>GI- small intestine</v>
          </cell>
        </row>
        <row r="4047">
          <cell r="A4047" t="str">
            <v>in storage</v>
          </cell>
          <cell r="K4047" t="str">
            <v>HGG</v>
          </cell>
          <cell r="AB4047" t="str">
            <v>GI- stomach</v>
          </cell>
        </row>
        <row r="4048">
          <cell r="A4048" t="str">
            <v>in storage</v>
          </cell>
          <cell r="K4048" t="str">
            <v>ECOR</v>
          </cell>
          <cell r="AB4048" t="str">
            <v>Eye</v>
          </cell>
        </row>
        <row r="4049">
          <cell r="A4049" t="str">
            <v>in storage</v>
          </cell>
          <cell r="K4049" t="str">
            <v>ECOR</v>
          </cell>
          <cell r="AB4049" t="str">
            <v>Liver</v>
          </cell>
        </row>
        <row r="4050">
          <cell r="A4050" t="str">
            <v>in storage</v>
          </cell>
          <cell r="K4050" t="str">
            <v>HGG</v>
          </cell>
          <cell r="AB4050" t="str">
            <v>GI- cecum</v>
          </cell>
        </row>
        <row r="4051">
          <cell r="A4051" t="str">
            <v>in storage</v>
          </cell>
          <cell r="K4051" t="str">
            <v>HGG</v>
          </cell>
          <cell r="AB4051" t="str">
            <v>GI- esophagus</v>
          </cell>
        </row>
        <row r="4052">
          <cell r="A4052" t="str">
            <v>in storage</v>
          </cell>
          <cell r="K4052" t="str">
            <v>ECOR</v>
          </cell>
          <cell r="AB4052" t="str">
            <v>Pancreas</v>
          </cell>
        </row>
        <row r="4053">
          <cell r="A4053" t="str">
            <v>in storage</v>
          </cell>
          <cell r="K4053" t="str">
            <v>ECOR</v>
          </cell>
          <cell r="AB4053" t="str">
            <v>Kidney</v>
          </cell>
        </row>
        <row r="4054">
          <cell r="A4054" t="str">
            <v>in storage</v>
          </cell>
          <cell r="K4054" t="str">
            <v>ECOR</v>
          </cell>
          <cell r="AB4054" t="str">
            <v>Kidney</v>
          </cell>
        </row>
        <row r="4055">
          <cell r="A4055" t="str">
            <v>in storage</v>
          </cell>
          <cell r="K4055" t="str">
            <v>ECOR</v>
          </cell>
          <cell r="AB4055" t="str">
            <v>Spleen</v>
          </cell>
        </row>
        <row r="4056">
          <cell r="A4056" t="str">
            <v>in storage</v>
          </cell>
          <cell r="K4056" t="str">
            <v>ECOR</v>
          </cell>
          <cell r="AB4056" t="str">
            <v>Heart</v>
          </cell>
        </row>
        <row r="4057">
          <cell r="A4057" t="str">
            <v>in storage</v>
          </cell>
          <cell r="K4057" t="str">
            <v>ECOR</v>
          </cell>
          <cell r="AB4057" t="str">
            <v>Lung</v>
          </cell>
        </row>
        <row r="4058">
          <cell r="A4058" t="str">
            <v>in storage</v>
          </cell>
          <cell r="K4058" t="str">
            <v>ECOR</v>
          </cell>
          <cell r="AB4058" t="str">
            <v>Lung</v>
          </cell>
        </row>
        <row r="4059">
          <cell r="A4059" t="str">
            <v>in storage</v>
          </cell>
          <cell r="K4059" t="str">
            <v>ECOR</v>
          </cell>
          <cell r="AB4059" t="str">
            <v>Liver</v>
          </cell>
        </row>
        <row r="4060">
          <cell r="A4060" t="str">
            <v>in storage</v>
          </cell>
          <cell r="K4060" t="str">
            <v>ECOR</v>
          </cell>
          <cell r="AB4060" t="str">
            <v>Skin</v>
          </cell>
        </row>
        <row r="4061">
          <cell r="A4061" t="str">
            <v>unk</v>
          </cell>
          <cell r="K4061" t="str">
            <v>ECOR</v>
          </cell>
          <cell r="AB4061" t="str">
            <v>Hair</v>
          </cell>
        </row>
        <row r="4062">
          <cell r="A4062" t="str">
            <v>in storage</v>
          </cell>
          <cell r="K4062" t="str">
            <v>HGG</v>
          </cell>
          <cell r="AB4062" t="str">
            <v>GI- large intestine</v>
          </cell>
        </row>
        <row r="4063">
          <cell r="A4063" t="str">
            <v>in storage</v>
          </cell>
          <cell r="K4063" t="str">
            <v>ECOL</v>
          </cell>
          <cell r="AB4063" t="str">
            <v>Muscle</v>
          </cell>
        </row>
        <row r="4064">
          <cell r="A4064" t="str">
            <v>in storage</v>
          </cell>
          <cell r="K4064" t="str">
            <v>ECOL</v>
          </cell>
          <cell r="AB4064" t="str">
            <v>Muscle</v>
          </cell>
        </row>
        <row r="4065">
          <cell r="A4065" t="str">
            <v>in storage</v>
          </cell>
          <cell r="K4065" t="str">
            <v>ECOL</v>
          </cell>
          <cell r="AB4065" t="str">
            <v>Muscle</v>
          </cell>
        </row>
        <row r="4066">
          <cell r="A4066" t="str">
            <v>in storage</v>
          </cell>
          <cell r="K4066" t="str">
            <v>ECOL</v>
          </cell>
          <cell r="AB4066" t="str">
            <v>Adrenal gland</v>
          </cell>
        </row>
        <row r="4067">
          <cell r="A4067" t="str">
            <v>in storage</v>
          </cell>
          <cell r="K4067" t="str">
            <v>ECOL</v>
          </cell>
          <cell r="AB4067" t="str">
            <v>R- ovary</v>
          </cell>
        </row>
        <row r="4068">
          <cell r="A4068" t="str">
            <v>in storage</v>
          </cell>
          <cell r="K4068" t="str">
            <v>ECOL</v>
          </cell>
          <cell r="AB4068" t="str">
            <v>R- ovary</v>
          </cell>
        </row>
        <row r="4069">
          <cell r="A4069" t="str">
            <v>in storage</v>
          </cell>
          <cell r="K4069" t="str">
            <v>ECOL</v>
          </cell>
          <cell r="AB4069" t="str">
            <v>Liver</v>
          </cell>
        </row>
        <row r="4070">
          <cell r="A4070" t="str">
            <v>in storage</v>
          </cell>
          <cell r="K4070" t="str">
            <v>ECOL</v>
          </cell>
          <cell r="AB4070" t="str">
            <v>Liver</v>
          </cell>
        </row>
        <row r="4071">
          <cell r="A4071" t="str">
            <v>in storage</v>
          </cell>
          <cell r="K4071" t="str">
            <v>ECOL</v>
          </cell>
          <cell r="AB4071" t="str">
            <v>Blood</v>
          </cell>
        </row>
        <row r="4072">
          <cell r="A4072" t="str">
            <v>in storage</v>
          </cell>
          <cell r="K4072" t="str">
            <v>ECOL</v>
          </cell>
          <cell r="AB4072" t="str">
            <v>Blood</v>
          </cell>
        </row>
        <row r="4073">
          <cell r="A4073" t="str">
            <v>in storage</v>
          </cell>
          <cell r="K4073" t="str">
            <v>ECOL</v>
          </cell>
          <cell r="AB4073" t="str">
            <v>Spleen</v>
          </cell>
        </row>
        <row r="4074">
          <cell r="A4074" t="str">
            <v>in storage</v>
          </cell>
          <cell r="K4074" t="str">
            <v>ECOL</v>
          </cell>
          <cell r="AB4074" t="str">
            <v>Spleen</v>
          </cell>
        </row>
        <row r="4075">
          <cell r="A4075" t="str">
            <v>in storage</v>
          </cell>
          <cell r="K4075" t="str">
            <v>HGG</v>
          </cell>
          <cell r="AB4075" t="str">
            <v>GI- small intestine</v>
          </cell>
        </row>
        <row r="4076">
          <cell r="A4076" t="str">
            <v>in storage</v>
          </cell>
          <cell r="K4076" t="str">
            <v>ECOL</v>
          </cell>
          <cell r="AB4076" t="str">
            <v>Eye</v>
          </cell>
        </row>
        <row r="4077">
          <cell r="A4077" t="str">
            <v>in storage</v>
          </cell>
          <cell r="K4077" t="str">
            <v>ECOL</v>
          </cell>
          <cell r="AB4077" t="str">
            <v>Lymph node- mesenteric</v>
          </cell>
        </row>
        <row r="4078">
          <cell r="A4078" t="str">
            <v>in storage</v>
          </cell>
          <cell r="K4078" t="str">
            <v>HGG</v>
          </cell>
          <cell r="AB4078" t="str">
            <v>GI- stomach</v>
          </cell>
        </row>
        <row r="4079">
          <cell r="A4079" t="str">
            <v>in storage</v>
          </cell>
          <cell r="K4079" t="str">
            <v>HGG</v>
          </cell>
          <cell r="AB4079" t="str">
            <v>GI Contents- cecum</v>
          </cell>
        </row>
        <row r="4080">
          <cell r="A4080" t="str">
            <v>in storage</v>
          </cell>
          <cell r="K4080" t="str">
            <v>HGG</v>
          </cell>
          <cell r="AB4080" t="str">
            <v>GI- cecum</v>
          </cell>
        </row>
        <row r="4081">
          <cell r="A4081" t="str">
            <v>in storage</v>
          </cell>
          <cell r="K4081" t="str">
            <v>ECOL</v>
          </cell>
          <cell r="AB4081" t="str">
            <v>Pancreas</v>
          </cell>
        </row>
        <row r="4082">
          <cell r="A4082" t="str">
            <v>in storage</v>
          </cell>
          <cell r="K4082" t="str">
            <v>ECOL</v>
          </cell>
          <cell r="AB4082" t="str">
            <v>Heart</v>
          </cell>
        </row>
        <row r="4083">
          <cell r="A4083" t="str">
            <v>in storage</v>
          </cell>
          <cell r="K4083" t="str">
            <v>ECOL</v>
          </cell>
          <cell r="AB4083" t="str">
            <v>Liver</v>
          </cell>
        </row>
        <row r="4084">
          <cell r="A4084" t="str">
            <v>in storage</v>
          </cell>
          <cell r="K4084" t="str">
            <v>ECOL</v>
          </cell>
          <cell r="AB4084" t="str">
            <v>Lung</v>
          </cell>
        </row>
        <row r="4085">
          <cell r="A4085" t="str">
            <v>in storage</v>
          </cell>
          <cell r="K4085" t="str">
            <v>ECOL</v>
          </cell>
          <cell r="AB4085" t="str">
            <v>Lung</v>
          </cell>
        </row>
        <row r="4086">
          <cell r="A4086" t="str">
            <v>in storage</v>
          </cell>
          <cell r="K4086" t="str">
            <v>ECOL</v>
          </cell>
          <cell r="AB4086" t="str">
            <v>U- bladder</v>
          </cell>
        </row>
        <row r="4087">
          <cell r="A4087" t="str">
            <v>in storage</v>
          </cell>
          <cell r="K4087" t="str">
            <v>ECOL</v>
          </cell>
          <cell r="AB4087" t="str">
            <v>Skin</v>
          </cell>
        </row>
        <row r="4088">
          <cell r="A4088" t="str">
            <v>unk</v>
          </cell>
          <cell r="K4088" t="str">
            <v>ECOL</v>
          </cell>
          <cell r="AB4088" t="str">
            <v>Spleen</v>
          </cell>
        </row>
        <row r="4089">
          <cell r="A4089" t="str">
            <v>in storage</v>
          </cell>
          <cell r="K4089" t="str">
            <v>ECOL</v>
          </cell>
          <cell r="AB4089" t="str">
            <v>Kidney</v>
          </cell>
        </row>
        <row r="4090">
          <cell r="A4090" t="str">
            <v>in storage</v>
          </cell>
          <cell r="K4090" t="str">
            <v>ECOL</v>
          </cell>
          <cell r="AB4090" t="str">
            <v>Thyroid</v>
          </cell>
        </row>
        <row r="4091">
          <cell r="A4091" t="str">
            <v>in storage</v>
          </cell>
          <cell r="K4091" t="str">
            <v>LCAT</v>
          </cell>
          <cell r="AB4091" t="str">
            <v>Eye</v>
          </cell>
        </row>
        <row r="4092">
          <cell r="A4092" t="str">
            <v>in storage</v>
          </cell>
          <cell r="K4092" t="str">
            <v>LCAT</v>
          </cell>
          <cell r="AB4092" t="str">
            <v>R- ovary</v>
          </cell>
        </row>
        <row r="4093">
          <cell r="A4093" t="str">
            <v>in storage</v>
          </cell>
          <cell r="K4093" t="str">
            <v>HGG</v>
          </cell>
          <cell r="AB4093" t="str">
            <v>GI Contents- small intestine</v>
          </cell>
        </row>
        <row r="4094">
          <cell r="A4094" t="str">
            <v>in storage</v>
          </cell>
          <cell r="K4094" t="str">
            <v>HGG</v>
          </cell>
          <cell r="AB4094" t="str">
            <v>GI Contents- large intestine</v>
          </cell>
        </row>
        <row r="4095">
          <cell r="A4095" t="str">
            <v>in storage</v>
          </cell>
          <cell r="K4095" t="str">
            <v>LCAT</v>
          </cell>
          <cell r="AB4095" t="str">
            <v>Lymph node</v>
          </cell>
        </row>
        <row r="4096">
          <cell r="A4096" t="str">
            <v>in storage</v>
          </cell>
          <cell r="K4096" t="str">
            <v>LCAT</v>
          </cell>
          <cell r="AB4096" t="str">
            <v>Thymus</v>
          </cell>
        </row>
        <row r="4097">
          <cell r="A4097" t="str">
            <v>in storage</v>
          </cell>
          <cell r="K4097" t="str">
            <v>LCAT</v>
          </cell>
          <cell r="AB4097" t="str">
            <v>Liver</v>
          </cell>
        </row>
        <row r="4098">
          <cell r="A4098" t="str">
            <v>in storage</v>
          </cell>
          <cell r="K4098" t="str">
            <v>HGG</v>
          </cell>
          <cell r="AB4098" t="str">
            <v>GI Contents- large intestine</v>
          </cell>
        </row>
        <row r="4099">
          <cell r="A4099" t="str">
            <v>in storage</v>
          </cell>
          <cell r="K4099" t="str">
            <v>HGG</v>
          </cell>
          <cell r="AB4099" t="str">
            <v>GI- large intestine</v>
          </cell>
        </row>
        <row r="4100">
          <cell r="A4100" t="str">
            <v>unk</v>
          </cell>
          <cell r="K4100" t="str">
            <v>HGG</v>
          </cell>
          <cell r="AB4100" t="str">
            <v>GI- small intestine</v>
          </cell>
        </row>
        <row r="4101">
          <cell r="A4101" t="str">
            <v>in storage</v>
          </cell>
          <cell r="K4101" t="str">
            <v>LCAT</v>
          </cell>
          <cell r="AB4101" t="str">
            <v>Pancreas</v>
          </cell>
        </row>
        <row r="4102">
          <cell r="A4102" t="str">
            <v>in storage</v>
          </cell>
          <cell r="K4102" t="str">
            <v>LCAT</v>
          </cell>
          <cell r="AB4102" t="str">
            <v>Kidney</v>
          </cell>
        </row>
        <row r="4103">
          <cell r="A4103" t="str">
            <v>in storage</v>
          </cell>
          <cell r="K4103" t="str">
            <v>LCAT</v>
          </cell>
          <cell r="AB4103" t="str">
            <v>Kidney</v>
          </cell>
        </row>
        <row r="4104">
          <cell r="A4104" t="str">
            <v>in storage</v>
          </cell>
          <cell r="K4104" t="str">
            <v>LCAT</v>
          </cell>
          <cell r="AB4104" t="str">
            <v>Spleen</v>
          </cell>
        </row>
        <row r="4105">
          <cell r="A4105" t="str">
            <v>in storage</v>
          </cell>
          <cell r="K4105" t="str">
            <v>LCAT</v>
          </cell>
          <cell r="AB4105" t="str">
            <v>Heart</v>
          </cell>
        </row>
        <row r="4106">
          <cell r="A4106" t="str">
            <v>in storage</v>
          </cell>
          <cell r="K4106" t="str">
            <v>LCAT</v>
          </cell>
          <cell r="AB4106" t="str">
            <v>Lung</v>
          </cell>
        </row>
        <row r="4107">
          <cell r="A4107" t="str">
            <v>in storage</v>
          </cell>
          <cell r="K4107" t="str">
            <v>LCAT</v>
          </cell>
          <cell r="AB4107" t="str">
            <v>Liver</v>
          </cell>
        </row>
        <row r="4108">
          <cell r="A4108" t="str">
            <v>in storage</v>
          </cell>
          <cell r="K4108" t="str">
            <v>LCAT</v>
          </cell>
          <cell r="AB4108" t="str">
            <v>Skin</v>
          </cell>
        </row>
        <row r="4109">
          <cell r="A4109" t="str">
            <v>in storage</v>
          </cell>
          <cell r="K4109" t="str">
            <v>HGG</v>
          </cell>
          <cell r="AB4109" t="str">
            <v>GI- stomach</v>
          </cell>
        </row>
        <row r="4110">
          <cell r="A4110" t="str">
            <v>in storage</v>
          </cell>
          <cell r="K4110" t="str">
            <v>HGG</v>
          </cell>
          <cell r="AB4110" t="str">
            <v>GI- large intestine</v>
          </cell>
        </row>
        <row r="4111">
          <cell r="A4111" t="str">
            <v>in storage</v>
          </cell>
          <cell r="K4111" t="str">
            <v>HGG</v>
          </cell>
          <cell r="AB4111" t="str">
            <v>GI- small intestine</v>
          </cell>
        </row>
        <row r="4112">
          <cell r="A4112" t="str">
            <v>in storage</v>
          </cell>
          <cell r="K4112" t="str">
            <v>LCAT</v>
          </cell>
          <cell r="AB4112" t="str">
            <v>Lymph node- mesenteric</v>
          </cell>
        </row>
        <row r="4113">
          <cell r="A4113" t="str">
            <v>in storage</v>
          </cell>
          <cell r="K4113" t="str">
            <v>LCAT</v>
          </cell>
          <cell r="AB4113" t="str">
            <v>Thymus</v>
          </cell>
        </row>
        <row r="4114">
          <cell r="A4114" t="str">
            <v>in storage</v>
          </cell>
          <cell r="K4114" t="str">
            <v>HGG</v>
          </cell>
          <cell r="AB4114" t="str">
            <v>GI- stomach</v>
          </cell>
        </row>
        <row r="4115">
          <cell r="A4115" t="str">
            <v>in storage</v>
          </cell>
          <cell r="K4115" t="str">
            <v>HGG</v>
          </cell>
          <cell r="AB4115" t="str">
            <v>GI- omentum</v>
          </cell>
        </row>
        <row r="4116">
          <cell r="A4116" t="str">
            <v>in storage</v>
          </cell>
          <cell r="K4116" t="str">
            <v>HGG</v>
          </cell>
          <cell r="AB4116" t="str">
            <v>GI Contents- stomach</v>
          </cell>
        </row>
        <row r="4117">
          <cell r="A4117" t="str">
            <v>in storage</v>
          </cell>
          <cell r="K4117" t="str">
            <v>LCAT</v>
          </cell>
          <cell r="AB4117" t="str">
            <v>Pancreas</v>
          </cell>
        </row>
        <row r="4118">
          <cell r="A4118" t="str">
            <v>in storage</v>
          </cell>
          <cell r="K4118" t="str">
            <v>LCAT</v>
          </cell>
          <cell r="AB4118" t="str">
            <v>Kidney</v>
          </cell>
        </row>
        <row r="4119">
          <cell r="A4119" t="str">
            <v>in storage</v>
          </cell>
          <cell r="K4119" t="str">
            <v>LCAT</v>
          </cell>
          <cell r="AB4119" t="str">
            <v>Kidney</v>
          </cell>
        </row>
        <row r="4120">
          <cell r="A4120" t="str">
            <v>in storage</v>
          </cell>
          <cell r="K4120" t="str">
            <v>LCAT</v>
          </cell>
          <cell r="AB4120" t="str">
            <v>Spleen</v>
          </cell>
        </row>
        <row r="4121">
          <cell r="A4121" t="str">
            <v>in storage</v>
          </cell>
          <cell r="K4121" t="str">
            <v>LCAT</v>
          </cell>
          <cell r="AB4121" t="str">
            <v>Lung</v>
          </cell>
        </row>
        <row r="4122">
          <cell r="A4122" t="str">
            <v>in storage</v>
          </cell>
          <cell r="K4122" t="str">
            <v>LCAT</v>
          </cell>
          <cell r="AB4122" t="str">
            <v>Liver</v>
          </cell>
        </row>
        <row r="4123">
          <cell r="A4123" t="str">
            <v>in storage</v>
          </cell>
          <cell r="K4123" t="str">
            <v>LCAT</v>
          </cell>
          <cell r="AB4123" t="str">
            <v>Skin</v>
          </cell>
        </row>
        <row r="4124">
          <cell r="A4124" t="str">
            <v>in storage</v>
          </cell>
          <cell r="K4124" t="str">
            <v>LCAT</v>
          </cell>
          <cell r="AB4124" t="str">
            <v>R- ovary</v>
          </cell>
        </row>
        <row r="4125">
          <cell r="A4125" t="str">
            <v>in storage</v>
          </cell>
          <cell r="K4125" t="str">
            <v>LCAT</v>
          </cell>
          <cell r="AB4125" t="str">
            <v>GI Contents</v>
          </cell>
        </row>
        <row r="4126">
          <cell r="A4126" t="str">
            <v>in storage</v>
          </cell>
          <cell r="K4126" t="str">
            <v>LCAT</v>
          </cell>
          <cell r="AB4126" t="str">
            <v>GI- stomach</v>
          </cell>
        </row>
        <row r="4127">
          <cell r="A4127" t="str">
            <v>in storage</v>
          </cell>
          <cell r="K4127" t="str">
            <v>LCAT</v>
          </cell>
          <cell r="AB4127" t="str">
            <v>GI Contents- stomach</v>
          </cell>
        </row>
        <row r="4128">
          <cell r="A4128" t="str">
            <v>in storage</v>
          </cell>
          <cell r="K4128" t="str">
            <v>LCAT</v>
          </cell>
          <cell r="AB4128" t="str">
            <v>GI Tract</v>
          </cell>
        </row>
        <row r="4129">
          <cell r="A4129" t="str">
            <v>in storage</v>
          </cell>
          <cell r="K4129" t="str">
            <v>LCAT</v>
          </cell>
          <cell r="AB4129" t="str">
            <v>GI Contents- stomach</v>
          </cell>
        </row>
        <row r="4130">
          <cell r="A4130" t="str">
            <v>in storage</v>
          </cell>
          <cell r="K4130" t="str">
            <v>LCAT</v>
          </cell>
          <cell r="AB4130" t="str">
            <v>Muscle</v>
          </cell>
        </row>
        <row r="4131">
          <cell r="A4131" t="str">
            <v>in storage</v>
          </cell>
          <cell r="K4131" t="str">
            <v>LCAT</v>
          </cell>
          <cell r="AB4131" t="str">
            <v>Muscle</v>
          </cell>
        </row>
        <row r="4132">
          <cell r="A4132" t="str">
            <v>in storage</v>
          </cell>
          <cell r="K4132" t="str">
            <v>VVV</v>
          </cell>
          <cell r="AB4132" t="str">
            <v>Adrenal gland</v>
          </cell>
        </row>
        <row r="4133">
          <cell r="A4133" t="str">
            <v>in storage</v>
          </cell>
          <cell r="K4133" t="str">
            <v>VVV</v>
          </cell>
          <cell r="AB4133" t="str">
            <v>Thymus</v>
          </cell>
        </row>
        <row r="4134">
          <cell r="A4134" t="str">
            <v>in storage</v>
          </cell>
          <cell r="K4134" t="str">
            <v>LCAT</v>
          </cell>
          <cell r="AB4134" t="str">
            <v>GI Tract</v>
          </cell>
        </row>
        <row r="4135">
          <cell r="A4135" t="str">
            <v>in storage</v>
          </cell>
          <cell r="K4135" t="str">
            <v>LCAT</v>
          </cell>
          <cell r="AB4135" t="str">
            <v>GI Contents- stomach</v>
          </cell>
        </row>
        <row r="4136">
          <cell r="A4136" t="str">
            <v>in storage</v>
          </cell>
          <cell r="K4136" t="str">
            <v>VVV</v>
          </cell>
          <cell r="AB4136" t="str">
            <v>R- ovary/ uterus</v>
          </cell>
        </row>
        <row r="4137">
          <cell r="A4137" t="str">
            <v>in storage</v>
          </cell>
          <cell r="K4137" t="str">
            <v>VVV</v>
          </cell>
          <cell r="AB4137" t="str">
            <v>Liver</v>
          </cell>
        </row>
        <row r="4138">
          <cell r="A4138" t="str">
            <v>in storage</v>
          </cell>
          <cell r="K4138" t="str">
            <v>LCAT</v>
          </cell>
          <cell r="AB4138" t="str">
            <v>GI- stomach</v>
          </cell>
        </row>
        <row r="4139">
          <cell r="A4139" t="str">
            <v>in storage</v>
          </cell>
          <cell r="K4139" t="str">
            <v>VVV</v>
          </cell>
          <cell r="AB4139" t="str">
            <v>Pancreas</v>
          </cell>
        </row>
        <row r="4140">
          <cell r="A4140" t="str">
            <v>in storage</v>
          </cell>
          <cell r="K4140" t="str">
            <v>VVV</v>
          </cell>
          <cell r="AB4140" t="str">
            <v>Kidney</v>
          </cell>
        </row>
        <row r="4141">
          <cell r="A4141" t="str">
            <v>in storage</v>
          </cell>
          <cell r="K4141" t="str">
            <v>VVV</v>
          </cell>
          <cell r="AB4141" t="str">
            <v>Kidney</v>
          </cell>
        </row>
        <row r="4142">
          <cell r="A4142" t="str">
            <v>in storage</v>
          </cell>
          <cell r="K4142" t="str">
            <v>VVV</v>
          </cell>
          <cell r="AB4142" t="str">
            <v>Spleen</v>
          </cell>
        </row>
        <row r="4143">
          <cell r="A4143" t="str">
            <v>in storage</v>
          </cell>
          <cell r="K4143" t="str">
            <v>VVV</v>
          </cell>
          <cell r="AB4143" t="str">
            <v>Lung</v>
          </cell>
        </row>
        <row r="4144">
          <cell r="A4144" t="str">
            <v>unk</v>
          </cell>
          <cell r="K4144" t="str">
            <v>VVV</v>
          </cell>
          <cell r="AB4144" t="str">
            <v>Skin</v>
          </cell>
        </row>
        <row r="4145">
          <cell r="A4145" t="str">
            <v>unk</v>
          </cell>
          <cell r="K4145" t="str">
            <v>VVV</v>
          </cell>
          <cell r="AB4145" t="str">
            <v>Thyroid</v>
          </cell>
        </row>
        <row r="4146">
          <cell r="A4146" t="str">
            <v>unk</v>
          </cell>
          <cell r="K4146" t="str">
            <v>VVV</v>
          </cell>
          <cell r="AB4146" t="str">
            <v>Liver</v>
          </cell>
        </row>
        <row r="4147">
          <cell r="A4147" t="str">
            <v>unk</v>
          </cell>
          <cell r="K4147" t="str">
            <v>VVV</v>
          </cell>
          <cell r="AB4147" t="str">
            <v>Lung</v>
          </cell>
        </row>
        <row r="4148">
          <cell r="A4148" t="str">
            <v>unk</v>
          </cell>
          <cell r="K4148" t="str">
            <v>VVV</v>
          </cell>
          <cell r="AB4148" t="str">
            <v>Pancreas</v>
          </cell>
        </row>
        <row r="4149">
          <cell r="A4149" t="str">
            <v>unk</v>
          </cell>
          <cell r="K4149" t="str">
            <v>VVV</v>
          </cell>
          <cell r="AB4149" t="str">
            <v>Spleen</v>
          </cell>
        </row>
        <row r="4150">
          <cell r="A4150" t="str">
            <v>unk</v>
          </cell>
          <cell r="K4150" t="str">
            <v>VVV</v>
          </cell>
          <cell r="AB4150" t="str">
            <v>Kidney</v>
          </cell>
        </row>
        <row r="4151">
          <cell r="A4151" t="str">
            <v>in storage</v>
          </cell>
          <cell r="K4151" t="str">
            <v>LCAT</v>
          </cell>
          <cell r="AB4151" t="str">
            <v>GI Contents- cecum</v>
          </cell>
        </row>
        <row r="4152">
          <cell r="A4152" t="str">
            <v>in storage</v>
          </cell>
          <cell r="K4152" t="str">
            <v>LCAT</v>
          </cell>
          <cell r="AB4152" t="str">
            <v>GI- cecum</v>
          </cell>
        </row>
        <row r="4153">
          <cell r="A4153" t="str">
            <v>in storage</v>
          </cell>
          <cell r="K4153" t="str">
            <v>LCAT</v>
          </cell>
          <cell r="AB4153" t="str">
            <v>GI- large intestine</v>
          </cell>
        </row>
        <row r="4154">
          <cell r="A4154" t="str">
            <v>in storage</v>
          </cell>
          <cell r="K4154" t="str">
            <v>VVV</v>
          </cell>
          <cell r="AB4154" t="str">
            <v>Trachea</v>
          </cell>
        </row>
        <row r="4155">
          <cell r="A4155" t="str">
            <v>in storage</v>
          </cell>
          <cell r="K4155" t="str">
            <v>VVV</v>
          </cell>
          <cell r="AB4155" t="str">
            <v>Mass- stomach</v>
          </cell>
        </row>
        <row r="4156">
          <cell r="A4156" t="str">
            <v>unk</v>
          </cell>
          <cell r="K4156" t="str">
            <v>VVV</v>
          </cell>
          <cell r="AB4156" t="str">
            <v>Mass- stomach</v>
          </cell>
        </row>
        <row r="4157">
          <cell r="A4157" t="str">
            <v>in storage</v>
          </cell>
          <cell r="K4157" t="str">
            <v>VVV</v>
          </cell>
          <cell r="AB4157" t="str">
            <v>Muscle</v>
          </cell>
        </row>
        <row r="4158">
          <cell r="A4158" t="str">
            <v>unk</v>
          </cell>
          <cell r="K4158" t="str">
            <v>VVV</v>
          </cell>
          <cell r="AB4158" t="str">
            <v>Muscle</v>
          </cell>
        </row>
        <row r="4159">
          <cell r="A4159" t="str">
            <v>in storage</v>
          </cell>
          <cell r="K4159" t="str">
            <v>ECOR</v>
          </cell>
          <cell r="AB4159" t="str">
            <v>Muscle</v>
          </cell>
        </row>
        <row r="4160">
          <cell r="A4160" t="str">
            <v>in storage</v>
          </cell>
          <cell r="K4160" t="str">
            <v>ECOR</v>
          </cell>
          <cell r="AB4160" t="str">
            <v>Muscle</v>
          </cell>
        </row>
        <row r="4161">
          <cell r="A4161" t="str">
            <v>in storage</v>
          </cell>
          <cell r="K4161" t="str">
            <v>ECOR</v>
          </cell>
          <cell r="AB4161" t="str">
            <v>Muscle</v>
          </cell>
        </row>
        <row r="4162">
          <cell r="A4162" t="str">
            <v>in storage</v>
          </cell>
          <cell r="K4162" t="str">
            <v>ECOR</v>
          </cell>
          <cell r="AB4162" t="str">
            <v>Adrenal gland</v>
          </cell>
        </row>
        <row r="4163">
          <cell r="A4163" t="str">
            <v>in storage</v>
          </cell>
          <cell r="K4163" t="str">
            <v>ECOR</v>
          </cell>
          <cell r="AB4163" t="str">
            <v>Kidney</v>
          </cell>
        </row>
        <row r="4164">
          <cell r="A4164" t="str">
            <v>in storage</v>
          </cell>
          <cell r="K4164" t="str">
            <v>ECOR</v>
          </cell>
          <cell r="AB4164" t="str">
            <v>Liver</v>
          </cell>
        </row>
        <row r="4165">
          <cell r="A4165" t="str">
            <v>in storage</v>
          </cell>
          <cell r="K4165" t="str">
            <v>ECOR</v>
          </cell>
          <cell r="AB4165" t="str">
            <v>Heart</v>
          </cell>
        </row>
        <row r="4166">
          <cell r="A4166" t="str">
            <v>in storage</v>
          </cell>
          <cell r="K4166" t="str">
            <v>ECOR</v>
          </cell>
          <cell r="AB4166" t="str">
            <v>Lung</v>
          </cell>
        </row>
        <row r="4167">
          <cell r="A4167" t="str">
            <v>in storage</v>
          </cell>
          <cell r="K4167" t="str">
            <v>ECOR</v>
          </cell>
          <cell r="AB4167" t="str">
            <v>Spleen</v>
          </cell>
        </row>
        <row r="4168">
          <cell r="A4168" t="str">
            <v>in storage</v>
          </cell>
          <cell r="K4168" t="str">
            <v>ECOR</v>
          </cell>
          <cell r="AB4168" t="str">
            <v>Thyroid</v>
          </cell>
        </row>
        <row r="4169">
          <cell r="A4169" t="str">
            <v>in storage</v>
          </cell>
          <cell r="K4169" t="str">
            <v>ECOR</v>
          </cell>
          <cell r="AB4169" t="str">
            <v>Liver</v>
          </cell>
        </row>
        <row r="4170">
          <cell r="A4170" t="str">
            <v>in storage</v>
          </cell>
          <cell r="K4170" t="str">
            <v>LCAT</v>
          </cell>
          <cell r="AB4170" t="str">
            <v>GI- small intestine</v>
          </cell>
        </row>
        <row r="4171">
          <cell r="A4171" t="str">
            <v>in storage</v>
          </cell>
          <cell r="K4171" t="str">
            <v>ECOR</v>
          </cell>
          <cell r="AB4171" t="str">
            <v>parasite(s)</v>
          </cell>
        </row>
        <row r="4172">
          <cell r="A4172" t="str">
            <v>in storage</v>
          </cell>
          <cell r="K4172" t="str">
            <v>ECOR</v>
          </cell>
          <cell r="AB4172" t="str">
            <v>Pancreas</v>
          </cell>
        </row>
        <row r="4173">
          <cell r="A4173" t="str">
            <v>in storage</v>
          </cell>
          <cell r="K4173" t="str">
            <v>ECOR</v>
          </cell>
          <cell r="AB4173" t="str">
            <v>Kidney</v>
          </cell>
        </row>
        <row r="4174">
          <cell r="A4174" t="str">
            <v>in storage</v>
          </cell>
          <cell r="K4174" t="str">
            <v>ECOR</v>
          </cell>
          <cell r="AB4174" t="str">
            <v>Kidney</v>
          </cell>
        </row>
        <row r="4175">
          <cell r="A4175" t="str">
            <v>in storage</v>
          </cell>
          <cell r="K4175" t="str">
            <v>ECOR</v>
          </cell>
          <cell r="AB4175" t="str">
            <v>Spleen</v>
          </cell>
        </row>
        <row r="4176">
          <cell r="A4176" t="str">
            <v>in storage</v>
          </cell>
          <cell r="K4176" t="str">
            <v>ECOR</v>
          </cell>
          <cell r="AB4176" t="str">
            <v>Heart</v>
          </cell>
        </row>
        <row r="4177">
          <cell r="A4177" t="str">
            <v>in storage</v>
          </cell>
          <cell r="K4177" t="str">
            <v>ECOR</v>
          </cell>
          <cell r="AB4177" t="str">
            <v>Lung</v>
          </cell>
        </row>
        <row r="4178">
          <cell r="A4178" t="str">
            <v>in storage</v>
          </cell>
          <cell r="K4178" t="str">
            <v>ECOR</v>
          </cell>
          <cell r="AB4178" t="str">
            <v>Skin</v>
          </cell>
        </row>
        <row r="4179">
          <cell r="A4179" t="str">
            <v>in storage</v>
          </cell>
          <cell r="K4179" t="str">
            <v>ECOR</v>
          </cell>
          <cell r="AB4179" t="str">
            <v>Skin</v>
          </cell>
        </row>
        <row r="4180">
          <cell r="A4180" t="str">
            <v>in storage</v>
          </cell>
          <cell r="K4180" t="str">
            <v>ECOR</v>
          </cell>
          <cell r="AB4180" t="str">
            <v>Tongue</v>
          </cell>
        </row>
        <row r="4181">
          <cell r="A4181" t="str">
            <v>in storage</v>
          </cell>
          <cell r="K4181" t="str">
            <v>ECOR</v>
          </cell>
          <cell r="AB4181" t="str">
            <v>R- teste(s)</v>
          </cell>
        </row>
        <row r="4182">
          <cell r="A4182" t="str">
            <v>in storage</v>
          </cell>
          <cell r="K4182" t="str">
            <v>ECOR</v>
          </cell>
          <cell r="AB4182" t="str">
            <v>R- teste(s)</v>
          </cell>
        </row>
        <row r="4183">
          <cell r="A4183" t="str">
            <v>in storage</v>
          </cell>
          <cell r="K4183" t="str">
            <v>ECOR</v>
          </cell>
          <cell r="AB4183" t="str">
            <v>Trachea</v>
          </cell>
        </row>
        <row r="4184">
          <cell r="A4184" t="str">
            <v>unk</v>
          </cell>
          <cell r="K4184" t="str">
            <v>EFLA</v>
          </cell>
          <cell r="AB4184" t="str">
            <v>Liver</v>
          </cell>
        </row>
        <row r="4185">
          <cell r="A4185" t="str">
            <v>unk</v>
          </cell>
          <cell r="K4185" t="str">
            <v>EFLA</v>
          </cell>
          <cell r="AB4185" t="str">
            <v>Spleen</v>
          </cell>
        </row>
        <row r="4186">
          <cell r="A4186" t="str">
            <v>in storage</v>
          </cell>
          <cell r="K4186" t="str">
            <v>EFLA</v>
          </cell>
          <cell r="AB4186" t="str">
            <v>Muscle</v>
          </cell>
        </row>
        <row r="4187">
          <cell r="A4187" t="str">
            <v>in storage</v>
          </cell>
          <cell r="K4187" t="str">
            <v>EFLA</v>
          </cell>
          <cell r="AB4187" t="str">
            <v>Eye</v>
          </cell>
        </row>
        <row r="4188">
          <cell r="A4188" t="str">
            <v>in storage</v>
          </cell>
          <cell r="K4188" t="str">
            <v>EFLA</v>
          </cell>
          <cell r="AB4188" t="str">
            <v>Thymus</v>
          </cell>
        </row>
        <row r="4189">
          <cell r="A4189" t="str">
            <v>in storage</v>
          </cell>
          <cell r="K4189" t="str">
            <v>LCAT</v>
          </cell>
          <cell r="AB4189" t="str">
            <v>GI- stomach</v>
          </cell>
        </row>
        <row r="4190">
          <cell r="A4190" t="str">
            <v>in storage</v>
          </cell>
          <cell r="K4190" t="str">
            <v>EFLA</v>
          </cell>
          <cell r="AB4190" t="str">
            <v>Kidney</v>
          </cell>
        </row>
        <row r="4191">
          <cell r="A4191" t="str">
            <v>in storage</v>
          </cell>
          <cell r="K4191" t="str">
            <v>EFLA</v>
          </cell>
          <cell r="AB4191" t="str">
            <v>Kidney</v>
          </cell>
        </row>
        <row r="4192">
          <cell r="A4192" t="str">
            <v>in storage</v>
          </cell>
          <cell r="K4192" t="str">
            <v>EFLA</v>
          </cell>
          <cell r="AB4192" t="str">
            <v>Heart</v>
          </cell>
        </row>
        <row r="4193">
          <cell r="A4193" t="str">
            <v>in storage</v>
          </cell>
          <cell r="K4193" t="str">
            <v>EFLA</v>
          </cell>
          <cell r="AB4193" t="str">
            <v>Lung</v>
          </cell>
        </row>
        <row r="4194">
          <cell r="A4194" t="str">
            <v>in storage</v>
          </cell>
          <cell r="K4194" t="str">
            <v>EFLA</v>
          </cell>
          <cell r="AB4194" t="str">
            <v>Lung</v>
          </cell>
        </row>
        <row r="4195">
          <cell r="A4195" t="str">
            <v>in storage</v>
          </cell>
          <cell r="K4195" t="str">
            <v>EFLA</v>
          </cell>
          <cell r="AB4195" t="str">
            <v>Skin</v>
          </cell>
        </row>
        <row r="4196">
          <cell r="A4196" t="str">
            <v>in storage</v>
          </cell>
          <cell r="K4196" t="str">
            <v>EFLA</v>
          </cell>
          <cell r="AB4196" t="str">
            <v>R- teste(s)</v>
          </cell>
        </row>
        <row r="4197">
          <cell r="A4197" t="str">
            <v>in storage</v>
          </cell>
          <cell r="K4197" t="str">
            <v>EFLA</v>
          </cell>
          <cell r="AB4197" t="str">
            <v>Muscle</v>
          </cell>
        </row>
        <row r="4198">
          <cell r="A4198" t="str">
            <v>in storage</v>
          </cell>
          <cell r="K4198" t="str">
            <v>EFLA</v>
          </cell>
          <cell r="AB4198" t="str">
            <v>Muscle</v>
          </cell>
        </row>
        <row r="4199">
          <cell r="A4199" t="str">
            <v>in storage</v>
          </cell>
          <cell r="K4199" t="str">
            <v>EFLA</v>
          </cell>
          <cell r="AB4199" t="str">
            <v>Muscle</v>
          </cell>
        </row>
        <row r="4200">
          <cell r="A4200" t="str">
            <v>in storage</v>
          </cell>
          <cell r="K4200" t="str">
            <v>EFLA</v>
          </cell>
          <cell r="AB4200" t="str">
            <v>Muscle</v>
          </cell>
        </row>
        <row r="4201">
          <cell r="A4201" t="str">
            <v>in storage</v>
          </cell>
          <cell r="K4201" t="str">
            <v>EFLA</v>
          </cell>
          <cell r="AB4201" t="str">
            <v>Mass- liver</v>
          </cell>
        </row>
        <row r="4202">
          <cell r="A4202" t="str">
            <v>in storage</v>
          </cell>
          <cell r="K4202" t="str">
            <v>EFLA</v>
          </cell>
          <cell r="AB4202" t="str">
            <v>Eye</v>
          </cell>
        </row>
        <row r="4203">
          <cell r="A4203" t="str">
            <v>in storage</v>
          </cell>
          <cell r="K4203" t="str">
            <v>EFLA</v>
          </cell>
          <cell r="AB4203" t="str">
            <v>Mass- liver</v>
          </cell>
        </row>
        <row r="4204">
          <cell r="A4204" t="str">
            <v>in storage</v>
          </cell>
          <cell r="K4204" t="str">
            <v>EFLA</v>
          </cell>
          <cell r="AB4204" t="str">
            <v>Liver</v>
          </cell>
        </row>
        <row r="4205">
          <cell r="A4205" t="str">
            <v>in storage</v>
          </cell>
          <cell r="K4205" t="str">
            <v>LCAT</v>
          </cell>
          <cell r="AB4205" t="str">
            <v>GI Contents- large intestine</v>
          </cell>
        </row>
        <row r="4206">
          <cell r="A4206" t="str">
            <v>in storage</v>
          </cell>
          <cell r="K4206" t="str">
            <v>EFLA</v>
          </cell>
          <cell r="AB4206" t="str">
            <v>Pancreas</v>
          </cell>
        </row>
        <row r="4207">
          <cell r="A4207" t="str">
            <v>in storage</v>
          </cell>
          <cell r="K4207" t="str">
            <v>EFLA</v>
          </cell>
          <cell r="AB4207" t="str">
            <v>Kidney</v>
          </cell>
        </row>
        <row r="4208">
          <cell r="A4208" t="str">
            <v>in storage</v>
          </cell>
          <cell r="K4208" t="str">
            <v>EFLA</v>
          </cell>
          <cell r="AB4208" t="str">
            <v>Kidney</v>
          </cell>
        </row>
        <row r="4209">
          <cell r="A4209" t="str">
            <v>in storage</v>
          </cell>
          <cell r="K4209" t="str">
            <v>EFLA</v>
          </cell>
          <cell r="AB4209" t="str">
            <v>Spleen</v>
          </cell>
        </row>
        <row r="4210">
          <cell r="A4210" t="str">
            <v>in storage</v>
          </cell>
          <cell r="K4210" t="str">
            <v>EFLA</v>
          </cell>
          <cell r="AB4210" t="str">
            <v>Heart</v>
          </cell>
        </row>
        <row r="4211">
          <cell r="A4211" t="str">
            <v>in storage</v>
          </cell>
          <cell r="K4211" t="str">
            <v>EFLA</v>
          </cell>
          <cell r="AB4211" t="str">
            <v>Lung</v>
          </cell>
        </row>
        <row r="4212">
          <cell r="A4212" t="str">
            <v>in storage</v>
          </cell>
          <cell r="K4212" t="str">
            <v>EFLA</v>
          </cell>
          <cell r="AB4212" t="str">
            <v>Lung</v>
          </cell>
        </row>
        <row r="4213">
          <cell r="A4213" t="str">
            <v>in storage</v>
          </cell>
          <cell r="K4213" t="str">
            <v>EFLA</v>
          </cell>
          <cell r="AB4213" t="str">
            <v>Skin</v>
          </cell>
        </row>
        <row r="4214">
          <cell r="A4214" t="str">
            <v>in storage</v>
          </cell>
          <cell r="K4214" t="str">
            <v>EFLA</v>
          </cell>
          <cell r="AB4214" t="str">
            <v>Liver</v>
          </cell>
        </row>
        <row r="4215">
          <cell r="A4215" t="str">
            <v>in storage</v>
          </cell>
          <cell r="K4215" t="str">
            <v>EFLA</v>
          </cell>
          <cell r="AB4215" t="str">
            <v>Liver</v>
          </cell>
        </row>
        <row r="4216">
          <cell r="A4216" t="str">
            <v>in storage</v>
          </cell>
          <cell r="K4216" t="str">
            <v>EFLA</v>
          </cell>
          <cell r="AB4216" t="str">
            <v>Spleen</v>
          </cell>
        </row>
        <row r="4217">
          <cell r="A4217" t="str">
            <v>in storage</v>
          </cell>
          <cell r="K4217" t="str">
            <v>EFLA</v>
          </cell>
          <cell r="AB4217" t="str">
            <v>Spleen</v>
          </cell>
        </row>
        <row r="4218">
          <cell r="A4218" t="str">
            <v>in storage</v>
          </cell>
          <cell r="K4218" t="str">
            <v>EFLA</v>
          </cell>
          <cell r="AB4218" t="str">
            <v>Spleen</v>
          </cell>
        </row>
        <row r="4219">
          <cell r="A4219" t="str">
            <v>in storage</v>
          </cell>
          <cell r="K4219" t="str">
            <v>EFLA</v>
          </cell>
          <cell r="AB4219" t="str">
            <v>Lung</v>
          </cell>
        </row>
        <row r="4220">
          <cell r="A4220" t="str">
            <v>in storage</v>
          </cell>
          <cell r="K4220" t="str">
            <v>EFLA</v>
          </cell>
          <cell r="AB4220" t="str">
            <v>Lung</v>
          </cell>
        </row>
        <row r="4221">
          <cell r="A4221" t="str">
            <v>in storage</v>
          </cell>
          <cell r="K4221" t="str">
            <v>EFLA</v>
          </cell>
          <cell r="AB4221" t="str">
            <v>Lung</v>
          </cell>
        </row>
        <row r="4222">
          <cell r="A4222" t="str">
            <v>in storage</v>
          </cell>
          <cell r="K4222" t="str">
            <v>EFLA</v>
          </cell>
          <cell r="AB4222" t="str">
            <v>Liver</v>
          </cell>
        </row>
        <row r="4223">
          <cell r="A4223" t="str">
            <v>in storage</v>
          </cell>
          <cell r="K4223" t="str">
            <v>EFLA</v>
          </cell>
          <cell r="AB4223" t="str">
            <v>Liver</v>
          </cell>
        </row>
        <row r="4224">
          <cell r="A4224" t="str">
            <v>in storage</v>
          </cell>
          <cell r="K4224" t="str">
            <v>EFLA</v>
          </cell>
          <cell r="AB4224" t="str">
            <v>Kidney</v>
          </cell>
        </row>
        <row r="4225">
          <cell r="A4225" t="str">
            <v>in storage</v>
          </cell>
          <cell r="K4225" t="str">
            <v>EFLA</v>
          </cell>
          <cell r="AB4225" t="str">
            <v>Kidney</v>
          </cell>
        </row>
        <row r="4226">
          <cell r="A4226" t="str">
            <v>in storage</v>
          </cell>
          <cell r="K4226" t="str">
            <v>EFLA</v>
          </cell>
          <cell r="AB4226" t="str">
            <v>Kidney</v>
          </cell>
        </row>
        <row r="4227">
          <cell r="A4227" t="str">
            <v>in storage</v>
          </cell>
          <cell r="K4227" t="str">
            <v>EFLA</v>
          </cell>
          <cell r="AB4227" t="str">
            <v>Kidney</v>
          </cell>
        </row>
        <row r="4228">
          <cell r="A4228" t="str">
            <v>in storage</v>
          </cell>
          <cell r="K4228" t="str">
            <v>EFLA</v>
          </cell>
          <cell r="AB4228" t="str">
            <v>Kidney</v>
          </cell>
        </row>
        <row r="4229">
          <cell r="A4229" t="str">
            <v>in storage</v>
          </cell>
          <cell r="K4229" t="str">
            <v>EFLA</v>
          </cell>
          <cell r="AB4229" t="str">
            <v>Kidney</v>
          </cell>
        </row>
        <row r="4230">
          <cell r="A4230" t="str">
            <v>in storage</v>
          </cell>
          <cell r="K4230" t="str">
            <v>EFLA</v>
          </cell>
          <cell r="AB4230" t="str">
            <v>Heart</v>
          </cell>
        </row>
        <row r="4231">
          <cell r="A4231" t="str">
            <v>in storage</v>
          </cell>
          <cell r="K4231" t="str">
            <v>EFLA</v>
          </cell>
          <cell r="AB4231" t="str">
            <v>Heart</v>
          </cell>
        </row>
        <row r="4232">
          <cell r="A4232" t="str">
            <v>in storage</v>
          </cell>
          <cell r="K4232" t="str">
            <v>EFLA</v>
          </cell>
          <cell r="AB4232" t="str">
            <v>Heart</v>
          </cell>
        </row>
        <row r="4233">
          <cell r="A4233" t="str">
            <v>in storage</v>
          </cell>
          <cell r="K4233" t="str">
            <v>EFLA</v>
          </cell>
          <cell r="AB4233" t="str">
            <v>Pancreas</v>
          </cell>
        </row>
        <row r="4234">
          <cell r="A4234" t="str">
            <v>in storage</v>
          </cell>
          <cell r="K4234" t="str">
            <v>EFLA</v>
          </cell>
          <cell r="AB4234" t="str">
            <v>Thyroid</v>
          </cell>
        </row>
        <row r="4235">
          <cell r="A4235" t="str">
            <v>in storage</v>
          </cell>
          <cell r="K4235" t="str">
            <v>EFLA</v>
          </cell>
          <cell r="AB4235" t="str">
            <v>VNO</v>
          </cell>
        </row>
        <row r="4236">
          <cell r="A4236" t="str">
            <v>in storage</v>
          </cell>
          <cell r="K4236" t="str">
            <v>EFLA</v>
          </cell>
          <cell r="AB4236" t="str">
            <v>Eye</v>
          </cell>
        </row>
        <row r="4237">
          <cell r="A4237" t="str">
            <v>in storage</v>
          </cell>
          <cell r="K4237" t="str">
            <v>EFLA</v>
          </cell>
          <cell r="AB4237" t="str">
            <v>Skin</v>
          </cell>
        </row>
        <row r="4238">
          <cell r="A4238" t="str">
            <v>unk</v>
          </cell>
          <cell r="K4238" t="str">
            <v>EFLA</v>
          </cell>
          <cell r="AB4238" t="str">
            <v>Pancreas</v>
          </cell>
        </row>
        <row r="4239">
          <cell r="A4239" t="str">
            <v>in storage</v>
          </cell>
          <cell r="K4239" t="str">
            <v>EFLA</v>
          </cell>
          <cell r="AB4239" t="str">
            <v>Tongue</v>
          </cell>
        </row>
        <row r="4240">
          <cell r="A4240" t="str">
            <v>in storage</v>
          </cell>
          <cell r="K4240" t="str">
            <v>EFLA</v>
          </cell>
          <cell r="AB4240" t="str">
            <v>R- teste(s)</v>
          </cell>
        </row>
        <row r="4241">
          <cell r="A4241" t="str">
            <v>in storage</v>
          </cell>
          <cell r="K4241" t="str">
            <v>EFLA</v>
          </cell>
          <cell r="AB4241" t="str">
            <v>R- teste(s)</v>
          </cell>
        </row>
        <row r="4242">
          <cell r="A4242" t="str">
            <v>in storage</v>
          </cell>
          <cell r="K4242" t="str">
            <v>EFLA</v>
          </cell>
          <cell r="AB4242" t="str">
            <v>R- teste(s)</v>
          </cell>
        </row>
        <row r="4243">
          <cell r="A4243" t="str">
            <v>in storage</v>
          </cell>
          <cell r="K4243" t="str">
            <v>EFLA</v>
          </cell>
          <cell r="AB4243" t="str">
            <v>R- teste(s)</v>
          </cell>
        </row>
        <row r="4244">
          <cell r="A4244" t="str">
            <v>unk</v>
          </cell>
          <cell r="K4244" t="str">
            <v>EFLA</v>
          </cell>
          <cell r="AB4244" t="str">
            <v>R- teste(s)</v>
          </cell>
        </row>
        <row r="4245">
          <cell r="A4245" t="str">
            <v>in storage</v>
          </cell>
          <cell r="K4245" t="str">
            <v>VVV</v>
          </cell>
          <cell r="AB4245" t="str">
            <v>Eye</v>
          </cell>
        </row>
        <row r="4246">
          <cell r="A4246" t="str">
            <v>in storage</v>
          </cell>
          <cell r="K4246" t="str">
            <v>VVV</v>
          </cell>
          <cell r="AB4246" t="str">
            <v>R- ovary/ uterus</v>
          </cell>
        </row>
        <row r="4247">
          <cell r="A4247" t="str">
            <v>in storage</v>
          </cell>
          <cell r="K4247" t="str">
            <v>VVV</v>
          </cell>
          <cell r="AB4247" t="str">
            <v>Trachea</v>
          </cell>
        </row>
        <row r="4248">
          <cell r="A4248" t="str">
            <v>in storage</v>
          </cell>
          <cell r="K4248" t="str">
            <v>VVV</v>
          </cell>
          <cell r="AB4248" t="str">
            <v>Liver</v>
          </cell>
        </row>
        <row r="4249">
          <cell r="A4249" t="str">
            <v>in storage</v>
          </cell>
          <cell r="K4249" t="str">
            <v>LCAT</v>
          </cell>
          <cell r="AB4249" t="str">
            <v>GI Contents- cecum</v>
          </cell>
        </row>
        <row r="4250">
          <cell r="A4250" t="str">
            <v>in storage</v>
          </cell>
          <cell r="K4250" t="str">
            <v>VVV</v>
          </cell>
          <cell r="AB4250" t="str">
            <v>Pancreas</v>
          </cell>
        </row>
        <row r="4251">
          <cell r="A4251" t="str">
            <v>in storage</v>
          </cell>
          <cell r="K4251" t="str">
            <v>VVV</v>
          </cell>
          <cell r="AB4251" t="str">
            <v>Kidney</v>
          </cell>
        </row>
        <row r="4252">
          <cell r="A4252" t="str">
            <v>in storage</v>
          </cell>
          <cell r="K4252" t="str">
            <v>VVV</v>
          </cell>
          <cell r="AB4252" t="str">
            <v>Kidney</v>
          </cell>
        </row>
        <row r="4253">
          <cell r="A4253" t="str">
            <v>in storage</v>
          </cell>
          <cell r="K4253" t="str">
            <v>VVV</v>
          </cell>
          <cell r="AB4253" t="str">
            <v>Spleen</v>
          </cell>
        </row>
        <row r="4254">
          <cell r="A4254" t="str">
            <v>in storage</v>
          </cell>
          <cell r="K4254" t="str">
            <v>VVV</v>
          </cell>
          <cell r="AB4254" t="str">
            <v>Heart</v>
          </cell>
        </row>
        <row r="4255">
          <cell r="A4255" t="str">
            <v>in storage</v>
          </cell>
          <cell r="K4255" t="str">
            <v>VVV</v>
          </cell>
          <cell r="AB4255" t="str">
            <v>Skin</v>
          </cell>
        </row>
        <row r="4256">
          <cell r="A4256" t="str">
            <v>in storage</v>
          </cell>
          <cell r="K4256" t="str">
            <v>VVV</v>
          </cell>
          <cell r="AB4256" t="str">
            <v>Kidney</v>
          </cell>
        </row>
        <row r="4257">
          <cell r="A4257" t="str">
            <v>in storage</v>
          </cell>
          <cell r="K4257" t="str">
            <v>VVV</v>
          </cell>
          <cell r="AB4257" t="str">
            <v>Kidney</v>
          </cell>
        </row>
        <row r="4258">
          <cell r="A4258" t="str">
            <v>in storage</v>
          </cell>
          <cell r="K4258" t="str">
            <v>VVV</v>
          </cell>
          <cell r="AB4258" t="str">
            <v>Kidney</v>
          </cell>
        </row>
        <row r="4259">
          <cell r="A4259" t="str">
            <v>in storage</v>
          </cell>
          <cell r="K4259" t="str">
            <v>VVV</v>
          </cell>
          <cell r="AB4259" t="str">
            <v>Lung</v>
          </cell>
        </row>
        <row r="4260">
          <cell r="A4260" t="str">
            <v>in storage</v>
          </cell>
          <cell r="K4260" t="str">
            <v>VVV</v>
          </cell>
          <cell r="AB4260" t="str">
            <v>Lung</v>
          </cell>
        </row>
        <row r="4261">
          <cell r="A4261" t="str">
            <v>in storage</v>
          </cell>
          <cell r="K4261" t="str">
            <v>VVV</v>
          </cell>
          <cell r="AB4261" t="str">
            <v>Lung</v>
          </cell>
        </row>
        <row r="4262">
          <cell r="A4262" t="str">
            <v>in storage</v>
          </cell>
          <cell r="K4262" t="str">
            <v>VVV</v>
          </cell>
          <cell r="AB4262" t="str">
            <v>Liver</v>
          </cell>
        </row>
        <row r="4263">
          <cell r="A4263" t="str">
            <v>in storage</v>
          </cell>
          <cell r="K4263" t="str">
            <v>VVV</v>
          </cell>
          <cell r="AB4263" t="str">
            <v>Liver</v>
          </cell>
        </row>
        <row r="4264">
          <cell r="A4264" t="str">
            <v>in storage</v>
          </cell>
          <cell r="K4264" t="str">
            <v>VVV</v>
          </cell>
          <cell r="AB4264" t="str">
            <v>Liver</v>
          </cell>
        </row>
        <row r="4265">
          <cell r="A4265" t="str">
            <v>in storage</v>
          </cell>
          <cell r="K4265" t="str">
            <v>VVV</v>
          </cell>
          <cell r="AB4265" t="str">
            <v>Thyroid</v>
          </cell>
        </row>
        <row r="4266">
          <cell r="A4266" t="str">
            <v>in storage</v>
          </cell>
          <cell r="K4266" t="str">
            <v>VVV</v>
          </cell>
          <cell r="AB4266" t="str">
            <v>Heart</v>
          </cell>
        </row>
        <row r="4267">
          <cell r="A4267" t="str">
            <v>in storage</v>
          </cell>
          <cell r="K4267" t="str">
            <v>VVV</v>
          </cell>
          <cell r="AB4267" t="str">
            <v>Heart</v>
          </cell>
        </row>
        <row r="4268">
          <cell r="A4268" t="str">
            <v>in storage</v>
          </cell>
          <cell r="K4268" t="str">
            <v>VVV</v>
          </cell>
          <cell r="AB4268" t="str">
            <v>Heart</v>
          </cell>
        </row>
        <row r="4269">
          <cell r="A4269" t="str">
            <v>in storage</v>
          </cell>
          <cell r="K4269" t="str">
            <v>VVV</v>
          </cell>
          <cell r="AB4269" t="str">
            <v>VNO</v>
          </cell>
        </row>
        <row r="4270">
          <cell r="A4270" t="str">
            <v>in storage</v>
          </cell>
          <cell r="K4270" t="str">
            <v>VVV</v>
          </cell>
          <cell r="AB4270" t="str">
            <v>Pancreas</v>
          </cell>
        </row>
        <row r="4271">
          <cell r="A4271" t="str">
            <v>in storage</v>
          </cell>
          <cell r="K4271" t="str">
            <v>VVV</v>
          </cell>
          <cell r="AB4271" t="str">
            <v>Pancreas</v>
          </cell>
        </row>
        <row r="4272">
          <cell r="A4272" t="str">
            <v>in storage</v>
          </cell>
          <cell r="K4272" t="str">
            <v>VVV</v>
          </cell>
          <cell r="AB4272" t="str">
            <v>Pancreas</v>
          </cell>
        </row>
        <row r="4273">
          <cell r="A4273" t="str">
            <v>in storage</v>
          </cell>
          <cell r="K4273" t="str">
            <v>VVV</v>
          </cell>
          <cell r="AB4273" t="str">
            <v>Gallbladder/ liver</v>
          </cell>
        </row>
        <row r="4274">
          <cell r="A4274" t="str">
            <v>in storage</v>
          </cell>
          <cell r="K4274" t="str">
            <v>VVV</v>
          </cell>
          <cell r="AB4274" t="str">
            <v>Spleen</v>
          </cell>
        </row>
        <row r="4275">
          <cell r="A4275" t="str">
            <v>in storage</v>
          </cell>
          <cell r="K4275" t="str">
            <v>VVV</v>
          </cell>
          <cell r="AB4275" t="str">
            <v>Spleen</v>
          </cell>
        </row>
        <row r="4276">
          <cell r="A4276" t="str">
            <v>in storage</v>
          </cell>
          <cell r="K4276" t="str">
            <v>VVV</v>
          </cell>
          <cell r="AB4276" t="str">
            <v>Eye</v>
          </cell>
        </row>
        <row r="4277">
          <cell r="A4277" t="str">
            <v>in storage</v>
          </cell>
          <cell r="K4277" t="str">
            <v>VVV</v>
          </cell>
          <cell r="AB4277" t="str">
            <v>Tongue</v>
          </cell>
        </row>
        <row r="4278">
          <cell r="A4278" t="str">
            <v>in storage</v>
          </cell>
          <cell r="K4278" t="str">
            <v>VVV</v>
          </cell>
          <cell r="AB4278" t="str">
            <v>Lung</v>
          </cell>
        </row>
        <row r="4279">
          <cell r="A4279" t="str">
            <v>in storage</v>
          </cell>
          <cell r="K4279" t="str">
            <v>VVV</v>
          </cell>
          <cell r="AB4279" t="str">
            <v>Lung</v>
          </cell>
        </row>
        <row r="4280">
          <cell r="A4280" t="str">
            <v>in storage</v>
          </cell>
          <cell r="K4280" t="str">
            <v>VVV</v>
          </cell>
          <cell r="AB4280" t="str">
            <v>Skin</v>
          </cell>
        </row>
        <row r="4281">
          <cell r="A4281" t="str">
            <v>in storage</v>
          </cell>
          <cell r="K4281" t="str">
            <v>VVV</v>
          </cell>
          <cell r="AB4281" t="str">
            <v>Muscle</v>
          </cell>
        </row>
        <row r="4282">
          <cell r="A4282" t="str">
            <v>in storage</v>
          </cell>
          <cell r="K4282" t="str">
            <v>VVV</v>
          </cell>
          <cell r="AB4282" t="str">
            <v>Muscle</v>
          </cell>
        </row>
        <row r="4283">
          <cell r="A4283" t="str">
            <v>in storage</v>
          </cell>
          <cell r="K4283" t="str">
            <v>VVV</v>
          </cell>
          <cell r="AB4283" t="str">
            <v>Muscle</v>
          </cell>
        </row>
        <row r="4284">
          <cell r="A4284" t="str">
            <v>in storage</v>
          </cell>
          <cell r="K4284" t="str">
            <v>VVV</v>
          </cell>
          <cell r="AB4284" t="str">
            <v>Muscle</v>
          </cell>
        </row>
        <row r="4285">
          <cell r="A4285" t="str">
            <v>in storage</v>
          </cell>
          <cell r="K4285" t="str">
            <v>EMON</v>
          </cell>
          <cell r="AB4285" t="str">
            <v>Muscle</v>
          </cell>
        </row>
        <row r="4286">
          <cell r="A4286" t="str">
            <v>in storage</v>
          </cell>
          <cell r="K4286" t="str">
            <v>EMON</v>
          </cell>
          <cell r="AB4286" t="str">
            <v>Muscle</v>
          </cell>
        </row>
        <row r="4287">
          <cell r="A4287" t="str">
            <v>unk</v>
          </cell>
          <cell r="K4287" t="str">
            <v>EMON</v>
          </cell>
          <cell r="AB4287" t="str">
            <v>Muscle</v>
          </cell>
        </row>
        <row r="4288">
          <cell r="A4288" t="str">
            <v>in storage</v>
          </cell>
          <cell r="K4288" t="str">
            <v>EMON</v>
          </cell>
          <cell r="AB4288" t="str">
            <v>Muscle</v>
          </cell>
        </row>
        <row r="4289">
          <cell r="A4289" t="str">
            <v>in storage</v>
          </cell>
          <cell r="K4289" t="str">
            <v>EMON</v>
          </cell>
          <cell r="AB4289" t="str">
            <v>Esophagus/ Trachea</v>
          </cell>
        </row>
        <row r="4290">
          <cell r="A4290" t="str">
            <v>in storage</v>
          </cell>
          <cell r="K4290" t="str">
            <v>EMON</v>
          </cell>
          <cell r="AB4290" t="str">
            <v>R- reproductive tract</v>
          </cell>
        </row>
        <row r="4291">
          <cell r="A4291" t="str">
            <v>in storage</v>
          </cell>
          <cell r="K4291" t="str">
            <v>EMON</v>
          </cell>
          <cell r="AB4291" t="str">
            <v>Liver</v>
          </cell>
        </row>
        <row r="4292">
          <cell r="A4292" t="str">
            <v>in storage</v>
          </cell>
          <cell r="K4292" t="str">
            <v>LCAT</v>
          </cell>
          <cell r="AB4292" t="str">
            <v>GI- cecum</v>
          </cell>
        </row>
        <row r="4293">
          <cell r="A4293" t="str">
            <v>in storage</v>
          </cell>
          <cell r="K4293" t="str">
            <v>EMON</v>
          </cell>
          <cell r="AB4293" t="str">
            <v>Kidney</v>
          </cell>
        </row>
        <row r="4294">
          <cell r="A4294" t="str">
            <v>in storage</v>
          </cell>
          <cell r="K4294" t="str">
            <v>EMON</v>
          </cell>
          <cell r="AB4294" t="str">
            <v>Kidney</v>
          </cell>
        </row>
        <row r="4295">
          <cell r="A4295" t="str">
            <v>in storage</v>
          </cell>
          <cell r="K4295" t="str">
            <v>EMON</v>
          </cell>
          <cell r="AB4295" t="str">
            <v>Lung</v>
          </cell>
        </row>
        <row r="4296">
          <cell r="A4296" t="str">
            <v>in storage</v>
          </cell>
          <cell r="K4296" t="str">
            <v>EMON</v>
          </cell>
          <cell r="AB4296" t="str">
            <v>Lung</v>
          </cell>
        </row>
        <row r="4297">
          <cell r="A4297" t="str">
            <v>in storage</v>
          </cell>
          <cell r="K4297" t="str">
            <v>EMON</v>
          </cell>
          <cell r="AB4297" t="str">
            <v>Liver</v>
          </cell>
        </row>
        <row r="4298">
          <cell r="A4298" t="str">
            <v>in storage</v>
          </cell>
          <cell r="K4298" t="str">
            <v>EMON</v>
          </cell>
          <cell r="AB4298" t="str">
            <v>Liver</v>
          </cell>
        </row>
        <row r="4299">
          <cell r="A4299" t="str">
            <v>in storage</v>
          </cell>
          <cell r="K4299" t="str">
            <v>EMON</v>
          </cell>
          <cell r="AB4299" t="str">
            <v>Liver</v>
          </cell>
        </row>
        <row r="4300">
          <cell r="A4300" t="str">
            <v>in storage</v>
          </cell>
          <cell r="K4300" t="str">
            <v>EMON</v>
          </cell>
          <cell r="AB4300" t="str">
            <v>Lung</v>
          </cell>
        </row>
        <row r="4301">
          <cell r="A4301" t="str">
            <v>in storage</v>
          </cell>
          <cell r="K4301" t="str">
            <v>EMON</v>
          </cell>
          <cell r="AB4301" t="str">
            <v>Lung</v>
          </cell>
        </row>
        <row r="4302">
          <cell r="A4302" t="str">
            <v>in storage</v>
          </cell>
          <cell r="K4302" t="str">
            <v>EMON</v>
          </cell>
          <cell r="AB4302" t="str">
            <v>Lung</v>
          </cell>
        </row>
        <row r="4303">
          <cell r="A4303" t="str">
            <v>in storage</v>
          </cell>
          <cell r="K4303" t="str">
            <v>EMON</v>
          </cell>
          <cell r="AB4303" t="str">
            <v>Kidney</v>
          </cell>
        </row>
        <row r="4304">
          <cell r="A4304" t="str">
            <v>in storage</v>
          </cell>
          <cell r="K4304" t="str">
            <v>EMON</v>
          </cell>
          <cell r="AB4304" t="str">
            <v>Kidney</v>
          </cell>
        </row>
        <row r="4305">
          <cell r="A4305" t="str">
            <v>in storage</v>
          </cell>
          <cell r="K4305" t="str">
            <v>EMON</v>
          </cell>
          <cell r="AB4305" t="str">
            <v>Kidney</v>
          </cell>
        </row>
        <row r="4306">
          <cell r="A4306" t="str">
            <v>in storage</v>
          </cell>
          <cell r="K4306" t="str">
            <v>EMON</v>
          </cell>
          <cell r="AB4306" t="str">
            <v>Kidney</v>
          </cell>
        </row>
        <row r="4307">
          <cell r="A4307" t="str">
            <v>in storage</v>
          </cell>
          <cell r="K4307" t="str">
            <v>EMON</v>
          </cell>
          <cell r="AB4307" t="str">
            <v>Kidney</v>
          </cell>
        </row>
        <row r="4308">
          <cell r="A4308" t="str">
            <v>in storage</v>
          </cell>
          <cell r="K4308" t="str">
            <v>EMON</v>
          </cell>
          <cell r="AB4308" t="str">
            <v>Kidney</v>
          </cell>
        </row>
        <row r="4309">
          <cell r="A4309" t="str">
            <v>in storage</v>
          </cell>
          <cell r="K4309" t="str">
            <v>EMON</v>
          </cell>
          <cell r="AB4309" t="str">
            <v>Pancreas</v>
          </cell>
        </row>
        <row r="4310">
          <cell r="A4310" t="str">
            <v>in storage</v>
          </cell>
          <cell r="K4310" t="str">
            <v>EMON</v>
          </cell>
          <cell r="AB4310" t="str">
            <v>Pancreas</v>
          </cell>
        </row>
        <row r="4311">
          <cell r="A4311" t="str">
            <v>in storage</v>
          </cell>
          <cell r="K4311" t="str">
            <v>EMON</v>
          </cell>
          <cell r="AB4311" t="str">
            <v>Pancreas</v>
          </cell>
        </row>
        <row r="4312">
          <cell r="A4312" t="str">
            <v>in storage</v>
          </cell>
          <cell r="K4312" t="str">
            <v>EMON</v>
          </cell>
          <cell r="AB4312" t="str">
            <v>Spleen</v>
          </cell>
        </row>
        <row r="4313">
          <cell r="A4313" t="str">
            <v>in storage</v>
          </cell>
          <cell r="K4313" t="str">
            <v>EMON</v>
          </cell>
          <cell r="AB4313" t="str">
            <v>Spleen</v>
          </cell>
        </row>
        <row r="4314">
          <cell r="A4314" t="str">
            <v>in storage</v>
          </cell>
          <cell r="K4314" t="str">
            <v>EMON</v>
          </cell>
          <cell r="AB4314" t="str">
            <v>Spleen</v>
          </cell>
        </row>
        <row r="4315">
          <cell r="A4315" t="str">
            <v>in storage</v>
          </cell>
          <cell r="K4315" t="str">
            <v>EMON</v>
          </cell>
          <cell r="AB4315" t="str">
            <v>pituitary gland</v>
          </cell>
        </row>
        <row r="4316">
          <cell r="A4316" t="str">
            <v>in storage</v>
          </cell>
          <cell r="K4316" t="str">
            <v>EMON</v>
          </cell>
          <cell r="AB4316" t="str">
            <v>VNO</v>
          </cell>
        </row>
        <row r="4317">
          <cell r="A4317" t="str">
            <v>in storage</v>
          </cell>
          <cell r="K4317" t="str">
            <v>EMON</v>
          </cell>
          <cell r="AB4317" t="str">
            <v>Thyroid</v>
          </cell>
        </row>
        <row r="4318">
          <cell r="A4318" t="str">
            <v>in storage</v>
          </cell>
          <cell r="K4318" t="str">
            <v>EMON</v>
          </cell>
          <cell r="AB4318" t="str">
            <v>Skin</v>
          </cell>
        </row>
        <row r="4319">
          <cell r="A4319" t="str">
            <v>in storage</v>
          </cell>
          <cell r="K4319" t="str">
            <v>EMON</v>
          </cell>
          <cell r="AB4319" t="str">
            <v>Skin</v>
          </cell>
        </row>
        <row r="4320">
          <cell r="A4320" t="str">
            <v>in storage</v>
          </cell>
          <cell r="K4320" t="str">
            <v>EMON</v>
          </cell>
          <cell r="AB4320" t="str">
            <v>Skin</v>
          </cell>
        </row>
        <row r="4321">
          <cell r="A4321" t="str">
            <v>in storage</v>
          </cell>
          <cell r="K4321" t="str">
            <v>EMON</v>
          </cell>
          <cell r="AB4321" t="str">
            <v>Eye</v>
          </cell>
        </row>
        <row r="4322">
          <cell r="A4322" t="str">
            <v>in storage</v>
          </cell>
          <cell r="K4322" t="str">
            <v>EMON</v>
          </cell>
          <cell r="AB4322" t="str">
            <v>Skin</v>
          </cell>
        </row>
        <row r="4323">
          <cell r="A4323" t="str">
            <v>unk</v>
          </cell>
          <cell r="K4323" t="str">
            <v>EMON</v>
          </cell>
          <cell r="AB4323" t="str">
            <v>Eye</v>
          </cell>
        </row>
        <row r="4324">
          <cell r="A4324" t="str">
            <v>in storage</v>
          </cell>
          <cell r="K4324" t="str">
            <v>LCAT</v>
          </cell>
          <cell r="AB4324" t="str">
            <v>GI- cecum</v>
          </cell>
        </row>
        <row r="4325">
          <cell r="A4325" t="str">
            <v>in storage</v>
          </cell>
          <cell r="K4325" t="str">
            <v>PCOQ</v>
          </cell>
          <cell r="AB4325" t="str">
            <v>Eye</v>
          </cell>
        </row>
        <row r="4326">
          <cell r="A4326" t="str">
            <v>in storage</v>
          </cell>
          <cell r="K4326" t="str">
            <v>PCOQ</v>
          </cell>
          <cell r="AB4326" t="str">
            <v>Liver</v>
          </cell>
        </row>
        <row r="4327">
          <cell r="A4327" t="str">
            <v>in storage</v>
          </cell>
          <cell r="K4327" t="str">
            <v>LCAT</v>
          </cell>
          <cell r="AB4327" t="str">
            <v>GI- large intestine</v>
          </cell>
        </row>
        <row r="4328">
          <cell r="A4328" t="str">
            <v>in storage</v>
          </cell>
          <cell r="K4328" t="str">
            <v>LCAT</v>
          </cell>
          <cell r="AB4328" t="str">
            <v>GI- small intestine</v>
          </cell>
        </row>
        <row r="4329">
          <cell r="A4329" t="str">
            <v>in storage</v>
          </cell>
          <cell r="K4329" t="str">
            <v>PCOQ</v>
          </cell>
          <cell r="AB4329" t="str">
            <v>Pancreas</v>
          </cell>
        </row>
        <row r="4330">
          <cell r="A4330" t="str">
            <v>in storage</v>
          </cell>
          <cell r="K4330" t="str">
            <v>PCOQ</v>
          </cell>
          <cell r="AB4330" t="str">
            <v>Kidney</v>
          </cell>
        </row>
        <row r="4331">
          <cell r="A4331" t="str">
            <v>in storage</v>
          </cell>
          <cell r="K4331" t="str">
            <v>PCOQ</v>
          </cell>
          <cell r="AB4331" t="str">
            <v>Spleen</v>
          </cell>
        </row>
        <row r="4332">
          <cell r="A4332" t="str">
            <v>in storage</v>
          </cell>
          <cell r="K4332" t="str">
            <v>PCOQ</v>
          </cell>
          <cell r="AB4332" t="str">
            <v>Heart</v>
          </cell>
        </row>
        <row r="4333">
          <cell r="A4333" t="str">
            <v>in storage</v>
          </cell>
          <cell r="K4333" t="str">
            <v>PCOQ</v>
          </cell>
          <cell r="AB4333" t="str">
            <v>Lung</v>
          </cell>
        </row>
        <row r="4334">
          <cell r="A4334" t="str">
            <v>in storage</v>
          </cell>
          <cell r="K4334" t="str">
            <v>PCOQ</v>
          </cell>
          <cell r="AB4334" t="str">
            <v>Lung</v>
          </cell>
        </row>
        <row r="4335">
          <cell r="A4335" t="str">
            <v>in storage</v>
          </cell>
          <cell r="K4335" t="str">
            <v>PCOQ</v>
          </cell>
          <cell r="AB4335" t="str">
            <v>VNO</v>
          </cell>
        </row>
        <row r="4336">
          <cell r="A4336" t="str">
            <v>in storage</v>
          </cell>
          <cell r="K4336" t="str">
            <v>PCOQ</v>
          </cell>
          <cell r="AB4336" t="str">
            <v>U- bladder</v>
          </cell>
        </row>
        <row r="4337">
          <cell r="A4337" t="str">
            <v>in storage</v>
          </cell>
          <cell r="K4337" t="str">
            <v>PCOQ</v>
          </cell>
          <cell r="AB4337" t="str">
            <v>Liver</v>
          </cell>
        </row>
        <row r="4338">
          <cell r="A4338" t="str">
            <v>in storage</v>
          </cell>
          <cell r="K4338" t="str">
            <v>PCOQ</v>
          </cell>
          <cell r="AB4338" t="str">
            <v>Kidney</v>
          </cell>
        </row>
        <row r="4339">
          <cell r="A4339" t="str">
            <v>in storage</v>
          </cell>
          <cell r="K4339" t="str">
            <v>PCOQ</v>
          </cell>
          <cell r="AB4339" t="str">
            <v>Lung</v>
          </cell>
        </row>
        <row r="4340">
          <cell r="A4340" t="str">
            <v>in storage</v>
          </cell>
          <cell r="K4340" t="str">
            <v>PCOQ</v>
          </cell>
          <cell r="AB4340" t="str">
            <v>Heart</v>
          </cell>
        </row>
        <row r="4341">
          <cell r="A4341" t="str">
            <v>in storage</v>
          </cell>
          <cell r="K4341" t="str">
            <v>PCOQ</v>
          </cell>
          <cell r="AB4341" t="str">
            <v>Heart</v>
          </cell>
        </row>
        <row r="4342">
          <cell r="A4342" t="str">
            <v>in storage</v>
          </cell>
          <cell r="K4342" t="str">
            <v>PCOQ</v>
          </cell>
          <cell r="AB4342" t="str">
            <v>Heart</v>
          </cell>
        </row>
        <row r="4343">
          <cell r="A4343" t="str">
            <v>in storage</v>
          </cell>
          <cell r="K4343" t="str">
            <v>PCOQ</v>
          </cell>
          <cell r="AB4343" t="str">
            <v>U- bladder</v>
          </cell>
        </row>
        <row r="4344">
          <cell r="A4344" t="str">
            <v>in storage</v>
          </cell>
          <cell r="K4344" t="str">
            <v>PCOQ</v>
          </cell>
          <cell r="AB4344" t="str">
            <v>Pancreas</v>
          </cell>
        </row>
        <row r="4345">
          <cell r="A4345" t="str">
            <v>in storage</v>
          </cell>
          <cell r="K4345" t="str">
            <v>PCOQ</v>
          </cell>
          <cell r="AB4345" t="str">
            <v>Pancreas</v>
          </cell>
        </row>
        <row r="4346">
          <cell r="A4346" t="str">
            <v>in storage</v>
          </cell>
          <cell r="K4346" t="str">
            <v>PCOQ</v>
          </cell>
          <cell r="AB4346" t="str">
            <v>Liver</v>
          </cell>
        </row>
        <row r="4347">
          <cell r="A4347" t="str">
            <v>in storage</v>
          </cell>
          <cell r="K4347" t="str">
            <v>PCOQ</v>
          </cell>
          <cell r="AB4347" t="str">
            <v>Lung</v>
          </cell>
        </row>
        <row r="4348">
          <cell r="A4348" t="str">
            <v>in storage</v>
          </cell>
          <cell r="K4348" t="str">
            <v>PCOQ</v>
          </cell>
          <cell r="AB4348" t="str">
            <v>Lung</v>
          </cell>
        </row>
        <row r="4349">
          <cell r="A4349" t="str">
            <v>in storage</v>
          </cell>
          <cell r="K4349" t="str">
            <v>PCOQ</v>
          </cell>
          <cell r="AB4349" t="str">
            <v>Lung</v>
          </cell>
        </row>
        <row r="4350">
          <cell r="A4350" t="str">
            <v>in storage</v>
          </cell>
          <cell r="K4350" t="str">
            <v>PCOQ</v>
          </cell>
          <cell r="AB4350" t="str">
            <v>Lung</v>
          </cell>
        </row>
        <row r="4351">
          <cell r="A4351" t="str">
            <v>in storage</v>
          </cell>
          <cell r="K4351" t="str">
            <v>PCOQ</v>
          </cell>
          <cell r="AB4351" t="str">
            <v>Lung</v>
          </cell>
        </row>
        <row r="4352">
          <cell r="A4352" t="str">
            <v>in storage</v>
          </cell>
          <cell r="K4352" t="str">
            <v>PCOQ</v>
          </cell>
          <cell r="AB4352" t="str">
            <v>Spleen</v>
          </cell>
        </row>
        <row r="4353">
          <cell r="A4353" t="str">
            <v>in storage</v>
          </cell>
          <cell r="K4353" t="str">
            <v>PCOQ</v>
          </cell>
          <cell r="AB4353" t="str">
            <v>Spleen</v>
          </cell>
        </row>
        <row r="4354">
          <cell r="A4354" t="str">
            <v>in storage</v>
          </cell>
          <cell r="K4354" t="str">
            <v>PCOQ</v>
          </cell>
          <cell r="AB4354" t="str">
            <v>Spleen</v>
          </cell>
        </row>
        <row r="4355">
          <cell r="A4355" t="str">
            <v>in storage</v>
          </cell>
          <cell r="K4355" t="str">
            <v>PCOQ</v>
          </cell>
          <cell r="AB4355" t="str">
            <v>Kidney</v>
          </cell>
        </row>
        <row r="4356">
          <cell r="A4356" t="str">
            <v>in storage</v>
          </cell>
          <cell r="K4356" t="str">
            <v>PCOQ</v>
          </cell>
          <cell r="AB4356" t="str">
            <v>Eye</v>
          </cell>
        </row>
        <row r="4357">
          <cell r="A4357" t="str">
            <v>in storage</v>
          </cell>
          <cell r="K4357" t="str">
            <v>PCOQ</v>
          </cell>
          <cell r="AB4357" t="str">
            <v>Liver</v>
          </cell>
        </row>
        <row r="4358">
          <cell r="A4358" t="str">
            <v>in storage</v>
          </cell>
          <cell r="K4358" t="str">
            <v>PCOQ</v>
          </cell>
          <cell r="AB4358" t="str">
            <v>Skin</v>
          </cell>
        </row>
        <row r="4359">
          <cell r="A4359" t="str">
            <v>in storage</v>
          </cell>
          <cell r="K4359" t="str">
            <v>PCOQ</v>
          </cell>
          <cell r="AB4359" t="str">
            <v>Skin</v>
          </cell>
        </row>
        <row r="4360">
          <cell r="A4360" t="str">
            <v>unk</v>
          </cell>
          <cell r="K4360" t="str">
            <v>PCOQ</v>
          </cell>
          <cell r="AB4360" t="str">
            <v>Kidney</v>
          </cell>
        </row>
        <row r="4361">
          <cell r="A4361" t="str">
            <v>in storage</v>
          </cell>
          <cell r="K4361" t="str">
            <v>PCOQ</v>
          </cell>
          <cell r="AB4361" t="str">
            <v>Skin</v>
          </cell>
        </row>
        <row r="4362">
          <cell r="A4362" t="str">
            <v>in storage</v>
          </cell>
          <cell r="K4362" t="str">
            <v>PCOQ</v>
          </cell>
          <cell r="AB4362" t="str">
            <v>Lymph node- mesenteric</v>
          </cell>
        </row>
        <row r="4363">
          <cell r="A4363" t="str">
            <v>in storage</v>
          </cell>
          <cell r="K4363" t="str">
            <v>PCOQ</v>
          </cell>
          <cell r="AB4363" t="str">
            <v>R- teste(s)</v>
          </cell>
        </row>
        <row r="4364">
          <cell r="A4364" t="str">
            <v>in storage</v>
          </cell>
          <cell r="K4364" t="str">
            <v>PCOQ</v>
          </cell>
          <cell r="AB4364" t="str">
            <v>Muscle</v>
          </cell>
        </row>
        <row r="4365">
          <cell r="A4365" t="str">
            <v>in storage</v>
          </cell>
          <cell r="K4365" t="str">
            <v>PCOQ</v>
          </cell>
          <cell r="AB4365" t="str">
            <v>Muscle</v>
          </cell>
        </row>
        <row r="4366">
          <cell r="A4366" t="str">
            <v>in storage</v>
          </cell>
          <cell r="K4366" t="str">
            <v>PCOQ</v>
          </cell>
          <cell r="AB4366" t="str">
            <v>Muscle</v>
          </cell>
        </row>
        <row r="4367">
          <cell r="A4367" t="str">
            <v>in storage</v>
          </cell>
          <cell r="K4367" t="str">
            <v>PCOQ</v>
          </cell>
          <cell r="AB4367" t="str">
            <v>Muscle</v>
          </cell>
        </row>
        <row r="4368">
          <cell r="A4368" t="str">
            <v>in storage</v>
          </cell>
          <cell r="K4368" t="str">
            <v>ECOL</v>
          </cell>
          <cell r="AB4368" t="str">
            <v>Muscle</v>
          </cell>
        </row>
        <row r="4369">
          <cell r="A4369" t="str">
            <v>in storage</v>
          </cell>
          <cell r="K4369" t="str">
            <v>ECOL</v>
          </cell>
          <cell r="AB4369" t="str">
            <v>Diaphragm</v>
          </cell>
        </row>
        <row r="4370">
          <cell r="A4370" t="str">
            <v>in storage</v>
          </cell>
          <cell r="K4370" t="str">
            <v>LCAT</v>
          </cell>
          <cell r="AB4370" t="str">
            <v>GI- stomach</v>
          </cell>
        </row>
        <row r="4371">
          <cell r="A4371" t="str">
            <v>in storage</v>
          </cell>
          <cell r="K4371" t="str">
            <v>ECOL</v>
          </cell>
          <cell r="AB4371" t="str">
            <v>Liver</v>
          </cell>
        </row>
        <row r="4372">
          <cell r="A4372" t="str">
            <v>in storage</v>
          </cell>
          <cell r="K4372" t="str">
            <v>LCAT</v>
          </cell>
          <cell r="AB4372" t="str">
            <v>GI- large intestine</v>
          </cell>
        </row>
        <row r="4373">
          <cell r="A4373" t="str">
            <v>unk</v>
          </cell>
          <cell r="K4373" t="str">
            <v>LCAT</v>
          </cell>
          <cell r="AB4373" t="str">
            <v>GI- stomach</v>
          </cell>
        </row>
        <row r="4374">
          <cell r="A4374" t="str">
            <v>in storage</v>
          </cell>
          <cell r="K4374" t="str">
            <v>LCAT</v>
          </cell>
          <cell r="AB4374" t="str">
            <v>GI Contents- large intestine</v>
          </cell>
        </row>
        <row r="4375">
          <cell r="A4375" t="str">
            <v>in storage</v>
          </cell>
          <cell r="K4375" t="str">
            <v>LCAT</v>
          </cell>
          <cell r="AB4375" t="str">
            <v>GI Contents- cecum</v>
          </cell>
        </row>
        <row r="4376">
          <cell r="A4376" t="str">
            <v>in storage</v>
          </cell>
          <cell r="K4376" t="str">
            <v>ECOL</v>
          </cell>
          <cell r="AB4376" t="str">
            <v>Pancreas</v>
          </cell>
        </row>
        <row r="4377">
          <cell r="A4377" t="str">
            <v>in storage</v>
          </cell>
          <cell r="K4377" t="str">
            <v>ECOL</v>
          </cell>
          <cell r="AB4377" t="str">
            <v>Kidney</v>
          </cell>
        </row>
        <row r="4378">
          <cell r="A4378" t="str">
            <v>in storage</v>
          </cell>
          <cell r="K4378" t="str">
            <v>ECOL</v>
          </cell>
          <cell r="AB4378" t="str">
            <v>Kidney</v>
          </cell>
        </row>
        <row r="4379">
          <cell r="A4379" t="str">
            <v>in storage</v>
          </cell>
          <cell r="K4379" t="str">
            <v>ECOL</v>
          </cell>
          <cell r="AB4379" t="str">
            <v>Spleen</v>
          </cell>
        </row>
        <row r="4380">
          <cell r="A4380" t="str">
            <v>in storage</v>
          </cell>
          <cell r="K4380" t="str">
            <v>ECOL</v>
          </cell>
          <cell r="AB4380" t="str">
            <v>Heart</v>
          </cell>
        </row>
        <row r="4381">
          <cell r="A4381" t="str">
            <v>in storage</v>
          </cell>
          <cell r="K4381" t="str">
            <v>ECOL</v>
          </cell>
          <cell r="AB4381" t="str">
            <v>Lung</v>
          </cell>
        </row>
        <row r="4382">
          <cell r="A4382" t="str">
            <v>in storage</v>
          </cell>
          <cell r="K4382" t="str">
            <v>ECOL</v>
          </cell>
          <cell r="AB4382" t="str">
            <v>U- bladder</v>
          </cell>
        </row>
        <row r="4383">
          <cell r="A4383" t="str">
            <v>in storage</v>
          </cell>
          <cell r="K4383" t="str">
            <v>ECOL</v>
          </cell>
          <cell r="AB4383" t="str">
            <v>Liver- nodule</v>
          </cell>
        </row>
        <row r="4384">
          <cell r="A4384" t="str">
            <v>in storage</v>
          </cell>
          <cell r="K4384" t="str">
            <v>ECOL</v>
          </cell>
          <cell r="AB4384" t="str">
            <v>Skin</v>
          </cell>
        </row>
        <row r="4385">
          <cell r="A4385" t="str">
            <v>in storage</v>
          </cell>
          <cell r="K4385" t="str">
            <v>LCAT</v>
          </cell>
          <cell r="AB4385" t="str">
            <v>GI- esophagus</v>
          </cell>
        </row>
        <row r="4386">
          <cell r="A4386" t="str">
            <v>in storage</v>
          </cell>
          <cell r="K4386" t="str">
            <v>EMON</v>
          </cell>
          <cell r="AB4386" t="str">
            <v>Muscle</v>
          </cell>
        </row>
        <row r="4387">
          <cell r="A4387" t="str">
            <v>in storage</v>
          </cell>
          <cell r="K4387" t="str">
            <v>EMON</v>
          </cell>
          <cell r="AB4387" t="str">
            <v>Muscle</v>
          </cell>
        </row>
        <row r="4388">
          <cell r="A4388" t="str">
            <v>in storage</v>
          </cell>
          <cell r="K4388" t="str">
            <v>EMON</v>
          </cell>
          <cell r="AB4388" t="str">
            <v>Muscle</v>
          </cell>
        </row>
        <row r="4389">
          <cell r="A4389" t="str">
            <v>in storage</v>
          </cell>
          <cell r="K4389" t="str">
            <v>EMON</v>
          </cell>
          <cell r="AB4389" t="str">
            <v>R- ovary</v>
          </cell>
        </row>
        <row r="4390">
          <cell r="A4390" t="str">
            <v>in storage</v>
          </cell>
          <cell r="K4390" t="str">
            <v>EMON</v>
          </cell>
          <cell r="AB4390" t="str">
            <v>Liver</v>
          </cell>
        </row>
        <row r="4391">
          <cell r="A4391" t="str">
            <v>in storage</v>
          </cell>
          <cell r="K4391" t="str">
            <v>LCAT</v>
          </cell>
          <cell r="AB4391" t="str">
            <v>GI- large intestine</v>
          </cell>
        </row>
        <row r="4392">
          <cell r="A4392" t="str">
            <v>in storage</v>
          </cell>
          <cell r="K4392" t="str">
            <v>EMON</v>
          </cell>
          <cell r="AB4392" t="str">
            <v>Heart</v>
          </cell>
        </row>
        <row r="4393">
          <cell r="A4393" t="str">
            <v>in storage</v>
          </cell>
          <cell r="K4393" t="str">
            <v>EMON</v>
          </cell>
          <cell r="AB4393" t="str">
            <v>Lung</v>
          </cell>
        </row>
        <row r="4394">
          <cell r="A4394" t="str">
            <v>in storage</v>
          </cell>
          <cell r="K4394" t="str">
            <v>EMON</v>
          </cell>
          <cell r="AB4394" t="str">
            <v>Kidney</v>
          </cell>
        </row>
        <row r="4395">
          <cell r="A4395" t="str">
            <v>in storage</v>
          </cell>
          <cell r="K4395" t="str">
            <v>EMON</v>
          </cell>
          <cell r="AB4395" t="str">
            <v>Liver</v>
          </cell>
        </row>
        <row r="4396">
          <cell r="A4396" t="str">
            <v>in storage</v>
          </cell>
          <cell r="K4396" t="str">
            <v>EMON</v>
          </cell>
          <cell r="AB4396" t="str">
            <v>Kidney</v>
          </cell>
        </row>
        <row r="4397">
          <cell r="A4397" t="str">
            <v>in storage</v>
          </cell>
          <cell r="K4397" t="str">
            <v>EMON</v>
          </cell>
          <cell r="AB4397" t="str">
            <v>Spleen</v>
          </cell>
        </row>
        <row r="4398">
          <cell r="A4398" t="str">
            <v>in storage</v>
          </cell>
          <cell r="K4398" t="str">
            <v>EMON</v>
          </cell>
          <cell r="AB4398" t="str">
            <v>Heart</v>
          </cell>
        </row>
        <row r="4399">
          <cell r="A4399" t="str">
            <v>in storage</v>
          </cell>
          <cell r="K4399" t="str">
            <v>EMON</v>
          </cell>
          <cell r="AB4399" t="str">
            <v>Lung</v>
          </cell>
        </row>
        <row r="4400">
          <cell r="A4400" t="str">
            <v>in storage</v>
          </cell>
          <cell r="K4400" t="str">
            <v>EMON</v>
          </cell>
          <cell r="AB4400" t="str">
            <v>Adrenal gland</v>
          </cell>
        </row>
        <row r="4401">
          <cell r="A4401" t="str">
            <v>in storage</v>
          </cell>
          <cell r="K4401" t="str">
            <v>EMON</v>
          </cell>
          <cell r="AB4401" t="str">
            <v>Kidney</v>
          </cell>
        </row>
        <row r="4402">
          <cell r="A4402" t="str">
            <v>in storage</v>
          </cell>
          <cell r="K4402" t="str">
            <v>EMON</v>
          </cell>
          <cell r="AB4402" t="str">
            <v>Lung</v>
          </cell>
        </row>
        <row r="4403">
          <cell r="A4403" t="str">
            <v>in storage</v>
          </cell>
          <cell r="K4403" t="str">
            <v>EMON</v>
          </cell>
          <cell r="AB4403" t="str">
            <v>Kidney</v>
          </cell>
        </row>
        <row r="4404">
          <cell r="A4404" t="str">
            <v>in storage</v>
          </cell>
          <cell r="K4404" t="str">
            <v>EMON</v>
          </cell>
          <cell r="AB4404" t="str">
            <v>Lung</v>
          </cell>
        </row>
        <row r="4405">
          <cell r="A4405" t="str">
            <v>in storage</v>
          </cell>
          <cell r="K4405" t="str">
            <v>EMON</v>
          </cell>
          <cell r="AB4405" t="str">
            <v>Heart</v>
          </cell>
        </row>
        <row r="4406">
          <cell r="A4406" t="str">
            <v>in storage</v>
          </cell>
          <cell r="K4406" t="str">
            <v>EMON</v>
          </cell>
          <cell r="AB4406" t="str">
            <v>Heart</v>
          </cell>
        </row>
        <row r="4407">
          <cell r="A4407" t="str">
            <v>in storage</v>
          </cell>
          <cell r="K4407" t="str">
            <v>EMON</v>
          </cell>
          <cell r="AB4407" t="str">
            <v>Lung</v>
          </cell>
        </row>
        <row r="4408">
          <cell r="A4408" t="str">
            <v>in storage</v>
          </cell>
          <cell r="K4408" t="str">
            <v>EMON</v>
          </cell>
          <cell r="AB4408" t="str">
            <v>Spleen</v>
          </cell>
        </row>
        <row r="4409">
          <cell r="A4409" t="str">
            <v>in storage</v>
          </cell>
          <cell r="K4409" t="str">
            <v>EMON</v>
          </cell>
          <cell r="AB4409" t="str">
            <v>Liver</v>
          </cell>
        </row>
        <row r="4410">
          <cell r="A4410" t="str">
            <v>in storage</v>
          </cell>
          <cell r="K4410" t="str">
            <v>EMON</v>
          </cell>
          <cell r="AB4410" t="str">
            <v>Lung</v>
          </cell>
        </row>
        <row r="4411">
          <cell r="A4411" t="str">
            <v>in storage</v>
          </cell>
          <cell r="K4411" t="str">
            <v>EMON</v>
          </cell>
          <cell r="AB4411" t="str">
            <v>Lung</v>
          </cell>
        </row>
        <row r="4412">
          <cell r="A4412" t="str">
            <v>in storage</v>
          </cell>
          <cell r="K4412" t="str">
            <v>EMON</v>
          </cell>
          <cell r="AB4412" t="str">
            <v>Kidney</v>
          </cell>
        </row>
        <row r="4413">
          <cell r="A4413" t="str">
            <v>in storage</v>
          </cell>
          <cell r="K4413" t="str">
            <v>EMON</v>
          </cell>
          <cell r="AB4413" t="str">
            <v>Gallbladder/ liver</v>
          </cell>
        </row>
        <row r="4414">
          <cell r="A4414" t="str">
            <v>in storage</v>
          </cell>
          <cell r="K4414" t="str">
            <v>EMON</v>
          </cell>
          <cell r="AB4414" t="str">
            <v>VNO</v>
          </cell>
        </row>
        <row r="4415">
          <cell r="A4415" t="str">
            <v>in storage</v>
          </cell>
          <cell r="K4415" t="str">
            <v>EMON</v>
          </cell>
          <cell r="AB4415" t="str">
            <v>Thymus</v>
          </cell>
        </row>
        <row r="4416">
          <cell r="A4416" t="str">
            <v>in storage</v>
          </cell>
          <cell r="K4416" t="str">
            <v>EMON</v>
          </cell>
          <cell r="AB4416" t="str">
            <v>Kidney</v>
          </cell>
        </row>
        <row r="4417">
          <cell r="A4417" t="str">
            <v>in storage</v>
          </cell>
          <cell r="K4417" t="str">
            <v>EMON</v>
          </cell>
          <cell r="AB4417" t="str">
            <v>Spleen</v>
          </cell>
        </row>
        <row r="4418">
          <cell r="A4418" t="str">
            <v>in storage</v>
          </cell>
          <cell r="K4418" t="str">
            <v>EMON</v>
          </cell>
          <cell r="AB4418" t="str">
            <v>Pancreas</v>
          </cell>
        </row>
        <row r="4419">
          <cell r="A4419" t="str">
            <v>in storage</v>
          </cell>
          <cell r="K4419" t="str">
            <v>EMON</v>
          </cell>
          <cell r="AB4419" t="str">
            <v>Pancreas</v>
          </cell>
        </row>
        <row r="4420">
          <cell r="A4420" t="str">
            <v>in storage</v>
          </cell>
          <cell r="K4420" t="str">
            <v>EMON</v>
          </cell>
          <cell r="AB4420" t="str">
            <v>Thyroid</v>
          </cell>
        </row>
        <row r="4421">
          <cell r="A4421" t="str">
            <v>in storage</v>
          </cell>
          <cell r="K4421" t="str">
            <v>EMON</v>
          </cell>
          <cell r="AB4421" t="str">
            <v>Skin</v>
          </cell>
        </row>
        <row r="4422">
          <cell r="A4422" t="str">
            <v>in storage</v>
          </cell>
          <cell r="K4422" t="str">
            <v>EMON</v>
          </cell>
          <cell r="AB4422" t="str">
            <v>Skin</v>
          </cell>
        </row>
        <row r="4423">
          <cell r="A4423" t="str">
            <v>in storage</v>
          </cell>
          <cell r="K4423" t="str">
            <v>EMON</v>
          </cell>
          <cell r="AB4423" t="str">
            <v>Skin</v>
          </cell>
        </row>
        <row r="4424">
          <cell r="A4424" t="str">
            <v>in storage</v>
          </cell>
          <cell r="K4424" t="str">
            <v>EMON</v>
          </cell>
          <cell r="AB4424" t="str">
            <v>Skin</v>
          </cell>
        </row>
        <row r="4425">
          <cell r="A4425" t="str">
            <v>in storage</v>
          </cell>
          <cell r="K4425" t="str">
            <v>EMAC</v>
          </cell>
          <cell r="AB4425" t="str">
            <v>Muscle</v>
          </cell>
        </row>
        <row r="4426">
          <cell r="A4426" t="str">
            <v>in storage</v>
          </cell>
          <cell r="K4426" t="str">
            <v>EMAC</v>
          </cell>
          <cell r="AB4426" t="str">
            <v>Muscle</v>
          </cell>
        </row>
        <row r="4427">
          <cell r="A4427" t="str">
            <v>in storage</v>
          </cell>
          <cell r="K4427" t="str">
            <v>EMAC</v>
          </cell>
          <cell r="AB4427" t="str">
            <v>Liver</v>
          </cell>
        </row>
        <row r="4428">
          <cell r="A4428" t="str">
            <v>in storage</v>
          </cell>
          <cell r="K4428" t="str">
            <v>EMAC</v>
          </cell>
          <cell r="AB4428" t="str">
            <v>Kidney</v>
          </cell>
        </row>
        <row r="4429">
          <cell r="A4429" t="str">
            <v>in storage</v>
          </cell>
          <cell r="K4429" t="str">
            <v>EMAC</v>
          </cell>
          <cell r="AB4429" t="str">
            <v>Spleen</v>
          </cell>
        </row>
        <row r="4430">
          <cell r="A4430" t="str">
            <v>in storage</v>
          </cell>
          <cell r="K4430" t="str">
            <v>EMAC</v>
          </cell>
          <cell r="AB4430" t="str">
            <v>Heart</v>
          </cell>
        </row>
        <row r="4431">
          <cell r="A4431" t="str">
            <v>in storage</v>
          </cell>
          <cell r="K4431" t="str">
            <v>EMAC</v>
          </cell>
          <cell r="AB4431" t="str">
            <v>Lung</v>
          </cell>
        </row>
        <row r="4432">
          <cell r="A4432" t="str">
            <v>in storage</v>
          </cell>
          <cell r="K4432" t="str">
            <v>EMAC</v>
          </cell>
          <cell r="AB4432" t="str">
            <v>Lung</v>
          </cell>
        </row>
        <row r="4433">
          <cell r="A4433" t="str">
            <v>in storage</v>
          </cell>
          <cell r="K4433" t="str">
            <v>EMAC</v>
          </cell>
          <cell r="AB4433" t="str">
            <v>Eye</v>
          </cell>
        </row>
        <row r="4434">
          <cell r="A4434" t="str">
            <v>in storage</v>
          </cell>
          <cell r="K4434" t="str">
            <v>EMAC</v>
          </cell>
          <cell r="AB4434" t="str">
            <v>Lung</v>
          </cell>
        </row>
        <row r="4435">
          <cell r="A4435" t="str">
            <v>in storage</v>
          </cell>
          <cell r="K4435" t="str">
            <v>EMAC</v>
          </cell>
          <cell r="AB4435" t="str">
            <v>Lung</v>
          </cell>
        </row>
        <row r="4436">
          <cell r="A4436" t="str">
            <v>in storage</v>
          </cell>
          <cell r="K4436" t="str">
            <v>EMAC</v>
          </cell>
          <cell r="AB4436" t="str">
            <v>Lung</v>
          </cell>
        </row>
        <row r="4437">
          <cell r="A4437" t="str">
            <v>in storage</v>
          </cell>
          <cell r="K4437" t="str">
            <v>EMAC</v>
          </cell>
          <cell r="AB4437" t="str">
            <v>Liver</v>
          </cell>
        </row>
        <row r="4438">
          <cell r="A4438" t="str">
            <v>in storage</v>
          </cell>
          <cell r="K4438" t="str">
            <v>EMAC</v>
          </cell>
          <cell r="AB4438" t="str">
            <v>Spleen</v>
          </cell>
        </row>
        <row r="4439">
          <cell r="A4439" t="str">
            <v>in storage</v>
          </cell>
          <cell r="K4439" t="str">
            <v>EMAC</v>
          </cell>
          <cell r="AB4439" t="str">
            <v>Kidney</v>
          </cell>
        </row>
        <row r="4440">
          <cell r="A4440" t="str">
            <v>in storage</v>
          </cell>
          <cell r="K4440" t="str">
            <v>EMAC</v>
          </cell>
          <cell r="AB4440" t="str">
            <v>Heart</v>
          </cell>
        </row>
        <row r="4441">
          <cell r="A4441" t="str">
            <v>in storage</v>
          </cell>
          <cell r="K4441" t="str">
            <v>EMAC</v>
          </cell>
          <cell r="AB4441" t="str">
            <v>Heart</v>
          </cell>
        </row>
        <row r="4442">
          <cell r="A4442" t="str">
            <v>in storage</v>
          </cell>
          <cell r="K4442" t="str">
            <v>EMAC</v>
          </cell>
          <cell r="AB4442" t="str">
            <v>Heart</v>
          </cell>
        </row>
        <row r="4443">
          <cell r="A4443" t="str">
            <v>in storage</v>
          </cell>
          <cell r="K4443" t="str">
            <v>EMAC</v>
          </cell>
          <cell r="AB4443" t="str">
            <v>VNO</v>
          </cell>
        </row>
        <row r="4444">
          <cell r="A4444" t="str">
            <v>in storage</v>
          </cell>
          <cell r="K4444" t="str">
            <v>EMAC</v>
          </cell>
          <cell r="AB4444" t="str">
            <v>Kidney</v>
          </cell>
        </row>
        <row r="4445">
          <cell r="A4445" t="str">
            <v>in storage</v>
          </cell>
          <cell r="K4445" t="str">
            <v>EMAC</v>
          </cell>
          <cell r="AB4445" t="str">
            <v>Kidney</v>
          </cell>
        </row>
        <row r="4446">
          <cell r="A4446" t="str">
            <v>in storage</v>
          </cell>
          <cell r="K4446" t="str">
            <v>EMAC</v>
          </cell>
          <cell r="AB4446" t="str">
            <v>Kidney</v>
          </cell>
        </row>
        <row r="4447">
          <cell r="A4447" t="str">
            <v>in storage</v>
          </cell>
          <cell r="K4447" t="str">
            <v>EMAC</v>
          </cell>
          <cell r="AB4447" t="str">
            <v>Spleen</v>
          </cell>
        </row>
        <row r="4448">
          <cell r="A4448" t="str">
            <v>in storage</v>
          </cell>
          <cell r="K4448" t="str">
            <v>EMAC</v>
          </cell>
          <cell r="AB4448" t="str">
            <v>Liver</v>
          </cell>
        </row>
        <row r="4449">
          <cell r="A4449" t="str">
            <v>in storage</v>
          </cell>
          <cell r="K4449" t="str">
            <v>EMAC</v>
          </cell>
          <cell r="AB4449" t="str">
            <v>Lung</v>
          </cell>
        </row>
        <row r="4450">
          <cell r="A4450" t="str">
            <v>in storage</v>
          </cell>
          <cell r="K4450" t="str">
            <v>EMAC</v>
          </cell>
          <cell r="AB4450" t="str">
            <v>Pancreas</v>
          </cell>
        </row>
        <row r="4451">
          <cell r="A4451" t="str">
            <v>in storage</v>
          </cell>
          <cell r="K4451" t="str">
            <v>EMAC</v>
          </cell>
          <cell r="AB4451" t="str">
            <v>pituitary gland</v>
          </cell>
        </row>
        <row r="4452">
          <cell r="A4452" t="str">
            <v>in storage</v>
          </cell>
          <cell r="K4452" t="str">
            <v>EMAC</v>
          </cell>
          <cell r="AB4452" t="str">
            <v>Lung</v>
          </cell>
        </row>
        <row r="4453">
          <cell r="A4453" t="str">
            <v>in storage</v>
          </cell>
          <cell r="K4453" t="str">
            <v>EMAC</v>
          </cell>
          <cell r="AB4453" t="str">
            <v>Lung</v>
          </cell>
        </row>
        <row r="4454">
          <cell r="A4454" t="str">
            <v>in storage</v>
          </cell>
          <cell r="K4454" t="str">
            <v>EMAC</v>
          </cell>
          <cell r="AB4454" t="str">
            <v>Thyroid</v>
          </cell>
        </row>
        <row r="4455">
          <cell r="A4455" t="str">
            <v>in storage</v>
          </cell>
          <cell r="K4455" t="str">
            <v>EMAC</v>
          </cell>
          <cell r="AB4455" t="str">
            <v>Kidney</v>
          </cell>
        </row>
        <row r="4456">
          <cell r="A4456" t="str">
            <v>in storage</v>
          </cell>
          <cell r="K4456" t="str">
            <v>EMAC</v>
          </cell>
          <cell r="AB4456" t="str">
            <v>Skin</v>
          </cell>
        </row>
        <row r="4457">
          <cell r="A4457" t="str">
            <v>in storage</v>
          </cell>
          <cell r="K4457" t="str">
            <v>EMAC</v>
          </cell>
          <cell r="AB4457" t="str">
            <v>Skin</v>
          </cell>
        </row>
        <row r="4458">
          <cell r="A4458" t="str">
            <v>in storage</v>
          </cell>
          <cell r="K4458" t="str">
            <v>EMAC</v>
          </cell>
          <cell r="AB4458" t="str">
            <v>Skin</v>
          </cell>
        </row>
        <row r="4459">
          <cell r="A4459" t="str">
            <v>in storage</v>
          </cell>
          <cell r="K4459" t="str">
            <v>EMAC</v>
          </cell>
          <cell r="AB4459" t="str">
            <v>Spleen</v>
          </cell>
        </row>
        <row r="4460">
          <cell r="A4460" t="str">
            <v>in storage</v>
          </cell>
          <cell r="K4460" t="str">
            <v>EMAC</v>
          </cell>
          <cell r="AB4460" t="str">
            <v>Liver</v>
          </cell>
        </row>
        <row r="4461">
          <cell r="A4461" t="str">
            <v>in storage</v>
          </cell>
          <cell r="K4461" t="str">
            <v>EMAC</v>
          </cell>
          <cell r="AB4461" t="str">
            <v>Kidney</v>
          </cell>
        </row>
        <row r="4462">
          <cell r="A4462" t="str">
            <v>unk</v>
          </cell>
          <cell r="K4462" t="str">
            <v>EMAC</v>
          </cell>
          <cell r="AB4462" t="str">
            <v>Adrenal gland</v>
          </cell>
        </row>
        <row r="4463">
          <cell r="A4463" t="str">
            <v>unk</v>
          </cell>
          <cell r="K4463" t="str">
            <v>EMAC</v>
          </cell>
          <cell r="AB4463" t="str">
            <v>Skin</v>
          </cell>
        </row>
        <row r="4464">
          <cell r="A4464" t="str">
            <v>in storage</v>
          </cell>
          <cell r="K4464" t="str">
            <v>EALB</v>
          </cell>
          <cell r="AB4464" t="str">
            <v>Muscle</v>
          </cell>
        </row>
        <row r="4465">
          <cell r="A4465" t="str">
            <v>in storage</v>
          </cell>
          <cell r="K4465" t="str">
            <v>EALB</v>
          </cell>
          <cell r="AB4465" t="str">
            <v>Muscle</v>
          </cell>
        </row>
        <row r="4466">
          <cell r="A4466" t="str">
            <v>in storage</v>
          </cell>
          <cell r="K4466" t="str">
            <v>EALB</v>
          </cell>
          <cell r="AB4466" t="str">
            <v>Muscle</v>
          </cell>
        </row>
        <row r="4467">
          <cell r="A4467" t="str">
            <v>in storage</v>
          </cell>
          <cell r="K4467" t="str">
            <v>EALB</v>
          </cell>
          <cell r="AB4467" t="str">
            <v>Muscle</v>
          </cell>
        </row>
        <row r="4468">
          <cell r="A4468" t="str">
            <v>in storage</v>
          </cell>
          <cell r="K4468" t="str">
            <v>LCAT</v>
          </cell>
          <cell r="AB4468" t="str">
            <v>GI- stomach</v>
          </cell>
        </row>
        <row r="4469">
          <cell r="A4469" t="str">
            <v>in storage</v>
          </cell>
          <cell r="K4469" t="str">
            <v>LCAT</v>
          </cell>
          <cell r="AB4469" t="str">
            <v>GI- small intestine</v>
          </cell>
        </row>
        <row r="4470">
          <cell r="A4470" t="str">
            <v>in storage</v>
          </cell>
          <cell r="K4470" t="str">
            <v>EALB</v>
          </cell>
          <cell r="AB4470" t="str">
            <v>Eye</v>
          </cell>
        </row>
        <row r="4471">
          <cell r="A4471" t="str">
            <v>in storage</v>
          </cell>
          <cell r="K4471" t="str">
            <v>EALB</v>
          </cell>
          <cell r="AB4471" t="str">
            <v>Lymph node</v>
          </cell>
        </row>
        <row r="4472">
          <cell r="A4472" t="str">
            <v>in storage</v>
          </cell>
          <cell r="K4472" t="str">
            <v>EALB</v>
          </cell>
          <cell r="AB4472" t="str">
            <v>Liver</v>
          </cell>
        </row>
        <row r="4473">
          <cell r="A4473" t="str">
            <v>in storage</v>
          </cell>
          <cell r="K4473" t="str">
            <v>LCAT</v>
          </cell>
          <cell r="AB4473" t="str">
            <v>GI Contents- large intestine</v>
          </cell>
        </row>
        <row r="4474">
          <cell r="A4474" t="str">
            <v>in storage</v>
          </cell>
          <cell r="K4474" t="str">
            <v>LCAT</v>
          </cell>
          <cell r="AB4474" t="str">
            <v>GI Contents- cecum</v>
          </cell>
        </row>
        <row r="4475">
          <cell r="A4475" t="str">
            <v>in storage</v>
          </cell>
          <cell r="K4475" t="str">
            <v>EALB</v>
          </cell>
          <cell r="AB4475" t="str">
            <v>Kidney</v>
          </cell>
        </row>
        <row r="4476">
          <cell r="A4476" t="str">
            <v>in storage</v>
          </cell>
          <cell r="K4476" t="str">
            <v>EALB</v>
          </cell>
          <cell r="AB4476" t="str">
            <v>VNO</v>
          </cell>
        </row>
        <row r="4477">
          <cell r="A4477" t="str">
            <v>gone</v>
          </cell>
          <cell r="K4477" t="str">
            <v>EALB</v>
          </cell>
          <cell r="AB4477" t="str">
            <v>Skin</v>
          </cell>
        </row>
        <row r="4478">
          <cell r="A4478" t="str">
            <v>in storage</v>
          </cell>
          <cell r="K4478" t="str">
            <v>EALB</v>
          </cell>
          <cell r="AB4478" t="str">
            <v>Liver</v>
          </cell>
        </row>
        <row r="4479">
          <cell r="A4479" t="str">
            <v>in storage</v>
          </cell>
          <cell r="K4479" t="str">
            <v>EALB</v>
          </cell>
          <cell r="AB4479" t="str">
            <v>Lung</v>
          </cell>
        </row>
        <row r="4480">
          <cell r="A4480" t="str">
            <v>in storage</v>
          </cell>
          <cell r="K4480" t="str">
            <v>EALB</v>
          </cell>
          <cell r="AB4480" t="str">
            <v>Skin</v>
          </cell>
        </row>
        <row r="4481">
          <cell r="A4481" t="str">
            <v>in storage</v>
          </cell>
          <cell r="K4481" t="str">
            <v>EALB</v>
          </cell>
          <cell r="AB4481" t="str">
            <v>Spleen</v>
          </cell>
        </row>
        <row r="4482">
          <cell r="A4482" t="str">
            <v>in storage</v>
          </cell>
          <cell r="K4482" t="str">
            <v>EALB</v>
          </cell>
          <cell r="AB4482" t="str">
            <v>Heart</v>
          </cell>
        </row>
        <row r="4483">
          <cell r="A4483" t="str">
            <v>in storage</v>
          </cell>
          <cell r="K4483" t="str">
            <v>EALB</v>
          </cell>
          <cell r="AB4483" t="str">
            <v>Liver</v>
          </cell>
        </row>
        <row r="4484">
          <cell r="A4484" t="str">
            <v>in storage</v>
          </cell>
          <cell r="K4484" t="str">
            <v>EALB</v>
          </cell>
          <cell r="AB4484" t="str">
            <v>Kidney</v>
          </cell>
        </row>
        <row r="4485">
          <cell r="A4485" t="str">
            <v>in storage</v>
          </cell>
          <cell r="K4485" t="str">
            <v>EALB</v>
          </cell>
          <cell r="AB4485" t="str">
            <v>Heart</v>
          </cell>
        </row>
        <row r="4486">
          <cell r="A4486" t="str">
            <v>in storage</v>
          </cell>
          <cell r="K4486" t="str">
            <v>EALB</v>
          </cell>
          <cell r="AB4486" t="str">
            <v>Pancreas</v>
          </cell>
        </row>
        <row r="4487">
          <cell r="A4487" t="str">
            <v>in storage</v>
          </cell>
          <cell r="K4487" t="str">
            <v>EALB</v>
          </cell>
          <cell r="AB4487" t="str">
            <v>Lung</v>
          </cell>
        </row>
        <row r="4488">
          <cell r="A4488" t="str">
            <v>in storage</v>
          </cell>
          <cell r="K4488" t="str">
            <v>EALB</v>
          </cell>
          <cell r="AB4488" t="str">
            <v>Heart</v>
          </cell>
        </row>
        <row r="4489">
          <cell r="A4489" t="str">
            <v>in storage</v>
          </cell>
          <cell r="K4489" t="str">
            <v>EALB</v>
          </cell>
          <cell r="AB4489" t="str">
            <v>Liver</v>
          </cell>
        </row>
        <row r="4490">
          <cell r="A4490" t="str">
            <v>in storage</v>
          </cell>
          <cell r="K4490" t="str">
            <v>EALB</v>
          </cell>
          <cell r="AB4490" t="str">
            <v>Pancreas</v>
          </cell>
        </row>
        <row r="4491">
          <cell r="A4491" t="str">
            <v>in storage</v>
          </cell>
          <cell r="K4491" t="str">
            <v>EALB</v>
          </cell>
          <cell r="AB4491" t="str">
            <v>Lung</v>
          </cell>
        </row>
        <row r="4492">
          <cell r="A4492" t="str">
            <v>in storage</v>
          </cell>
          <cell r="K4492" t="str">
            <v>EALB</v>
          </cell>
          <cell r="AB4492" t="str">
            <v>Spleen</v>
          </cell>
        </row>
        <row r="4493">
          <cell r="A4493" t="str">
            <v>in storage</v>
          </cell>
          <cell r="K4493" t="str">
            <v>EALB</v>
          </cell>
          <cell r="AB4493" t="str">
            <v>Kidney</v>
          </cell>
        </row>
        <row r="4494">
          <cell r="A4494" t="str">
            <v>in storage</v>
          </cell>
          <cell r="K4494" t="str">
            <v>EALB</v>
          </cell>
          <cell r="AB4494" t="str">
            <v>Eye</v>
          </cell>
        </row>
        <row r="4495">
          <cell r="A4495" t="str">
            <v>in storage</v>
          </cell>
          <cell r="K4495" t="str">
            <v>EALB</v>
          </cell>
          <cell r="AB4495" t="str">
            <v>Heart</v>
          </cell>
        </row>
        <row r="4496">
          <cell r="A4496" t="str">
            <v>in storage</v>
          </cell>
          <cell r="K4496" t="str">
            <v>EALB</v>
          </cell>
          <cell r="AB4496" t="str">
            <v>Lung</v>
          </cell>
        </row>
        <row r="4497">
          <cell r="A4497" t="str">
            <v>in storage</v>
          </cell>
          <cell r="K4497" t="str">
            <v>EALB</v>
          </cell>
          <cell r="AB4497" t="str">
            <v>Lung</v>
          </cell>
        </row>
        <row r="4498">
          <cell r="A4498" t="str">
            <v>in storage</v>
          </cell>
          <cell r="K4498" t="str">
            <v>EALB</v>
          </cell>
          <cell r="AB4498" t="str">
            <v>U- bladder</v>
          </cell>
        </row>
        <row r="4499">
          <cell r="A4499" t="str">
            <v>in storage</v>
          </cell>
          <cell r="K4499" t="str">
            <v>EALB</v>
          </cell>
          <cell r="AB4499" t="str">
            <v>Skin</v>
          </cell>
        </row>
        <row r="4500">
          <cell r="A4500" t="str">
            <v>in storage</v>
          </cell>
          <cell r="K4500" t="str">
            <v>LTAR</v>
          </cell>
          <cell r="AB4500" t="str">
            <v>R- ovary</v>
          </cell>
        </row>
        <row r="4501">
          <cell r="A4501" t="str">
            <v>in storage</v>
          </cell>
          <cell r="K4501" t="str">
            <v>LTAR</v>
          </cell>
          <cell r="AB4501" t="str">
            <v>R- reproductive tract</v>
          </cell>
        </row>
        <row r="4502">
          <cell r="A4502" t="str">
            <v>in storage</v>
          </cell>
          <cell r="K4502" t="str">
            <v>LCAT</v>
          </cell>
          <cell r="AB4502" t="str">
            <v>GI- large intestine</v>
          </cell>
        </row>
        <row r="4503">
          <cell r="A4503" t="str">
            <v>in storage</v>
          </cell>
          <cell r="K4503" t="str">
            <v>LTAR</v>
          </cell>
          <cell r="AB4503" t="str">
            <v>Fat- abdominal</v>
          </cell>
        </row>
        <row r="4504">
          <cell r="A4504" t="str">
            <v>in storage</v>
          </cell>
          <cell r="K4504" t="str">
            <v>LTAR</v>
          </cell>
          <cell r="AB4504" t="str">
            <v>Liver</v>
          </cell>
        </row>
        <row r="4505">
          <cell r="A4505" t="str">
            <v>in storage</v>
          </cell>
          <cell r="K4505" t="str">
            <v>LCAT</v>
          </cell>
          <cell r="AB4505" t="str">
            <v>GI- small intestine</v>
          </cell>
        </row>
        <row r="4506">
          <cell r="A4506" t="str">
            <v>in storage</v>
          </cell>
          <cell r="K4506" t="str">
            <v>LCAT</v>
          </cell>
          <cell r="AB4506" t="str">
            <v>GI- stomach</v>
          </cell>
        </row>
        <row r="4507">
          <cell r="A4507" t="str">
            <v>in storage</v>
          </cell>
          <cell r="K4507" t="str">
            <v>LCAT</v>
          </cell>
          <cell r="AB4507" t="str">
            <v>GI Contents- duodenum</v>
          </cell>
        </row>
        <row r="4508">
          <cell r="A4508" t="str">
            <v>in storage</v>
          </cell>
          <cell r="K4508" t="str">
            <v>LTAR</v>
          </cell>
          <cell r="AB4508" t="str">
            <v>Skin</v>
          </cell>
        </row>
        <row r="4509">
          <cell r="A4509" t="str">
            <v>in storage</v>
          </cell>
          <cell r="K4509" t="str">
            <v>LTAR</v>
          </cell>
          <cell r="AB4509" t="str">
            <v>Skin</v>
          </cell>
        </row>
        <row r="4510">
          <cell r="A4510" t="str">
            <v>in storage</v>
          </cell>
          <cell r="K4510" t="str">
            <v>LTAR</v>
          </cell>
          <cell r="AB4510" t="str">
            <v>Skin</v>
          </cell>
        </row>
        <row r="4511">
          <cell r="A4511" t="str">
            <v>in storage</v>
          </cell>
          <cell r="K4511" t="str">
            <v>LTAR</v>
          </cell>
          <cell r="AB4511" t="str">
            <v>Liver</v>
          </cell>
        </row>
        <row r="4512">
          <cell r="A4512" t="str">
            <v>in storage</v>
          </cell>
          <cell r="K4512" t="str">
            <v>LTAR</v>
          </cell>
          <cell r="AB4512" t="str">
            <v>Liver</v>
          </cell>
        </row>
        <row r="4513">
          <cell r="A4513" t="str">
            <v>in storage</v>
          </cell>
          <cell r="K4513" t="str">
            <v>LTAR</v>
          </cell>
          <cell r="AB4513" t="str">
            <v>Heart</v>
          </cell>
        </row>
        <row r="4514">
          <cell r="A4514" t="str">
            <v>in storage</v>
          </cell>
          <cell r="K4514" t="str">
            <v>LTAR</v>
          </cell>
          <cell r="AB4514" t="str">
            <v>Thyroid</v>
          </cell>
        </row>
        <row r="4515">
          <cell r="A4515" t="str">
            <v>in storage</v>
          </cell>
          <cell r="K4515" t="str">
            <v>LTAR</v>
          </cell>
          <cell r="AB4515" t="str">
            <v>VNO</v>
          </cell>
        </row>
        <row r="4516">
          <cell r="A4516" t="str">
            <v>in storage</v>
          </cell>
          <cell r="K4516" t="str">
            <v>LTAR</v>
          </cell>
          <cell r="AB4516" t="str">
            <v>Kidney</v>
          </cell>
        </row>
        <row r="4517">
          <cell r="A4517" t="str">
            <v>in storage</v>
          </cell>
          <cell r="K4517" t="str">
            <v>LTAR</v>
          </cell>
          <cell r="AB4517" t="str">
            <v>Peripheral nerve</v>
          </cell>
        </row>
        <row r="4518">
          <cell r="A4518" t="str">
            <v>in storage</v>
          </cell>
          <cell r="K4518" t="str">
            <v>LTAR</v>
          </cell>
          <cell r="AB4518" t="str">
            <v>Kidney</v>
          </cell>
        </row>
        <row r="4519">
          <cell r="A4519" t="str">
            <v>in storage</v>
          </cell>
          <cell r="K4519" t="str">
            <v>LTAR</v>
          </cell>
          <cell r="AB4519" t="str">
            <v>Pancreas</v>
          </cell>
        </row>
        <row r="4520">
          <cell r="A4520" t="str">
            <v>in storage</v>
          </cell>
          <cell r="K4520" t="str">
            <v>LTAR</v>
          </cell>
          <cell r="AB4520" t="str">
            <v>Lung</v>
          </cell>
        </row>
        <row r="4521">
          <cell r="A4521" t="str">
            <v>in storage</v>
          </cell>
          <cell r="K4521" t="str">
            <v>LTAR</v>
          </cell>
          <cell r="AB4521" t="str">
            <v>Lung</v>
          </cell>
        </row>
        <row r="4522">
          <cell r="A4522" t="str">
            <v>in storage</v>
          </cell>
          <cell r="K4522" t="str">
            <v>LTAR</v>
          </cell>
          <cell r="AB4522" t="str">
            <v>Spleen</v>
          </cell>
        </row>
        <row r="4523">
          <cell r="A4523" t="str">
            <v>in storage</v>
          </cell>
          <cell r="K4523" t="str">
            <v>LTAR</v>
          </cell>
          <cell r="AB4523" t="str">
            <v>Digit- toe</v>
          </cell>
        </row>
        <row r="4524">
          <cell r="A4524" t="str">
            <v>in storage</v>
          </cell>
          <cell r="K4524" t="str">
            <v>LTAR</v>
          </cell>
          <cell r="AB4524" t="str">
            <v>Liver</v>
          </cell>
        </row>
        <row r="4525">
          <cell r="A4525" t="str">
            <v>in storage</v>
          </cell>
          <cell r="K4525" t="str">
            <v>LTAR</v>
          </cell>
          <cell r="AB4525" t="str">
            <v>Lung</v>
          </cell>
        </row>
        <row r="4526">
          <cell r="A4526" t="str">
            <v>in storage</v>
          </cell>
          <cell r="K4526" t="str">
            <v>LTAR</v>
          </cell>
          <cell r="AB4526" t="str">
            <v>U- bladder</v>
          </cell>
        </row>
        <row r="4527">
          <cell r="A4527" t="str">
            <v>in storage</v>
          </cell>
          <cell r="K4527" t="str">
            <v>LTAR</v>
          </cell>
          <cell r="AB4527" t="str">
            <v>Eye</v>
          </cell>
        </row>
        <row r="4528">
          <cell r="A4528" t="str">
            <v>in storage</v>
          </cell>
          <cell r="K4528" t="str">
            <v>LTAR</v>
          </cell>
          <cell r="AB4528" t="str">
            <v>Skin</v>
          </cell>
        </row>
        <row r="4529">
          <cell r="A4529" t="str">
            <v>in storage</v>
          </cell>
          <cell r="K4529" t="str">
            <v>LTAR</v>
          </cell>
          <cell r="AB4529" t="str">
            <v>Muscle</v>
          </cell>
        </row>
        <row r="4530">
          <cell r="A4530" t="str">
            <v>in storage</v>
          </cell>
          <cell r="K4530" t="str">
            <v>LTAR</v>
          </cell>
          <cell r="AB4530" t="str">
            <v>Muscle</v>
          </cell>
        </row>
        <row r="4531">
          <cell r="A4531" t="str">
            <v>in storage</v>
          </cell>
          <cell r="K4531" t="str">
            <v>LTAR</v>
          </cell>
          <cell r="AB4531" t="str">
            <v>Muscle</v>
          </cell>
        </row>
        <row r="4532">
          <cell r="A4532" t="str">
            <v>in storage</v>
          </cell>
          <cell r="K4532" t="str">
            <v>PCOQ</v>
          </cell>
          <cell r="AB4532" t="str">
            <v>R- placenta</v>
          </cell>
        </row>
        <row r="4533">
          <cell r="A4533" t="str">
            <v>in storage</v>
          </cell>
          <cell r="K4533" t="str">
            <v>PCOQ</v>
          </cell>
          <cell r="AB4533" t="str">
            <v>R- amniotic sac</v>
          </cell>
        </row>
        <row r="4534">
          <cell r="A4534" t="str">
            <v>on hold</v>
          </cell>
          <cell r="K4534" t="str">
            <v>ECOR</v>
          </cell>
          <cell r="AB4534" t="str">
            <v>R- sperm plug</v>
          </cell>
        </row>
        <row r="4535">
          <cell r="A4535" t="str">
            <v>in storage</v>
          </cell>
          <cell r="K4535" t="str">
            <v>DMAD</v>
          </cell>
          <cell r="AB4535" t="str">
            <v>Lung</v>
          </cell>
        </row>
        <row r="4536">
          <cell r="A4536" t="str">
            <v>in storage</v>
          </cell>
          <cell r="K4536" t="str">
            <v>CMED</v>
          </cell>
          <cell r="AB4536" t="str">
            <v>Muscle</v>
          </cell>
        </row>
        <row r="4537">
          <cell r="A4537" t="str">
            <v>in storage</v>
          </cell>
          <cell r="K4537" t="str">
            <v>CMED</v>
          </cell>
          <cell r="AB4537" t="str">
            <v>Muscle</v>
          </cell>
        </row>
        <row r="4538">
          <cell r="A4538" t="str">
            <v>in storage</v>
          </cell>
          <cell r="K4538" t="str">
            <v>CMED</v>
          </cell>
          <cell r="AB4538" t="str">
            <v>Muscle</v>
          </cell>
        </row>
        <row r="4539">
          <cell r="A4539" t="str">
            <v>in storage</v>
          </cell>
          <cell r="K4539" t="str">
            <v>CMED</v>
          </cell>
          <cell r="AB4539" t="str">
            <v>RU- bladder/ reproductive tract</v>
          </cell>
        </row>
        <row r="4540">
          <cell r="A4540" t="str">
            <v>in storage</v>
          </cell>
          <cell r="K4540" t="str">
            <v>CMED</v>
          </cell>
          <cell r="AB4540" t="str">
            <v>Fat- brown</v>
          </cell>
        </row>
        <row r="4541">
          <cell r="A4541" t="str">
            <v>in storage</v>
          </cell>
          <cell r="K4541" t="str">
            <v>CMED</v>
          </cell>
          <cell r="AB4541" t="str">
            <v>Liver</v>
          </cell>
        </row>
        <row r="4542">
          <cell r="A4542" t="str">
            <v>in storage</v>
          </cell>
          <cell r="K4542" t="str">
            <v>LCAT</v>
          </cell>
          <cell r="AB4542" t="str">
            <v>GI Contents- stomach</v>
          </cell>
        </row>
        <row r="4543">
          <cell r="A4543" t="str">
            <v>in storage</v>
          </cell>
          <cell r="K4543" t="str">
            <v>LCAT</v>
          </cell>
          <cell r="AB4543" t="str">
            <v>GI Tract</v>
          </cell>
        </row>
        <row r="4544">
          <cell r="A4544" t="str">
            <v>in storage</v>
          </cell>
          <cell r="K4544" t="str">
            <v>LCAT</v>
          </cell>
          <cell r="AB4544" t="str">
            <v>GI Tract</v>
          </cell>
        </row>
        <row r="4545">
          <cell r="A4545" t="str">
            <v>in storage</v>
          </cell>
          <cell r="K4545" t="str">
            <v>CMED</v>
          </cell>
          <cell r="AB4545" t="str">
            <v>Fat- brown</v>
          </cell>
        </row>
        <row r="4546">
          <cell r="A4546" t="str">
            <v>in storage</v>
          </cell>
          <cell r="K4546" t="str">
            <v>CMED</v>
          </cell>
          <cell r="AB4546" t="str">
            <v>Fat- brown</v>
          </cell>
        </row>
        <row r="4547">
          <cell r="A4547" t="str">
            <v>in storage</v>
          </cell>
          <cell r="K4547" t="str">
            <v>CMED</v>
          </cell>
          <cell r="AB4547" t="str">
            <v>VNO</v>
          </cell>
        </row>
        <row r="4548">
          <cell r="A4548" t="str">
            <v>in storage</v>
          </cell>
          <cell r="K4548" t="str">
            <v>CMED</v>
          </cell>
          <cell r="AB4548" t="str">
            <v>Fat- brown</v>
          </cell>
        </row>
        <row r="4549">
          <cell r="A4549" t="str">
            <v>in storage</v>
          </cell>
          <cell r="K4549" t="str">
            <v>CMED</v>
          </cell>
          <cell r="AB4549" t="str">
            <v>Kidney</v>
          </cell>
        </row>
        <row r="4550">
          <cell r="A4550" t="str">
            <v>in storage</v>
          </cell>
          <cell r="K4550" t="str">
            <v>CMED</v>
          </cell>
          <cell r="AB4550" t="str">
            <v>Liver</v>
          </cell>
        </row>
        <row r="4551">
          <cell r="A4551" t="str">
            <v>in storage</v>
          </cell>
          <cell r="K4551" t="str">
            <v>CMED</v>
          </cell>
          <cell r="AB4551" t="str">
            <v>Pancreas</v>
          </cell>
        </row>
        <row r="4552">
          <cell r="A4552" t="str">
            <v>in storage</v>
          </cell>
          <cell r="K4552" t="str">
            <v>CMED</v>
          </cell>
          <cell r="AB4552" t="str">
            <v>Kidney</v>
          </cell>
        </row>
        <row r="4553">
          <cell r="A4553" t="str">
            <v>in storage</v>
          </cell>
          <cell r="K4553" t="str">
            <v>CMED</v>
          </cell>
          <cell r="AB4553" t="str">
            <v>Heart</v>
          </cell>
        </row>
        <row r="4554">
          <cell r="A4554" t="str">
            <v>in storage</v>
          </cell>
          <cell r="K4554" t="str">
            <v>CMED</v>
          </cell>
          <cell r="AB4554" t="str">
            <v>Liver</v>
          </cell>
        </row>
        <row r="4555">
          <cell r="A4555" t="str">
            <v>in storage</v>
          </cell>
          <cell r="K4555" t="str">
            <v>CMED</v>
          </cell>
          <cell r="AB4555" t="str">
            <v>Spleen</v>
          </cell>
        </row>
        <row r="4556">
          <cell r="A4556" t="str">
            <v>in storage</v>
          </cell>
          <cell r="K4556" t="str">
            <v>CMED</v>
          </cell>
          <cell r="AB4556" t="str">
            <v>Eye</v>
          </cell>
        </row>
        <row r="4557">
          <cell r="A4557" t="str">
            <v>in storage</v>
          </cell>
          <cell r="K4557" t="str">
            <v>CMED</v>
          </cell>
          <cell r="AB4557" t="str">
            <v>Skin</v>
          </cell>
        </row>
        <row r="4558">
          <cell r="A4558" t="str">
            <v>in storage</v>
          </cell>
          <cell r="K4558" t="str">
            <v>CMED</v>
          </cell>
          <cell r="AB4558" t="str">
            <v>Liver</v>
          </cell>
        </row>
        <row r="4559">
          <cell r="A4559" t="str">
            <v>gone</v>
          </cell>
          <cell r="K4559" t="str">
            <v>CMED</v>
          </cell>
          <cell r="AB4559" t="str">
            <v>Kidney</v>
          </cell>
        </row>
        <row r="4560">
          <cell r="A4560" t="str">
            <v>unk</v>
          </cell>
          <cell r="K4560" t="str">
            <v>CMED</v>
          </cell>
          <cell r="AB4560" t="str">
            <v>Kidney</v>
          </cell>
        </row>
        <row r="4561">
          <cell r="A4561" t="str">
            <v>in storage</v>
          </cell>
          <cell r="K4561" t="str">
            <v>CMED</v>
          </cell>
          <cell r="AB4561" t="str">
            <v>Skin</v>
          </cell>
        </row>
        <row r="4562">
          <cell r="A4562" t="str">
            <v>in storage</v>
          </cell>
          <cell r="K4562" t="str">
            <v>CMED</v>
          </cell>
          <cell r="AB4562" t="str">
            <v>Skin</v>
          </cell>
        </row>
        <row r="4563">
          <cell r="A4563" t="str">
            <v>gone</v>
          </cell>
          <cell r="K4563" t="str">
            <v>CMED</v>
          </cell>
          <cell r="AB4563" t="str">
            <v>Kidney</v>
          </cell>
        </row>
        <row r="4564">
          <cell r="A4564" t="str">
            <v>in storage</v>
          </cell>
          <cell r="K4564" t="str">
            <v>CMED</v>
          </cell>
          <cell r="AB4564" t="str">
            <v>Lung</v>
          </cell>
        </row>
        <row r="4565">
          <cell r="A4565" t="str">
            <v>in storage</v>
          </cell>
          <cell r="K4565" t="str">
            <v>CMED</v>
          </cell>
          <cell r="AB4565" t="str">
            <v>Lung</v>
          </cell>
        </row>
        <row r="4566">
          <cell r="A4566" t="str">
            <v>in storage</v>
          </cell>
          <cell r="K4566" t="str">
            <v>CMED</v>
          </cell>
          <cell r="AB4566" t="str">
            <v>R- teste(s)</v>
          </cell>
        </row>
        <row r="4567">
          <cell r="A4567" t="str">
            <v>in storage</v>
          </cell>
          <cell r="K4567" t="str">
            <v>CMED</v>
          </cell>
          <cell r="AB4567" t="str">
            <v>R- teste(s)</v>
          </cell>
        </row>
        <row r="4568">
          <cell r="A4568" t="str">
            <v>in storage</v>
          </cell>
          <cell r="K4568" t="str">
            <v>PCOQ</v>
          </cell>
          <cell r="AB4568" t="str">
            <v>R- placenta</v>
          </cell>
        </row>
        <row r="4569">
          <cell r="A4569" t="str">
            <v>in storage</v>
          </cell>
          <cell r="K4569" t="str">
            <v>PCOQ</v>
          </cell>
          <cell r="AB4569" t="str">
            <v>R- placenta</v>
          </cell>
        </row>
        <row r="4570">
          <cell r="A4570" t="str">
            <v>in storage</v>
          </cell>
          <cell r="K4570" t="str">
            <v>PCOQ</v>
          </cell>
          <cell r="AB4570" t="str">
            <v>VNO</v>
          </cell>
        </row>
        <row r="4571">
          <cell r="A4571" t="str">
            <v>in storage</v>
          </cell>
          <cell r="K4571" t="str">
            <v>PCOQ</v>
          </cell>
          <cell r="AB4571" t="str">
            <v>Adrenal gland</v>
          </cell>
        </row>
        <row r="4572">
          <cell r="A4572" t="str">
            <v>in storage</v>
          </cell>
          <cell r="K4572" t="str">
            <v>PCOQ</v>
          </cell>
          <cell r="AB4572" t="str">
            <v>Adrenal gland</v>
          </cell>
        </row>
        <row r="4573">
          <cell r="A4573" t="str">
            <v>in storage</v>
          </cell>
          <cell r="K4573" t="str">
            <v>PCOQ</v>
          </cell>
          <cell r="AB4573" t="str">
            <v>Gallbladder/ liver</v>
          </cell>
        </row>
        <row r="4574">
          <cell r="A4574" t="str">
            <v>in storage</v>
          </cell>
          <cell r="K4574" t="str">
            <v>LCAT</v>
          </cell>
          <cell r="AB4574" t="str">
            <v>GI- stomach</v>
          </cell>
        </row>
        <row r="4575">
          <cell r="A4575" t="str">
            <v>in storage</v>
          </cell>
          <cell r="K4575" t="str">
            <v>LCAT</v>
          </cell>
          <cell r="AB4575" t="str">
            <v>GI Contents- stomach</v>
          </cell>
        </row>
        <row r="4576">
          <cell r="A4576" t="str">
            <v>in storage</v>
          </cell>
          <cell r="K4576" t="str">
            <v>PCOQ</v>
          </cell>
          <cell r="AB4576" t="str">
            <v>Kidney</v>
          </cell>
        </row>
        <row r="4577">
          <cell r="A4577" t="str">
            <v>in storage</v>
          </cell>
          <cell r="K4577" t="str">
            <v>PCOQ</v>
          </cell>
          <cell r="AB4577" t="str">
            <v>Kidney</v>
          </cell>
        </row>
        <row r="4578">
          <cell r="A4578" t="str">
            <v>in storage</v>
          </cell>
          <cell r="K4578" t="str">
            <v>PCOQ</v>
          </cell>
          <cell r="AB4578" t="str">
            <v>Spleen</v>
          </cell>
        </row>
        <row r="4579">
          <cell r="A4579" t="str">
            <v>in storage</v>
          </cell>
          <cell r="K4579" t="str">
            <v>PCOQ</v>
          </cell>
          <cell r="AB4579" t="str">
            <v>heart</v>
          </cell>
        </row>
        <row r="4580">
          <cell r="A4580" t="str">
            <v>in storage</v>
          </cell>
          <cell r="K4580" t="str">
            <v>PCOQ</v>
          </cell>
          <cell r="AB4580" t="str">
            <v>Lung</v>
          </cell>
        </row>
        <row r="4581">
          <cell r="A4581" t="str">
            <v>in storage</v>
          </cell>
          <cell r="K4581" t="str">
            <v>PCOQ</v>
          </cell>
          <cell r="AB4581" t="str">
            <v>Lung</v>
          </cell>
        </row>
        <row r="4582">
          <cell r="A4582" t="str">
            <v>in storage</v>
          </cell>
          <cell r="K4582" t="str">
            <v>PCOQ</v>
          </cell>
          <cell r="AB4582" t="str">
            <v>Skin</v>
          </cell>
        </row>
        <row r="4583">
          <cell r="A4583" t="str">
            <v>in storage</v>
          </cell>
          <cell r="K4583" t="str">
            <v>PCOQ</v>
          </cell>
          <cell r="AB4583" t="str">
            <v>R- teste(s)</v>
          </cell>
        </row>
        <row r="4584">
          <cell r="A4584" t="str">
            <v>in storage</v>
          </cell>
          <cell r="K4584" t="str">
            <v>PCOQ</v>
          </cell>
          <cell r="AB4584" t="str">
            <v>Muscle</v>
          </cell>
        </row>
        <row r="4585">
          <cell r="A4585" t="str">
            <v>in storage</v>
          </cell>
          <cell r="K4585" t="str">
            <v>LCAT</v>
          </cell>
          <cell r="AB4585" t="str">
            <v>Liver</v>
          </cell>
        </row>
        <row r="4586">
          <cell r="A4586" t="str">
            <v>in storage</v>
          </cell>
          <cell r="K4586" t="str">
            <v>LCAT</v>
          </cell>
          <cell r="AB4586" t="str">
            <v>Kidney</v>
          </cell>
        </row>
        <row r="4587">
          <cell r="A4587" t="str">
            <v>in storage</v>
          </cell>
          <cell r="K4587" t="str">
            <v>LCAT</v>
          </cell>
          <cell r="AB4587" t="str">
            <v>Lung</v>
          </cell>
        </row>
        <row r="4588">
          <cell r="A4588" t="str">
            <v>in storage</v>
          </cell>
          <cell r="K4588" t="str">
            <v>LCAT</v>
          </cell>
          <cell r="AB4588" t="str">
            <v>VNO</v>
          </cell>
        </row>
        <row r="4589">
          <cell r="A4589" t="str">
            <v>in storage</v>
          </cell>
          <cell r="K4589" t="str">
            <v>LCAT</v>
          </cell>
          <cell r="AB4589" t="str">
            <v>Skin</v>
          </cell>
        </row>
        <row r="4590">
          <cell r="A4590" t="str">
            <v>in storage</v>
          </cell>
          <cell r="K4590" t="str">
            <v>LCAT</v>
          </cell>
          <cell r="AB4590" t="str">
            <v>Muscle</v>
          </cell>
        </row>
        <row r="4591">
          <cell r="A4591" t="str">
            <v>in storage</v>
          </cell>
          <cell r="K4591" t="str">
            <v>EUL</v>
          </cell>
          <cell r="AB4591" t="str">
            <v>Muscle</v>
          </cell>
        </row>
        <row r="4592">
          <cell r="A4592" t="str">
            <v>in storage</v>
          </cell>
          <cell r="K4592" t="str">
            <v>EUL</v>
          </cell>
          <cell r="AB4592" t="str">
            <v>Muscle</v>
          </cell>
        </row>
        <row r="4593">
          <cell r="A4593" t="str">
            <v>in storage</v>
          </cell>
          <cell r="K4593" t="str">
            <v>EUL</v>
          </cell>
          <cell r="AB4593" t="str">
            <v>Liver</v>
          </cell>
        </row>
        <row r="4594">
          <cell r="A4594" t="str">
            <v>in storage</v>
          </cell>
          <cell r="K4594" t="str">
            <v>LCAT</v>
          </cell>
          <cell r="AB4594" t="str">
            <v>GI Contents- cecum</v>
          </cell>
        </row>
        <row r="4595">
          <cell r="A4595" t="str">
            <v>in storage</v>
          </cell>
          <cell r="K4595" t="str">
            <v>EUL</v>
          </cell>
          <cell r="AB4595" t="str">
            <v>Kidney</v>
          </cell>
        </row>
        <row r="4596">
          <cell r="A4596" t="str">
            <v>in storage</v>
          </cell>
          <cell r="K4596" t="str">
            <v>EUL</v>
          </cell>
          <cell r="AB4596" t="str">
            <v>Spleen</v>
          </cell>
        </row>
        <row r="4597">
          <cell r="A4597" t="str">
            <v>in storage</v>
          </cell>
          <cell r="K4597" t="str">
            <v>EUL</v>
          </cell>
          <cell r="AB4597" t="str">
            <v>heart</v>
          </cell>
        </row>
        <row r="4598">
          <cell r="A4598" t="str">
            <v>in storage</v>
          </cell>
          <cell r="K4598" t="str">
            <v>EUL</v>
          </cell>
          <cell r="AB4598" t="str">
            <v>Lung</v>
          </cell>
        </row>
        <row r="4599">
          <cell r="A4599" t="str">
            <v>in storage</v>
          </cell>
          <cell r="K4599" t="str">
            <v>EUL</v>
          </cell>
          <cell r="AB4599" t="str">
            <v>Lung</v>
          </cell>
        </row>
        <row r="4600">
          <cell r="A4600" t="str">
            <v>in storage</v>
          </cell>
          <cell r="K4600" t="str">
            <v>EUL</v>
          </cell>
          <cell r="AB4600" t="str">
            <v>Liver</v>
          </cell>
        </row>
        <row r="4601">
          <cell r="A4601" t="str">
            <v>in storage</v>
          </cell>
          <cell r="K4601" t="str">
            <v>EUL</v>
          </cell>
          <cell r="AB4601" t="str">
            <v>Spleen</v>
          </cell>
        </row>
        <row r="4602">
          <cell r="A4602" t="str">
            <v>in storage</v>
          </cell>
          <cell r="K4602" t="str">
            <v>EUL</v>
          </cell>
          <cell r="AB4602" t="str">
            <v>Spleen</v>
          </cell>
        </row>
        <row r="4603">
          <cell r="A4603" t="str">
            <v>in storage</v>
          </cell>
          <cell r="K4603" t="str">
            <v>EUL</v>
          </cell>
          <cell r="AB4603" t="str">
            <v>Heart</v>
          </cell>
        </row>
        <row r="4604">
          <cell r="A4604" t="str">
            <v>in storage</v>
          </cell>
          <cell r="K4604" t="str">
            <v>EUL</v>
          </cell>
          <cell r="AB4604" t="str">
            <v>Heart</v>
          </cell>
        </row>
        <row r="4605">
          <cell r="A4605" t="str">
            <v>in storage</v>
          </cell>
          <cell r="K4605" t="str">
            <v>EUL</v>
          </cell>
          <cell r="AB4605" t="str">
            <v>Heart</v>
          </cell>
        </row>
        <row r="4606">
          <cell r="A4606" t="str">
            <v>in storage</v>
          </cell>
          <cell r="K4606" t="str">
            <v>EUL</v>
          </cell>
          <cell r="AB4606" t="str">
            <v>Pancreas</v>
          </cell>
        </row>
        <row r="4607">
          <cell r="A4607" t="str">
            <v>in storage</v>
          </cell>
          <cell r="K4607" t="str">
            <v>EUL</v>
          </cell>
          <cell r="AB4607" t="str">
            <v>pituitary gland</v>
          </cell>
        </row>
        <row r="4608">
          <cell r="A4608" t="str">
            <v>in storage</v>
          </cell>
          <cell r="K4608" t="str">
            <v>EUL</v>
          </cell>
          <cell r="AB4608" t="str">
            <v>Lung</v>
          </cell>
        </row>
        <row r="4609">
          <cell r="A4609" t="str">
            <v>in storage</v>
          </cell>
          <cell r="K4609" t="str">
            <v>EUL</v>
          </cell>
          <cell r="AB4609" t="str">
            <v>Lung</v>
          </cell>
        </row>
        <row r="4610">
          <cell r="A4610" t="str">
            <v>in storage</v>
          </cell>
          <cell r="K4610" t="str">
            <v>EUL</v>
          </cell>
          <cell r="AB4610" t="str">
            <v>Lung</v>
          </cell>
        </row>
        <row r="4611">
          <cell r="A4611" t="str">
            <v>in storage</v>
          </cell>
          <cell r="K4611" t="str">
            <v>EUL</v>
          </cell>
          <cell r="AB4611" t="str">
            <v>Kidney</v>
          </cell>
        </row>
        <row r="4612">
          <cell r="A4612" t="str">
            <v>in storage</v>
          </cell>
          <cell r="K4612" t="str">
            <v>EUL</v>
          </cell>
          <cell r="AB4612" t="str">
            <v>Kidney</v>
          </cell>
        </row>
        <row r="4613">
          <cell r="A4613" t="str">
            <v>in storage</v>
          </cell>
          <cell r="K4613" t="str">
            <v>EUL</v>
          </cell>
          <cell r="AB4613" t="str">
            <v>Kidney</v>
          </cell>
        </row>
        <row r="4614">
          <cell r="A4614" t="str">
            <v>in storage</v>
          </cell>
          <cell r="K4614" t="str">
            <v>EUL</v>
          </cell>
          <cell r="AB4614" t="str">
            <v>Kidney</v>
          </cell>
        </row>
        <row r="4615">
          <cell r="A4615" t="str">
            <v>in storage</v>
          </cell>
          <cell r="K4615" t="str">
            <v>EUL</v>
          </cell>
          <cell r="AB4615" t="str">
            <v>Kidney</v>
          </cell>
        </row>
        <row r="4616">
          <cell r="A4616" t="str">
            <v>in storage</v>
          </cell>
          <cell r="K4616" t="str">
            <v>EUL</v>
          </cell>
          <cell r="AB4616" t="str">
            <v>Kidney</v>
          </cell>
        </row>
        <row r="4617">
          <cell r="A4617" t="str">
            <v>in storage</v>
          </cell>
          <cell r="K4617" t="str">
            <v>EUL</v>
          </cell>
          <cell r="AB4617" t="str">
            <v>Thyroid</v>
          </cell>
        </row>
        <row r="4618">
          <cell r="A4618" t="str">
            <v>in storage</v>
          </cell>
          <cell r="K4618" t="str">
            <v>EUL</v>
          </cell>
          <cell r="AB4618" t="str">
            <v>Lung</v>
          </cell>
        </row>
        <row r="4619">
          <cell r="A4619" t="str">
            <v>in storage</v>
          </cell>
          <cell r="K4619" t="str">
            <v>EUL</v>
          </cell>
          <cell r="AB4619" t="str">
            <v>Lung</v>
          </cell>
        </row>
        <row r="4620">
          <cell r="A4620" t="str">
            <v>in storage</v>
          </cell>
          <cell r="K4620" t="str">
            <v>EUL</v>
          </cell>
          <cell r="AB4620" t="str">
            <v>Liver</v>
          </cell>
        </row>
        <row r="4621">
          <cell r="A4621" t="str">
            <v>in storage</v>
          </cell>
          <cell r="K4621" t="str">
            <v>EUL</v>
          </cell>
          <cell r="AB4621" t="str">
            <v>Liver</v>
          </cell>
        </row>
        <row r="4622">
          <cell r="A4622" t="str">
            <v>in storage</v>
          </cell>
          <cell r="K4622" t="str">
            <v>EUL</v>
          </cell>
          <cell r="AB4622" t="str">
            <v>Lung</v>
          </cell>
        </row>
        <row r="4623">
          <cell r="A4623" t="str">
            <v>in storage</v>
          </cell>
          <cell r="K4623" t="str">
            <v>EUL</v>
          </cell>
          <cell r="AB4623" t="str">
            <v>Spleen</v>
          </cell>
        </row>
        <row r="4624">
          <cell r="A4624" t="str">
            <v>in storage</v>
          </cell>
          <cell r="K4624" t="str">
            <v>EUL</v>
          </cell>
          <cell r="AB4624" t="str">
            <v>Skin</v>
          </cell>
        </row>
        <row r="4625">
          <cell r="A4625" t="str">
            <v>in storage</v>
          </cell>
          <cell r="K4625" t="str">
            <v>EUL</v>
          </cell>
          <cell r="AB4625" t="str">
            <v>Skin</v>
          </cell>
        </row>
        <row r="4626">
          <cell r="A4626" t="str">
            <v>in storage</v>
          </cell>
          <cell r="K4626" t="str">
            <v>EUL</v>
          </cell>
          <cell r="AB4626" t="str">
            <v>Skin</v>
          </cell>
        </row>
        <row r="4627">
          <cell r="A4627" t="str">
            <v>in storage</v>
          </cell>
          <cell r="K4627" t="str">
            <v>EUL</v>
          </cell>
          <cell r="AB4627" t="str">
            <v>Skin</v>
          </cell>
        </row>
        <row r="4628">
          <cell r="A4628" t="str">
            <v>in storage</v>
          </cell>
          <cell r="K4628" t="str">
            <v>EMON</v>
          </cell>
          <cell r="AB4628" t="str">
            <v>R- ovary</v>
          </cell>
        </row>
        <row r="4629">
          <cell r="A4629" t="str">
            <v>in storage</v>
          </cell>
          <cell r="K4629" t="str">
            <v>LCAT</v>
          </cell>
          <cell r="AB4629" t="str">
            <v>GI- cecum</v>
          </cell>
        </row>
        <row r="4630">
          <cell r="A4630" t="str">
            <v>in storage</v>
          </cell>
          <cell r="K4630" t="str">
            <v>EMON</v>
          </cell>
          <cell r="AB4630" t="str">
            <v>Kidney</v>
          </cell>
        </row>
        <row r="4631">
          <cell r="A4631" t="str">
            <v>in storage</v>
          </cell>
          <cell r="K4631" t="str">
            <v>LCAT</v>
          </cell>
          <cell r="AB4631" t="str">
            <v>GI- large intestine</v>
          </cell>
        </row>
        <row r="4632">
          <cell r="A4632" t="str">
            <v>in storage</v>
          </cell>
          <cell r="K4632" t="str">
            <v>LCAT</v>
          </cell>
          <cell r="AB4632" t="str">
            <v>GI- small intestine</v>
          </cell>
        </row>
        <row r="4633">
          <cell r="A4633" t="str">
            <v>in storage</v>
          </cell>
          <cell r="K4633" t="str">
            <v>LCAT</v>
          </cell>
          <cell r="AB4633" t="str">
            <v>GI- stomach</v>
          </cell>
        </row>
        <row r="4634">
          <cell r="A4634" t="str">
            <v>in storage</v>
          </cell>
          <cell r="K4634" t="str">
            <v>LCAT</v>
          </cell>
          <cell r="AB4634" t="str">
            <v>Eye</v>
          </cell>
        </row>
        <row r="4635">
          <cell r="A4635" t="str">
            <v>in storage</v>
          </cell>
          <cell r="K4635" t="str">
            <v>LCAT</v>
          </cell>
          <cell r="AB4635" t="str">
            <v>Liver</v>
          </cell>
        </row>
        <row r="4636">
          <cell r="A4636" t="str">
            <v>in storage</v>
          </cell>
          <cell r="K4636" t="str">
            <v>LCAT</v>
          </cell>
          <cell r="AB4636" t="str">
            <v>GI Contents- colon</v>
          </cell>
        </row>
        <row r="4637">
          <cell r="A4637" t="str">
            <v>in storage</v>
          </cell>
          <cell r="K4637" t="str">
            <v>LCAT</v>
          </cell>
          <cell r="AB4637" t="str">
            <v>GI Contents- stomach</v>
          </cell>
        </row>
        <row r="4638">
          <cell r="A4638" t="str">
            <v>in storage</v>
          </cell>
          <cell r="K4638" t="str">
            <v>LCAT</v>
          </cell>
          <cell r="AB4638" t="str">
            <v>Kidney</v>
          </cell>
        </row>
        <row r="4639">
          <cell r="A4639" t="str">
            <v>in storage</v>
          </cell>
          <cell r="K4639" t="str">
            <v>LCAT</v>
          </cell>
          <cell r="AB4639" t="str">
            <v>Pancreas</v>
          </cell>
        </row>
        <row r="4640">
          <cell r="A4640" t="str">
            <v>in storage</v>
          </cell>
          <cell r="K4640" t="str">
            <v>LCAT</v>
          </cell>
          <cell r="AB4640" t="str">
            <v>Heart</v>
          </cell>
        </row>
        <row r="4641">
          <cell r="A4641" t="str">
            <v>in storage</v>
          </cell>
          <cell r="K4641" t="str">
            <v>LCAT</v>
          </cell>
          <cell r="AB4641" t="str">
            <v>Liver</v>
          </cell>
        </row>
        <row r="4642">
          <cell r="A4642" t="str">
            <v>in storage</v>
          </cell>
          <cell r="K4642" t="str">
            <v>LCAT</v>
          </cell>
          <cell r="AB4642" t="str">
            <v>Liver</v>
          </cell>
        </row>
        <row r="4643">
          <cell r="A4643" t="str">
            <v>in storage</v>
          </cell>
          <cell r="K4643" t="str">
            <v>LCAT</v>
          </cell>
          <cell r="AB4643" t="str">
            <v>Liver</v>
          </cell>
        </row>
        <row r="4644">
          <cell r="A4644" t="str">
            <v>in storage</v>
          </cell>
          <cell r="K4644" t="str">
            <v>LCAT</v>
          </cell>
          <cell r="AB4644" t="str">
            <v>Kidney</v>
          </cell>
        </row>
        <row r="4645">
          <cell r="A4645" t="str">
            <v>in storage</v>
          </cell>
          <cell r="K4645" t="str">
            <v>LCAT</v>
          </cell>
          <cell r="AB4645" t="str">
            <v>Thyroid</v>
          </cell>
        </row>
        <row r="4646">
          <cell r="A4646" t="str">
            <v>in storage</v>
          </cell>
          <cell r="K4646" t="str">
            <v>LCAT</v>
          </cell>
          <cell r="AB4646" t="str">
            <v>Kidney</v>
          </cell>
        </row>
        <row r="4647">
          <cell r="A4647" t="str">
            <v>in storage</v>
          </cell>
          <cell r="K4647" t="str">
            <v>LCAT</v>
          </cell>
          <cell r="AB4647" t="str">
            <v>Lung</v>
          </cell>
        </row>
        <row r="4648">
          <cell r="A4648" t="str">
            <v>in storage</v>
          </cell>
          <cell r="K4648" t="str">
            <v>LCAT</v>
          </cell>
          <cell r="AB4648" t="str">
            <v>Lung</v>
          </cell>
        </row>
        <row r="4649">
          <cell r="A4649" t="str">
            <v>in storage</v>
          </cell>
          <cell r="K4649" t="str">
            <v>LCAT</v>
          </cell>
          <cell r="AB4649" t="str">
            <v>Lung</v>
          </cell>
        </row>
        <row r="4650">
          <cell r="A4650" t="str">
            <v>in storage</v>
          </cell>
          <cell r="K4650" t="str">
            <v>LCAT</v>
          </cell>
          <cell r="AB4650" t="str">
            <v>Lung</v>
          </cell>
        </row>
        <row r="4651">
          <cell r="A4651" t="str">
            <v>in storage</v>
          </cell>
          <cell r="K4651" t="str">
            <v>LCAT</v>
          </cell>
          <cell r="AB4651" t="str">
            <v>Lung</v>
          </cell>
        </row>
        <row r="4652">
          <cell r="A4652" t="str">
            <v>gone</v>
          </cell>
          <cell r="K4652" t="str">
            <v>LCAT</v>
          </cell>
          <cell r="AB4652" t="str">
            <v>Spleen</v>
          </cell>
        </row>
        <row r="4653">
          <cell r="A4653" t="str">
            <v>in storage</v>
          </cell>
          <cell r="K4653" t="str">
            <v>LCAT</v>
          </cell>
          <cell r="AB4653" t="str">
            <v>Lung</v>
          </cell>
        </row>
        <row r="4654">
          <cell r="A4654" t="str">
            <v>in storage</v>
          </cell>
          <cell r="K4654" t="str">
            <v>LCAT</v>
          </cell>
          <cell r="AB4654" t="str">
            <v>Kidney</v>
          </cell>
        </row>
        <row r="4655">
          <cell r="A4655" t="str">
            <v>in storage</v>
          </cell>
          <cell r="K4655" t="str">
            <v>LCAT</v>
          </cell>
          <cell r="AB4655" t="str">
            <v>Heart</v>
          </cell>
        </row>
        <row r="4656">
          <cell r="A4656" t="str">
            <v>in storage</v>
          </cell>
          <cell r="K4656" t="str">
            <v>LCAT</v>
          </cell>
          <cell r="AB4656" t="str">
            <v>Heart</v>
          </cell>
        </row>
        <row r="4657">
          <cell r="A4657" t="str">
            <v>in storage</v>
          </cell>
          <cell r="K4657" t="str">
            <v>LCAT</v>
          </cell>
          <cell r="AB4657" t="str">
            <v>Skin</v>
          </cell>
        </row>
        <row r="4658">
          <cell r="A4658" t="str">
            <v>in storage</v>
          </cell>
          <cell r="K4658" t="str">
            <v>LCAT</v>
          </cell>
          <cell r="AB4658" t="str">
            <v>VNO</v>
          </cell>
        </row>
        <row r="4659">
          <cell r="A4659" t="str">
            <v>in storage</v>
          </cell>
          <cell r="K4659" t="str">
            <v>LCAT</v>
          </cell>
          <cell r="AB4659" t="str">
            <v>Lung</v>
          </cell>
        </row>
        <row r="4660">
          <cell r="A4660" t="str">
            <v>in storage</v>
          </cell>
          <cell r="K4660" t="str">
            <v>LCAT</v>
          </cell>
          <cell r="AB4660" t="str">
            <v>Muscle</v>
          </cell>
        </row>
        <row r="4661">
          <cell r="A4661" t="str">
            <v>in storage</v>
          </cell>
          <cell r="K4661" t="str">
            <v>LCAT</v>
          </cell>
          <cell r="AB4661" t="str">
            <v>Muscle</v>
          </cell>
        </row>
        <row r="4662">
          <cell r="A4662" t="str">
            <v>in storage</v>
          </cell>
          <cell r="K4662" t="str">
            <v>LCAT</v>
          </cell>
          <cell r="AB4662" t="str">
            <v>Muscle</v>
          </cell>
        </row>
        <row r="4663">
          <cell r="A4663" t="str">
            <v>in storage</v>
          </cell>
          <cell r="K4663" t="str">
            <v>ERUB</v>
          </cell>
          <cell r="AB4663" t="str">
            <v>Muscle</v>
          </cell>
        </row>
        <row r="4664">
          <cell r="A4664" t="str">
            <v>in storage</v>
          </cell>
          <cell r="K4664" t="str">
            <v>ERUB</v>
          </cell>
          <cell r="AB4664" t="str">
            <v>Muscle</v>
          </cell>
        </row>
        <row r="4665">
          <cell r="A4665" t="str">
            <v>in storage</v>
          </cell>
          <cell r="K4665" t="str">
            <v>ERUB</v>
          </cell>
          <cell r="AB4665" t="str">
            <v>Muscle</v>
          </cell>
        </row>
        <row r="4666">
          <cell r="A4666" t="str">
            <v>in storage</v>
          </cell>
          <cell r="K4666" t="str">
            <v>ERUB</v>
          </cell>
          <cell r="AB4666" t="str">
            <v>R- ovary</v>
          </cell>
        </row>
        <row r="4667">
          <cell r="A4667" t="str">
            <v>in storage</v>
          </cell>
          <cell r="K4667" t="str">
            <v>ERUB</v>
          </cell>
          <cell r="AB4667" t="str">
            <v>Eye</v>
          </cell>
        </row>
        <row r="4668">
          <cell r="A4668" t="str">
            <v>in storage</v>
          </cell>
          <cell r="K4668" t="str">
            <v>ERUB</v>
          </cell>
          <cell r="AB4668" t="str">
            <v>Liver</v>
          </cell>
        </row>
        <row r="4669">
          <cell r="A4669" t="str">
            <v>in storage</v>
          </cell>
          <cell r="K4669" t="str">
            <v>LCAT</v>
          </cell>
          <cell r="AB4669" t="str">
            <v>GI- cecum</v>
          </cell>
        </row>
        <row r="4670">
          <cell r="A4670" t="str">
            <v>in storage</v>
          </cell>
          <cell r="K4670" t="str">
            <v>ERUB</v>
          </cell>
          <cell r="AB4670" t="str">
            <v>Pancreas</v>
          </cell>
        </row>
        <row r="4671">
          <cell r="A4671" t="str">
            <v>in storage</v>
          </cell>
          <cell r="K4671" t="str">
            <v>ERUB</v>
          </cell>
          <cell r="AB4671" t="str">
            <v>Kidney</v>
          </cell>
        </row>
        <row r="4672">
          <cell r="A4672" t="str">
            <v>in storage</v>
          </cell>
          <cell r="K4672" t="str">
            <v>ERUB</v>
          </cell>
          <cell r="AB4672" t="str">
            <v>Kidney</v>
          </cell>
        </row>
        <row r="4673">
          <cell r="A4673" t="str">
            <v>in storage</v>
          </cell>
          <cell r="K4673" t="str">
            <v>ERUB</v>
          </cell>
          <cell r="AB4673" t="str">
            <v>Spleen</v>
          </cell>
        </row>
        <row r="4674">
          <cell r="A4674" t="str">
            <v>in storage</v>
          </cell>
          <cell r="K4674" t="str">
            <v>ERUB</v>
          </cell>
          <cell r="AB4674" t="str">
            <v>Heart</v>
          </cell>
        </row>
        <row r="4675">
          <cell r="A4675" t="str">
            <v>in storage</v>
          </cell>
          <cell r="K4675" t="str">
            <v>ERUB</v>
          </cell>
          <cell r="AB4675" t="str">
            <v>Liver</v>
          </cell>
        </row>
        <row r="4676">
          <cell r="A4676" t="str">
            <v>in storage</v>
          </cell>
          <cell r="K4676" t="str">
            <v>ERUB</v>
          </cell>
          <cell r="AB4676" t="str">
            <v>Liver</v>
          </cell>
        </row>
        <row r="4677">
          <cell r="A4677" t="str">
            <v>in storage</v>
          </cell>
          <cell r="K4677" t="str">
            <v>ERUB</v>
          </cell>
          <cell r="AB4677" t="str">
            <v>Liver</v>
          </cell>
        </row>
        <row r="4678">
          <cell r="A4678" t="str">
            <v>in storage</v>
          </cell>
          <cell r="K4678" t="str">
            <v>ERUB</v>
          </cell>
          <cell r="AB4678" t="str">
            <v>Kidney</v>
          </cell>
        </row>
        <row r="4679">
          <cell r="A4679" t="str">
            <v>in storage</v>
          </cell>
          <cell r="K4679" t="str">
            <v>ERUB</v>
          </cell>
          <cell r="AB4679" t="str">
            <v>Kidney</v>
          </cell>
        </row>
        <row r="4680">
          <cell r="A4680" t="str">
            <v>in storage</v>
          </cell>
          <cell r="K4680" t="str">
            <v>ERUB</v>
          </cell>
          <cell r="AB4680" t="str">
            <v>Lung</v>
          </cell>
        </row>
        <row r="4681">
          <cell r="A4681" t="str">
            <v>in storage</v>
          </cell>
          <cell r="K4681" t="str">
            <v>ERUB</v>
          </cell>
          <cell r="AB4681" t="str">
            <v>Lung</v>
          </cell>
        </row>
        <row r="4682">
          <cell r="A4682" t="str">
            <v>in storage</v>
          </cell>
          <cell r="K4682" t="str">
            <v>ERUB</v>
          </cell>
          <cell r="AB4682" t="str">
            <v>Lung</v>
          </cell>
        </row>
        <row r="4683">
          <cell r="A4683" t="str">
            <v>in storage</v>
          </cell>
          <cell r="K4683" t="str">
            <v>ERUB</v>
          </cell>
          <cell r="AB4683" t="str">
            <v>VNO</v>
          </cell>
        </row>
        <row r="4684">
          <cell r="A4684" t="str">
            <v>in storage</v>
          </cell>
          <cell r="K4684" t="str">
            <v>ERUB</v>
          </cell>
          <cell r="AB4684" t="str">
            <v>Pancreas</v>
          </cell>
        </row>
        <row r="4685">
          <cell r="A4685" t="str">
            <v>in storage</v>
          </cell>
          <cell r="K4685" t="str">
            <v>ERUB</v>
          </cell>
          <cell r="AB4685" t="str">
            <v>Pancreas</v>
          </cell>
        </row>
        <row r="4686">
          <cell r="A4686" t="str">
            <v>in storage</v>
          </cell>
          <cell r="K4686" t="str">
            <v>ERUB</v>
          </cell>
          <cell r="AB4686" t="str">
            <v>Heart</v>
          </cell>
        </row>
        <row r="4687">
          <cell r="A4687" t="str">
            <v>in storage</v>
          </cell>
          <cell r="K4687" t="str">
            <v>ERUB</v>
          </cell>
          <cell r="AB4687" t="str">
            <v>Spleen</v>
          </cell>
        </row>
        <row r="4688">
          <cell r="A4688" t="str">
            <v>in storage</v>
          </cell>
          <cell r="K4688" t="str">
            <v>ERUB</v>
          </cell>
          <cell r="AB4688" t="str">
            <v>Heart</v>
          </cell>
        </row>
        <row r="4689">
          <cell r="A4689" t="str">
            <v>in storage</v>
          </cell>
          <cell r="K4689" t="str">
            <v>ERUB</v>
          </cell>
          <cell r="AB4689" t="str">
            <v>Thyroid</v>
          </cell>
        </row>
        <row r="4690">
          <cell r="A4690" t="str">
            <v>in storage</v>
          </cell>
          <cell r="K4690" t="str">
            <v>ERUB</v>
          </cell>
          <cell r="AB4690" t="str">
            <v>Skin</v>
          </cell>
        </row>
        <row r="4691">
          <cell r="A4691" t="str">
            <v>in storage</v>
          </cell>
          <cell r="K4691" t="str">
            <v>ERUB</v>
          </cell>
          <cell r="AB4691" t="str">
            <v>Pancreas</v>
          </cell>
        </row>
        <row r="4692">
          <cell r="A4692" t="str">
            <v>in storage</v>
          </cell>
          <cell r="K4692" t="str">
            <v>ERUB</v>
          </cell>
          <cell r="AB4692" t="str">
            <v>Heart</v>
          </cell>
        </row>
        <row r="4693">
          <cell r="A4693" t="str">
            <v>in storage</v>
          </cell>
          <cell r="K4693" t="str">
            <v>ERUB</v>
          </cell>
          <cell r="AB4693" t="str">
            <v>Spleen</v>
          </cell>
        </row>
        <row r="4694">
          <cell r="A4694" t="str">
            <v>in storage</v>
          </cell>
          <cell r="K4694" t="str">
            <v>ERUB</v>
          </cell>
          <cell r="AB4694" t="str">
            <v>Spleen</v>
          </cell>
        </row>
        <row r="4695">
          <cell r="A4695" t="str">
            <v>in storage</v>
          </cell>
          <cell r="K4695" t="str">
            <v>ERUB</v>
          </cell>
          <cell r="AB4695" t="str">
            <v>Kidney</v>
          </cell>
        </row>
        <row r="4696">
          <cell r="A4696" t="str">
            <v>in storage</v>
          </cell>
          <cell r="K4696" t="str">
            <v>ERUB</v>
          </cell>
          <cell r="AB4696" t="str">
            <v>Skin</v>
          </cell>
        </row>
        <row r="4697">
          <cell r="A4697" t="str">
            <v>in storage</v>
          </cell>
          <cell r="K4697" t="str">
            <v>ERUB</v>
          </cell>
          <cell r="AB4697" t="str">
            <v>Skin</v>
          </cell>
        </row>
        <row r="4698">
          <cell r="A4698" t="str">
            <v>in storage</v>
          </cell>
          <cell r="K4698" t="str">
            <v>ERUB</v>
          </cell>
          <cell r="AB4698" t="str">
            <v>Lung</v>
          </cell>
        </row>
        <row r="4699">
          <cell r="A4699" t="str">
            <v>in storage</v>
          </cell>
          <cell r="K4699" t="str">
            <v>NPYG</v>
          </cell>
          <cell r="AB4699" t="str">
            <v>Liver</v>
          </cell>
        </row>
        <row r="4700">
          <cell r="A4700" t="str">
            <v>in storage</v>
          </cell>
          <cell r="K4700" t="str">
            <v>LCAT</v>
          </cell>
          <cell r="AB4700" t="str">
            <v>GI- large intestine</v>
          </cell>
        </row>
        <row r="4701">
          <cell r="A4701" t="str">
            <v>in storage</v>
          </cell>
          <cell r="K4701" t="str">
            <v>LCAT</v>
          </cell>
          <cell r="AB4701" t="str">
            <v>GI- small intestine</v>
          </cell>
        </row>
        <row r="4702">
          <cell r="A4702" t="str">
            <v>in storage</v>
          </cell>
          <cell r="K4702" t="str">
            <v>NPYG</v>
          </cell>
          <cell r="AB4702" t="str">
            <v>Lung</v>
          </cell>
        </row>
        <row r="4703">
          <cell r="A4703" t="str">
            <v>in storage</v>
          </cell>
          <cell r="K4703" t="str">
            <v>NPYG</v>
          </cell>
          <cell r="AB4703" t="str">
            <v>Liver</v>
          </cell>
        </row>
        <row r="4704">
          <cell r="A4704" t="str">
            <v>in storage</v>
          </cell>
          <cell r="K4704" t="str">
            <v>NPYG</v>
          </cell>
          <cell r="AB4704" t="str">
            <v>Heart</v>
          </cell>
        </row>
        <row r="4705">
          <cell r="A4705" t="str">
            <v>in storage</v>
          </cell>
          <cell r="K4705" t="str">
            <v>NPYG</v>
          </cell>
          <cell r="AB4705" t="str">
            <v>pituitary gland</v>
          </cell>
        </row>
        <row r="4706">
          <cell r="A4706" t="str">
            <v>in storage</v>
          </cell>
          <cell r="K4706" t="str">
            <v>NPYG</v>
          </cell>
          <cell r="AB4706" t="str">
            <v>Lung</v>
          </cell>
        </row>
        <row r="4707">
          <cell r="A4707" t="str">
            <v>in storage</v>
          </cell>
          <cell r="K4707" t="str">
            <v>NPYG</v>
          </cell>
          <cell r="AB4707" t="str">
            <v>Kidney</v>
          </cell>
        </row>
        <row r="4708">
          <cell r="A4708" t="str">
            <v>in storage</v>
          </cell>
          <cell r="K4708" t="str">
            <v>NPYG</v>
          </cell>
          <cell r="AB4708" t="str">
            <v>Gallbladder</v>
          </cell>
        </row>
        <row r="4709">
          <cell r="A4709" t="str">
            <v>in storage</v>
          </cell>
          <cell r="K4709" t="str">
            <v>NPYG</v>
          </cell>
          <cell r="AB4709" t="str">
            <v>VNO</v>
          </cell>
        </row>
        <row r="4710">
          <cell r="A4710" t="str">
            <v>in storage</v>
          </cell>
          <cell r="K4710" t="str">
            <v>NPYG</v>
          </cell>
          <cell r="AB4710" t="str">
            <v>Thyroid</v>
          </cell>
        </row>
        <row r="4711">
          <cell r="A4711" t="str">
            <v>in storage</v>
          </cell>
          <cell r="K4711" t="str">
            <v>NPYG</v>
          </cell>
          <cell r="AB4711" t="str">
            <v>Liver</v>
          </cell>
        </row>
        <row r="4712">
          <cell r="A4712" t="str">
            <v>in storage</v>
          </cell>
          <cell r="K4712" t="str">
            <v>NPYG</v>
          </cell>
          <cell r="AB4712" t="str">
            <v>Pancreas</v>
          </cell>
        </row>
        <row r="4713">
          <cell r="A4713" t="str">
            <v>in storage</v>
          </cell>
          <cell r="K4713" t="str">
            <v>NPYG</v>
          </cell>
          <cell r="AB4713" t="str">
            <v>Kidney</v>
          </cell>
        </row>
        <row r="4714">
          <cell r="A4714" t="str">
            <v>in storage</v>
          </cell>
          <cell r="K4714" t="str">
            <v>NPYG</v>
          </cell>
          <cell r="AB4714" t="str">
            <v>Lung</v>
          </cell>
        </row>
        <row r="4715">
          <cell r="A4715" t="str">
            <v>in storage</v>
          </cell>
          <cell r="K4715" t="str">
            <v>NPYG</v>
          </cell>
          <cell r="AB4715" t="str">
            <v>Adrenal gland</v>
          </cell>
        </row>
        <row r="4716">
          <cell r="A4716" t="str">
            <v>in storage</v>
          </cell>
          <cell r="K4716" t="str">
            <v>NPYG</v>
          </cell>
          <cell r="AB4716" t="str">
            <v>Lung</v>
          </cell>
        </row>
        <row r="4717">
          <cell r="A4717" t="str">
            <v>in storage</v>
          </cell>
          <cell r="K4717" t="str">
            <v>NPYG</v>
          </cell>
          <cell r="AB4717" t="str">
            <v>Spleen</v>
          </cell>
        </row>
        <row r="4718">
          <cell r="A4718" t="str">
            <v>in storage</v>
          </cell>
          <cell r="K4718" t="str">
            <v>NPYG</v>
          </cell>
          <cell r="AB4718" t="str">
            <v>Heart</v>
          </cell>
        </row>
        <row r="4719">
          <cell r="A4719" t="str">
            <v>in storage</v>
          </cell>
          <cell r="K4719" t="str">
            <v>NPYG</v>
          </cell>
          <cell r="AB4719" t="str">
            <v>Kidney</v>
          </cell>
        </row>
        <row r="4720">
          <cell r="A4720" t="str">
            <v>in storage</v>
          </cell>
          <cell r="K4720" t="str">
            <v>NPYG</v>
          </cell>
          <cell r="AB4720" t="str">
            <v>Liver</v>
          </cell>
        </row>
        <row r="4721">
          <cell r="A4721" t="str">
            <v>in storage</v>
          </cell>
          <cell r="K4721" t="str">
            <v>NPYG</v>
          </cell>
          <cell r="AB4721" t="str">
            <v>Eye</v>
          </cell>
        </row>
        <row r="4722">
          <cell r="A4722" t="str">
            <v>in storage</v>
          </cell>
          <cell r="K4722" t="str">
            <v>NPYG</v>
          </cell>
          <cell r="AB4722" t="str">
            <v>Eye</v>
          </cell>
        </row>
        <row r="4723">
          <cell r="A4723" t="str">
            <v>in storage</v>
          </cell>
          <cell r="K4723" t="str">
            <v>NPYG</v>
          </cell>
          <cell r="AB4723" t="str">
            <v>Skin</v>
          </cell>
        </row>
        <row r="4724">
          <cell r="A4724" t="str">
            <v>in storage</v>
          </cell>
          <cell r="K4724" t="str">
            <v>NPYG</v>
          </cell>
          <cell r="AB4724" t="str">
            <v>Skin</v>
          </cell>
        </row>
        <row r="4725">
          <cell r="A4725" t="str">
            <v>unk</v>
          </cell>
          <cell r="K4725" t="str">
            <v>NPYG</v>
          </cell>
          <cell r="AB4725" t="str">
            <v>Mandible</v>
          </cell>
        </row>
        <row r="4726">
          <cell r="A4726" t="str">
            <v>unk</v>
          </cell>
          <cell r="K4726" t="str">
            <v>NPYG</v>
          </cell>
          <cell r="AB4726" t="str">
            <v>R- teste(s)</v>
          </cell>
        </row>
        <row r="4727">
          <cell r="A4727" t="str">
            <v>unk</v>
          </cell>
          <cell r="K4727" t="str">
            <v>NPYG</v>
          </cell>
          <cell r="AB4727" t="str">
            <v>R- teste(s)</v>
          </cell>
        </row>
        <row r="4728">
          <cell r="A4728" t="str">
            <v>in storage</v>
          </cell>
          <cell r="K4728" t="str">
            <v>NPYG</v>
          </cell>
          <cell r="AB4728" t="str">
            <v>Muscle</v>
          </cell>
        </row>
        <row r="4729">
          <cell r="A4729" t="str">
            <v>in storage</v>
          </cell>
          <cell r="K4729" t="str">
            <v>NPYG</v>
          </cell>
          <cell r="AB4729" t="str">
            <v>Muscle</v>
          </cell>
        </row>
        <row r="4730">
          <cell r="A4730" t="str">
            <v>in storage</v>
          </cell>
          <cell r="K4730" t="str">
            <v>PCOQ</v>
          </cell>
          <cell r="AB4730" t="str">
            <v>Adrenal gland</v>
          </cell>
        </row>
        <row r="4731">
          <cell r="A4731" t="str">
            <v>in storage</v>
          </cell>
          <cell r="K4731" t="str">
            <v>PCOQ</v>
          </cell>
          <cell r="AB4731" t="str">
            <v>Adrenal gland</v>
          </cell>
        </row>
        <row r="4732">
          <cell r="A4732" t="str">
            <v>in storage</v>
          </cell>
          <cell r="K4732" t="str">
            <v>PCOQ</v>
          </cell>
          <cell r="AB4732" t="str">
            <v>Eye</v>
          </cell>
        </row>
        <row r="4733">
          <cell r="A4733" t="str">
            <v>in storage</v>
          </cell>
          <cell r="K4733" t="str">
            <v>PCOQ</v>
          </cell>
          <cell r="AB4733" t="str">
            <v>Liver</v>
          </cell>
        </row>
        <row r="4734">
          <cell r="A4734" t="str">
            <v>in storage</v>
          </cell>
          <cell r="K4734" t="str">
            <v>PCOQ</v>
          </cell>
          <cell r="AB4734" t="str">
            <v>Pancreas</v>
          </cell>
        </row>
        <row r="4735">
          <cell r="A4735" t="str">
            <v>in storage</v>
          </cell>
          <cell r="K4735" t="str">
            <v>PCOQ</v>
          </cell>
          <cell r="AB4735" t="str">
            <v>Kidney</v>
          </cell>
        </row>
        <row r="4736">
          <cell r="A4736" t="str">
            <v>in storage</v>
          </cell>
          <cell r="K4736" t="str">
            <v>PCOQ</v>
          </cell>
          <cell r="AB4736" t="str">
            <v>Kidney</v>
          </cell>
        </row>
        <row r="4737">
          <cell r="A4737" t="str">
            <v>in storage</v>
          </cell>
          <cell r="K4737" t="str">
            <v>PCOQ</v>
          </cell>
          <cell r="AB4737" t="str">
            <v>Spleen</v>
          </cell>
        </row>
        <row r="4738">
          <cell r="A4738" t="str">
            <v>in storage</v>
          </cell>
          <cell r="K4738" t="str">
            <v>PCOQ</v>
          </cell>
          <cell r="AB4738" t="str">
            <v>Lung</v>
          </cell>
        </row>
        <row r="4739">
          <cell r="A4739" t="str">
            <v>in storage</v>
          </cell>
          <cell r="K4739" t="str">
            <v>PCOQ</v>
          </cell>
          <cell r="AB4739" t="str">
            <v>Lung</v>
          </cell>
        </row>
        <row r="4740">
          <cell r="A4740" t="str">
            <v>in storage</v>
          </cell>
          <cell r="K4740" t="str">
            <v>PCOQ</v>
          </cell>
          <cell r="AB4740" t="str">
            <v>Liver</v>
          </cell>
        </row>
        <row r="4741">
          <cell r="A4741" t="str">
            <v>in storage</v>
          </cell>
          <cell r="K4741" t="str">
            <v>PCOQ</v>
          </cell>
          <cell r="AB4741" t="str">
            <v>Skin</v>
          </cell>
        </row>
        <row r="4742">
          <cell r="A4742" t="str">
            <v>in storage</v>
          </cell>
          <cell r="K4742" t="str">
            <v>PCOQ</v>
          </cell>
          <cell r="AB4742" t="str">
            <v>R- teste(s)</v>
          </cell>
        </row>
        <row r="4743">
          <cell r="A4743" t="str">
            <v>in storage</v>
          </cell>
          <cell r="K4743" t="str">
            <v>PCOQ</v>
          </cell>
          <cell r="AB4743" t="str">
            <v>R- teste(s)</v>
          </cell>
        </row>
        <row r="4744">
          <cell r="A4744" t="str">
            <v>in storage</v>
          </cell>
          <cell r="K4744" t="str">
            <v>LCAT</v>
          </cell>
          <cell r="AB4744" t="str">
            <v>GI- stomach</v>
          </cell>
        </row>
        <row r="4745">
          <cell r="A4745" t="str">
            <v>in storage</v>
          </cell>
          <cell r="K4745" t="str">
            <v>PCOQ</v>
          </cell>
          <cell r="AB4745" t="str">
            <v>Muscle</v>
          </cell>
        </row>
        <row r="4746">
          <cell r="A4746" t="str">
            <v>in storage</v>
          </cell>
          <cell r="K4746" t="str">
            <v>ERUB</v>
          </cell>
          <cell r="AB4746" t="str">
            <v>Muscle</v>
          </cell>
        </row>
        <row r="4747">
          <cell r="A4747" t="str">
            <v>in storage</v>
          </cell>
          <cell r="K4747" t="str">
            <v>ERUB</v>
          </cell>
          <cell r="AB4747" t="str">
            <v>Muscle</v>
          </cell>
        </row>
        <row r="4748">
          <cell r="A4748" t="str">
            <v>in storage</v>
          </cell>
          <cell r="K4748" t="str">
            <v>ERUB</v>
          </cell>
          <cell r="AB4748" t="str">
            <v>Muscle</v>
          </cell>
        </row>
        <row r="4749">
          <cell r="A4749" t="str">
            <v>in storage</v>
          </cell>
          <cell r="K4749" t="str">
            <v>ERUB</v>
          </cell>
          <cell r="AB4749" t="str">
            <v>Muscle</v>
          </cell>
        </row>
        <row r="4750">
          <cell r="A4750" t="str">
            <v>in storage</v>
          </cell>
          <cell r="K4750" t="str">
            <v>ERUB</v>
          </cell>
          <cell r="AB4750" t="str">
            <v>Muscle</v>
          </cell>
        </row>
        <row r="4751">
          <cell r="A4751" t="str">
            <v>in storage</v>
          </cell>
          <cell r="K4751" t="str">
            <v>ERUB</v>
          </cell>
          <cell r="AB4751" t="str">
            <v>Liver</v>
          </cell>
        </row>
        <row r="4752">
          <cell r="A4752" t="str">
            <v>in storage</v>
          </cell>
          <cell r="K4752" t="str">
            <v>LCAT</v>
          </cell>
          <cell r="AB4752" t="str">
            <v>GI Contents- large intestine</v>
          </cell>
        </row>
        <row r="4753">
          <cell r="A4753" t="str">
            <v>in storage</v>
          </cell>
          <cell r="K4753" t="str">
            <v>ERUB</v>
          </cell>
          <cell r="AB4753" t="str">
            <v>Kidney</v>
          </cell>
        </row>
        <row r="4754">
          <cell r="A4754" t="str">
            <v>in storage</v>
          </cell>
          <cell r="K4754" t="str">
            <v>ERUB</v>
          </cell>
          <cell r="AB4754" t="str">
            <v>Kidney</v>
          </cell>
        </row>
        <row r="4755">
          <cell r="A4755" t="str">
            <v>in storage</v>
          </cell>
          <cell r="K4755" t="str">
            <v>ERUB</v>
          </cell>
          <cell r="AB4755" t="str">
            <v>Heart</v>
          </cell>
        </row>
        <row r="4756">
          <cell r="A4756" t="str">
            <v>in storage</v>
          </cell>
          <cell r="K4756" t="str">
            <v>ERUB</v>
          </cell>
          <cell r="AB4756" t="str">
            <v>Lung</v>
          </cell>
        </row>
        <row r="4757">
          <cell r="A4757" t="str">
            <v>in storage</v>
          </cell>
          <cell r="K4757" t="str">
            <v>ERUB</v>
          </cell>
          <cell r="AB4757" t="str">
            <v>Liver</v>
          </cell>
        </row>
        <row r="4758">
          <cell r="A4758" t="str">
            <v>in storage</v>
          </cell>
          <cell r="K4758" t="str">
            <v>ERUB</v>
          </cell>
          <cell r="AB4758" t="str">
            <v>Kidney</v>
          </cell>
        </row>
        <row r="4759">
          <cell r="A4759" t="str">
            <v>in storage</v>
          </cell>
          <cell r="K4759" t="str">
            <v>ERUB</v>
          </cell>
          <cell r="AB4759" t="str">
            <v>Pancreas</v>
          </cell>
        </row>
        <row r="4760">
          <cell r="A4760" t="str">
            <v>in storage</v>
          </cell>
          <cell r="K4760" t="str">
            <v>ERUB</v>
          </cell>
          <cell r="AB4760" t="str">
            <v>Kidney</v>
          </cell>
        </row>
        <row r="4761">
          <cell r="A4761" t="str">
            <v>in storage</v>
          </cell>
          <cell r="K4761" t="str">
            <v>ERUB</v>
          </cell>
          <cell r="AB4761" t="str">
            <v>Liver</v>
          </cell>
        </row>
        <row r="4762">
          <cell r="A4762" t="str">
            <v>in storage</v>
          </cell>
          <cell r="K4762" t="str">
            <v>ERUB</v>
          </cell>
          <cell r="AB4762" t="str">
            <v>Liver</v>
          </cell>
        </row>
        <row r="4763">
          <cell r="A4763" t="str">
            <v>in storage</v>
          </cell>
          <cell r="K4763" t="str">
            <v>ERUB</v>
          </cell>
          <cell r="AB4763" t="str">
            <v>Lung</v>
          </cell>
        </row>
        <row r="4764">
          <cell r="A4764" t="str">
            <v>in storage</v>
          </cell>
          <cell r="K4764" t="str">
            <v>ERUB</v>
          </cell>
          <cell r="AB4764" t="str">
            <v>Lung</v>
          </cell>
        </row>
        <row r="4765">
          <cell r="A4765" t="str">
            <v>in storage</v>
          </cell>
          <cell r="K4765" t="str">
            <v>ERUB</v>
          </cell>
          <cell r="AB4765" t="str">
            <v>Lung</v>
          </cell>
        </row>
        <row r="4766">
          <cell r="A4766" t="str">
            <v>in storage</v>
          </cell>
          <cell r="K4766" t="str">
            <v>ERUB</v>
          </cell>
          <cell r="AB4766" t="str">
            <v>Pancreas</v>
          </cell>
        </row>
        <row r="4767">
          <cell r="A4767" t="str">
            <v>in storage</v>
          </cell>
          <cell r="K4767" t="str">
            <v>ERUB</v>
          </cell>
          <cell r="AB4767" t="str">
            <v>Heart</v>
          </cell>
        </row>
        <row r="4768">
          <cell r="A4768" t="str">
            <v>in storage</v>
          </cell>
          <cell r="K4768" t="str">
            <v>ERUB</v>
          </cell>
          <cell r="AB4768" t="str">
            <v>Spleen</v>
          </cell>
        </row>
        <row r="4769">
          <cell r="A4769" t="str">
            <v>in storage</v>
          </cell>
          <cell r="K4769" t="str">
            <v>ERUB</v>
          </cell>
          <cell r="AB4769" t="str">
            <v>Heart</v>
          </cell>
        </row>
        <row r="4770">
          <cell r="A4770" t="str">
            <v>in storage</v>
          </cell>
          <cell r="K4770" t="str">
            <v>ERUB</v>
          </cell>
          <cell r="AB4770" t="str">
            <v>Spleen</v>
          </cell>
        </row>
        <row r="4771">
          <cell r="A4771" t="str">
            <v>in storage</v>
          </cell>
          <cell r="K4771" t="str">
            <v>ERUB</v>
          </cell>
          <cell r="AB4771" t="str">
            <v>Heart</v>
          </cell>
        </row>
        <row r="4772">
          <cell r="A4772" t="str">
            <v>in storage</v>
          </cell>
          <cell r="K4772" t="str">
            <v>ERUB</v>
          </cell>
          <cell r="AB4772" t="str">
            <v>Skin</v>
          </cell>
        </row>
        <row r="4773">
          <cell r="A4773" t="str">
            <v>in storage</v>
          </cell>
          <cell r="K4773" t="str">
            <v>ERUB</v>
          </cell>
          <cell r="AB4773" t="str">
            <v>Skin</v>
          </cell>
        </row>
        <row r="4774">
          <cell r="A4774" t="str">
            <v>in storage</v>
          </cell>
          <cell r="K4774" t="str">
            <v>ERUB</v>
          </cell>
          <cell r="AB4774" t="str">
            <v>VNO</v>
          </cell>
        </row>
        <row r="4775">
          <cell r="A4775" t="str">
            <v>in storage</v>
          </cell>
          <cell r="K4775" t="str">
            <v>ERUB</v>
          </cell>
          <cell r="AB4775" t="str">
            <v>Eye</v>
          </cell>
        </row>
        <row r="4776">
          <cell r="A4776" t="str">
            <v>in storage</v>
          </cell>
          <cell r="K4776" t="str">
            <v>ERUB</v>
          </cell>
          <cell r="AB4776" t="str">
            <v>Spleen</v>
          </cell>
        </row>
        <row r="4777">
          <cell r="A4777" t="str">
            <v>in storage</v>
          </cell>
          <cell r="K4777" t="str">
            <v>ERUB</v>
          </cell>
          <cell r="AB4777" t="str">
            <v>Kidney</v>
          </cell>
        </row>
        <row r="4778">
          <cell r="A4778" t="str">
            <v>unk</v>
          </cell>
          <cell r="K4778" t="str">
            <v>ERUB</v>
          </cell>
          <cell r="AB4778" t="str">
            <v>Hair</v>
          </cell>
        </row>
        <row r="4779">
          <cell r="A4779" t="str">
            <v>in storage</v>
          </cell>
          <cell r="K4779" t="str">
            <v>ERUB</v>
          </cell>
          <cell r="AB4779" t="str">
            <v>R- teste(s)</v>
          </cell>
        </row>
        <row r="4780">
          <cell r="A4780" t="str">
            <v>unk</v>
          </cell>
          <cell r="K4780" t="str">
            <v>CMED</v>
          </cell>
          <cell r="AB4780" t="str">
            <v>Eye</v>
          </cell>
        </row>
        <row r="4781">
          <cell r="A4781" t="str">
            <v>in storage</v>
          </cell>
          <cell r="K4781" t="str">
            <v>CMED</v>
          </cell>
          <cell r="AB4781" t="str">
            <v>Eye</v>
          </cell>
        </row>
        <row r="4782">
          <cell r="A4782" t="str">
            <v>in storage</v>
          </cell>
          <cell r="K4782" t="str">
            <v>ERUB</v>
          </cell>
          <cell r="AB4782" t="str">
            <v>Muscle</v>
          </cell>
        </row>
        <row r="4783">
          <cell r="A4783" t="str">
            <v>in storage</v>
          </cell>
          <cell r="K4783" t="str">
            <v>ERUB</v>
          </cell>
          <cell r="AB4783" t="str">
            <v>Muscle</v>
          </cell>
        </row>
        <row r="4784">
          <cell r="A4784" t="str">
            <v>in storage</v>
          </cell>
          <cell r="K4784" t="str">
            <v>ERUB</v>
          </cell>
          <cell r="AB4784" t="str">
            <v>Eye</v>
          </cell>
        </row>
        <row r="4785">
          <cell r="A4785" t="str">
            <v>in storage</v>
          </cell>
          <cell r="K4785" t="str">
            <v>ERUB</v>
          </cell>
          <cell r="AB4785" t="str">
            <v>Liver</v>
          </cell>
        </row>
        <row r="4786">
          <cell r="A4786" t="str">
            <v>in storage</v>
          </cell>
          <cell r="K4786" t="str">
            <v>LCAT</v>
          </cell>
          <cell r="AB4786" t="str">
            <v>GI Contents- large intestine</v>
          </cell>
        </row>
        <row r="4787">
          <cell r="A4787" t="str">
            <v>in storage</v>
          </cell>
          <cell r="K4787" t="str">
            <v>ERUB</v>
          </cell>
          <cell r="AB4787" t="str">
            <v>Kidney</v>
          </cell>
        </row>
        <row r="4788">
          <cell r="A4788" t="str">
            <v>in storage</v>
          </cell>
          <cell r="K4788" t="str">
            <v>ERUB</v>
          </cell>
          <cell r="AB4788" t="str">
            <v>Heart</v>
          </cell>
        </row>
        <row r="4789">
          <cell r="A4789" t="str">
            <v>in storage</v>
          </cell>
          <cell r="K4789" t="str">
            <v>ERUB</v>
          </cell>
          <cell r="AB4789" t="str">
            <v>Lung</v>
          </cell>
        </row>
        <row r="4790">
          <cell r="A4790" t="str">
            <v>in storage</v>
          </cell>
          <cell r="K4790" t="str">
            <v>ERUB</v>
          </cell>
          <cell r="AB4790" t="str">
            <v>Heart</v>
          </cell>
        </row>
        <row r="4791">
          <cell r="A4791" t="str">
            <v>in storage</v>
          </cell>
          <cell r="K4791" t="str">
            <v>ERUB</v>
          </cell>
          <cell r="AB4791" t="str">
            <v>Lung</v>
          </cell>
        </row>
        <row r="4792">
          <cell r="A4792" t="str">
            <v>in storage</v>
          </cell>
          <cell r="K4792" t="str">
            <v>ERUB</v>
          </cell>
          <cell r="AB4792" t="str">
            <v>Lung</v>
          </cell>
        </row>
        <row r="4793">
          <cell r="A4793" t="str">
            <v>in storage</v>
          </cell>
          <cell r="K4793" t="str">
            <v>ERUB</v>
          </cell>
          <cell r="AB4793" t="str">
            <v>Thyroid</v>
          </cell>
        </row>
        <row r="4794">
          <cell r="A4794" t="str">
            <v>in storage</v>
          </cell>
          <cell r="K4794" t="str">
            <v>ERUB</v>
          </cell>
          <cell r="AB4794" t="str">
            <v>Liver</v>
          </cell>
        </row>
        <row r="4795">
          <cell r="A4795" t="str">
            <v>in storage</v>
          </cell>
          <cell r="K4795" t="str">
            <v>ERUB</v>
          </cell>
          <cell r="AB4795" t="str">
            <v>Liver</v>
          </cell>
        </row>
        <row r="4796">
          <cell r="A4796" t="str">
            <v>in storage</v>
          </cell>
          <cell r="K4796" t="str">
            <v>ERUB</v>
          </cell>
          <cell r="AB4796" t="str">
            <v>Adrenal gland</v>
          </cell>
        </row>
        <row r="4797">
          <cell r="A4797" t="str">
            <v>in storage</v>
          </cell>
          <cell r="K4797" t="str">
            <v>ERUB</v>
          </cell>
          <cell r="AB4797" t="str">
            <v>Adrenal gland</v>
          </cell>
        </row>
        <row r="4798">
          <cell r="A4798" t="str">
            <v>in storage</v>
          </cell>
          <cell r="K4798" t="str">
            <v>ERUB</v>
          </cell>
          <cell r="AB4798" t="str">
            <v>Lung</v>
          </cell>
        </row>
        <row r="4799">
          <cell r="A4799" t="str">
            <v>in storage</v>
          </cell>
          <cell r="K4799" t="str">
            <v>ERUB</v>
          </cell>
          <cell r="AB4799" t="str">
            <v>Kidney</v>
          </cell>
        </row>
        <row r="4800">
          <cell r="A4800" t="str">
            <v>in storage</v>
          </cell>
          <cell r="K4800" t="str">
            <v>ERUB</v>
          </cell>
          <cell r="AB4800" t="str">
            <v>Heart</v>
          </cell>
        </row>
        <row r="4801">
          <cell r="A4801" t="str">
            <v>in storage</v>
          </cell>
          <cell r="K4801" t="str">
            <v>ERUB</v>
          </cell>
          <cell r="AB4801" t="str">
            <v>Heart</v>
          </cell>
        </row>
        <row r="4802">
          <cell r="A4802" t="str">
            <v>in storage</v>
          </cell>
          <cell r="K4802" t="str">
            <v>ERUB</v>
          </cell>
          <cell r="AB4802" t="str">
            <v>VNO</v>
          </cell>
        </row>
        <row r="4803">
          <cell r="A4803" t="str">
            <v>in storage</v>
          </cell>
          <cell r="K4803" t="str">
            <v>ERUB</v>
          </cell>
          <cell r="AB4803" t="str">
            <v>Kidney</v>
          </cell>
        </row>
        <row r="4804">
          <cell r="A4804" t="str">
            <v>in storage</v>
          </cell>
          <cell r="K4804" t="str">
            <v>ERUB</v>
          </cell>
          <cell r="AB4804" t="str">
            <v>Skin</v>
          </cell>
        </row>
        <row r="4805">
          <cell r="A4805" t="str">
            <v>in storage</v>
          </cell>
          <cell r="K4805" t="str">
            <v>ERUB</v>
          </cell>
          <cell r="AB4805" t="str">
            <v>Skin</v>
          </cell>
        </row>
        <row r="4806">
          <cell r="A4806" t="str">
            <v>in storage</v>
          </cell>
          <cell r="K4806" t="str">
            <v>ERUB</v>
          </cell>
          <cell r="AB4806" t="str">
            <v>Skin</v>
          </cell>
        </row>
        <row r="4807">
          <cell r="A4807" t="str">
            <v>in storage</v>
          </cell>
          <cell r="K4807" t="str">
            <v>ERUB</v>
          </cell>
          <cell r="AB4807" t="str">
            <v>Liver</v>
          </cell>
        </row>
        <row r="4808">
          <cell r="A4808" t="str">
            <v>in storage</v>
          </cell>
          <cell r="K4808" t="str">
            <v>ERUB</v>
          </cell>
          <cell r="AB4808" t="str">
            <v>Spleen</v>
          </cell>
        </row>
        <row r="4809">
          <cell r="A4809" t="str">
            <v>in storage</v>
          </cell>
          <cell r="K4809" t="str">
            <v>ERUB</v>
          </cell>
          <cell r="AB4809" t="str">
            <v>Kidney</v>
          </cell>
        </row>
        <row r="4810">
          <cell r="A4810" t="str">
            <v>unk</v>
          </cell>
          <cell r="K4810" t="str">
            <v>ERUB</v>
          </cell>
          <cell r="AB4810" t="str">
            <v>Spleen</v>
          </cell>
        </row>
        <row r="4811">
          <cell r="A4811" t="str">
            <v>in storage</v>
          </cell>
          <cell r="K4811" t="str">
            <v>ERUB</v>
          </cell>
          <cell r="AB4811" t="str">
            <v>Liver</v>
          </cell>
        </row>
        <row r="4812">
          <cell r="A4812" t="str">
            <v>in storage</v>
          </cell>
          <cell r="K4812" t="str">
            <v>ERUB</v>
          </cell>
          <cell r="AB4812" t="str">
            <v>Trachea</v>
          </cell>
        </row>
        <row r="4813">
          <cell r="A4813" t="str">
            <v>in storage</v>
          </cell>
          <cell r="K4813" t="str">
            <v>ESAN</v>
          </cell>
          <cell r="AB4813" t="str">
            <v>Muscle</v>
          </cell>
        </row>
        <row r="4814">
          <cell r="A4814" t="str">
            <v>in storage</v>
          </cell>
          <cell r="K4814" t="str">
            <v>ESAN</v>
          </cell>
          <cell r="AB4814" t="str">
            <v>Mass- liver</v>
          </cell>
        </row>
        <row r="4815">
          <cell r="A4815" t="str">
            <v>in storage</v>
          </cell>
          <cell r="K4815" t="str">
            <v>ESAN</v>
          </cell>
          <cell r="AB4815" t="str">
            <v>Muscle</v>
          </cell>
        </row>
        <row r="4816">
          <cell r="A4816" t="str">
            <v>in storage</v>
          </cell>
          <cell r="K4816" t="str">
            <v>ESAN</v>
          </cell>
          <cell r="AB4816" t="str">
            <v>Muscle</v>
          </cell>
        </row>
        <row r="4817">
          <cell r="A4817" t="str">
            <v>in storage</v>
          </cell>
          <cell r="K4817" t="str">
            <v>ESAN</v>
          </cell>
          <cell r="AB4817" t="str">
            <v>Muscle</v>
          </cell>
        </row>
        <row r="4818">
          <cell r="A4818" t="str">
            <v>in storage</v>
          </cell>
          <cell r="K4818" t="str">
            <v>ESAN</v>
          </cell>
          <cell r="AB4818" t="str">
            <v>R- ovary</v>
          </cell>
        </row>
        <row r="4819">
          <cell r="A4819" t="str">
            <v>in storage</v>
          </cell>
          <cell r="K4819" t="str">
            <v>ESAN</v>
          </cell>
          <cell r="AB4819" t="str">
            <v>Liver</v>
          </cell>
        </row>
        <row r="4820">
          <cell r="A4820" t="str">
            <v>in storage</v>
          </cell>
          <cell r="K4820" t="str">
            <v>LCAT</v>
          </cell>
          <cell r="AB4820" t="str">
            <v>GI Contents- stomach</v>
          </cell>
        </row>
        <row r="4821">
          <cell r="A4821" t="str">
            <v>in storage</v>
          </cell>
          <cell r="K4821" t="str">
            <v>LCAT</v>
          </cell>
          <cell r="AB4821" t="str">
            <v>GI Contents- stomach</v>
          </cell>
        </row>
        <row r="4822">
          <cell r="A4822" t="str">
            <v>in storage</v>
          </cell>
          <cell r="K4822" t="str">
            <v>LCAT</v>
          </cell>
          <cell r="AB4822" t="str">
            <v>GI Contents- stomach</v>
          </cell>
        </row>
        <row r="4823">
          <cell r="A4823" t="str">
            <v>in storage</v>
          </cell>
          <cell r="K4823" t="str">
            <v>ESAN</v>
          </cell>
          <cell r="AB4823" t="str">
            <v>Aorta</v>
          </cell>
        </row>
        <row r="4824">
          <cell r="A4824" t="str">
            <v>in storage</v>
          </cell>
          <cell r="K4824" t="str">
            <v>ESAN</v>
          </cell>
          <cell r="AB4824" t="str">
            <v>Lung</v>
          </cell>
        </row>
        <row r="4825">
          <cell r="A4825" t="str">
            <v>in storage</v>
          </cell>
          <cell r="K4825" t="str">
            <v>ESAN</v>
          </cell>
          <cell r="AB4825" t="str">
            <v>Heart</v>
          </cell>
        </row>
        <row r="4826">
          <cell r="A4826" t="str">
            <v>in storage</v>
          </cell>
          <cell r="K4826" t="str">
            <v>ESAN</v>
          </cell>
          <cell r="AB4826" t="str">
            <v>Heart</v>
          </cell>
        </row>
        <row r="4827">
          <cell r="A4827" t="str">
            <v>in storage</v>
          </cell>
          <cell r="K4827" t="str">
            <v>ESAN</v>
          </cell>
          <cell r="AB4827" t="str">
            <v>Pancreas</v>
          </cell>
        </row>
        <row r="4828">
          <cell r="A4828" t="str">
            <v>in storage</v>
          </cell>
          <cell r="K4828" t="str">
            <v>ESAN</v>
          </cell>
          <cell r="AB4828" t="str">
            <v>Liver</v>
          </cell>
        </row>
        <row r="4829">
          <cell r="A4829" t="str">
            <v>in storage</v>
          </cell>
          <cell r="K4829" t="str">
            <v>ESAN</v>
          </cell>
          <cell r="AB4829" t="str">
            <v>VNO</v>
          </cell>
        </row>
        <row r="4830">
          <cell r="A4830" t="str">
            <v>in storage</v>
          </cell>
          <cell r="K4830" t="str">
            <v>ESAN</v>
          </cell>
          <cell r="AB4830" t="str">
            <v>Heart</v>
          </cell>
        </row>
        <row r="4831">
          <cell r="A4831" t="str">
            <v>in storage</v>
          </cell>
          <cell r="K4831" t="str">
            <v>ESAN</v>
          </cell>
          <cell r="AB4831" t="str">
            <v>Lung</v>
          </cell>
        </row>
        <row r="4832">
          <cell r="A4832" t="str">
            <v>unk</v>
          </cell>
          <cell r="K4832" t="str">
            <v>ESAN</v>
          </cell>
          <cell r="AB4832" t="str">
            <v>Liver</v>
          </cell>
        </row>
        <row r="4833">
          <cell r="A4833" t="str">
            <v>in storage</v>
          </cell>
          <cell r="K4833" t="str">
            <v>ESAN</v>
          </cell>
          <cell r="AB4833" t="str">
            <v>Heart</v>
          </cell>
        </row>
        <row r="4834">
          <cell r="A4834" t="str">
            <v>in storage</v>
          </cell>
          <cell r="K4834" t="str">
            <v>ESAN</v>
          </cell>
          <cell r="AB4834" t="str">
            <v>Spleen</v>
          </cell>
        </row>
        <row r="4835">
          <cell r="A4835" t="str">
            <v>in storage</v>
          </cell>
          <cell r="K4835" t="str">
            <v>ESAN</v>
          </cell>
          <cell r="AB4835" t="str">
            <v>Lung</v>
          </cell>
        </row>
        <row r="4836">
          <cell r="A4836" t="str">
            <v>unk</v>
          </cell>
          <cell r="K4836" t="str">
            <v>ESAN</v>
          </cell>
          <cell r="AB4836" t="str">
            <v>Eye</v>
          </cell>
        </row>
        <row r="4837">
          <cell r="A4837" t="str">
            <v>in storage</v>
          </cell>
          <cell r="K4837" t="str">
            <v>ESAN</v>
          </cell>
          <cell r="AB4837" t="str">
            <v>Liver</v>
          </cell>
        </row>
        <row r="4838">
          <cell r="A4838" t="str">
            <v>in storage</v>
          </cell>
          <cell r="K4838" t="str">
            <v>ESAN</v>
          </cell>
          <cell r="AB4838" t="str">
            <v>Skin</v>
          </cell>
        </row>
        <row r="4839">
          <cell r="A4839" t="str">
            <v>in storage</v>
          </cell>
          <cell r="K4839" t="str">
            <v>ESAN</v>
          </cell>
          <cell r="AB4839" t="str">
            <v>Lung</v>
          </cell>
        </row>
        <row r="4840">
          <cell r="A4840" t="str">
            <v>in storage</v>
          </cell>
          <cell r="K4840" t="str">
            <v>ESAN</v>
          </cell>
          <cell r="AB4840" t="str">
            <v>Kidney</v>
          </cell>
        </row>
        <row r="4841">
          <cell r="A4841" t="str">
            <v>in storage</v>
          </cell>
          <cell r="K4841" t="str">
            <v>ESAN</v>
          </cell>
          <cell r="AB4841" t="str">
            <v>Kidney</v>
          </cell>
        </row>
        <row r="4842">
          <cell r="A4842" t="str">
            <v>in storage</v>
          </cell>
          <cell r="K4842" t="str">
            <v>ESAN</v>
          </cell>
          <cell r="AB4842" t="str">
            <v>Kidney</v>
          </cell>
        </row>
        <row r="4843">
          <cell r="A4843" t="str">
            <v>in storage</v>
          </cell>
          <cell r="K4843" t="str">
            <v>ESAN</v>
          </cell>
          <cell r="AB4843" t="str">
            <v>R- uterus</v>
          </cell>
        </row>
        <row r="4844">
          <cell r="A4844" t="str">
            <v>in storage</v>
          </cell>
          <cell r="K4844" t="str">
            <v>EUL</v>
          </cell>
          <cell r="AB4844" t="str">
            <v>Muscle</v>
          </cell>
        </row>
        <row r="4845">
          <cell r="A4845" t="str">
            <v>in storage</v>
          </cell>
          <cell r="K4845" t="str">
            <v>EUL</v>
          </cell>
          <cell r="AB4845" t="str">
            <v>Muscle</v>
          </cell>
        </row>
        <row r="4846">
          <cell r="A4846" t="str">
            <v>in storage</v>
          </cell>
          <cell r="K4846" t="str">
            <v>EUL</v>
          </cell>
          <cell r="AB4846" t="str">
            <v>Muscle</v>
          </cell>
        </row>
        <row r="4847">
          <cell r="A4847" t="str">
            <v>in storage</v>
          </cell>
          <cell r="K4847" t="str">
            <v>EUL</v>
          </cell>
          <cell r="AB4847" t="str">
            <v>Trachea</v>
          </cell>
        </row>
        <row r="4848">
          <cell r="A4848" t="str">
            <v>in storage</v>
          </cell>
          <cell r="K4848" t="str">
            <v>EUL</v>
          </cell>
          <cell r="AB4848" t="str">
            <v>Liver</v>
          </cell>
        </row>
        <row r="4849">
          <cell r="A4849" t="str">
            <v>in storage</v>
          </cell>
          <cell r="K4849" t="str">
            <v>LCAT</v>
          </cell>
          <cell r="AB4849" t="str">
            <v>GI Contents- cecum</v>
          </cell>
        </row>
        <row r="4850">
          <cell r="A4850" t="str">
            <v>in storage</v>
          </cell>
          <cell r="K4850" t="str">
            <v>EUL</v>
          </cell>
          <cell r="AB4850" t="str">
            <v>Kidney</v>
          </cell>
        </row>
        <row r="4851">
          <cell r="A4851" t="str">
            <v>in storage</v>
          </cell>
          <cell r="K4851" t="str">
            <v>EUL</v>
          </cell>
          <cell r="AB4851" t="str">
            <v>Heart</v>
          </cell>
        </row>
        <row r="4852">
          <cell r="A4852" t="str">
            <v>in storage</v>
          </cell>
          <cell r="K4852" t="str">
            <v>EUL</v>
          </cell>
          <cell r="AB4852" t="str">
            <v>Lung</v>
          </cell>
        </row>
        <row r="4853">
          <cell r="A4853" t="str">
            <v>in storage</v>
          </cell>
          <cell r="K4853" t="str">
            <v>EUL</v>
          </cell>
          <cell r="AB4853" t="str">
            <v>Lung</v>
          </cell>
        </row>
        <row r="4854">
          <cell r="A4854" t="str">
            <v>in storage</v>
          </cell>
          <cell r="K4854" t="str">
            <v>EUL</v>
          </cell>
          <cell r="AB4854" t="str">
            <v>Liver</v>
          </cell>
        </row>
        <row r="4855">
          <cell r="A4855" t="str">
            <v>in storage</v>
          </cell>
          <cell r="K4855" t="str">
            <v>EUL</v>
          </cell>
          <cell r="AB4855" t="str">
            <v>Heart</v>
          </cell>
        </row>
        <row r="4856">
          <cell r="A4856" t="str">
            <v>in storage</v>
          </cell>
          <cell r="K4856" t="str">
            <v>EUL</v>
          </cell>
          <cell r="AB4856" t="str">
            <v>Kidney</v>
          </cell>
        </row>
        <row r="4857">
          <cell r="A4857" t="str">
            <v>in storage</v>
          </cell>
          <cell r="K4857" t="str">
            <v>EUL</v>
          </cell>
          <cell r="AB4857" t="str">
            <v>Liver</v>
          </cell>
        </row>
        <row r="4858">
          <cell r="A4858" t="str">
            <v>in storage</v>
          </cell>
          <cell r="K4858" t="str">
            <v>EUL</v>
          </cell>
          <cell r="AB4858" t="str">
            <v>Heart</v>
          </cell>
        </row>
        <row r="4859">
          <cell r="A4859" t="str">
            <v>in storage</v>
          </cell>
          <cell r="K4859" t="str">
            <v>EUL</v>
          </cell>
          <cell r="AB4859" t="str">
            <v>Lung</v>
          </cell>
        </row>
        <row r="4860">
          <cell r="A4860" t="str">
            <v>in storage</v>
          </cell>
          <cell r="K4860" t="str">
            <v>EUL</v>
          </cell>
          <cell r="AB4860" t="str">
            <v>VNO</v>
          </cell>
        </row>
        <row r="4861">
          <cell r="A4861" t="str">
            <v>in storage</v>
          </cell>
          <cell r="K4861" t="str">
            <v>EUL</v>
          </cell>
          <cell r="AB4861" t="str">
            <v>Lung</v>
          </cell>
        </row>
        <row r="4862">
          <cell r="A4862" t="str">
            <v>in storage</v>
          </cell>
          <cell r="K4862" t="str">
            <v>EUL</v>
          </cell>
          <cell r="AB4862" t="str">
            <v>Kidney</v>
          </cell>
        </row>
        <row r="4863">
          <cell r="A4863" t="str">
            <v>in storage</v>
          </cell>
          <cell r="K4863" t="str">
            <v>EUL</v>
          </cell>
          <cell r="AB4863" t="str">
            <v>Spleen</v>
          </cell>
        </row>
        <row r="4864">
          <cell r="A4864" t="str">
            <v>in storage</v>
          </cell>
          <cell r="K4864" t="str">
            <v>EUL</v>
          </cell>
          <cell r="AB4864" t="str">
            <v>Thyroid</v>
          </cell>
        </row>
        <row r="4865">
          <cell r="A4865" t="str">
            <v>in storage</v>
          </cell>
          <cell r="K4865" t="str">
            <v>EUL</v>
          </cell>
          <cell r="AB4865" t="str">
            <v>Kidney</v>
          </cell>
        </row>
        <row r="4866">
          <cell r="A4866" t="str">
            <v>in storage</v>
          </cell>
          <cell r="K4866" t="str">
            <v>EUL</v>
          </cell>
          <cell r="AB4866" t="str">
            <v>Adrenal gland</v>
          </cell>
        </row>
        <row r="4867">
          <cell r="A4867" t="str">
            <v>in storage</v>
          </cell>
          <cell r="K4867" t="str">
            <v>EUL</v>
          </cell>
          <cell r="AB4867" t="str">
            <v>Heart</v>
          </cell>
        </row>
        <row r="4868">
          <cell r="A4868" t="str">
            <v>in storage</v>
          </cell>
          <cell r="K4868" t="str">
            <v>EUL</v>
          </cell>
          <cell r="AB4868" t="str">
            <v>Kidney</v>
          </cell>
        </row>
        <row r="4869">
          <cell r="A4869" t="str">
            <v>in storage</v>
          </cell>
          <cell r="K4869" t="str">
            <v>EUL</v>
          </cell>
          <cell r="AB4869" t="str">
            <v>Liver</v>
          </cell>
        </row>
        <row r="4870">
          <cell r="A4870" t="str">
            <v>in storage</v>
          </cell>
          <cell r="K4870" t="str">
            <v>EUL</v>
          </cell>
          <cell r="AB4870" t="str">
            <v>Kidney</v>
          </cell>
        </row>
        <row r="4871">
          <cell r="A4871" t="str">
            <v>in storage</v>
          </cell>
          <cell r="K4871" t="str">
            <v>EUL</v>
          </cell>
          <cell r="AB4871" t="str">
            <v>Lung</v>
          </cell>
        </row>
        <row r="4872">
          <cell r="A4872" t="str">
            <v>in storage</v>
          </cell>
          <cell r="K4872" t="str">
            <v>EUL</v>
          </cell>
          <cell r="AB4872" t="str">
            <v>Kidney</v>
          </cell>
        </row>
        <row r="4873">
          <cell r="A4873" t="str">
            <v>in storage</v>
          </cell>
          <cell r="K4873" t="str">
            <v>EUL</v>
          </cell>
          <cell r="AB4873" t="str">
            <v>Skin</v>
          </cell>
        </row>
        <row r="4874">
          <cell r="A4874" t="str">
            <v>in storage</v>
          </cell>
          <cell r="K4874" t="str">
            <v>EUL</v>
          </cell>
          <cell r="AB4874" t="str">
            <v>Skin</v>
          </cell>
        </row>
        <row r="4875">
          <cell r="A4875" t="str">
            <v>gone</v>
          </cell>
          <cell r="K4875" t="str">
            <v>EUL</v>
          </cell>
          <cell r="AB4875" t="str">
            <v>Skin</v>
          </cell>
        </row>
        <row r="4876">
          <cell r="A4876" t="str">
            <v>in storage</v>
          </cell>
          <cell r="K4876" t="str">
            <v>EUL</v>
          </cell>
          <cell r="AB4876" t="str">
            <v>Eye</v>
          </cell>
        </row>
        <row r="4877">
          <cell r="A4877" t="str">
            <v>in storage</v>
          </cell>
          <cell r="K4877" t="str">
            <v>EUL</v>
          </cell>
          <cell r="AB4877" t="str">
            <v>Skin</v>
          </cell>
        </row>
        <row r="4878">
          <cell r="A4878" t="str">
            <v>unk</v>
          </cell>
          <cell r="K4878" t="str">
            <v>EUL</v>
          </cell>
          <cell r="AB4878" t="str">
            <v>Hair</v>
          </cell>
        </row>
        <row r="4879">
          <cell r="A4879" t="str">
            <v>in storage</v>
          </cell>
          <cell r="K4879" t="str">
            <v>LCAT</v>
          </cell>
          <cell r="AB4879" t="str">
            <v>GI Contents- cecum</v>
          </cell>
        </row>
        <row r="4880">
          <cell r="A4880" t="str">
            <v>in storage</v>
          </cell>
          <cell r="K4880" t="str">
            <v>LCAT</v>
          </cell>
          <cell r="AB4880" t="str">
            <v>GI- cecum</v>
          </cell>
        </row>
        <row r="4881">
          <cell r="A4881" t="str">
            <v>in storage</v>
          </cell>
          <cell r="K4881" t="str">
            <v>LCAT</v>
          </cell>
          <cell r="AB4881" t="str">
            <v>GI- large intestine</v>
          </cell>
        </row>
        <row r="4882">
          <cell r="A4882" t="str">
            <v>in storage</v>
          </cell>
          <cell r="K4882" t="str">
            <v>MMUR</v>
          </cell>
          <cell r="AB4882" t="str">
            <v>Heart</v>
          </cell>
        </row>
        <row r="4883">
          <cell r="A4883" t="str">
            <v>gone</v>
          </cell>
          <cell r="K4883" t="str">
            <v>MMUR</v>
          </cell>
          <cell r="AB4883" t="str">
            <v>Lung</v>
          </cell>
        </row>
        <row r="4884">
          <cell r="A4884" t="str">
            <v>in storage</v>
          </cell>
          <cell r="K4884" t="str">
            <v>MMUR</v>
          </cell>
          <cell r="AB4884" t="str">
            <v>Skin</v>
          </cell>
        </row>
        <row r="4885">
          <cell r="A4885" t="str">
            <v>in storage</v>
          </cell>
          <cell r="K4885" t="str">
            <v>MMUR</v>
          </cell>
          <cell r="AB4885" t="str">
            <v>Spleen</v>
          </cell>
        </row>
        <row r="4886">
          <cell r="A4886" t="str">
            <v>in storage</v>
          </cell>
          <cell r="K4886" t="str">
            <v>MMUR</v>
          </cell>
          <cell r="AB4886" t="str">
            <v>Kidney</v>
          </cell>
        </row>
        <row r="4887">
          <cell r="A4887" t="str">
            <v>in storage</v>
          </cell>
          <cell r="K4887" t="str">
            <v>MMUR</v>
          </cell>
          <cell r="AB4887" t="str">
            <v>Kidney</v>
          </cell>
        </row>
        <row r="4888">
          <cell r="A4888" t="str">
            <v>in storage</v>
          </cell>
          <cell r="K4888" t="str">
            <v>MMUR</v>
          </cell>
          <cell r="AB4888" t="str">
            <v>Liver</v>
          </cell>
        </row>
        <row r="4889">
          <cell r="A4889" t="str">
            <v>in storage</v>
          </cell>
          <cell r="K4889" t="str">
            <v>LCAT</v>
          </cell>
          <cell r="AB4889" t="str">
            <v>GI- small intestine</v>
          </cell>
        </row>
        <row r="4890">
          <cell r="A4890" t="str">
            <v>in storage</v>
          </cell>
          <cell r="K4890" t="str">
            <v>LCAT</v>
          </cell>
          <cell r="AB4890" t="str">
            <v>GI Contents- cecum</v>
          </cell>
        </row>
        <row r="4891">
          <cell r="A4891" t="str">
            <v>in storage</v>
          </cell>
          <cell r="K4891" t="str">
            <v>VRUB</v>
          </cell>
          <cell r="AB4891" t="str">
            <v>Kidney</v>
          </cell>
        </row>
        <row r="4892">
          <cell r="A4892" t="str">
            <v>in storage</v>
          </cell>
          <cell r="K4892" t="str">
            <v>VRUB</v>
          </cell>
          <cell r="AB4892" t="str">
            <v>Heart</v>
          </cell>
        </row>
        <row r="4893">
          <cell r="A4893" t="str">
            <v>in storage</v>
          </cell>
          <cell r="K4893" t="str">
            <v>VRUB</v>
          </cell>
          <cell r="AB4893" t="str">
            <v>Lung</v>
          </cell>
        </row>
        <row r="4894">
          <cell r="A4894" t="str">
            <v>in storage</v>
          </cell>
          <cell r="K4894" t="str">
            <v>VRUB</v>
          </cell>
          <cell r="AB4894" t="str">
            <v>Lung</v>
          </cell>
        </row>
        <row r="4895">
          <cell r="A4895" t="str">
            <v>in storage</v>
          </cell>
          <cell r="K4895" t="str">
            <v>VRUB</v>
          </cell>
          <cell r="AB4895" t="str">
            <v>Gallbladder/ liver</v>
          </cell>
        </row>
        <row r="4896">
          <cell r="A4896" t="str">
            <v>in storage</v>
          </cell>
          <cell r="K4896" t="str">
            <v>VRUB</v>
          </cell>
          <cell r="AB4896" t="str">
            <v>Liver</v>
          </cell>
        </row>
        <row r="4897">
          <cell r="A4897" t="str">
            <v>in storage</v>
          </cell>
          <cell r="K4897" t="str">
            <v>VRUB</v>
          </cell>
          <cell r="AB4897" t="str">
            <v>Skin</v>
          </cell>
        </row>
        <row r="4898">
          <cell r="A4898" t="str">
            <v>in storage</v>
          </cell>
          <cell r="K4898" t="str">
            <v>VRUB</v>
          </cell>
          <cell r="AB4898" t="str">
            <v>Kidney</v>
          </cell>
        </row>
        <row r="4899">
          <cell r="A4899" t="str">
            <v>in storage</v>
          </cell>
          <cell r="K4899" t="str">
            <v>VRUB</v>
          </cell>
          <cell r="AB4899" t="str">
            <v>Kidney</v>
          </cell>
        </row>
        <row r="4900">
          <cell r="A4900" t="str">
            <v>in storage</v>
          </cell>
          <cell r="K4900" t="str">
            <v>VRUB</v>
          </cell>
          <cell r="AB4900" t="str">
            <v>Liver</v>
          </cell>
        </row>
        <row r="4901">
          <cell r="A4901" t="str">
            <v>in storage</v>
          </cell>
          <cell r="K4901" t="str">
            <v>VRUB</v>
          </cell>
          <cell r="AB4901" t="str">
            <v>Lung</v>
          </cell>
        </row>
        <row r="4902">
          <cell r="A4902" t="str">
            <v>in storage</v>
          </cell>
          <cell r="K4902" t="str">
            <v>VRUB</v>
          </cell>
          <cell r="AB4902" t="str">
            <v>Liver</v>
          </cell>
        </row>
        <row r="4903">
          <cell r="A4903" t="str">
            <v>in storage</v>
          </cell>
          <cell r="K4903" t="str">
            <v>VRUB</v>
          </cell>
          <cell r="AB4903" t="str">
            <v>Kidney</v>
          </cell>
        </row>
        <row r="4904">
          <cell r="A4904" t="str">
            <v>in storage</v>
          </cell>
          <cell r="K4904" t="str">
            <v>VRUB</v>
          </cell>
          <cell r="AB4904" t="str">
            <v>Heart</v>
          </cell>
        </row>
        <row r="4905">
          <cell r="A4905" t="str">
            <v>in storage</v>
          </cell>
          <cell r="K4905" t="str">
            <v>VRUB</v>
          </cell>
          <cell r="AB4905" t="str">
            <v>VNO</v>
          </cell>
        </row>
        <row r="4906">
          <cell r="A4906" t="str">
            <v>in storage</v>
          </cell>
          <cell r="K4906" t="str">
            <v>VRUB</v>
          </cell>
          <cell r="AB4906" t="str">
            <v>Thymus</v>
          </cell>
        </row>
        <row r="4907">
          <cell r="A4907" t="str">
            <v>in storage</v>
          </cell>
          <cell r="K4907" t="str">
            <v>VRUB</v>
          </cell>
          <cell r="AB4907" t="str">
            <v>Lung</v>
          </cell>
        </row>
        <row r="4908">
          <cell r="A4908" t="str">
            <v>in storage</v>
          </cell>
          <cell r="K4908" t="str">
            <v>VRUB</v>
          </cell>
          <cell r="AB4908" t="str">
            <v>Kidney</v>
          </cell>
        </row>
        <row r="4909">
          <cell r="A4909" t="str">
            <v>in storage</v>
          </cell>
          <cell r="K4909" t="str">
            <v>VRUB</v>
          </cell>
          <cell r="AB4909" t="str">
            <v>Lung</v>
          </cell>
        </row>
        <row r="4910">
          <cell r="A4910" t="str">
            <v>in storage</v>
          </cell>
          <cell r="K4910" t="str">
            <v>VRUB</v>
          </cell>
          <cell r="AB4910" t="str">
            <v>Thymus</v>
          </cell>
        </row>
        <row r="4911">
          <cell r="A4911" t="str">
            <v>in storage</v>
          </cell>
          <cell r="K4911" t="str">
            <v>VRUB</v>
          </cell>
          <cell r="AB4911" t="str">
            <v>Spleen</v>
          </cell>
        </row>
        <row r="4912">
          <cell r="A4912" t="str">
            <v>in storage</v>
          </cell>
          <cell r="K4912" t="str">
            <v>VRUB</v>
          </cell>
          <cell r="AB4912" t="str">
            <v>Heart</v>
          </cell>
        </row>
        <row r="4913">
          <cell r="A4913" t="str">
            <v>in storage</v>
          </cell>
          <cell r="K4913" t="str">
            <v>VRUB</v>
          </cell>
          <cell r="AB4913" t="str">
            <v>Liver</v>
          </cell>
        </row>
        <row r="4914">
          <cell r="A4914" t="str">
            <v>in storage</v>
          </cell>
          <cell r="K4914" t="str">
            <v>VRUB</v>
          </cell>
          <cell r="AB4914" t="str">
            <v>Thymus</v>
          </cell>
        </row>
        <row r="4915">
          <cell r="A4915" t="str">
            <v>in storage</v>
          </cell>
          <cell r="K4915" t="str">
            <v>VRUB</v>
          </cell>
          <cell r="AB4915" t="str">
            <v>Kidney</v>
          </cell>
        </row>
        <row r="4916">
          <cell r="A4916" t="str">
            <v>in storage</v>
          </cell>
          <cell r="K4916" t="str">
            <v>VRUB</v>
          </cell>
          <cell r="AB4916" t="str">
            <v>Lung</v>
          </cell>
        </row>
        <row r="4917">
          <cell r="A4917" t="str">
            <v>in storage</v>
          </cell>
          <cell r="K4917" t="str">
            <v>VRUB</v>
          </cell>
          <cell r="AB4917" t="str">
            <v>Lung</v>
          </cell>
        </row>
        <row r="4918">
          <cell r="A4918" t="str">
            <v>in storage</v>
          </cell>
          <cell r="K4918" t="str">
            <v>VRUB</v>
          </cell>
          <cell r="AB4918" t="str">
            <v>Heart</v>
          </cell>
        </row>
        <row r="4919">
          <cell r="A4919" t="str">
            <v>in storage</v>
          </cell>
          <cell r="K4919" t="str">
            <v>VRUB</v>
          </cell>
          <cell r="AB4919" t="str">
            <v>Lung</v>
          </cell>
        </row>
        <row r="4920">
          <cell r="A4920" t="str">
            <v>in storage</v>
          </cell>
          <cell r="K4920" t="str">
            <v>VRUB</v>
          </cell>
          <cell r="AB4920" t="str">
            <v>Skin</v>
          </cell>
        </row>
        <row r="4921">
          <cell r="A4921" t="str">
            <v>in storage</v>
          </cell>
          <cell r="K4921" t="str">
            <v>VRUB</v>
          </cell>
          <cell r="AB4921" t="str">
            <v>Skin</v>
          </cell>
        </row>
        <row r="4922">
          <cell r="A4922" t="str">
            <v>unk</v>
          </cell>
          <cell r="K4922" t="str">
            <v>VRUB</v>
          </cell>
          <cell r="AB4922" t="str">
            <v>Eye</v>
          </cell>
        </row>
        <row r="4923">
          <cell r="A4923" t="str">
            <v>in storage</v>
          </cell>
          <cell r="K4923" t="str">
            <v>VRUB</v>
          </cell>
          <cell r="AB4923" t="str">
            <v>Skin</v>
          </cell>
        </row>
        <row r="4924">
          <cell r="A4924" t="str">
            <v>in storage</v>
          </cell>
          <cell r="K4924" t="str">
            <v>VRUB</v>
          </cell>
          <cell r="AB4924" t="str">
            <v>Trachea</v>
          </cell>
        </row>
        <row r="4925">
          <cell r="A4925" t="str">
            <v>in storage</v>
          </cell>
          <cell r="K4925" t="str">
            <v>VRUB</v>
          </cell>
          <cell r="AB4925" t="str">
            <v>R- teste(s)</v>
          </cell>
        </row>
        <row r="4926">
          <cell r="A4926" t="str">
            <v>in storage</v>
          </cell>
          <cell r="K4926" t="str">
            <v>VRUB</v>
          </cell>
          <cell r="AB4926" t="str">
            <v>R- teste(s)</v>
          </cell>
        </row>
        <row r="4927">
          <cell r="A4927" t="str">
            <v>in storage</v>
          </cell>
          <cell r="K4927" t="str">
            <v>LCAT</v>
          </cell>
          <cell r="AB4927" t="str">
            <v>GI Contents- large intestine</v>
          </cell>
        </row>
        <row r="4928">
          <cell r="A4928" t="str">
            <v>in storage</v>
          </cell>
          <cell r="K4928" t="str">
            <v>VRUB</v>
          </cell>
          <cell r="AB4928" t="str">
            <v>Muscle</v>
          </cell>
        </row>
        <row r="4929">
          <cell r="A4929" t="str">
            <v>in storage</v>
          </cell>
          <cell r="K4929" t="str">
            <v>VRUB</v>
          </cell>
          <cell r="AB4929" t="str">
            <v>Muscle</v>
          </cell>
        </row>
        <row r="4930">
          <cell r="A4930" t="str">
            <v>in storage</v>
          </cell>
          <cell r="K4930" t="str">
            <v>VRUB</v>
          </cell>
          <cell r="AB4930" t="str">
            <v>Muscle</v>
          </cell>
        </row>
        <row r="4931">
          <cell r="A4931" t="str">
            <v>in storage</v>
          </cell>
          <cell r="K4931" t="str">
            <v>ECOL</v>
          </cell>
          <cell r="AB4931" t="str">
            <v>Muscle</v>
          </cell>
        </row>
        <row r="4932">
          <cell r="A4932" t="str">
            <v>in storage</v>
          </cell>
          <cell r="K4932" t="str">
            <v>ECOL</v>
          </cell>
          <cell r="AB4932" t="str">
            <v>Muscle</v>
          </cell>
        </row>
        <row r="4933">
          <cell r="A4933" t="str">
            <v>in storage</v>
          </cell>
          <cell r="K4933" t="str">
            <v>ECOL</v>
          </cell>
          <cell r="AB4933" t="str">
            <v>Muscle</v>
          </cell>
        </row>
        <row r="4934">
          <cell r="A4934" t="str">
            <v>in storage</v>
          </cell>
          <cell r="K4934" t="str">
            <v>ECOL</v>
          </cell>
          <cell r="AB4934" t="str">
            <v>Trachea</v>
          </cell>
        </row>
        <row r="4935">
          <cell r="A4935" t="str">
            <v>in storage</v>
          </cell>
          <cell r="K4935" t="str">
            <v>ECOL</v>
          </cell>
          <cell r="AB4935" t="str">
            <v>Liver</v>
          </cell>
        </row>
        <row r="4936">
          <cell r="A4936" t="str">
            <v>in storage</v>
          </cell>
          <cell r="K4936" t="str">
            <v>LCAT</v>
          </cell>
          <cell r="AB4936" t="str">
            <v>GI- large intestine</v>
          </cell>
        </row>
        <row r="4937">
          <cell r="A4937" t="str">
            <v>in storage</v>
          </cell>
          <cell r="K4937" t="str">
            <v>ECOL</v>
          </cell>
          <cell r="AB4937" t="str">
            <v>Kidney</v>
          </cell>
        </row>
        <row r="4938">
          <cell r="A4938" t="str">
            <v>in storage</v>
          </cell>
          <cell r="K4938" t="str">
            <v>ECOL</v>
          </cell>
          <cell r="AB4938" t="str">
            <v>Heart</v>
          </cell>
        </row>
        <row r="4939">
          <cell r="A4939" t="str">
            <v>in storage</v>
          </cell>
          <cell r="K4939" t="str">
            <v>ECOL</v>
          </cell>
          <cell r="AB4939" t="str">
            <v>Heart</v>
          </cell>
        </row>
        <row r="4940">
          <cell r="A4940" t="str">
            <v>in storage</v>
          </cell>
          <cell r="K4940" t="str">
            <v>ECOL</v>
          </cell>
          <cell r="AB4940" t="str">
            <v>Thyroid</v>
          </cell>
        </row>
        <row r="4941">
          <cell r="A4941" t="str">
            <v>in storage</v>
          </cell>
          <cell r="K4941" t="str">
            <v>ECOL</v>
          </cell>
          <cell r="AB4941" t="str">
            <v>Heart</v>
          </cell>
        </row>
        <row r="4942">
          <cell r="A4942" t="str">
            <v>in storage</v>
          </cell>
          <cell r="K4942" t="str">
            <v>ECOL</v>
          </cell>
          <cell r="AB4942" t="str">
            <v>Lung</v>
          </cell>
        </row>
        <row r="4943">
          <cell r="A4943" t="str">
            <v>in storage</v>
          </cell>
          <cell r="K4943" t="str">
            <v>ECOL</v>
          </cell>
          <cell r="AB4943" t="str">
            <v>Lung</v>
          </cell>
        </row>
        <row r="4944">
          <cell r="A4944" t="str">
            <v>in storage</v>
          </cell>
          <cell r="K4944" t="str">
            <v>ECOL</v>
          </cell>
          <cell r="AB4944" t="str">
            <v>Lung</v>
          </cell>
        </row>
        <row r="4945">
          <cell r="A4945" t="str">
            <v>in storage</v>
          </cell>
          <cell r="K4945" t="str">
            <v>ECOL</v>
          </cell>
          <cell r="AB4945" t="str">
            <v>Lung</v>
          </cell>
        </row>
        <row r="4946">
          <cell r="A4946" t="str">
            <v>in storage</v>
          </cell>
          <cell r="K4946" t="str">
            <v>ECOL</v>
          </cell>
          <cell r="AB4946" t="str">
            <v>Liver</v>
          </cell>
        </row>
        <row r="4947">
          <cell r="A4947" t="str">
            <v>in storage</v>
          </cell>
          <cell r="K4947" t="str">
            <v>ECOL</v>
          </cell>
          <cell r="AB4947" t="str">
            <v>Kidney</v>
          </cell>
        </row>
        <row r="4948">
          <cell r="A4948" t="str">
            <v>in storage</v>
          </cell>
          <cell r="K4948" t="str">
            <v>ECOL</v>
          </cell>
          <cell r="AB4948" t="str">
            <v>Kidney</v>
          </cell>
        </row>
        <row r="4949">
          <cell r="A4949" t="str">
            <v>in storage</v>
          </cell>
          <cell r="K4949" t="str">
            <v>ECOL</v>
          </cell>
          <cell r="AB4949" t="str">
            <v>Heart</v>
          </cell>
        </row>
        <row r="4950">
          <cell r="A4950" t="str">
            <v>in storage</v>
          </cell>
          <cell r="K4950" t="str">
            <v>ECOL</v>
          </cell>
          <cell r="AB4950" t="str">
            <v>Lung</v>
          </cell>
        </row>
        <row r="4951">
          <cell r="A4951" t="str">
            <v>in storage</v>
          </cell>
          <cell r="K4951" t="str">
            <v>ECOL</v>
          </cell>
          <cell r="AB4951" t="str">
            <v>VNO</v>
          </cell>
        </row>
        <row r="4952">
          <cell r="A4952" t="str">
            <v>in storage</v>
          </cell>
          <cell r="K4952" t="str">
            <v>ECOL</v>
          </cell>
          <cell r="AB4952" t="str">
            <v>Kidney</v>
          </cell>
        </row>
        <row r="4953">
          <cell r="A4953" t="str">
            <v>in storage</v>
          </cell>
          <cell r="K4953" t="str">
            <v>ECOL</v>
          </cell>
          <cell r="AB4953" t="str">
            <v>Kidney</v>
          </cell>
        </row>
        <row r="4954">
          <cell r="A4954" t="str">
            <v>in storage</v>
          </cell>
          <cell r="K4954" t="str">
            <v>ECOL</v>
          </cell>
          <cell r="AB4954" t="str">
            <v>Kidney</v>
          </cell>
        </row>
        <row r="4955">
          <cell r="A4955" t="str">
            <v>in storage</v>
          </cell>
          <cell r="K4955" t="str">
            <v>ECOL</v>
          </cell>
          <cell r="AB4955" t="str">
            <v>Lung</v>
          </cell>
        </row>
        <row r="4956">
          <cell r="A4956" t="str">
            <v>in storage</v>
          </cell>
          <cell r="K4956" t="str">
            <v>ECOL</v>
          </cell>
          <cell r="AB4956" t="str">
            <v>Liver</v>
          </cell>
        </row>
        <row r="4957">
          <cell r="A4957" t="str">
            <v>in storage</v>
          </cell>
          <cell r="K4957" t="str">
            <v>ECOL</v>
          </cell>
          <cell r="AB4957" t="str">
            <v>Spleen</v>
          </cell>
        </row>
        <row r="4958">
          <cell r="A4958" t="str">
            <v>in storage</v>
          </cell>
          <cell r="K4958" t="str">
            <v>ECOL</v>
          </cell>
          <cell r="AB4958" t="str">
            <v>Eye</v>
          </cell>
        </row>
        <row r="4959">
          <cell r="A4959" t="str">
            <v>in storage</v>
          </cell>
          <cell r="K4959" t="str">
            <v>ECOL</v>
          </cell>
          <cell r="AB4959" t="str">
            <v>Kidney</v>
          </cell>
        </row>
        <row r="4960">
          <cell r="A4960" t="str">
            <v>in storage</v>
          </cell>
          <cell r="K4960" t="str">
            <v>ECOL</v>
          </cell>
          <cell r="AB4960" t="str">
            <v>Liver</v>
          </cell>
        </row>
        <row r="4961">
          <cell r="A4961" t="str">
            <v>unk</v>
          </cell>
          <cell r="K4961" t="str">
            <v>ECOL</v>
          </cell>
          <cell r="AB4961" t="str">
            <v>Kidney</v>
          </cell>
        </row>
        <row r="4962">
          <cell r="A4962" t="str">
            <v>in storage</v>
          </cell>
          <cell r="K4962" t="str">
            <v>ECOL</v>
          </cell>
          <cell r="AB4962" t="str">
            <v>Lung</v>
          </cell>
        </row>
        <row r="4963">
          <cell r="A4963" t="str">
            <v>in storage</v>
          </cell>
          <cell r="K4963" t="str">
            <v>ECOL</v>
          </cell>
          <cell r="AB4963" t="str">
            <v>Lung</v>
          </cell>
        </row>
        <row r="4964">
          <cell r="A4964" t="str">
            <v>in storage</v>
          </cell>
          <cell r="K4964" t="str">
            <v>ECOL</v>
          </cell>
          <cell r="AB4964" t="str">
            <v>Liver</v>
          </cell>
        </row>
        <row r="4965">
          <cell r="A4965" t="str">
            <v>in storage</v>
          </cell>
          <cell r="K4965" t="str">
            <v>ECOL</v>
          </cell>
          <cell r="AB4965" t="str">
            <v>Skin</v>
          </cell>
        </row>
        <row r="4966">
          <cell r="A4966" t="str">
            <v>in storage</v>
          </cell>
          <cell r="K4966" t="str">
            <v>EUL</v>
          </cell>
          <cell r="AB4966" t="str">
            <v>pituitary gland</v>
          </cell>
        </row>
        <row r="4967">
          <cell r="A4967" t="str">
            <v>in storage</v>
          </cell>
          <cell r="K4967" t="str">
            <v>EUL</v>
          </cell>
          <cell r="AB4967" t="str">
            <v>VNO</v>
          </cell>
        </row>
        <row r="4968">
          <cell r="A4968" t="str">
            <v>in storage</v>
          </cell>
          <cell r="K4968" t="str">
            <v>EUL</v>
          </cell>
          <cell r="AB4968" t="str">
            <v>Muscle</v>
          </cell>
        </row>
        <row r="4969">
          <cell r="A4969" t="str">
            <v>in storage</v>
          </cell>
          <cell r="K4969" t="str">
            <v>EUL</v>
          </cell>
          <cell r="AB4969" t="str">
            <v>Adrenal gland</v>
          </cell>
        </row>
        <row r="4970">
          <cell r="A4970" t="str">
            <v>in storage</v>
          </cell>
          <cell r="K4970" t="str">
            <v>EUL</v>
          </cell>
          <cell r="AB4970" t="str">
            <v>Eye</v>
          </cell>
        </row>
        <row r="4971">
          <cell r="A4971" t="str">
            <v>in storage</v>
          </cell>
          <cell r="K4971" t="str">
            <v>EUL</v>
          </cell>
          <cell r="AB4971" t="str">
            <v>Thyroid</v>
          </cell>
        </row>
        <row r="4972">
          <cell r="A4972" t="str">
            <v>in storage</v>
          </cell>
          <cell r="K4972" t="str">
            <v>EUL</v>
          </cell>
          <cell r="AB4972" t="str">
            <v>Liver</v>
          </cell>
        </row>
        <row r="4973">
          <cell r="A4973" t="str">
            <v>in storage</v>
          </cell>
          <cell r="K4973" t="str">
            <v>LCAT</v>
          </cell>
          <cell r="AB4973" t="str">
            <v>GI- small intestine/ stomach</v>
          </cell>
        </row>
        <row r="4974">
          <cell r="A4974" t="str">
            <v>in storage</v>
          </cell>
          <cell r="K4974" t="str">
            <v>EUL</v>
          </cell>
          <cell r="AB4974" t="str">
            <v>Kidney</v>
          </cell>
        </row>
        <row r="4975">
          <cell r="A4975" t="str">
            <v>in storage</v>
          </cell>
          <cell r="K4975" t="str">
            <v>EUL</v>
          </cell>
          <cell r="AB4975" t="str">
            <v>Kidney</v>
          </cell>
        </row>
        <row r="4976">
          <cell r="A4976" t="str">
            <v>in storage</v>
          </cell>
          <cell r="K4976" t="str">
            <v>EUL</v>
          </cell>
          <cell r="AB4976" t="str">
            <v>Spleen</v>
          </cell>
        </row>
        <row r="4977">
          <cell r="A4977" t="str">
            <v>in storage</v>
          </cell>
          <cell r="K4977" t="str">
            <v>EUL</v>
          </cell>
          <cell r="AB4977" t="str">
            <v>Heart</v>
          </cell>
        </row>
        <row r="4978">
          <cell r="A4978" t="str">
            <v>in storage</v>
          </cell>
          <cell r="K4978" t="str">
            <v>EUL</v>
          </cell>
          <cell r="AB4978" t="str">
            <v>Lung</v>
          </cell>
        </row>
        <row r="4979">
          <cell r="A4979" t="str">
            <v>in storage</v>
          </cell>
          <cell r="K4979" t="str">
            <v>EUL</v>
          </cell>
          <cell r="AB4979" t="str">
            <v>Lung</v>
          </cell>
        </row>
        <row r="4980">
          <cell r="A4980" t="str">
            <v>in storage</v>
          </cell>
          <cell r="K4980" t="str">
            <v>EUL</v>
          </cell>
          <cell r="AB4980" t="str">
            <v>Liver</v>
          </cell>
        </row>
        <row r="4981">
          <cell r="A4981" t="str">
            <v>in storage</v>
          </cell>
          <cell r="K4981" t="str">
            <v>EUL</v>
          </cell>
          <cell r="AB4981" t="str">
            <v>Liver</v>
          </cell>
        </row>
        <row r="4982">
          <cell r="A4982" t="str">
            <v>in storage</v>
          </cell>
          <cell r="K4982" t="str">
            <v>EUL</v>
          </cell>
          <cell r="AB4982" t="str">
            <v>Liver</v>
          </cell>
        </row>
        <row r="4983">
          <cell r="A4983" t="str">
            <v>in storage</v>
          </cell>
          <cell r="K4983" t="str">
            <v>EUL</v>
          </cell>
          <cell r="AB4983" t="str">
            <v>Skin</v>
          </cell>
        </row>
        <row r="4984">
          <cell r="A4984" t="str">
            <v>in storage</v>
          </cell>
          <cell r="K4984" t="str">
            <v>EUL</v>
          </cell>
          <cell r="AB4984" t="str">
            <v>Muscle</v>
          </cell>
        </row>
        <row r="4985">
          <cell r="A4985" t="str">
            <v>in storage</v>
          </cell>
          <cell r="K4985" t="str">
            <v>EUL</v>
          </cell>
          <cell r="AB4985" t="str">
            <v>Muscle</v>
          </cell>
        </row>
        <row r="4986">
          <cell r="A4986" t="str">
            <v>in storage</v>
          </cell>
          <cell r="K4986" t="str">
            <v>EUL</v>
          </cell>
          <cell r="AB4986" t="str">
            <v>Eye</v>
          </cell>
        </row>
        <row r="4987">
          <cell r="A4987" t="str">
            <v>in storage</v>
          </cell>
          <cell r="K4987" t="str">
            <v>EUL</v>
          </cell>
          <cell r="AB4987" t="str">
            <v>Liver</v>
          </cell>
        </row>
        <row r="4988">
          <cell r="A4988" t="str">
            <v>in storage</v>
          </cell>
          <cell r="K4988" t="str">
            <v>LCAT</v>
          </cell>
          <cell r="AB4988" t="str">
            <v>GI Contents- duodenum</v>
          </cell>
        </row>
        <row r="4989">
          <cell r="A4989" t="str">
            <v>in storage</v>
          </cell>
          <cell r="K4989" t="str">
            <v>EUL</v>
          </cell>
          <cell r="AB4989" t="str">
            <v>Kidney</v>
          </cell>
        </row>
        <row r="4990">
          <cell r="A4990" t="str">
            <v>in storage</v>
          </cell>
          <cell r="K4990" t="str">
            <v>EUL</v>
          </cell>
          <cell r="AB4990" t="str">
            <v>Heart</v>
          </cell>
        </row>
        <row r="4991">
          <cell r="A4991" t="str">
            <v>in storage</v>
          </cell>
          <cell r="K4991" t="str">
            <v>EUL</v>
          </cell>
          <cell r="AB4991" t="str">
            <v>Lung</v>
          </cell>
        </row>
        <row r="4992">
          <cell r="A4992" t="str">
            <v>in storage</v>
          </cell>
          <cell r="K4992" t="str">
            <v>EUL</v>
          </cell>
          <cell r="AB4992" t="str">
            <v>Lung</v>
          </cell>
        </row>
        <row r="4993">
          <cell r="A4993" t="str">
            <v>in storage</v>
          </cell>
          <cell r="K4993" t="str">
            <v>EUL</v>
          </cell>
          <cell r="AB4993" t="str">
            <v>Liver</v>
          </cell>
        </row>
        <row r="4994">
          <cell r="A4994" t="str">
            <v>in storage</v>
          </cell>
          <cell r="K4994" t="str">
            <v>EUL</v>
          </cell>
          <cell r="AB4994" t="str">
            <v>Heart</v>
          </cell>
        </row>
        <row r="4995">
          <cell r="A4995" t="str">
            <v>in storage</v>
          </cell>
          <cell r="K4995" t="str">
            <v>EUL</v>
          </cell>
          <cell r="AB4995" t="str">
            <v>Liver</v>
          </cell>
        </row>
        <row r="4996">
          <cell r="A4996" t="str">
            <v>in storage</v>
          </cell>
          <cell r="K4996" t="str">
            <v>EUL</v>
          </cell>
          <cell r="AB4996" t="str">
            <v>Liver</v>
          </cell>
        </row>
        <row r="4997">
          <cell r="A4997" t="str">
            <v>in storage</v>
          </cell>
          <cell r="K4997" t="str">
            <v>EUL</v>
          </cell>
          <cell r="AB4997" t="str">
            <v>Kidney</v>
          </cell>
        </row>
        <row r="4998">
          <cell r="A4998" t="str">
            <v>in storage</v>
          </cell>
          <cell r="K4998" t="str">
            <v>EUL</v>
          </cell>
          <cell r="AB4998" t="str">
            <v>Spleen</v>
          </cell>
        </row>
        <row r="4999">
          <cell r="A4999" t="str">
            <v>in storage</v>
          </cell>
          <cell r="K4999" t="str">
            <v>EUL</v>
          </cell>
          <cell r="AB4999" t="str">
            <v>Spleen</v>
          </cell>
        </row>
        <row r="5000">
          <cell r="A5000" t="str">
            <v>in storage</v>
          </cell>
          <cell r="K5000" t="str">
            <v>EUL</v>
          </cell>
          <cell r="AB5000" t="str">
            <v>Spleen</v>
          </cell>
        </row>
        <row r="5001">
          <cell r="A5001" t="str">
            <v>in storage</v>
          </cell>
          <cell r="K5001" t="str">
            <v>EUL</v>
          </cell>
          <cell r="AB5001" t="str">
            <v>Kidney</v>
          </cell>
        </row>
        <row r="5002">
          <cell r="A5002" t="str">
            <v>in storage</v>
          </cell>
          <cell r="K5002" t="str">
            <v>EUL</v>
          </cell>
          <cell r="AB5002" t="str">
            <v>Heart</v>
          </cell>
        </row>
        <row r="5003">
          <cell r="A5003" t="str">
            <v>in storage</v>
          </cell>
          <cell r="K5003" t="str">
            <v>EUL</v>
          </cell>
          <cell r="AB5003" t="str">
            <v>Lung</v>
          </cell>
        </row>
        <row r="5004">
          <cell r="A5004" t="str">
            <v>in storage</v>
          </cell>
          <cell r="K5004" t="str">
            <v>EUL</v>
          </cell>
          <cell r="AB5004" t="str">
            <v>Heart</v>
          </cell>
        </row>
        <row r="5005">
          <cell r="A5005" t="str">
            <v>in storage</v>
          </cell>
          <cell r="K5005" t="str">
            <v>EUL</v>
          </cell>
          <cell r="AB5005" t="str">
            <v>Kidney</v>
          </cell>
        </row>
        <row r="5006">
          <cell r="A5006" t="str">
            <v>in storage</v>
          </cell>
          <cell r="K5006" t="str">
            <v>EUL</v>
          </cell>
          <cell r="AB5006" t="str">
            <v>Lung</v>
          </cell>
        </row>
        <row r="5007">
          <cell r="A5007" t="str">
            <v>in storage</v>
          </cell>
          <cell r="K5007" t="str">
            <v>EUL</v>
          </cell>
          <cell r="AB5007" t="str">
            <v>Lung</v>
          </cell>
        </row>
        <row r="5008">
          <cell r="A5008" t="str">
            <v>in storage</v>
          </cell>
          <cell r="K5008" t="str">
            <v>EUL</v>
          </cell>
          <cell r="AB5008" t="str">
            <v>Kidney</v>
          </cell>
        </row>
        <row r="5009">
          <cell r="A5009" t="str">
            <v>in storage</v>
          </cell>
          <cell r="K5009" t="str">
            <v>EUL</v>
          </cell>
          <cell r="AB5009" t="str">
            <v>Pancreas</v>
          </cell>
        </row>
        <row r="5010">
          <cell r="A5010" t="str">
            <v>in storage</v>
          </cell>
          <cell r="K5010" t="str">
            <v>EUL</v>
          </cell>
          <cell r="AB5010" t="str">
            <v>Skin</v>
          </cell>
        </row>
        <row r="5011">
          <cell r="A5011" t="str">
            <v>in storage</v>
          </cell>
          <cell r="K5011" t="str">
            <v>EUL</v>
          </cell>
          <cell r="AB5011" t="str">
            <v>Skin</v>
          </cell>
        </row>
        <row r="5012">
          <cell r="A5012" t="str">
            <v>in storage</v>
          </cell>
          <cell r="K5012" t="str">
            <v>EUL</v>
          </cell>
          <cell r="AB5012" t="str">
            <v>Skin</v>
          </cell>
        </row>
        <row r="5013">
          <cell r="A5013" t="str">
            <v>in storage</v>
          </cell>
          <cell r="K5013" t="str">
            <v>EMON</v>
          </cell>
          <cell r="AB5013" t="str">
            <v>Muscle</v>
          </cell>
        </row>
        <row r="5014">
          <cell r="A5014" t="str">
            <v>in storage</v>
          </cell>
          <cell r="K5014" t="str">
            <v>EMON</v>
          </cell>
          <cell r="AB5014" t="str">
            <v>Muscle</v>
          </cell>
        </row>
        <row r="5015">
          <cell r="A5015" t="str">
            <v>in storage</v>
          </cell>
          <cell r="K5015" t="str">
            <v>EMON</v>
          </cell>
          <cell r="AB5015" t="str">
            <v>Muscle</v>
          </cell>
        </row>
        <row r="5016">
          <cell r="A5016" t="str">
            <v>in storage</v>
          </cell>
          <cell r="K5016" t="str">
            <v>EMON</v>
          </cell>
          <cell r="AB5016" t="str">
            <v>R- ovary/ uterus</v>
          </cell>
        </row>
        <row r="5017">
          <cell r="A5017" t="str">
            <v>in storage</v>
          </cell>
          <cell r="K5017" t="str">
            <v>EMON</v>
          </cell>
          <cell r="AB5017" t="str">
            <v>Eye</v>
          </cell>
        </row>
        <row r="5018">
          <cell r="A5018" t="str">
            <v>in storage</v>
          </cell>
          <cell r="K5018" t="str">
            <v>EMON</v>
          </cell>
          <cell r="AB5018" t="str">
            <v>Liver</v>
          </cell>
        </row>
        <row r="5019">
          <cell r="A5019" t="str">
            <v>in storage</v>
          </cell>
          <cell r="K5019" t="str">
            <v>LCAT</v>
          </cell>
          <cell r="AB5019" t="str">
            <v>GI Contents- ileum</v>
          </cell>
        </row>
        <row r="5020">
          <cell r="A5020" t="str">
            <v>in storage</v>
          </cell>
          <cell r="K5020" t="str">
            <v>EMON</v>
          </cell>
          <cell r="AB5020" t="str">
            <v>Heart</v>
          </cell>
        </row>
        <row r="5021">
          <cell r="A5021" t="str">
            <v>in storage</v>
          </cell>
          <cell r="K5021" t="str">
            <v>EMON</v>
          </cell>
          <cell r="AB5021" t="str">
            <v>Pancreas</v>
          </cell>
        </row>
        <row r="5022">
          <cell r="A5022" t="str">
            <v>in storage</v>
          </cell>
          <cell r="K5022" t="str">
            <v>EMON</v>
          </cell>
          <cell r="AB5022" t="str">
            <v>Kidney</v>
          </cell>
        </row>
        <row r="5023">
          <cell r="A5023" t="str">
            <v>in storage</v>
          </cell>
          <cell r="K5023" t="str">
            <v>EMON</v>
          </cell>
          <cell r="AB5023" t="str">
            <v>Spleen</v>
          </cell>
        </row>
        <row r="5024">
          <cell r="A5024" t="str">
            <v>in storage</v>
          </cell>
          <cell r="K5024" t="str">
            <v>EMON</v>
          </cell>
          <cell r="AB5024" t="str">
            <v>Heart</v>
          </cell>
        </row>
        <row r="5025">
          <cell r="A5025" t="str">
            <v>in storage</v>
          </cell>
          <cell r="K5025" t="str">
            <v>EMON</v>
          </cell>
          <cell r="AB5025" t="str">
            <v>Heart</v>
          </cell>
        </row>
        <row r="5026">
          <cell r="A5026" t="str">
            <v>in storage</v>
          </cell>
          <cell r="K5026" t="str">
            <v>EMON</v>
          </cell>
          <cell r="AB5026" t="str">
            <v>Heart</v>
          </cell>
        </row>
        <row r="5027">
          <cell r="A5027" t="str">
            <v>in storage</v>
          </cell>
          <cell r="K5027" t="str">
            <v>EMON</v>
          </cell>
          <cell r="AB5027" t="str">
            <v>Liver</v>
          </cell>
        </row>
        <row r="5028">
          <cell r="A5028" t="str">
            <v>in storage</v>
          </cell>
          <cell r="K5028" t="str">
            <v>EMON</v>
          </cell>
          <cell r="AB5028" t="str">
            <v>Kidney</v>
          </cell>
        </row>
        <row r="5029">
          <cell r="A5029" t="str">
            <v>in storage</v>
          </cell>
          <cell r="K5029" t="str">
            <v>EMON</v>
          </cell>
          <cell r="AB5029" t="str">
            <v>Kidney</v>
          </cell>
        </row>
        <row r="5030">
          <cell r="A5030" t="str">
            <v>in storage</v>
          </cell>
          <cell r="K5030" t="str">
            <v>EMON</v>
          </cell>
          <cell r="AB5030" t="str">
            <v>Pancreas</v>
          </cell>
        </row>
        <row r="5031">
          <cell r="A5031" t="str">
            <v>in storage</v>
          </cell>
          <cell r="K5031" t="str">
            <v>EMON</v>
          </cell>
          <cell r="AB5031" t="str">
            <v>Lung</v>
          </cell>
        </row>
        <row r="5032">
          <cell r="A5032" t="str">
            <v>in storage</v>
          </cell>
          <cell r="K5032" t="str">
            <v>EMON</v>
          </cell>
          <cell r="AB5032" t="str">
            <v>Kidney</v>
          </cell>
        </row>
        <row r="5033">
          <cell r="A5033" t="str">
            <v>in storage</v>
          </cell>
          <cell r="K5033" t="str">
            <v>EMON</v>
          </cell>
          <cell r="AB5033" t="str">
            <v>Pancreas</v>
          </cell>
        </row>
        <row r="5034">
          <cell r="A5034" t="str">
            <v>in storage</v>
          </cell>
          <cell r="K5034" t="str">
            <v>EMON</v>
          </cell>
          <cell r="AB5034" t="str">
            <v>Lung</v>
          </cell>
        </row>
        <row r="5035">
          <cell r="A5035" t="str">
            <v>in storage</v>
          </cell>
          <cell r="K5035" t="str">
            <v>EMON</v>
          </cell>
          <cell r="AB5035" t="str">
            <v>Spleen</v>
          </cell>
        </row>
        <row r="5036">
          <cell r="A5036" t="str">
            <v>in storage</v>
          </cell>
          <cell r="K5036" t="str">
            <v>EMON</v>
          </cell>
          <cell r="AB5036" t="str">
            <v>Liver</v>
          </cell>
        </row>
        <row r="5037">
          <cell r="A5037" t="str">
            <v>in storage</v>
          </cell>
          <cell r="K5037" t="str">
            <v>EMON</v>
          </cell>
          <cell r="AB5037" t="str">
            <v>Kidney</v>
          </cell>
        </row>
        <row r="5038">
          <cell r="A5038" t="str">
            <v>in storage</v>
          </cell>
          <cell r="K5038" t="str">
            <v>EMON</v>
          </cell>
          <cell r="AB5038" t="str">
            <v>Spleen</v>
          </cell>
        </row>
        <row r="5039">
          <cell r="A5039" t="str">
            <v>in storage</v>
          </cell>
          <cell r="K5039" t="str">
            <v>EMON</v>
          </cell>
          <cell r="AB5039" t="str">
            <v>Kidney</v>
          </cell>
        </row>
        <row r="5040">
          <cell r="A5040" t="str">
            <v>in storage</v>
          </cell>
          <cell r="K5040" t="str">
            <v>EMON</v>
          </cell>
          <cell r="AB5040" t="str">
            <v>Lung</v>
          </cell>
        </row>
        <row r="5041">
          <cell r="A5041" t="str">
            <v>in storage</v>
          </cell>
          <cell r="K5041" t="str">
            <v>EMON</v>
          </cell>
          <cell r="AB5041" t="str">
            <v>Liver</v>
          </cell>
        </row>
        <row r="5042">
          <cell r="A5042" t="str">
            <v>in storage</v>
          </cell>
          <cell r="K5042" t="str">
            <v>EMON</v>
          </cell>
          <cell r="AB5042" t="str">
            <v>Thyroid</v>
          </cell>
        </row>
        <row r="5043">
          <cell r="A5043" t="str">
            <v>in storage</v>
          </cell>
          <cell r="K5043" t="str">
            <v>EMON</v>
          </cell>
          <cell r="AB5043" t="str">
            <v>Skin</v>
          </cell>
        </row>
        <row r="5044">
          <cell r="A5044" t="str">
            <v>in storage</v>
          </cell>
          <cell r="K5044" t="str">
            <v>EMON</v>
          </cell>
          <cell r="AB5044" t="str">
            <v>Skin</v>
          </cell>
        </row>
        <row r="5045">
          <cell r="A5045" t="str">
            <v>in storage</v>
          </cell>
          <cell r="K5045" t="str">
            <v>EMON</v>
          </cell>
          <cell r="AB5045" t="str">
            <v>Skin</v>
          </cell>
        </row>
        <row r="5046">
          <cell r="A5046" t="str">
            <v>in storage</v>
          </cell>
          <cell r="K5046" t="str">
            <v>EMON</v>
          </cell>
          <cell r="AB5046" t="str">
            <v>Lung</v>
          </cell>
        </row>
        <row r="5047">
          <cell r="A5047" t="str">
            <v>in storage</v>
          </cell>
          <cell r="K5047" t="str">
            <v>LCAT</v>
          </cell>
          <cell r="AB5047" t="str">
            <v>GI Contents- stomach</v>
          </cell>
        </row>
        <row r="5048">
          <cell r="A5048" t="str">
            <v>on hold</v>
          </cell>
          <cell r="K5048" t="str">
            <v>ECOR</v>
          </cell>
          <cell r="AB5048" t="str">
            <v>R- sperm plug</v>
          </cell>
        </row>
        <row r="5049">
          <cell r="A5049" t="str">
            <v>in storage</v>
          </cell>
          <cell r="K5049" t="str">
            <v>CMED</v>
          </cell>
          <cell r="AB5049" t="str">
            <v>Muscle</v>
          </cell>
        </row>
        <row r="5050">
          <cell r="A5050" t="str">
            <v>in storage</v>
          </cell>
          <cell r="K5050" t="str">
            <v>CMED</v>
          </cell>
          <cell r="AB5050" t="str">
            <v>R- ovary/ uterus</v>
          </cell>
        </row>
        <row r="5051">
          <cell r="A5051" t="str">
            <v>in storage</v>
          </cell>
          <cell r="K5051" t="str">
            <v>CMED</v>
          </cell>
          <cell r="AB5051" t="str">
            <v>Liver</v>
          </cell>
        </row>
        <row r="5052">
          <cell r="A5052" t="str">
            <v>in storage</v>
          </cell>
          <cell r="K5052" t="str">
            <v>LCAT</v>
          </cell>
          <cell r="AB5052" t="str">
            <v>GI Contents- cecum</v>
          </cell>
        </row>
        <row r="5053">
          <cell r="A5053" t="str">
            <v>in storage</v>
          </cell>
          <cell r="K5053" t="str">
            <v>CMED</v>
          </cell>
          <cell r="AB5053" t="str">
            <v>Spleen</v>
          </cell>
        </row>
        <row r="5054">
          <cell r="A5054" t="str">
            <v>in storage</v>
          </cell>
          <cell r="K5054" t="str">
            <v>CMED</v>
          </cell>
          <cell r="AB5054" t="str">
            <v>Liver</v>
          </cell>
        </row>
        <row r="5055">
          <cell r="A5055" t="str">
            <v>in storage</v>
          </cell>
          <cell r="K5055" t="str">
            <v>CMED</v>
          </cell>
          <cell r="AB5055" t="str">
            <v>Liver</v>
          </cell>
        </row>
        <row r="5056">
          <cell r="A5056" t="str">
            <v>in storage</v>
          </cell>
          <cell r="K5056" t="str">
            <v>CMED</v>
          </cell>
          <cell r="AB5056" t="str">
            <v>Spleen</v>
          </cell>
        </row>
        <row r="5057">
          <cell r="A5057" t="str">
            <v>in storage</v>
          </cell>
          <cell r="K5057" t="str">
            <v>CMED</v>
          </cell>
          <cell r="AB5057" t="str">
            <v>Spleen</v>
          </cell>
        </row>
        <row r="5058">
          <cell r="A5058" t="str">
            <v>in storage</v>
          </cell>
          <cell r="K5058" t="str">
            <v>CMED</v>
          </cell>
          <cell r="AB5058" t="str">
            <v>Heart</v>
          </cell>
        </row>
        <row r="5059">
          <cell r="A5059" t="str">
            <v>in storage</v>
          </cell>
          <cell r="K5059" t="str">
            <v>CMED</v>
          </cell>
          <cell r="AB5059" t="str">
            <v>Adrenal gland</v>
          </cell>
        </row>
        <row r="5060">
          <cell r="A5060" t="str">
            <v>in storage</v>
          </cell>
          <cell r="K5060" t="str">
            <v>CMED</v>
          </cell>
          <cell r="AB5060" t="str">
            <v>Liver</v>
          </cell>
        </row>
        <row r="5061">
          <cell r="A5061" t="str">
            <v>in storage</v>
          </cell>
          <cell r="K5061" t="str">
            <v>CMED</v>
          </cell>
          <cell r="AB5061" t="str">
            <v>Lung</v>
          </cell>
        </row>
        <row r="5062">
          <cell r="A5062" t="str">
            <v>in storage</v>
          </cell>
          <cell r="K5062" t="str">
            <v>CMED</v>
          </cell>
          <cell r="AB5062" t="str">
            <v>Thyroid</v>
          </cell>
        </row>
        <row r="5063">
          <cell r="A5063" t="str">
            <v>in storage</v>
          </cell>
          <cell r="K5063" t="str">
            <v>CMED</v>
          </cell>
          <cell r="AB5063" t="str">
            <v>Liver</v>
          </cell>
        </row>
        <row r="5064">
          <cell r="A5064" t="str">
            <v>in storage</v>
          </cell>
          <cell r="K5064" t="str">
            <v>CMED</v>
          </cell>
          <cell r="AB5064" t="str">
            <v>VNO</v>
          </cell>
        </row>
        <row r="5065">
          <cell r="A5065" t="str">
            <v>in storage</v>
          </cell>
          <cell r="K5065" t="str">
            <v>CMED</v>
          </cell>
          <cell r="AB5065" t="str">
            <v>Spleen</v>
          </cell>
        </row>
        <row r="5066">
          <cell r="A5066" t="str">
            <v>in storage</v>
          </cell>
          <cell r="K5066" t="str">
            <v>CMED</v>
          </cell>
          <cell r="AB5066" t="str">
            <v>Spleen</v>
          </cell>
        </row>
        <row r="5067">
          <cell r="A5067" t="str">
            <v>in storage</v>
          </cell>
          <cell r="K5067" t="str">
            <v>CMED</v>
          </cell>
          <cell r="AB5067" t="str">
            <v>Kidney</v>
          </cell>
        </row>
        <row r="5068">
          <cell r="A5068" t="str">
            <v>in storage</v>
          </cell>
          <cell r="K5068" t="str">
            <v>CMED</v>
          </cell>
          <cell r="AB5068" t="str">
            <v>Kidney</v>
          </cell>
        </row>
        <row r="5069">
          <cell r="A5069" t="str">
            <v>in storage</v>
          </cell>
          <cell r="K5069" t="str">
            <v>CMED</v>
          </cell>
          <cell r="AB5069" t="str">
            <v>Eye</v>
          </cell>
        </row>
        <row r="5070">
          <cell r="A5070" t="str">
            <v>in storage</v>
          </cell>
          <cell r="K5070" t="str">
            <v>CMED</v>
          </cell>
          <cell r="AB5070" t="str">
            <v>Skin</v>
          </cell>
        </row>
        <row r="5071">
          <cell r="A5071" t="str">
            <v>in storage</v>
          </cell>
          <cell r="K5071" t="str">
            <v>CMED</v>
          </cell>
          <cell r="AB5071" t="str">
            <v>Skin</v>
          </cell>
        </row>
        <row r="5072">
          <cell r="A5072" t="str">
            <v>in storage</v>
          </cell>
          <cell r="K5072" t="str">
            <v>PCOQ</v>
          </cell>
          <cell r="AB5072" t="str">
            <v>R- placenta</v>
          </cell>
        </row>
        <row r="5073">
          <cell r="A5073" t="str">
            <v>in storage</v>
          </cell>
          <cell r="K5073" t="str">
            <v>PCOQ</v>
          </cell>
          <cell r="AB5073" t="str">
            <v>R- ovary/ uterus</v>
          </cell>
        </row>
        <row r="5074">
          <cell r="A5074" t="str">
            <v>in storage</v>
          </cell>
          <cell r="K5074" t="str">
            <v>PCOQ</v>
          </cell>
          <cell r="AB5074" t="str">
            <v>Liver</v>
          </cell>
        </row>
        <row r="5075">
          <cell r="A5075" t="str">
            <v>in storage</v>
          </cell>
          <cell r="K5075" t="str">
            <v>LCAT</v>
          </cell>
          <cell r="AB5075" t="str">
            <v>GI- cecum</v>
          </cell>
        </row>
        <row r="5076">
          <cell r="A5076" t="str">
            <v>in storage</v>
          </cell>
          <cell r="K5076" t="str">
            <v>LCAT</v>
          </cell>
          <cell r="AB5076" t="str">
            <v>GI Contents- appendix</v>
          </cell>
        </row>
        <row r="5077">
          <cell r="A5077" t="str">
            <v>in storage</v>
          </cell>
          <cell r="K5077" t="str">
            <v>LCAT</v>
          </cell>
          <cell r="AB5077" t="str">
            <v>GI Contents- large intestine</v>
          </cell>
        </row>
        <row r="5078">
          <cell r="A5078" t="str">
            <v>in storage</v>
          </cell>
          <cell r="K5078" t="str">
            <v>PCOQ</v>
          </cell>
          <cell r="AB5078" t="str">
            <v>Kidney</v>
          </cell>
        </row>
        <row r="5079">
          <cell r="A5079" t="str">
            <v>in storage</v>
          </cell>
          <cell r="K5079" t="str">
            <v>PCOQ</v>
          </cell>
          <cell r="AB5079" t="str">
            <v>Kidney</v>
          </cell>
        </row>
        <row r="5080">
          <cell r="A5080" t="str">
            <v>in storage</v>
          </cell>
          <cell r="K5080" t="str">
            <v>PCOQ</v>
          </cell>
          <cell r="AB5080" t="str">
            <v>Spleen</v>
          </cell>
        </row>
        <row r="5081">
          <cell r="A5081" t="str">
            <v>in storage</v>
          </cell>
          <cell r="K5081" t="str">
            <v>PCOQ</v>
          </cell>
          <cell r="AB5081" t="str">
            <v>Thyroid</v>
          </cell>
        </row>
        <row r="5082">
          <cell r="A5082" t="str">
            <v>in storage</v>
          </cell>
          <cell r="K5082" t="str">
            <v>PCOQ</v>
          </cell>
          <cell r="AB5082" t="str">
            <v>Lung</v>
          </cell>
        </row>
        <row r="5083">
          <cell r="A5083" t="str">
            <v>in storage</v>
          </cell>
          <cell r="K5083" t="str">
            <v>PCOQ</v>
          </cell>
          <cell r="AB5083" t="str">
            <v>Lung</v>
          </cell>
        </row>
        <row r="5084">
          <cell r="A5084" t="str">
            <v>in storage</v>
          </cell>
          <cell r="K5084" t="str">
            <v>LCAT</v>
          </cell>
          <cell r="AB5084" t="str">
            <v>R- seminal vessicle</v>
          </cell>
        </row>
        <row r="5085">
          <cell r="A5085" t="str">
            <v>gone</v>
          </cell>
          <cell r="K5085" t="str">
            <v>LCAT</v>
          </cell>
          <cell r="AB5085" t="str">
            <v>Liver</v>
          </cell>
        </row>
        <row r="5086">
          <cell r="A5086" t="str">
            <v>in storage</v>
          </cell>
          <cell r="K5086" t="str">
            <v>LCAT</v>
          </cell>
          <cell r="AB5086" t="str">
            <v>Lung</v>
          </cell>
        </row>
        <row r="5087">
          <cell r="A5087" t="str">
            <v>in storage</v>
          </cell>
          <cell r="K5087" t="str">
            <v>LCAT</v>
          </cell>
          <cell r="AB5087" t="str">
            <v>Liver</v>
          </cell>
        </row>
        <row r="5088">
          <cell r="A5088" t="str">
            <v>in storage</v>
          </cell>
          <cell r="K5088" t="str">
            <v>LCAT</v>
          </cell>
          <cell r="AB5088" t="str">
            <v>Skin</v>
          </cell>
        </row>
        <row r="5089">
          <cell r="A5089" t="str">
            <v>in storage</v>
          </cell>
          <cell r="K5089" t="str">
            <v>LCAT</v>
          </cell>
          <cell r="AB5089" t="str">
            <v>Adrenal gland</v>
          </cell>
        </row>
        <row r="5090">
          <cell r="A5090" t="str">
            <v>in storage</v>
          </cell>
          <cell r="K5090" t="str">
            <v>LCAT</v>
          </cell>
          <cell r="AB5090" t="str">
            <v>Adrenal gland</v>
          </cell>
        </row>
        <row r="5091">
          <cell r="A5091" t="str">
            <v>in storage</v>
          </cell>
          <cell r="K5091" t="str">
            <v>LCAT</v>
          </cell>
          <cell r="AB5091" t="str">
            <v>Liver</v>
          </cell>
        </row>
        <row r="5092">
          <cell r="A5092" t="str">
            <v>in storage</v>
          </cell>
          <cell r="K5092" t="str">
            <v>LCAT</v>
          </cell>
          <cell r="AB5092" t="str">
            <v>Liver</v>
          </cell>
        </row>
        <row r="5093">
          <cell r="A5093" t="str">
            <v>in storage</v>
          </cell>
          <cell r="K5093" t="str">
            <v>LCAT</v>
          </cell>
          <cell r="AB5093" t="str">
            <v>Lung</v>
          </cell>
        </row>
        <row r="5094">
          <cell r="A5094" t="str">
            <v>in storage</v>
          </cell>
          <cell r="K5094" t="str">
            <v>LCAT</v>
          </cell>
          <cell r="AB5094" t="str">
            <v>Pancreas</v>
          </cell>
        </row>
        <row r="5095">
          <cell r="A5095" t="str">
            <v>in storage</v>
          </cell>
          <cell r="K5095" t="str">
            <v>LCAT</v>
          </cell>
          <cell r="AB5095" t="str">
            <v>Spleen</v>
          </cell>
        </row>
        <row r="5096">
          <cell r="A5096" t="str">
            <v>in storage</v>
          </cell>
          <cell r="K5096" t="str">
            <v>LCAT</v>
          </cell>
          <cell r="AB5096" t="str">
            <v>Lung</v>
          </cell>
        </row>
        <row r="5097">
          <cell r="A5097" t="str">
            <v>gone</v>
          </cell>
          <cell r="K5097" t="str">
            <v>LCAT</v>
          </cell>
          <cell r="AB5097" t="str">
            <v>Spleen</v>
          </cell>
        </row>
        <row r="5098">
          <cell r="A5098" t="str">
            <v>in storage</v>
          </cell>
          <cell r="K5098" t="str">
            <v>LCAT</v>
          </cell>
          <cell r="AB5098" t="str">
            <v>Lung</v>
          </cell>
        </row>
        <row r="5099">
          <cell r="A5099" t="str">
            <v>in storage</v>
          </cell>
          <cell r="K5099" t="str">
            <v>LCAT</v>
          </cell>
          <cell r="AB5099" t="str">
            <v>Kidney</v>
          </cell>
        </row>
        <row r="5100">
          <cell r="A5100" t="str">
            <v>gone</v>
          </cell>
          <cell r="K5100" t="str">
            <v>LCAT</v>
          </cell>
          <cell r="AB5100" t="str">
            <v>Kidney</v>
          </cell>
        </row>
        <row r="5101">
          <cell r="A5101" t="str">
            <v>in storage</v>
          </cell>
          <cell r="K5101" t="str">
            <v>LCAT</v>
          </cell>
          <cell r="AB5101" t="str">
            <v>Pancreas</v>
          </cell>
        </row>
        <row r="5102">
          <cell r="A5102" t="str">
            <v>in storage</v>
          </cell>
          <cell r="K5102" t="str">
            <v>LCAT</v>
          </cell>
          <cell r="AB5102" t="str">
            <v>Kidney</v>
          </cell>
        </row>
        <row r="5103">
          <cell r="A5103" t="str">
            <v>in storage</v>
          </cell>
          <cell r="K5103" t="str">
            <v>LCAT</v>
          </cell>
          <cell r="AB5103" t="str">
            <v>Eye</v>
          </cell>
        </row>
        <row r="5104">
          <cell r="A5104" t="str">
            <v>in storage</v>
          </cell>
          <cell r="K5104" t="str">
            <v>LCAT</v>
          </cell>
          <cell r="AB5104" t="str">
            <v>Eye</v>
          </cell>
        </row>
        <row r="5105">
          <cell r="A5105" t="str">
            <v>in storage</v>
          </cell>
          <cell r="K5105" t="str">
            <v>LCAT</v>
          </cell>
          <cell r="AB5105" t="str">
            <v>VNO</v>
          </cell>
        </row>
        <row r="5106">
          <cell r="A5106" t="str">
            <v>in storage</v>
          </cell>
          <cell r="K5106" t="str">
            <v>LCAT</v>
          </cell>
          <cell r="AB5106" t="str">
            <v>Skin</v>
          </cell>
        </row>
        <row r="5107">
          <cell r="A5107" t="str">
            <v>in storage</v>
          </cell>
          <cell r="K5107" t="str">
            <v>LCAT</v>
          </cell>
          <cell r="AB5107" t="str">
            <v>Skin</v>
          </cell>
        </row>
        <row r="5108">
          <cell r="A5108" t="str">
            <v>in storage</v>
          </cell>
          <cell r="K5108" t="str">
            <v>LCAT</v>
          </cell>
          <cell r="AB5108" t="str">
            <v>Skin</v>
          </cell>
        </row>
        <row r="5109">
          <cell r="A5109" t="str">
            <v>in storage</v>
          </cell>
          <cell r="K5109" t="str">
            <v>LCAT</v>
          </cell>
          <cell r="AB5109" t="str">
            <v>Kidney</v>
          </cell>
        </row>
        <row r="5110">
          <cell r="A5110" t="str">
            <v>in storage</v>
          </cell>
          <cell r="K5110" t="str">
            <v>LCAT</v>
          </cell>
          <cell r="AB5110" t="str">
            <v>R- teste(s)</v>
          </cell>
        </row>
        <row r="5111">
          <cell r="A5111" t="str">
            <v>in storage</v>
          </cell>
          <cell r="K5111" t="str">
            <v>LCAT</v>
          </cell>
          <cell r="AB5111" t="str">
            <v>Muscle</v>
          </cell>
        </row>
        <row r="5112">
          <cell r="A5112" t="str">
            <v>in storage</v>
          </cell>
          <cell r="K5112" t="str">
            <v>LCAT</v>
          </cell>
          <cell r="AB5112" t="str">
            <v>Muscle</v>
          </cell>
        </row>
        <row r="5113">
          <cell r="A5113" t="str">
            <v>in storage</v>
          </cell>
          <cell r="K5113" t="str">
            <v>LCAT</v>
          </cell>
          <cell r="AB5113" t="str">
            <v>Muscle</v>
          </cell>
        </row>
        <row r="5114">
          <cell r="A5114" t="str">
            <v>in storage</v>
          </cell>
          <cell r="K5114" t="str">
            <v>LCAT</v>
          </cell>
          <cell r="AB5114" t="str">
            <v>Muscle</v>
          </cell>
        </row>
        <row r="5115">
          <cell r="A5115" t="str">
            <v>in storage</v>
          </cell>
          <cell r="K5115" t="str">
            <v>ECOR</v>
          </cell>
          <cell r="AB5115" t="str">
            <v>Mass- uterine</v>
          </cell>
        </row>
        <row r="5116">
          <cell r="A5116" t="str">
            <v>on hold</v>
          </cell>
          <cell r="K5116" t="str">
            <v>PCOQ</v>
          </cell>
          <cell r="AB5116" t="str">
            <v>R- sperm plug</v>
          </cell>
        </row>
        <row r="5117">
          <cell r="A5117" t="str">
            <v>in storage</v>
          </cell>
          <cell r="K5117" t="str">
            <v>PCOQ</v>
          </cell>
          <cell r="AB5117" t="str">
            <v>Liver</v>
          </cell>
        </row>
        <row r="5118">
          <cell r="A5118" t="str">
            <v>in storage</v>
          </cell>
          <cell r="K5118" t="str">
            <v>PCOQ</v>
          </cell>
          <cell r="AB5118" t="str">
            <v>Kidney</v>
          </cell>
        </row>
        <row r="5119">
          <cell r="A5119" t="str">
            <v>in storage</v>
          </cell>
          <cell r="K5119" t="str">
            <v>PCOQ</v>
          </cell>
          <cell r="AB5119" t="str">
            <v>Spleen</v>
          </cell>
        </row>
        <row r="5120">
          <cell r="A5120" t="str">
            <v>in storage</v>
          </cell>
          <cell r="K5120" t="str">
            <v>PCOQ</v>
          </cell>
          <cell r="AB5120" t="str">
            <v>Heart</v>
          </cell>
        </row>
        <row r="5121">
          <cell r="A5121" t="str">
            <v>in storage</v>
          </cell>
          <cell r="K5121" t="str">
            <v>PCOQ</v>
          </cell>
          <cell r="AB5121" t="str">
            <v>Lung</v>
          </cell>
        </row>
        <row r="5122">
          <cell r="A5122" t="str">
            <v>in storage</v>
          </cell>
          <cell r="K5122" t="str">
            <v>PCOQ</v>
          </cell>
          <cell r="AB5122" t="str">
            <v>Lung</v>
          </cell>
        </row>
        <row r="5123">
          <cell r="A5123" t="str">
            <v>in storage</v>
          </cell>
          <cell r="K5123" t="str">
            <v>PCOQ</v>
          </cell>
          <cell r="AB5123" t="str">
            <v>R- teste(s)</v>
          </cell>
        </row>
        <row r="5124">
          <cell r="A5124" t="str">
            <v>in storage</v>
          </cell>
          <cell r="K5124" t="str">
            <v>VRUB</v>
          </cell>
          <cell r="AB5124" t="str">
            <v>Mass- liver</v>
          </cell>
        </row>
        <row r="5125">
          <cell r="A5125" t="str">
            <v>in storage</v>
          </cell>
          <cell r="K5125" t="str">
            <v>VRUB</v>
          </cell>
          <cell r="AB5125" t="str">
            <v>R- ovary</v>
          </cell>
        </row>
        <row r="5126">
          <cell r="A5126" t="str">
            <v>in storage</v>
          </cell>
          <cell r="K5126" t="str">
            <v>VRUB</v>
          </cell>
          <cell r="AB5126" t="str">
            <v>Liver</v>
          </cell>
        </row>
        <row r="5127">
          <cell r="A5127" t="str">
            <v>in storage</v>
          </cell>
          <cell r="K5127" t="str">
            <v>VRUB</v>
          </cell>
          <cell r="AB5127" t="str">
            <v>Liver</v>
          </cell>
        </row>
        <row r="5128">
          <cell r="A5128" t="str">
            <v>in storage</v>
          </cell>
          <cell r="K5128" t="str">
            <v>VRUB</v>
          </cell>
          <cell r="AB5128" t="str">
            <v>Liver</v>
          </cell>
        </row>
        <row r="5129">
          <cell r="A5129" t="str">
            <v>in storage</v>
          </cell>
          <cell r="K5129" t="str">
            <v>LCAT</v>
          </cell>
          <cell r="AB5129" t="str">
            <v>GI- esophagus</v>
          </cell>
        </row>
        <row r="5130">
          <cell r="A5130" t="str">
            <v>in storage</v>
          </cell>
          <cell r="K5130" t="str">
            <v>VRUB</v>
          </cell>
          <cell r="AB5130" t="str">
            <v>Kidney</v>
          </cell>
        </row>
        <row r="5131">
          <cell r="A5131" t="str">
            <v>in storage</v>
          </cell>
          <cell r="K5131" t="str">
            <v>VRUB</v>
          </cell>
          <cell r="AB5131" t="str">
            <v>Lung</v>
          </cell>
        </row>
        <row r="5132">
          <cell r="A5132" t="str">
            <v>in storage</v>
          </cell>
          <cell r="K5132" t="str">
            <v>VRUB</v>
          </cell>
          <cell r="AB5132" t="str">
            <v>Heart</v>
          </cell>
        </row>
        <row r="5133">
          <cell r="A5133" t="str">
            <v>in storage</v>
          </cell>
          <cell r="K5133" t="str">
            <v>VRUB</v>
          </cell>
          <cell r="AB5133" t="str">
            <v>Lung</v>
          </cell>
        </row>
        <row r="5134">
          <cell r="A5134" t="str">
            <v>in storage</v>
          </cell>
          <cell r="K5134" t="str">
            <v>VRUB</v>
          </cell>
          <cell r="AB5134" t="str">
            <v>Heart</v>
          </cell>
        </row>
        <row r="5135">
          <cell r="A5135" t="str">
            <v>in storage</v>
          </cell>
          <cell r="K5135" t="str">
            <v>VRUB</v>
          </cell>
          <cell r="AB5135" t="str">
            <v>Spleen</v>
          </cell>
        </row>
        <row r="5136">
          <cell r="A5136" t="str">
            <v>in storage</v>
          </cell>
          <cell r="K5136" t="str">
            <v>VRUB</v>
          </cell>
          <cell r="AB5136" t="str">
            <v>Kidney</v>
          </cell>
        </row>
        <row r="5137">
          <cell r="A5137" t="str">
            <v>in storage</v>
          </cell>
          <cell r="K5137" t="str">
            <v>VRUB</v>
          </cell>
          <cell r="AB5137" t="str">
            <v>Spleen</v>
          </cell>
        </row>
        <row r="5138">
          <cell r="A5138" t="str">
            <v>in storage</v>
          </cell>
          <cell r="K5138" t="str">
            <v>VRUB</v>
          </cell>
          <cell r="AB5138" t="str">
            <v>Heart</v>
          </cell>
        </row>
        <row r="5139">
          <cell r="A5139" t="str">
            <v>in storage</v>
          </cell>
          <cell r="K5139" t="str">
            <v>VRUB</v>
          </cell>
          <cell r="AB5139" t="str">
            <v>Lung</v>
          </cell>
        </row>
        <row r="5140">
          <cell r="A5140" t="str">
            <v>in storage</v>
          </cell>
          <cell r="K5140" t="str">
            <v>VRUB</v>
          </cell>
          <cell r="AB5140" t="str">
            <v>Spleen</v>
          </cell>
        </row>
        <row r="5141">
          <cell r="A5141" t="str">
            <v>in storage</v>
          </cell>
          <cell r="K5141" t="str">
            <v>VRUB</v>
          </cell>
          <cell r="AB5141" t="str">
            <v>Liver</v>
          </cell>
        </row>
        <row r="5142">
          <cell r="A5142" t="str">
            <v>in storage</v>
          </cell>
          <cell r="K5142" t="str">
            <v>VRUB</v>
          </cell>
          <cell r="AB5142" t="str">
            <v>Kidney</v>
          </cell>
        </row>
        <row r="5143">
          <cell r="A5143" t="str">
            <v>in storage</v>
          </cell>
          <cell r="K5143" t="str">
            <v>VRUB</v>
          </cell>
          <cell r="AB5143" t="str">
            <v>Kidney</v>
          </cell>
        </row>
        <row r="5144">
          <cell r="A5144" t="str">
            <v>in storage</v>
          </cell>
          <cell r="K5144" t="str">
            <v>VRUB</v>
          </cell>
          <cell r="AB5144" t="str">
            <v>VNO</v>
          </cell>
        </row>
        <row r="5145">
          <cell r="A5145" t="str">
            <v>in storage</v>
          </cell>
          <cell r="K5145" t="str">
            <v>VRUB</v>
          </cell>
          <cell r="AB5145" t="str">
            <v>Heart</v>
          </cell>
        </row>
        <row r="5146">
          <cell r="A5146" t="str">
            <v>in storage</v>
          </cell>
          <cell r="K5146" t="str">
            <v>VRUB</v>
          </cell>
          <cell r="AB5146" t="str">
            <v>Lung</v>
          </cell>
        </row>
        <row r="5147">
          <cell r="A5147" t="str">
            <v>unk</v>
          </cell>
          <cell r="K5147" t="str">
            <v>VRUB</v>
          </cell>
          <cell r="AB5147" t="str">
            <v>Kidney</v>
          </cell>
        </row>
        <row r="5148">
          <cell r="A5148" t="str">
            <v>in storage</v>
          </cell>
          <cell r="K5148" t="str">
            <v>VRUB</v>
          </cell>
          <cell r="AB5148" t="str">
            <v>Muscle</v>
          </cell>
        </row>
        <row r="5149">
          <cell r="A5149" t="str">
            <v>in storage</v>
          </cell>
          <cell r="K5149" t="str">
            <v>VRUB</v>
          </cell>
          <cell r="AB5149" t="str">
            <v>Muscle</v>
          </cell>
        </row>
        <row r="5150">
          <cell r="A5150" t="str">
            <v>in storage</v>
          </cell>
          <cell r="K5150" t="str">
            <v>VRUB</v>
          </cell>
          <cell r="AB5150" t="str">
            <v>Muscle</v>
          </cell>
        </row>
        <row r="5151">
          <cell r="A5151" t="str">
            <v>in storage</v>
          </cell>
          <cell r="K5151" t="str">
            <v>DMAD</v>
          </cell>
          <cell r="AB5151" t="str">
            <v>Muscle</v>
          </cell>
        </row>
        <row r="5152">
          <cell r="A5152" t="str">
            <v>in storage</v>
          </cell>
          <cell r="K5152" t="str">
            <v>DMAD</v>
          </cell>
          <cell r="AB5152" t="str">
            <v>Adrenal gland</v>
          </cell>
        </row>
        <row r="5153">
          <cell r="A5153" t="str">
            <v>in storage</v>
          </cell>
          <cell r="K5153" t="str">
            <v>DMAD</v>
          </cell>
          <cell r="AB5153" t="str">
            <v>Adrenal gland</v>
          </cell>
        </row>
        <row r="5154">
          <cell r="A5154" t="str">
            <v>in storage</v>
          </cell>
          <cell r="K5154" t="str">
            <v>DMAD</v>
          </cell>
          <cell r="AB5154" t="str">
            <v>Liver</v>
          </cell>
        </row>
        <row r="5155">
          <cell r="A5155" t="str">
            <v>in storage</v>
          </cell>
          <cell r="K5155" t="str">
            <v>LCAT</v>
          </cell>
          <cell r="AB5155" t="str">
            <v>GI- large intestine</v>
          </cell>
        </row>
        <row r="5156">
          <cell r="A5156" t="str">
            <v>in storage</v>
          </cell>
          <cell r="K5156" t="str">
            <v>DMAD</v>
          </cell>
          <cell r="AB5156" t="str">
            <v>Pancreas</v>
          </cell>
        </row>
        <row r="5157">
          <cell r="A5157" t="str">
            <v>in storage</v>
          </cell>
          <cell r="K5157" t="str">
            <v>DMAD</v>
          </cell>
          <cell r="AB5157" t="str">
            <v>Kidney</v>
          </cell>
        </row>
        <row r="5158">
          <cell r="A5158" t="str">
            <v>in storage</v>
          </cell>
          <cell r="K5158" t="str">
            <v>DMAD</v>
          </cell>
          <cell r="AB5158" t="str">
            <v>Kidney</v>
          </cell>
        </row>
        <row r="5159">
          <cell r="A5159" t="str">
            <v>in storage</v>
          </cell>
          <cell r="K5159" t="str">
            <v>DMAD</v>
          </cell>
          <cell r="AB5159" t="str">
            <v>Spleen</v>
          </cell>
        </row>
        <row r="5160">
          <cell r="A5160" t="str">
            <v>in storage</v>
          </cell>
          <cell r="K5160" t="str">
            <v>DMAD</v>
          </cell>
          <cell r="AB5160" t="str">
            <v>Heart</v>
          </cell>
        </row>
        <row r="5161">
          <cell r="A5161" t="str">
            <v>in storage</v>
          </cell>
          <cell r="K5161" t="str">
            <v>DMAD</v>
          </cell>
          <cell r="AB5161" t="str">
            <v>Lung</v>
          </cell>
        </row>
        <row r="5162">
          <cell r="A5162" t="str">
            <v>in storage</v>
          </cell>
          <cell r="K5162" t="str">
            <v>DMAD</v>
          </cell>
          <cell r="AB5162" t="str">
            <v>Lung</v>
          </cell>
        </row>
        <row r="5163">
          <cell r="A5163" t="str">
            <v>in storage</v>
          </cell>
          <cell r="K5163" t="str">
            <v>DMAD</v>
          </cell>
          <cell r="AB5163" t="str">
            <v>Skin</v>
          </cell>
        </row>
        <row r="5164">
          <cell r="A5164" t="str">
            <v>in storage</v>
          </cell>
          <cell r="K5164" t="str">
            <v>DMAD</v>
          </cell>
          <cell r="AB5164" t="str">
            <v>R- teste(s)</v>
          </cell>
        </row>
        <row r="5165">
          <cell r="A5165" t="str">
            <v>in storage</v>
          </cell>
          <cell r="K5165" t="str">
            <v>LCAT</v>
          </cell>
          <cell r="AB5165" t="str">
            <v>GI- small intestine</v>
          </cell>
        </row>
        <row r="5166">
          <cell r="A5166" t="str">
            <v>in storage</v>
          </cell>
          <cell r="K5166" t="str">
            <v>PCOQ</v>
          </cell>
          <cell r="AB5166" t="str">
            <v>Liver</v>
          </cell>
        </row>
        <row r="5167">
          <cell r="A5167" t="str">
            <v>in storage</v>
          </cell>
          <cell r="K5167" t="str">
            <v>LCAT</v>
          </cell>
          <cell r="AB5167" t="str">
            <v>GI- stomach</v>
          </cell>
        </row>
        <row r="5168">
          <cell r="A5168" t="str">
            <v>in storage</v>
          </cell>
          <cell r="K5168" t="str">
            <v>LCAT</v>
          </cell>
          <cell r="AB5168" t="str">
            <v>GI Contents- duodenum</v>
          </cell>
        </row>
        <row r="5169">
          <cell r="A5169" t="str">
            <v>in storage</v>
          </cell>
          <cell r="K5169" t="str">
            <v>LCAT</v>
          </cell>
          <cell r="AB5169" t="str">
            <v>GI Contents- ileum</v>
          </cell>
        </row>
        <row r="5170">
          <cell r="A5170" t="str">
            <v>in storage</v>
          </cell>
          <cell r="K5170" t="str">
            <v>PCOQ</v>
          </cell>
          <cell r="AB5170" t="str">
            <v>Pancreas</v>
          </cell>
        </row>
        <row r="5171">
          <cell r="A5171" t="str">
            <v>in storage</v>
          </cell>
          <cell r="K5171" t="str">
            <v>PCOQ</v>
          </cell>
          <cell r="AB5171" t="str">
            <v>Kidney</v>
          </cell>
        </row>
        <row r="5172">
          <cell r="A5172" t="str">
            <v>in storage</v>
          </cell>
          <cell r="K5172" t="str">
            <v>PCOQ</v>
          </cell>
          <cell r="AB5172" t="str">
            <v>Spleen</v>
          </cell>
        </row>
        <row r="5173">
          <cell r="A5173" t="str">
            <v>in storage</v>
          </cell>
          <cell r="K5173" t="str">
            <v>PCOQ</v>
          </cell>
          <cell r="AB5173" t="str">
            <v>Heart</v>
          </cell>
        </row>
        <row r="5174">
          <cell r="A5174" t="str">
            <v>in storage</v>
          </cell>
          <cell r="K5174" t="str">
            <v>PCOQ</v>
          </cell>
          <cell r="AB5174" t="str">
            <v>Lung</v>
          </cell>
        </row>
        <row r="5175">
          <cell r="A5175" t="str">
            <v>in storage</v>
          </cell>
          <cell r="K5175" t="str">
            <v>PCOQ</v>
          </cell>
          <cell r="AB5175" t="str">
            <v>Lung</v>
          </cell>
        </row>
        <row r="5176">
          <cell r="A5176" t="str">
            <v>in storage</v>
          </cell>
          <cell r="K5176" t="str">
            <v>PCOQ</v>
          </cell>
          <cell r="AB5176" t="str">
            <v>pituitary gland</v>
          </cell>
        </row>
        <row r="5177">
          <cell r="A5177" t="str">
            <v>in storage</v>
          </cell>
          <cell r="K5177" t="str">
            <v>PCOQ</v>
          </cell>
          <cell r="AB5177" t="str">
            <v>Spleen</v>
          </cell>
        </row>
        <row r="5178">
          <cell r="A5178" t="str">
            <v>in storage</v>
          </cell>
          <cell r="K5178" t="str">
            <v>PCOQ</v>
          </cell>
          <cell r="AB5178" t="str">
            <v>Pancreas</v>
          </cell>
        </row>
        <row r="5179">
          <cell r="A5179" t="str">
            <v>in storage</v>
          </cell>
          <cell r="K5179" t="str">
            <v>PCOQ</v>
          </cell>
          <cell r="AB5179" t="str">
            <v>Liver</v>
          </cell>
        </row>
        <row r="5180">
          <cell r="A5180" t="str">
            <v>in storage</v>
          </cell>
          <cell r="K5180" t="str">
            <v>PCOQ</v>
          </cell>
          <cell r="AB5180" t="str">
            <v>Liver</v>
          </cell>
        </row>
        <row r="5181">
          <cell r="A5181" t="str">
            <v>in storage</v>
          </cell>
          <cell r="K5181" t="str">
            <v>PCOQ</v>
          </cell>
          <cell r="AB5181" t="str">
            <v>Heart</v>
          </cell>
        </row>
        <row r="5182">
          <cell r="A5182" t="str">
            <v>in storage</v>
          </cell>
          <cell r="K5182" t="str">
            <v>PCOQ</v>
          </cell>
          <cell r="AB5182" t="str">
            <v>Adrenal gland</v>
          </cell>
        </row>
        <row r="5183">
          <cell r="A5183" t="str">
            <v>in storage</v>
          </cell>
          <cell r="K5183" t="str">
            <v>PCOQ</v>
          </cell>
          <cell r="AB5183" t="str">
            <v>Kidney</v>
          </cell>
        </row>
        <row r="5184">
          <cell r="A5184" t="str">
            <v>in storage</v>
          </cell>
          <cell r="K5184" t="str">
            <v>PCOQ</v>
          </cell>
          <cell r="AB5184" t="str">
            <v>Kidney</v>
          </cell>
        </row>
        <row r="5185">
          <cell r="A5185" t="str">
            <v>in storage</v>
          </cell>
          <cell r="K5185" t="str">
            <v>PCOQ</v>
          </cell>
          <cell r="AB5185" t="str">
            <v>Heart</v>
          </cell>
        </row>
        <row r="5186">
          <cell r="A5186" t="str">
            <v>in storage</v>
          </cell>
          <cell r="K5186" t="str">
            <v>PCOQ</v>
          </cell>
          <cell r="AB5186" t="str">
            <v>Heart</v>
          </cell>
        </row>
        <row r="5187">
          <cell r="A5187" t="str">
            <v>in storage</v>
          </cell>
          <cell r="K5187" t="str">
            <v>PCOQ</v>
          </cell>
          <cell r="AB5187" t="str">
            <v>Spleen</v>
          </cell>
        </row>
        <row r="5188">
          <cell r="A5188" t="str">
            <v>in storage</v>
          </cell>
          <cell r="K5188" t="str">
            <v>PCOQ</v>
          </cell>
          <cell r="AB5188" t="str">
            <v>Spleen</v>
          </cell>
        </row>
        <row r="5189">
          <cell r="A5189" t="str">
            <v>in storage</v>
          </cell>
          <cell r="K5189" t="str">
            <v>PCOQ</v>
          </cell>
          <cell r="AB5189" t="str">
            <v>Lung</v>
          </cell>
        </row>
        <row r="5190">
          <cell r="A5190" t="str">
            <v>in storage</v>
          </cell>
          <cell r="K5190" t="str">
            <v>PCOQ</v>
          </cell>
          <cell r="AB5190" t="str">
            <v>Kidney</v>
          </cell>
        </row>
        <row r="5191">
          <cell r="A5191" t="str">
            <v>in storage</v>
          </cell>
          <cell r="K5191" t="str">
            <v>PCOQ</v>
          </cell>
          <cell r="AB5191" t="str">
            <v>Lung</v>
          </cell>
        </row>
        <row r="5192">
          <cell r="A5192" t="str">
            <v>in storage</v>
          </cell>
          <cell r="K5192" t="str">
            <v>PCOQ</v>
          </cell>
          <cell r="AB5192" t="str">
            <v>Lung</v>
          </cell>
        </row>
        <row r="5193">
          <cell r="A5193" t="str">
            <v>in storage</v>
          </cell>
          <cell r="K5193" t="str">
            <v>PCOQ</v>
          </cell>
          <cell r="AB5193" t="str">
            <v>Liver</v>
          </cell>
        </row>
        <row r="5194">
          <cell r="A5194" t="str">
            <v>in storage</v>
          </cell>
          <cell r="K5194" t="str">
            <v>PCOQ</v>
          </cell>
          <cell r="AB5194" t="str">
            <v>Skin</v>
          </cell>
        </row>
        <row r="5195">
          <cell r="A5195" t="str">
            <v>in storage</v>
          </cell>
          <cell r="K5195" t="str">
            <v>PCOQ</v>
          </cell>
          <cell r="AB5195" t="str">
            <v>Skin</v>
          </cell>
        </row>
        <row r="5196">
          <cell r="A5196" t="str">
            <v>in storage</v>
          </cell>
          <cell r="K5196" t="str">
            <v>PCOQ</v>
          </cell>
          <cell r="AB5196" t="str">
            <v>Skin</v>
          </cell>
        </row>
        <row r="5197">
          <cell r="A5197" t="str">
            <v>in storage</v>
          </cell>
          <cell r="K5197" t="str">
            <v>PCOQ</v>
          </cell>
          <cell r="AB5197" t="str">
            <v>Liver</v>
          </cell>
        </row>
        <row r="5198">
          <cell r="A5198" t="str">
            <v>in storage</v>
          </cell>
          <cell r="K5198" t="str">
            <v>PCOQ</v>
          </cell>
          <cell r="AB5198" t="str">
            <v>Liver</v>
          </cell>
        </row>
        <row r="5199">
          <cell r="A5199" t="str">
            <v>in storage</v>
          </cell>
          <cell r="K5199" t="str">
            <v>PCOQ</v>
          </cell>
          <cell r="AB5199" t="str">
            <v>R- teste(s)</v>
          </cell>
        </row>
        <row r="5200">
          <cell r="A5200" t="str">
            <v>in storage</v>
          </cell>
          <cell r="K5200" t="str">
            <v>PCOQ</v>
          </cell>
          <cell r="AB5200" t="str">
            <v>Muscle</v>
          </cell>
        </row>
        <row r="5201">
          <cell r="A5201" t="str">
            <v>in storage</v>
          </cell>
          <cell r="K5201" t="str">
            <v>PCOQ</v>
          </cell>
          <cell r="AB5201" t="str">
            <v>Muscle</v>
          </cell>
        </row>
        <row r="5202">
          <cell r="A5202" t="str">
            <v>in storage</v>
          </cell>
          <cell r="K5202" t="str">
            <v>PCOQ</v>
          </cell>
          <cell r="AB5202" t="str">
            <v>Muscle</v>
          </cell>
        </row>
        <row r="5203">
          <cell r="A5203" t="str">
            <v>in storage</v>
          </cell>
          <cell r="K5203" t="str">
            <v>PCOQ</v>
          </cell>
          <cell r="AB5203" t="str">
            <v>Muscle</v>
          </cell>
        </row>
        <row r="5204">
          <cell r="A5204" t="str">
            <v>on hold</v>
          </cell>
          <cell r="K5204" t="str">
            <v>PCOQ</v>
          </cell>
          <cell r="AB5204" t="str">
            <v>R- sperm plug</v>
          </cell>
        </row>
        <row r="5205">
          <cell r="A5205" t="str">
            <v>in storage</v>
          </cell>
          <cell r="K5205" t="str">
            <v>DMAD</v>
          </cell>
          <cell r="AB5205" t="str">
            <v>Muscle</v>
          </cell>
        </row>
        <row r="5206">
          <cell r="A5206" t="str">
            <v>in storage</v>
          </cell>
          <cell r="K5206" t="str">
            <v>DMAD</v>
          </cell>
          <cell r="AB5206" t="str">
            <v>Muscle</v>
          </cell>
        </row>
        <row r="5207">
          <cell r="A5207" t="str">
            <v>in storage</v>
          </cell>
          <cell r="K5207" t="str">
            <v>DMAD</v>
          </cell>
          <cell r="AB5207" t="str">
            <v>Muscle</v>
          </cell>
        </row>
        <row r="5208">
          <cell r="A5208" t="str">
            <v>in storage</v>
          </cell>
          <cell r="K5208" t="str">
            <v>DMAD</v>
          </cell>
          <cell r="AB5208" t="str">
            <v>Muscle</v>
          </cell>
        </row>
        <row r="5209">
          <cell r="A5209" t="str">
            <v>in storage</v>
          </cell>
          <cell r="K5209" t="str">
            <v>DMAD</v>
          </cell>
          <cell r="AB5209" t="str">
            <v>Muscle</v>
          </cell>
        </row>
        <row r="5210">
          <cell r="A5210" t="str">
            <v>in storage</v>
          </cell>
          <cell r="K5210" t="str">
            <v>DMAD</v>
          </cell>
          <cell r="AB5210" t="str">
            <v>Muscle</v>
          </cell>
        </row>
        <row r="5211">
          <cell r="A5211" t="str">
            <v>unk</v>
          </cell>
          <cell r="K5211" t="str">
            <v>DMAD</v>
          </cell>
          <cell r="AB5211" t="str">
            <v>Muscle</v>
          </cell>
        </row>
        <row r="5212">
          <cell r="A5212" t="str">
            <v>in storage</v>
          </cell>
          <cell r="K5212" t="str">
            <v>LCAT</v>
          </cell>
          <cell r="AB5212" t="str">
            <v>GI Contents- stomach</v>
          </cell>
        </row>
        <row r="5213">
          <cell r="A5213" t="str">
            <v>in storage</v>
          </cell>
          <cell r="K5213" t="str">
            <v>LCAT</v>
          </cell>
          <cell r="AB5213" t="str">
            <v>GI- cecum</v>
          </cell>
        </row>
        <row r="5214">
          <cell r="A5214" t="str">
            <v>in storage</v>
          </cell>
          <cell r="K5214" t="str">
            <v>DMAD</v>
          </cell>
          <cell r="AB5214" t="str">
            <v>Kidney</v>
          </cell>
        </row>
        <row r="5215">
          <cell r="A5215" t="str">
            <v>in storage</v>
          </cell>
          <cell r="K5215" t="str">
            <v>DMAD</v>
          </cell>
          <cell r="AB5215" t="str">
            <v>Heart</v>
          </cell>
        </row>
        <row r="5216">
          <cell r="A5216" t="str">
            <v>in storage</v>
          </cell>
          <cell r="K5216" t="str">
            <v>DMAD</v>
          </cell>
          <cell r="AB5216" t="str">
            <v>Lung</v>
          </cell>
        </row>
        <row r="5217">
          <cell r="A5217" t="str">
            <v>in storage</v>
          </cell>
          <cell r="K5217" t="str">
            <v>DMAD</v>
          </cell>
          <cell r="AB5217" t="str">
            <v>Lung</v>
          </cell>
        </row>
        <row r="5218">
          <cell r="A5218" t="str">
            <v>in storage</v>
          </cell>
          <cell r="K5218" t="str">
            <v>DMAD</v>
          </cell>
          <cell r="AB5218" t="str">
            <v>Liver</v>
          </cell>
        </row>
        <row r="5219">
          <cell r="A5219" t="str">
            <v>in storage</v>
          </cell>
          <cell r="K5219" t="str">
            <v>DMAD</v>
          </cell>
          <cell r="AB5219" t="str">
            <v>pituitary gland</v>
          </cell>
        </row>
        <row r="5220">
          <cell r="A5220" t="str">
            <v>in storage</v>
          </cell>
          <cell r="K5220" t="str">
            <v>DMAD</v>
          </cell>
          <cell r="AB5220" t="str">
            <v>Kidney</v>
          </cell>
        </row>
        <row r="5221">
          <cell r="A5221" t="str">
            <v>in storage</v>
          </cell>
          <cell r="K5221" t="str">
            <v>DMAD</v>
          </cell>
          <cell r="AB5221" t="str">
            <v>Kidney</v>
          </cell>
        </row>
        <row r="5222">
          <cell r="A5222" t="str">
            <v>in storage</v>
          </cell>
          <cell r="K5222" t="str">
            <v>DMAD</v>
          </cell>
          <cell r="AB5222" t="str">
            <v>Heart</v>
          </cell>
        </row>
        <row r="5223">
          <cell r="A5223" t="str">
            <v>in storage</v>
          </cell>
          <cell r="K5223" t="str">
            <v>DMAD</v>
          </cell>
          <cell r="AB5223" t="str">
            <v>Heart</v>
          </cell>
        </row>
        <row r="5224">
          <cell r="A5224" t="str">
            <v>in storage</v>
          </cell>
          <cell r="K5224" t="str">
            <v>DMAD</v>
          </cell>
          <cell r="AB5224" t="str">
            <v>Heart</v>
          </cell>
        </row>
        <row r="5225">
          <cell r="A5225" t="str">
            <v>in storage</v>
          </cell>
          <cell r="K5225" t="str">
            <v>DMAD</v>
          </cell>
          <cell r="AB5225" t="str">
            <v>Adrenal gland</v>
          </cell>
        </row>
        <row r="5226">
          <cell r="A5226" t="str">
            <v>in storage</v>
          </cell>
          <cell r="K5226" t="str">
            <v>DMAD</v>
          </cell>
          <cell r="AB5226" t="str">
            <v>Liver</v>
          </cell>
        </row>
        <row r="5227">
          <cell r="A5227" t="str">
            <v>unk</v>
          </cell>
          <cell r="K5227" t="str">
            <v>DMAD</v>
          </cell>
          <cell r="AB5227" t="str">
            <v>Liver</v>
          </cell>
        </row>
        <row r="5228">
          <cell r="A5228" t="str">
            <v>in storage</v>
          </cell>
          <cell r="K5228" t="str">
            <v>DMAD</v>
          </cell>
          <cell r="AB5228" t="str">
            <v>Lung</v>
          </cell>
        </row>
        <row r="5229">
          <cell r="A5229" t="str">
            <v>in storage</v>
          </cell>
          <cell r="K5229" t="str">
            <v>DMAD</v>
          </cell>
          <cell r="AB5229" t="str">
            <v>Lung</v>
          </cell>
        </row>
        <row r="5230">
          <cell r="A5230" t="str">
            <v>in storage</v>
          </cell>
          <cell r="K5230" t="str">
            <v>DMAD</v>
          </cell>
          <cell r="AB5230" t="str">
            <v>Lung</v>
          </cell>
        </row>
        <row r="5231">
          <cell r="A5231" t="str">
            <v>in storage</v>
          </cell>
          <cell r="K5231" t="str">
            <v>DMAD</v>
          </cell>
          <cell r="AB5231" t="str">
            <v>Kidney</v>
          </cell>
        </row>
        <row r="5232">
          <cell r="A5232" t="str">
            <v>in storage</v>
          </cell>
          <cell r="K5232" t="str">
            <v>DMAD</v>
          </cell>
          <cell r="AB5232" t="str">
            <v>Kidney</v>
          </cell>
        </row>
        <row r="5233">
          <cell r="A5233" t="str">
            <v>in storage</v>
          </cell>
          <cell r="K5233" t="str">
            <v>DMAD</v>
          </cell>
          <cell r="AB5233" t="str">
            <v>Kidney</v>
          </cell>
        </row>
        <row r="5234">
          <cell r="A5234" t="str">
            <v>in storage</v>
          </cell>
          <cell r="K5234" t="str">
            <v>DMAD</v>
          </cell>
          <cell r="AB5234" t="str">
            <v>Spleen</v>
          </cell>
        </row>
        <row r="5235">
          <cell r="A5235" t="str">
            <v>in storage</v>
          </cell>
          <cell r="K5235" t="str">
            <v>DMAD</v>
          </cell>
          <cell r="AB5235" t="str">
            <v>Spleen</v>
          </cell>
        </row>
        <row r="5236">
          <cell r="A5236" t="str">
            <v>in storage</v>
          </cell>
          <cell r="K5236" t="str">
            <v>DMAD</v>
          </cell>
          <cell r="AB5236" t="str">
            <v>Spleen</v>
          </cell>
        </row>
        <row r="5237">
          <cell r="A5237" t="str">
            <v>in storage</v>
          </cell>
          <cell r="K5237" t="str">
            <v>DMAD</v>
          </cell>
          <cell r="AB5237" t="str">
            <v>VNO</v>
          </cell>
        </row>
        <row r="5238">
          <cell r="A5238" t="str">
            <v>in storage</v>
          </cell>
          <cell r="K5238" t="str">
            <v>DMAD</v>
          </cell>
          <cell r="AB5238" t="str">
            <v>Eye</v>
          </cell>
        </row>
        <row r="5239">
          <cell r="A5239" t="str">
            <v>in storage</v>
          </cell>
          <cell r="K5239" t="str">
            <v>DMAD</v>
          </cell>
          <cell r="AB5239" t="str">
            <v>Skin</v>
          </cell>
        </row>
        <row r="5240">
          <cell r="A5240" t="str">
            <v>in storage</v>
          </cell>
          <cell r="K5240" t="str">
            <v>DMAD</v>
          </cell>
          <cell r="AB5240" t="str">
            <v>Skin</v>
          </cell>
        </row>
        <row r="5241">
          <cell r="A5241" t="str">
            <v>in storage</v>
          </cell>
          <cell r="K5241" t="str">
            <v>DMAD</v>
          </cell>
          <cell r="AB5241" t="str">
            <v>Skin</v>
          </cell>
        </row>
        <row r="5242">
          <cell r="A5242" t="str">
            <v>in storage</v>
          </cell>
          <cell r="K5242" t="str">
            <v>DMAD</v>
          </cell>
          <cell r="AB5242" t="str">
            <v>Liver</v>
          </cell>
        </row>
        <row r="5243">
          <cell r="A5243" t="str">
            <v>in storage</v>
          </cell>
          <cell r="K5243" t="str">
            <v>DMAD</v>
          </cell>
          <cell r="AB5243" t="str">
            <v>Skin</v>
          </cell>
        </row>
        <row r="5244">
          <cell r="A5244" t="str">
            <v>in storage</v>
          </cell>
          <cell r="K5244" t="str">
            <v>DMAD</v>
          </cell>
          <cell r="AB5244" t="str">
            <v>R- teste(s)</v>
          </cell>
        </row>
        <row r="5245">
          <cell r="A5245" t="str">
            <v>in storage</v>
          </cell>
          <cell r="K5245" t="str">
            <v>DMAD</v>
          </cell>
          <cell r="AB5245" t="str">
            <v>R- teste(s)</v>
          </cell>
        </row>
        <row r="5246">
          <cell r="A5246" t="str">
            <v>in storage</v>
          </cell>
          <cell r="K5246" t="str">
            <v>LCAT</v>
          </cell>
          <cell r="AB5246" t="str">
            <v>GI- large intestine</v>
          </cell>
        </row>
        <row r="5247">
          <cell r="A5247" t="str">
            <v>in storage</v>
          </cell>
          <cell r="K5247" t="str">
            <v>MMUR</v>
          </cell>
          <cell r="AB5247" t="str">
            <v>R- ovary</v>
          </cell>
        </row>
        <row r="5248">
          <cell r="A5248" t="str">
            <v>in storage</v>
          </cell>
          <cell r="K5248" t="str">
            <v>MMUR</v>
          </cell>
          <cell r="AB5248" t="str">
            <v>Liver</v>
          </cell>
        </row>
        <row r="5249">
          <cell r="A5249" t="str">
            <v>in storage</v>
          </cell>
          <cell r="K5249" t="str">
            <v>LCAT</v>
          </cell>
          <cell r="AB5249" t="str">
            <v>GI- small intestine</v>
          </cell>
        </row>
        <row r="5250">
          <cell r="A5250" t="str">
            <v>in storage</v>
          </cell>
          <cell r="K5250" t="str">
            <v>LCAT</v>
          </cell>
          <cell r="AB5250" t="str">
            <v>GI- stomach</v>
          </cell>
        </row>
        <row r="5251">
          <cell r="A5251" t="str">
            <v>in storage</v>
          </cell>
          <cell r="K5251" t="str">
            <v>LCAT</v>
          </cell>
          <cell r="AB5251" t="str">
            <v>GI Contents- stomach</v>
          </cell>
        </row>
        <row r="5252">
          <cell r="A5252" t="str">
            <v>in storage</v>
          </cell>
          <cell r="K5252" t="str">
            <v>MMUR</v>
          </cell>
          <cell r="AB5252" t="str">
            <v>Skin</v>
          </cell>
        </row>
        <row r="5253">
          <cell r="A5253" t="str">
            <v>unk</v>
          </cell>
          <cell r="K5253" t="str">
            <v>MMUR</v>
          </cell>
          <cell r="AB5253" t="str">
            <v>Heart</v>
          </cell>
        </row>
        <row r="5254">
          <cell r="A5254" t="str">
            <v>in storage</v>
          </cell>
          <cell r="K5254" t="str">
            <v>MMUR</v>
          </cell>
          <cell r="AB5254" t="str">
            <v>Kidney</v>
          </cell>
        </row>
        <row r="5255">
          <cell r="A5255" t="str">
            <v>in storage</v>
          </cell>
          <cell r="K5255" t="str">
            <v>MMUR</v>
          </cell>
          <cell r="AB5255" t="str">
            <v>Kidney</v>
          </cell>
        </row>
        <row r="5256">
          <cell r="A5256" t="str">
            <v>in storage</v>
          </cell>
          <cell r="K5256" t="str">
            <v>MMUR</v>
          </cell>
          <cell r="AB5256" t="str">
            <v>Lung</v>
          </cell>
        </row>
        <row r="5257">
          <cell r="A5257" t="str">
            <v>in storage</v>
          </cell>
          <cell r="K5257" t="str">
            <v>MMUR</v>
          </cell>
          <cell r="AB5257" t="str">
            <v>Lung</v>
          </cell>
        </row>
        <row r="5258">
          <cell r="A5258" t="str">
            <v>in storage</v>
          </cell>
          <cell r="K5258" t="str">
            <v>MMUR</v>
          </cell>
          <cell r="AB5258" t="str">
            <v>Spleen</v>
          </cell>
        </row>
        <row r="5259">
          <cell r="A5259" t="str">
            <v>in storage</v>
          </cell>
          <cell r="K5259" t="str">
            <v>DMAD</v>
          </cell>
          <cell r="AB5259" t="str">
            <v>R- prostate</v>
          </cell>
        </row>
        <row r="5260">
          <cell r="A5260" t="str">
            <v>unk</v>
          </cell>
          <cell r="K5260" t="str">
            <v>LCAT</v>
          </cell>
          <cell r="AB5260" t="str">
            <v>GI- cecum</v>
          </cell>
        </row>
        <row r="5261">
          <cell r="A5261" t="str">
            <v>in storage</v>
          </cell>
          <cell r="K5261" t="str">
            <v>DMAD</v>
          </cell>
          <cell r="AB5261" t="str">
            <v>Liver</v>
          </cell>
        </row>
        <row r="5262">
          <cell r="A5262" t="str">
            <v>in storage</v>
          </cell>
          <cell r="K5262" t="str">
            <v>DMAD</v>
          </cell>
          <cell r="AB5262" t="str">
            <v>Pancreas</v>
          </cell>
        </row>
        <row r="5263">
          <cell r="A5263" t="str">
            <v>in storage</v>
          </cell>
          <cell r="K5263" t="str">
            <v>DMAD</v>
          </cell>
          <cell r="AB5263" t="str">
            <v>Kidney</v>
          </cell>
        </row>
        <row r="5264">
          <cell r="A5264" t="str">
            <v>in storage</v>
          </cell>
          <cell r="K5264" t="str">
            <v>DMAD</v>
          </cell>
          <cell r="AB5264" t="str">
            <v>Kidney</v>
          </cell>
        </row>
        <row r="5265">
          <cell r="A5265" t="str">
            <v>in storage</v>
          </cell>
          <cell r="K5265" t="str">
            <v>DMAD</v>
          </cell>
          <cell r="AB5265" t="str">
            <v>Heart</v>
          </cell>
        </row>
        <row r="5266">
          <cell r="A5266" t="str">
            <v>in storage</v>
          </cell>
          <cell r="K5266" t="str">
            <v>DMAD</v>
          </cell>
          <cell r="AB5266" t="str">
            <v>Lung</v>
          </cell>
        </row>
        <row r="5267">
          <cell r="A5267" t="str">
            <v>in storage</v>
          </cell>
          <cell r="K5267" t="str">
            <v>DMAD</v>
          </cell>
          <cell r="AB5267" t="str">
            <v>Lung</v>
          </cell>
        </row>
        <row r="5268">
          <cell r="A5268" t="str">
            <v>in storage</v>
          </cell>
          <cell r="K5268" t="str">
            <v>DMAD</v>
          </cell>
          <cell r="AB5268" t="str">
            <v>Liver</v>
          </cell>
        </row>
        <row r="5269">
          <cell r="A5269" t="str">
            <v>in storage</v>
          </cell>
          <cell r="K5269" t="str">
            <v>DMAD</v>
          </cell>
          <cell r="AB5269" t="str">
            <v>Lung</v>
          </cell>
        </row>
        <row r="5270">
          <cell r="A5270" t="str">
            <v>in storage</v>
          </cell>
          <cell r="K5270" t="str">
            <v>DMAD</v>
          </cell>
          <cell r="AB5270" t="str">
            <v>Lung</v>
          </cell>
        </row>
        <row r="5271">
          <cell r="A5271" t="str">
            <v>in storage</v>
          </cell>
          <cell r="K5271" t="str">
            <v>DMAD</v>
          </cell>
          <cell r="AB5271" t="str">
            <v>Lung</v>
          </cell>
        </row>
        <row r="5272">
          <cell r="A5272" t="str">
            <v>in storage</v>
          </cell>
          <cell r="K5272" t="str">
            <v>DMAD</v>
          </cell>
          <cell r="AB5272" t="str">
            <v>Lung</v>
          </cell>
        </row>
        <row r="5273">
          <cell r="A5273" t="str">
            <v>in storage</v>
          </cell>
          <cell r="K5273" t="str">
            <v>DMAD</v>
          </cell>
          <cell r="AB5273" t="str">
            <v>Lung</v>
          </cell>
        </row>
        <row r="5274">
          <cell r="A5274" t="str">
            <v>in storage</v>
          </cell>
          <cell r="K5274" t="str">
            <v>DMAD</v>
          </cell>
          <cell r="AB5274" t="str">
            <v>Heart</v>
          </cell>
        </row>
        <row r="5275">
          <cell r="A5275" t="str">
            <v>in storage</v>
          </cell>
          <cell r="K5275" t="str">
            <v>DMAD</v>
          </cell>
          <cell r="AB5275" t="str">
            <v>Heart</v>
          </cell>
        </row>
        <row r="5276">
          <cell r="A5276" t="str">
            <v>in storage</v>
          </cell>
          <cell r="K5276" t="str">
            <v>DMAD</v>
          </cell>
          <cell r="AB5276" t="str">
            <v>Heart</v>
          </cell>
        </row>
        <row r="5277">
          <cell r="A5277" t="str">
            <v>in storage</v>
          </cell>
          <cell r="K5277" t="str">
            <v>DMAD</v>
          </cell>
          <cell r="AB5277" t="str">
            <v>Liver</v>
          </cell>
        </row>
        <row r="5278">
          <cell r="A5278" t="str">
            <v>in storage</v>
          </cell>
          <cell r="K5278" t="str">
            <v>DMAD</v>
          </cell>
          <cell r="AB5278" t="str">
            <v>Pancreas</v>
          </cell>
        </row>
        <row r="5279">
          <cell r="A5279" t="str">
            <v>in storage</v>
          </cell>
          <cell r="K5279" t="str">
            <v>DMAD</v>
          </cell>
          <cell r="AB5279" t="str">
            <v>Kidney</v>
          </cell>
        </row>
        <row r="5280">
          <cell r="A5280" t="str">
            <v>in storage</v>
          </cell>
          <cell r="K5280" t="str">
            <v>DMAD</v>
          </cell>
          <cell r="AB5280" t="str">
            <v>Kidney</v>
          </cell>
        </row>
        <row r="5281">
          <cell r="A5281" t="str">
            <v>in storage</v>
          </cell>
          <cell r="K5281" t="str">
            <v>DMAD</v>
          </cell>
          <cell r="AB5281" t="str">
            <v>Kidney</v>
          </cell>
        </row>
        <row r="5282">
          <cell r="A5282" t="str">
            <v>in storage</v>
          </cell>
          <cell r="K5282" t="str">
            <v>DMAD</v>
          </cell>
          <cell r="AB5282" t="str">
            <v>Kidney</v>
          </cell>
        </row>
        <row r="5283">
          <cell r="A5283" t="str">
            <v>in storage</v>
          </cell>
          <cell r="K5283" t="str">
            <v>DMAD</v>
          </cell>
          <cell r="AB5283" t="str">
            <v>Kidney</v>
          </cell>
        </row>
        <row r="5284">
          <cell r="A5284" t="str">
            <v>in storage</v>
          </cell>
          <cell r="K5284" t="str">
            <v>DMAD</v>
          </cell>
          <cell r="AB5284" t="str">
            <v>Kidney</v>
          </cell>
        </row>
        <row r="5285">
          <cell r="A5285" t="str">
            <v>in storage</v>
          </cell>
          <cell r="K5285" t="str">
            <v>DMAD</v>
          </cell>
          <cell r="AB5285" t="str">
            <v>Adrenal gland</v>
          </cell>
        </row>
        <row r="5286">
          <cell r="A5286" t="str">
            <v>in storage</v>
          </cell>
          <cell r="K5286" t="str">
            <v>DMAD</v>
          </cell>
          <cell r="AB5286" t="str">
            <v>Adrenal gland</v>
          </cell>
        </row>
        <row r="5287">
          <cell r="A5287" t="str">
            <v>in storage</v>
          </cell>
          <cell r="K5287" t="str">
            <v>DMAD</v>
          </cell>
          <cell r="AB5287" t="str">
            <v>Pancreas</v>
          </cell>
        </row>
        <row r="5288">
          <cell r="A5288" t="str">
            <v>in storage</v>
          </cell>
          <cell r="K5288" t="str">
            <v>DMAD</v>
          </cell>
          <cell r="AB5288" t="str">
            <v>Pancreas</v>
          </cell>
        </row>
        <row r="5289">
          <cell r="A5289" t="str">
            <v>in storage</v>
          </cell>
          <cell r="K5289" t="str">
            <v>DMAD</v>
          </cell>
          <cell r="AB5289" t="str">
            <v>Spleen</v>
          </cell>
        </row>
        <row r="5290">
          <cell r="A5290" t="str">
            <v>in storage</v>
          </cell>
          <cell r="K5290" t="str">
            <v>DMAD</v>
          </cell>
          <cell r="AB5290" t="str">
            <v>Spleen</v>
          </cell>
        </row>
        <row r="5291">
          <cell r="A5291" t="str">
            <v>unk</v>
          </cell>
          <cell r="K5291" t="str">
            <v>DMAD</v>
          </cell>
          <cell r="AB5291" t="str">
            <v>Liver</v>
          </cell>
        </row>
        <row r="5292">
          <cell r="A5292" t="str">
            <v>in storage</v>
          </cell>
          <cell r="K5292" t="str">
            <v>DMAD</v>
          </cell>
          <cell r="AB5292" t="str">
            <v>Skin</v>
          </cell>
        </row>
        <row r="5293">
          <cell r="A5293" t="str">
            <v>unk</v>
          </cell>
          <cell r="K5293" t="str">
            <v>DMAD</v>
          </cell>
          <cell r="AB5293" t="str">
            <v>Spleen</v>
          </cell>
        </row>
        <row r="5294">
          <cell r="A5294" t="str">
            <v>in storage</v>
          </cell>
          <cell r="K5294" t="str">
            <v>DMAD</v>
          </cell>
          <cell r="AB5294" t="str">
            <v>Hair</v>
          </cell>
        </row>
        <row r="5295">
          <cell r="A5295" t="str">
            <v>in storage</v>
          </cell>
          <cell r="K5295" t="str">
            <v>DMAD</v>
          </cell>
          <cell r="AB5295" t="str">
            <v>R- teste(s)</v>
          </cell>
        </row>
        <row r="5296">
          <cell r="A5296" t="str">
            <v>in storage</v>
          </cell>
          <cell r="K5296" t="str">
            <v>DMAD</v>
          </cell>
          <cell r="AB5296" t="str">
            <v>R- teste(s)</v>
          </cell>
        </row>
        <row r="5297">
          <cell r="A5297" t="str">
            <v>in storage</v>
          </cell>
          <cell r="K5297" t="str">
            <v>LCAT</v>
          </cell>
          <cell r="AB5297" t="str">
            <v>GI- cecum</v>
          </cell>
        </row>
        <row r="5298">
          <cell r="A5298" t="str">
            <v>in storage</v>
          </cell>
          <cell r="K5298" t="str">
            <v>MMUR</v>
          </cell>
          <cell r="AB5298" t="str">
            <v>Muscle</v>
          </cell>
        </row>
        <row r="5299">
          <cell r="A5299" t="str">
            <v>in storage</v>
          </cell>
          <cell r="K5299" t="str">
            <v>DMAD</v>
          </cell>
          <cell r="AB5299" t="str">
            <v>Muscle</v>
          </cell>
        </row>
        <row r="5300">
          <cell r="A5300" t="str">
            <v>in storage</v>
          </cell>
          <cell r="K5300" t="str">
            <v>DMAD</v>
          </cell>
          <cell r="AB5300" t="str">
            <v>Muscle</v>
          </cell>
        </row>
        <row r="5301">
          <cell r="A5301" t="str">
            <v>in storage</v>
          </cell>
          <cell r="K5301" t="str">
            <v>DMAD</v>
          </cell>
          <cell r="AB5301" t="str">
            <v>Muscle</v>
          </cell>
        </row>
        <row r="5302">
          <cell r="A5302" t="str">
            <v>in storage</v>
          </cell>
          <cell r="K5302" t="str">
            <v>DMAD</v>
          </cell>
          <cell r="AB5302" t="str">
            <v>Muscle</v>
          </cell>
        </row>
        <row r="5303">
          <cell r="A5303" t="str">
            <v>in storage</v>
          </cell>
          <cell r="K5303" t="str">
            <v>DMAD</v>
          </cell>
          <cell r="AB5303" t="str">
            <v>R- ovary</v>
          </cell>
        </row>
        <row r="5304">
          <cell r="A5304" t="str">
            <v>unk</v>
          </cell>
          <cell r="K5304" t="str">
            <v>DMAD</v>
          </cell>
          <cell r="AB5304" t="str">
            <v>R- ovary</v>
          </cell>
        </row>
        <row r="5305">
          <cell r="A5305" t="str">
            <v>in storage</v>
          </cell>
          <cell r="K5305" t="str">
            <v>LCAT</v>
          </cell>
          <cell r="AB5305" t="str">
            <v>GI- large intestine</v>
          </cell>
        </row>
        <row r="5306">
          <cell r="A5306" t="str">
            <v>in storage</v>
          </cell>
          <cell r="K5306" t="str">
            <v>LCAT</v>
          </cell>
          <cell r="AB5306" t="str">
            <v>GI- small intestine</v>
          </cell>
        </row>
        <row r="5307">
          <cell r="A5307" t="str">
            <v>in storage</v>
          </cell>
          <cell r="K5307" t="str">
            <v>DMAD</v>
          </cell>
          <cell r="AB5307" t="str">
            <v>Liver</v>
          </cell>
        </row>
        <row r="5308">
          <cell r="A5308" t="str">
            <v>in storage</v>
          </cell>
          <cell r="K5308" t="str">
            <v>LCAT</v>
          </cell>
          <cell r="AB5308" t="str">
            <v>GI- stomach</v>
          </cell>
        </row>
        <row r="5309">
          <cell r="A5309" t="str">
            <v>unk</v>
          </cell>
          <cell r="K5309" t="str">
            <v>LCAT</v>
          </cell>
          <cell r="AB5309" t="str">
            <v>GI- large intestine</v>
          </cell>
        </row>
        <row r="5310">
          <cell r="A5310" t="str">
            <v>unk</v>
          </cell>
          <cell r="K5310" t="str">
            <v>LCAT</v>
          </cell>
          <cell r="AB5310" t="str">
            <v>GI- small intestine</v>
          </cell>
        </row>
        <row r="5311">
          <cell r="A5311" t="str">
            <v>in storage</v>
          </cell>
          <cell r="K5311" t="str">
            <v>DMAD</v>
          </cell>
          <cell r="AB5311" t="str">
            <v>Pyloris</v>
          </cell>
        </row>
        <row r="5312">
          <cell r="A5312" t="str">
            <v>in storage</v>
          </cell>
          <cell r="K5312" t="str">
            <v>DMAD</v>
          </cell>
          <cell r="AB5312" t="str">
            <v>Kidney</v>
          </cell>
        </row>
        <row r="5313">
          <cell r="A5313" t="str">
            <v>in storage</v>
          </cell>
          <cell r="K5313" t="str">
            <v>DMAD</v>
          </cell>
          <cell r="AB5313" t="str">
            <v>Liver</v>
          </cell>
        </row>
        <row r="5314">
          <cell r="A5314" t="str">
            <v>in storage</v>
          </cell>
          <cell r="K5314" t="str">
            <v>DMAD</v>
          </cell>
          <cell r="AB5314" t="str">
            <v>Liver</v>
          </cell>
        </row>
        <row r="5315">
          <cell r="A5315" t="str">
            <v>in storage</v>
          </cell>
          <cell r="K5315" t="str">
            <v>DMAD</v>
          </cell>
          <cell r="AB5315" t="str">
            <v>Lung</v>
          </cell>
        </row>
        <row r="5316">
          <cell r="A5316" t="str">
            <v>in storage</v>
          </cell>
          <cell r="K5316" t="str">
            <v>DMAD</v>
          </cell>
          <cell r="AB5316" t="str">
            <v>Lung</v>
          </cell>
        </row>
        <row r="5317">
          <cell r="A5317" t="str">
            <v>in storage</v>
          </cell>
          <cell r="K5317" t="str">
            <v>DMAD</v>
          </cell>
          <cell r="AB5317" t="str">
            <v>Lung</v>
          </cell>
        </row>
        <row r="5318">
          <cell r="A5318" t="str">
            <v>in storage</v>
          </cell>
          <cell r="K5318" t="str">
            <v>DMAD</v>
          </cell>
          <cell r="AB5318" t="str">
            <v>Pancreas</v>
          </cell>
        </row>
        <row r="5319">
          <cell r="A5319" t="str">
            <v>in storage</v>
          </cell>
          <cell r="K5319" t="str">
            <v>DMAD</v>
          </cell>
          <cell r="AB5319" t="str">
            <v>Pancreas</v>
          </cell>
        </row>
        <row r="5320">
          <cell r="A5320" t="str">
            <v>in storage</v>
          </cell>
          <cell r="K5320" t="str">
            <v>DMAD</v>
          </cell>
          <cell r="AB5320" t="str">
            <v>Kidney</v>
          </cell>
        </row>
        <row r="5321">
          <cell r="A5321" t="str">
            <v>in storage</v>
          </cell>
          <cell r="K5321" t="str">
            <v>DMAD</v>
          </cell>
          <cell r="AB5321" t="str">
            <v>Gallbladder/ liver</v>
          </cell>
        </row>
        <row r="5322">
          <cell r="A5322" t="str">
            <v>in storage</v>
          </cell>
          <cell r="K5322" t="str">
            <v>DMAD</v>
          </cell>
          <cell r="AB5322" t="str">
            <v>Spleen</v>
          </cell>
        </row>
        <row r="5323">
          <cell r="A5323" t="str">
            <v>in storage</v>
          </cell>
          <cell r="K5323" t="str">
            <v>DMAD</v>
          </cell>
          <cell r="AB5323" t="str">
            <v>Kidney</v>
          </cell>
        </row>
        <row r="5324">
          <cell r="A5324" t="str">
            <v>in storage</v>
          </cell>
          <cell r="K5324" t="str">
            <v>DMAD</v>
          </cell>
          <cell r="AB5324" t="str">
            <v>Heart</v>
          </cell>
        </row>
        <row r="5325">
          <cell r="A5325" t="str">
            <v>in storage</v>
          </cell>
          <cell r="K5325" t="str">
            <v>DMAD</v>
          </cell>
          <cell r="AB5325" t="str">
            <v>Lung</v>
          </cell>
        </row>
        <row r="5326">
          <cell r="A5326" t="str">
            <v>in storage</v>
          </cell>
          <cell r="K5326" t="str">
            <v>DMAD</v>
          </cell>
          <cell r="AB5326" t="str">
            <v>Hair</v>
          </cell>
        </row>
        <row r="5327">
          <cell r="A5327" t="str">
            <v>in storage</v>
          </cell>
          <cell r="K5327" t="str">
            <v>DMAD</v>
          </cell>
          <cell r="AB5327" t="str">
            <v>Skin</v>
          </cell>
        </row>
        <row r="5328">
          <cell r="A5328" t="str">
            <v>unk</v>
          </cell>
          <cell r="K5328" t="str">
            <v>DMAD</v>
          </cell>
          <cell r="AB5328" t="str">
            <v>Lung</v>
          </cell>
        </row>
        <row r="5329">
          <cell r="A5329" t="str">
            <v>unk</v>
          </cell>
          <cell r="K5329" t="str">
            <v>DMAD</v>
          </cell>
          <cell r="AB5329" t="str">
            <v>Lung</v>
          </cell>
        </row>
        <row r="5330">
          <cell r="A5330" t="str">
            <v>unk</v>
          </cell>
          <cell r="K5330" t="str">
            <v>DMAD</v>
          </cell>
          <cell r="AB5330" t="str">
            <v>Lung</v>
          </cell>
        </row>
        <row r="5331">
          <cell r="A5331" t="str">
            <v>in storage</v>
          </cell>
          <cell r="K5331" t="str">
            <v>DMAD</v>
          </cell>
          <cell r="AB5331" t="str">
            <v>Lymph node</v>
          </cell>
        </row>
        <row r="5332">
          <cell r="A5332" t="str">
            <v>unk</v>
          </cell>
          <cell r="K5332" t="str">
            <v>DMAD</v>
          </cell>
          <cell r="AB5332" t="str">
            <v>Lymph node</v>
          </cell>
        </row>
        <row r="5333">
          <cell r="A5333" t="str">
            <v>in storage</v>
          </cell>
          <cell r="K5333" t="str">
            <v>DMAD</v>
          </cell>
          <cell r="AB5333" t="str">
            <v>Lymph node</v>
          </cell>
        </row>
        <row r="5334">
          <cell r="A5334" t="str">
            <v>unk</v>
          </cell>
          <cell r="K5334" t="str">
            <v>LCAT</v>
          </cell>
          <cell r="AB5334" t="str">
            <v>GI- stomach</v>
          </cell>
        </row>
        <row r="5335">
          <cell r="A5335" t="str">
            <v>in storage</v>
          </cell>
          <cell r="K5335" t="str">
            <v>LCAT</v>
          </cell>
          <cell r="AB5335" t="str">
            <v>GI- cecum</v>
          </cell>
        </row>
        <row r="5336">
          <cell r="A5336" t="str">
            <v>in storage</v>
          </cell>
          <cell r="K5336" t="str">
            <v>LCAT</v>
          </cell>
          <cell r="AB5336" t="str">
            <v>GI- large intestine</v>
          </cell>
        </row>
        <row r="5337">
          <cell r="A5337" t="str">
            <v>in storage</v>
          </cell>
          <cell r="K5337" t="str">
            <v>LCAT</v>
          </cell>
          <cell r="AB5337" t="str">
            <v>GI- small intestine</v>
          </cell>
        </row>
        <row r="5338">
          <cell r="A5338" t="str">
            <v>in storage</v>
          </cell>
          <cell r="K5338" t="str">
            <v>LCAT</v>
          </cell>
          <cell r="AB5338" t="str">
            <v>GI- stomach</v>
          </cell>
        </row>
        <row r="5339">
          <cell r="A5339" t="str">
            <v>in storage</v>
          </cell>
          <cell r="K5339" t="str">
            <v>DMAD</v>
          </cell>
          <cell r="AB5339" t="str">
            <v>Pancreas</v>
          </cell>
        </row>
        <row r="5340">
          <cell r="A5340" t="str">
            <v>in storage</v>
          </cell>
          <cell r="K5340" t="str">
            <v>DMAD</v>
          </cell>
          <cell r="AB5340" t="str">
            <v>Pancreas</v>
          </cell>
        </row>
        <row r="5341">
          <cell r="A5341" t="str">
            <v>in storage</v>
          </cell>
          <cell r="K5341" t="str">
            <v>DMAD</v>
          </cell>
          <cell r="AB5341" t="str">
            <v>Kidney</v>
          </cell>
        </row>
        <row r="5342">
          <cell r="A5342" t="str">
            <v>in storage</v>
          </cell>
          <cell r="K5342" t="str">
            <v>DMAD</v>
          </cell>
          <cell r="AB5342" t="str">
            <v>Kidney</v>
          </cell>
        </row>
        <row r="5343">
          <cell r="A5343" t="str">
            <v>in storage</v>
          </cell>
          <cell r="K5343" t="str">
            <v>DMAD</v>
          </cell>
          <cell r="AB5343" t="str">
            <v>Spleen</v>
          </cell>
        </row>
        <row r="5344">
          <cell r="A5344" t="str">
            <v>in storage</v>
          </cell>
          <cell r="K5344" t="str">
            <v>DMAD</v>
          </cell>
          <cell r="AB5344" t="str">
            <v>Heart</v>
          </cell>
        </row>
        <row r="5345">
          <cell r="A5345" t="str">
            <v>in storage</v>
          </cell>
          <cell r="K5345" t="str">
            <v>DMAD</v>
          </cell>
          <cell r="AB5345" t="str">
            <v>Lung</v>
          </cell>
        </row>
        <row r="5346">
          <cell r="A5346" t="str">
            <v>in storage</v>
          </cell>
          <cell r="K5346" t="str">
            <v>DMAD</v>
          </cell>
          <cell r="AB5346" t="str">
            <v>Lung</v>
          </cell>
        </row>
        <row r="5347">
          <cell r="A5347" t="str">
            <v>in storage</v>
          </cell>
          <cell r="K5347" t="str">
            <v>DMAD</v>
          </cell>
          <cell r="AB5347" t="str">
            <v>Liver</v>
          </cell>
        </row>
        <row r="5348">
          <cell r="A5348" t="str">
            <v>in storage</v>
          </cell>
          <cell r="K5348" t="str">
            <v>DMAD</v>
          </cell>
          <cell r="AB5348" t="str">
            <v>Skin</v>
          </cell>
        </row>
        <row r="5349">
          <cell r="A5349" t="str">
            <v>in storage</v>
          </cell>
          <cell r="K5349" t="str">
            <v>DMAD</v>
          </cell>
          <cell r="AB5349" t="str">
            <v>Adrenal gland</v>
          </cell>
        </row>
        <row r="5350">
          <cell r="A5350" t="str">
            <v>in storage</v>
          </cell>
          <cell r="K5350" t="str">
            <v>DMAD</v>
          </cell>
          <cell r="AB5350" t="str">
            <v>Eye</v>
          </cell>
        </row>
        <row r="5351">
          <cell r="A5351" t="str">
            <v>in storage</v>
          </cell>
          <cell r="K5351" t="str">
            <v>LCAT</v>
          </cell>
          <cell r="AB5351" t="str">
            <v>GI- cecum</v>
          </cell>
        </row>
        <row r="5352">
          <cell r="A5352" t="str">
            <v>in storage</v>
          </cell>
          <cell r="K5352" t="str">
            <v>LCAT</v>
          </cell>
          <cell r="AB5352" t="str">
            <v>GI- large intestine</v>
          </cell>
        </row>
        <row r="5353">
          <cell r="A5353" t="str">
            <v>in storage</v>
          </cell>
          <cell r="K5353" t="str">
            <v>LCAT</v>
          </cell>
          <cell r="AB5353" t="str">
            <v>GI- small intestine</v>
          </cell>
        </row>
        <row r="5354">
          <cell r="A5354" t="str">
            <v>on hold</v>
          </cell>
          <cell r="K5354" t="str">
            <v>PCOQ</v>
          </cell>
          <cell r="AB5354" t="str">
            <v>R- sperm plug</v>
          </cell>
        </row>
        <row r="5355">
          <cell r="A5355" t="str">
            <v>in storage</v>
          </cell>
          <cell r="K5355" t="str">
            <v>PCOQ</v>
          </cell>
          <cell r="AB5355" t="str">
            <v>R- ovary/ uterus</v>
          </cell>
        </row>
        <row r="5356">
          <cell r="A5356" t="str">
            <v>unk</v>
          </cell>
          <cell r="K5356" t="str">
            <v>PCOQ</v>
          </cell>
          <cell r="AB5356" t="str">
            <v>R- placenta</v>
          </cell>
        </row>
        <row r="5357">
          <cell r="A5357" t="str">
            <v>unk</v>
          </cell>
          <cell r="K5357" t="str">
            <v>PCOQ</v>
          </cell>
          <cell r="AB5357" t="str">
            <v>R- placenta</v>
          </cell>
        </row>
        <row r="5358">
          <cell r="A5358" t="str">
            <v>unk</v>
          </cell>
          <cell r="K5358" t="str">
            <v>PCOQ</v>
          </cell>
          <cell r="AB5358" t="str">
            <v>R- placenta</v>
          </cell>
        </row>
        <row r="5359">
          <cell r="A5359" t="str">
            <v>unk</v>
          </cell>
          <cell r="K5359" t="str">
            <v>PCOQ</v>
          </cell>
          <cell r="AB5359" t="str">
            <v>R- placenta</v>
          </cell>
        </row>
        <row r="5360">
          <cell r="A5360" t="str">
            <v>unk</v>
          </cell>
          <cell r="K5360" t="str">
            <v>PCOQ</v>
          </cell>
          <cell r="AB5360" t="str">
            <v>R- placenta</v>
          </cell>
        </row>
        <row r="5361">
          <cell r="A5361" t="str">
            <v>unk</v>
          </cell>
          <cell r="K5361" t="str">
            <v>MMUR</v>
          </cell>
          <cell r="AB5361" t="str">
            <v>R- teste(s)</v>
          </cell>
        </row>
        <row r="5362">
          <cell r="A5362" t="str">
            <v>in storage</v>
          </cell>
          <cell r="K5362" t="str">
            <v>MMUR</v>
          </cell>
          <cell r="AB5362" t="str">
            <v>Liver</v>
          </cell>
        </row>
        <row r="5363">
          <cell r="A5363" t="str">
            <v>in storage</v>
          </cell>
          <cell r="K5363" t="str">
            <v>MMUR</v>
          </cell>
          <cell r="AB5363" t="str">
            <v>Liver</v>
          </cell>
        </row>
        <row r="5364">
          <cell r="A5364" t="str">
            <v>in storage</v>
          </cell>
          <cell r="K5364" t="str">
            <v>MMUR</v>
          </cell>
          <cell r="AB5364" t="str">
            <v>Liver</v>
          </cell>
        </row>
        <row r="5365">
          <cell r="A5365" t="str">
            <v>in storage</v>
          </cell>
          <cell r="K5365" t="str">
            <v>LCAT</v>
          </cell>
          <cell r="AB5365" t="str">
            <v>GI- stomach</v>
          </cell>
        </row>
        <row r="5366">
          <cell r="A5366" t="str">
            <v>in storage</v>
          </cell>
          <cell r="K5366" t="str">
            <v>MMUR</v>
          </cell>
          <cell r="AB5366" t="str">
            <v>Spleen</v>
          </cell>
        </row>
        <row r="5367">
          <cell r="A5367" t="str">
            <v>in storage</v>
          </cell>
          <cell r="K5367" t="str">
            <v>MMUR</v>
          </cell>
          <cell r="AB5367" t="str">
            <v>VNO</v>
          </cell>
        </row>
        <row r="5368">
          <cell r="A5368" t="str">
            <v>in storage</v>
          </cell>
          <cell r="K5368" t="str">
            <v>MMUR</v>
          </cell>
          <cell r="AB5368" t="str">
            <v>Fat- perirenal</v>
          </cell>
        </row>
        <row r="5369">
          <cell r="A5369" t="str">
            <v>in storage</v>
          </cell>
          <cell r="K5369" t="str">
            <v>MMUR</v>
          </cell>
          <cell r="AB5369" t="str">
            <v>Kidney</v>
          </cell>
        </row>
        <row r="5370">
          <cell r="A5370" t="str">
            <v>in storage</v>
          </cell>
          <cell r="K5370" t="str">
            <v>MMUR</v>
          </cell>
          <cell r="AB5370" t="str">
            <v>Kidney</v>
          </cell>
        </row>
        <row r="5371">
          <cell r="A5371" t="str">
            <v>in storage</v>
          </cell>
          <cell r="K5371" t="str">
            <v>MMUR</v>
          </cell>
          <cell r="AB5371" t="str">
            <v>Eye</v>
          </cell>
        </row>
        <row r="5372">
          <cell r="A5372" t="str">
            <v>in storage</v>
          </cell>
          <cell r="K5372" t="str">
            <v>MMUR</v>
          </cell>
          <cell r="AB5372" t="str">
            <v>Skin</v>
          </cell>
        </row>
        <row r="5373">
          <cell r="A5373" t="str">
            <v>in storage</v>
          </cell>
          <cell r="K5373" t="str">
            <v>MMUR</v>
          </cell>
          <cell r="AB5373" t="str">
            <v>Skin</v>
          </cell>
        </row>
        <row r="5374">
          <cell r="A5374" t="str">
            <v>unk</v>
          </cell>
          <cell r="K5374" t="str">
            <v>MMUR</v>
          </cell>
          <cell r="AB5374" t="str">
            <v>Lung</v>
          </cell>
        </row>
        <row r="5375">
          <cell r="A5375" t="str">
            <v>in storage</v>
          </cell>
          <cell r="K5375" t="str">
            <v>MMUR</v>
          </cell>
          <cell r="AB5375" t="str">
            <v>Muscle</v>
          </cell>
        </row>
        <row r="5376">
          <cell r="A5376" t="str">
            <v>in storage</v>
          </cell>
          <cell r="K5376" t="str">
            <v>MMUR</v>
          </cell>
          <cell r="AB5376" t="str">
            <v>Muscle</v>
          </cell>
        </row>
        <row r="5377">
          <cell r="A5377" t="str">
            <v>in storage</v>
          </cell>
          <cell r="K5377" t="str">
            <v>CMED</v>
          </cell>
          <cell r="AB5377" t="str">
            <v>Muscle</v>
          </cell>
        </row>
        <row r="5378">
          <cell r="A5378" t="str">
            <v>in storage</v>
          </cell>
          <cell r="K5378" t="str">
            <v>CMED</v>
          </cell>
          <cell r="AB5378" t="str">
            <v>Skin</v>
          </cell>
        </row>
        <row r="5379">
          <cell r="A5379" t="str">
            <v>in storage</v>
          </cell>
          <cell r="K5379" t="str">
            <v>CMED</v>
          </cell>
          <cell r="AB5379" t="str">
            <v>Bone- chest</v>
          </cell>
        </row>
        <row r="5380">
          <cell r="A5380" t="str">
            <v>in storage</v>
          </cell>
          <cell r="K5380" t="str">
            <v>CMED</v>
          </cell>
          <cell r="AB5380" t="str">
            <v>Fat- tail</v>
          </cell>
        </row>
        <row r="5381">
          <cell r="A5381" t="str">
            <v>in storage</v>
          </cell>
          <cell r="K5381" t="str">
            <v>VRUB</v>
          </cell>
          <cell r="AB5381" t="str">
            <v>Liver</v>
          </cell>
        </row>
        <row r="5382">
          <cell r="A5382" t="str">
            <v>in storage</v>
          </cell>
          <cell r="K5382" t="str">
            <v>LCAT</v>
          </cell>
          <cell r="AB5382" t="str">
            <v>GI- omentum</v>
          </cell>
        </row>
        <row r="5383">
          <cell r="A5383" t="str">
            <v>in storage</v>
          </cell>
          <cell r="K5383" t="str">
            <v>VRUB</v>
          </cell>
          <cell r="AB5383" t="str">
            <v>Kidney</v>
          </cell>
        </row>
        <row r="5384">
          <cell r="A5384" t="str">
            <v>in storage</v>
          </cell>
          <cell r="K5384" t="str">
            <v>VRUB</v>
          </cell>
          <cell r="AB5384" t="str">
            <v>Kidney</v>
          </cell>
        </row>
        <row r="5385">
          <cell r="A5385" t="str">
            <v>in storage</v>
          </cell>
          <cell r="K5385" t="str">
            <v>VRUB</v>
          </cell>
          <cell r="AB5385" t="str">
            <v>Spleen</v>
          </cell>
        </row>
        <row r="5386">
          <cell r="A5386" t="str">
            <v>in storage</v>
          </cell>
          <cell r="K5386" t="str">
            <v>VRUB</v>
          </cell>
          <cell r="AB5386" t="str">
            <v>Lung</v>
          </cell>
        </row>
        <row r="5387">
          <cell r="A5387" t="str">
            <v>in storage</v>
          </cell>
          <cell r="K5387" t="str">
            <v>VRUB</v>
          </cell>
          <cell r="AB5387" t="str">
            <v>Lung</v>
          </cell>
        </row>
        <row r="5388">
          <cell r="A5388" t="str">
            <v>in storage</v>
          </cell>
          <cell r="K5388" t="str">
            <v>VRUB</v>
          </cell>
          <cell r="AB5388" t="str">
            <v>Lung</v>
          </cell>
        </row>
        <row r="5389">
          <cell r="A5389" t="str">
            <v>in storage</v>
          </cell>
          <cell r="K5389" t="str">
            <v>VRUB</v>
          </cell>
          <cell r="AB5389" t="str">
            <v>Lung</v>
          </cell>
        </row>
        <row r="5390">
          <cell r="A5390" t="str">
            <v>in storage</v>
          </cell>
          <cell r="K5390" t="str">
            <v>VRUB</v>
          </cell>
          <cell r="AB5390" t="str">
            <v>Kidney</v>
          </cell>
        </row>
        <row r="5391">
          <cell r="A5391" t="str">
            <v>in storage</v>
          </cell>
          <cell r="K5391" t="str">
            <v>VRUB</v>
          </cell>
          <cell r="AB5391" t="str">
            <v>Kidney</v>
          </cell>
        </row>
        <row r="5392">
          <cell r="A5392" t="str">
            <v>in storage</v>
          </cell>
          <cell r="K5392" t="str">
            <v>VRUB</v>
          </cell>
          <cell r="AB5392" t="str">
            <v>Kidney</v>
          </cell>
        </row>
        <row r="5393">
          <cell r="A5393" t="str">
            <v>in storage</v>
          </cell>
          <cell r="K5393" t="str">
            <v>VRUB</v>
          </cell>
          <cell r="AB5393" t="str">
            <v>Kidney</v>
          </cell>
        </row>
        <row r="5394">
          <cell r="A5394" t="str">
            <v>in storage</v>
          </cell>
          <cell r="K5394" t="str">
            <v>VRUB</v>
          </cell>
          <cell r="AB5394" t="str">
            <v>Spleen</v>
          </cell>
        </row>
        <row r="5395">
          <cell r="A5395" t="str">
            <v>in storage</v>
          </cell>
          <cell r="K5395" t="str">
            <v>VRUB</v>
          </cell>
          <cell r="AB5395" t="str">
            <v>Spleen</v>
          </cell>
        </row>
        <row r="5396">
          <cell r="A5396" t="str">
            <v>in storage</v>
          </cell>
          <cell r="K5396" t="str">
            <v>VRUB</v>
          </cell>
          <cell r="AB5396" t="str">
            <v>Liver</v>
          </cell>
        </row>
        <row r="5397">
          <cell r="A5397" t="str">
            <v>in storage</v>
          </cell>
          <cell r="K5397" t="str">
            <v>VRUB</v>
          </cell>
          <cell r="AB5397" t="str">
            <v>Liver</v>
          </cell>
        </row>
        <row r="5398">
          <cell r="A5398" t="str">
            <v>in storage</v>
          </cell>
          <cell r="K5398" t="str">
            <v>VRUB</v>
          </cell>
          <cell r="AB5398" t="str">
            <v>Kidney</v>
          </cell>
        </row>
        <row r="5399">
          <cell r="A5399" t="str">
            <v>in storage</v>
          </cell>
          <cell r="K5399" t="str">
            <v>VRUB</v>
          </cell>
          <cell r="AB5399" t="str">
            <v>Spleen</v>
          </cell>
        </row>
        <row r="5400">
          <cell r="A5400" t="str">
            <v>in storage</v>
          </cell>
          <cell r="K5400" t="str">
            <v>VRUB</v>
          </cell>
          <cell r="AB5400" t="str">
            <v>Kidney</v>
          </cell>
        </row>
        <row r="5401">
          <cell r="A5401" t="str">
            <v>in storage</v>
          </cell>
          <cell r="K5401" t="str">
            <v>VRUB</v>
          </cell>
          <cell r="AB5401" t="str">
            <v>Lung</v>
          </cell>
        </row>
        <row r="5402">
          <cell r="A5402" t="str">
            <v>in storage</v>
          </cell>
          <cell r="K5402" t="str">
            <v>VRUB</v>
          </cell>
          <cell r="AB5402" t="str">
            <v>Liver</v>
          </cell>
        </row>
        <row r="5403">
          <cell r="A5403" t="str">
            <v>in storage</v>
          </cell>
          <cell r="K5403" t="str">
            <v>VRUB</v>
          </cell>
          <cell r="AB5403" t="str">
            <v>Skin</v>
          </cell>
        </row>
        <row r="5404">
          <cell r="A5404" t="str">
            <v>in storage</v>
          </cell>
          <cell r="K5404" t="str">
            <v>VRUB</v>
          </cell>
          <cell r="AB5404" t="str">
            <v>Muscle</v>
          </cell>
        </row>
        <row r="5405">
          <cell r="A5405" t="str">
            <v>in storage</v>
          </cell>
          <cell r="K5405" t="str">
            <v>VRUB</v>
          </cell>
          <cell r="AB5405" t="str">
            <v>Muscle</v>
          </cell>
        </row>
        <row r="5406">
          <cell r="A5406" t="str">
            <v>in storage</v>
          </cell>
          <cell r="K5406" t="str">
            <v>VRUB</v>
          </cell>
          <cell r="AB5406" t="str">
            <v>Muscle</v>
          </cell>
        </row>
        <row r="5407">
          <cell r="A5407" t="str">
            <v>in storage</v>
          </cell>
          <cell r="K5407" t="str">
            <v>EMON</v>
          </cell>
          <cell r="AB5407" t="str">
            <v>Muscle</v>
          </cell>
        </row>
        <row r="5408">
          <cell r="A5408" t="str">
            <v>in storage</v>
          </cell>
          <cell r="K5408" t="str">
            <v>EMON</v>
          </cell>
          <cell r="AB5408" t="str">
            <v>Muscle</v>
          </cell>
        </row>
        <row r="5409">
          <cell r="A5409" t="str">
            <v>in storage</v>
          </cell>
          <cell r="K5409" t="str">
            <v>EMON</v>
          </cell>
          <cell r="AB5409" t="str">
            <v>Muscle</v>
          </cell>
        </row>
        <row r="5410">
          <cell r="A5410" t="str">
            <v>in storage</v>
          </cell>
          <cell r="K5410" t="str">
            <v>EMON</v>
          </cell>
          <cell r="AB5410" t="str">
            <v>Muscle</v>
          </cell>
        </row>
        <row r="5411">
          <cell r="A5411" t="str">
            <v>in storage</v>
          </cell>
          <cell r="K5411" t="str">
            <v>EMON</v>
          </cell>
          <cell r="AB5411" t="str">
            <v>Liver</v>
          </cell>
        </row>
        <row r="5412">
          <cell r="A5412" t="str">
            <v>in storage</v>
          </cell>
          <cell r="K5412" t="str">
            <v>LCAT</v>
          </cell>
          <cell r="AB5412" t="str">
            <v>GI Contents- stomach</v>
          </cell>
        </row>
        <row r="5413">
          <cell r="A5413" t="str">
            <v>in storage</v>
          </cell>
          <cell r="K5413" t="str">
            <v>EMON</v>
          </cell>
          <cell r="AB5413" t="str">
            <v>Heart</v>
          </cell>
        </row>
        <row r="5414">
          <cell r="A5414" t="str">
            <v>in storage</v>
          </cell>
          <cell r="K5414" t="str">
            <v>EMON</v>
          </cell>
          <cell r="AB5414" t="str">
            <v>Lung</v>
          </cell>
        </row>
        <row r="5415">
          <cell r="A5415" t="str">
            <v>in storage</v>
          </cell>
          <cell r="K5415" t="str">
            <v>EMON</v>
          </cell>
          <cell r="AB5415" t="str">
            <v>Lung</v>
          </cell>
        </row>
        <row r="5416">
          <cell r="A5416" t="str">
            <v>unk</v>
          </cell>
          <cell r="K5416" t="str">
            <v>EMON</v>
          </cell>
          <cell r="AB5416" t="str">
            <v>Liver</v>
          </cell>
        </row>
        <row r="5417">
          <cell r="A5417" t="str">
            <v>in storage</v>
          </cell>
          <cell r="K5417" t="str">
            <v>EMON</v>
          </cell>
          <cell r="AB5417" t="str">
            <v>Spleen</v>
          </cell>
        </row>
        <row r="5418">
          <cell r="A5418" t="str">
            <v>in storage</v>
          </cell>
          <cell r="K5418" t="str">
            <v>EMON</v>
          </cell>
          <cell r="AB5418" t="str">
            <v>Kidney</v>
          </cell>
        </row>
        <row r="5419">
          <cell r="A5419" t="str">
            <v>in storage</v>
          </cell>
          <cell r="K5419" t="str">
            <v>EMON</v>
          </cell>
          <cell r="AB5419" t="str">
            <v>Kidney</v>
          </cell>
        </row>
        <row r="5420">
          <cell r="A5420" t="str">
            <v>in storage</v>
          </cell>
          <cell r="K5420" t="str">
            <v>EMON</v>
          </cell>
          <cell r="AB5420" t="str">
            <v>Lung</v>
          </cell>
        </row>
        <row r="5421">
          <cell r="A5421" t="str">
            <v>in storage</v>
          </cell>
          <cell r="K5421" t="str">
            <v>EMON</v>
          </cell>
          <cell r="AB5421" t="str">
            <v>Pancreas</v>
          </cell>
        </row>
        <row r="5422">
          <cell r="A5422" t="str">
            <v>in storage</v>
          </cell>
          <cell r="K5422" t="str">
            <v>EMON</v>
          </cell>
          <cell r="AB5422" t="str">
            <v>Kidney</v>
          </cell>
        </row>
        <row r="5423">
          <cell r="A5423" t="str">
            <v>in storage</v>
          </cell>
          <cell r="K5423" t="str">
            <v>EMON</v>
          </cell>
          <cell r="AB5423" t="str">
            <v>Kidney</v>
          </cell>
        </row>
        <row r="5424">
          <cell r="A5424" t="str">
            <v>in storage</v>
          </cell>
          <cell r="K5424" t="str">
            <v>EMON</v>
          </cell>
          <cell r="AB5424" t="str">
            <v>unknown tissue type</v>
          </cell>
        </row>
        <row r="5425">
          <cell r="A5425" t="str">
            <v>in storage</v>
          </cell>
          <cell r="K5425" t="str">
            <v>EMON</v>
          </cell>
          <cell r="AB5425" t="str">
            <v>Heart</v>
          </cell>
        </row>
        <row r="5426">
          <cell r="A5426" t="str">
            <v>in storage</v>
          </cell>
          <cell r="K5426" t="str">
            <v>EMON</v>
          </cell>
          <cell r="AB5426" t="str">
            <v>Spleen</v>
          </cell>
        </row>
        <row r="5427">
          <cell r="A5427" t="str">
            <v>in storage</v>
          </cell>
          <cell r="K5427" t="str">
            <v>EMON</v>
          </cell>
          <cell r="AB5427" t="str">
            <v>Kidney</v>
          </cell>
        </row>
        <row r="5428">
          <cell r="A5428" t="str">
            <v>in storage</v>
          </cell>
          <cell r="K5428" t="str">
            <v>EMON</v>
          </cell>
          <cell r="AB5428" t="str">
            <v>Spleen</v>
          </cell>
        </row>
        <row r="5429">
          <cell r="A5429" t="str">
            <v>in storage</v>
          </cell>
          <cell r="K5429" t="str">
            <v>EMON</v>
          </cell>
          <cell r="AB5429" t="str">
            <v>Kidney</v>
          </cell>
        </row>
        <row r="5430">
          <cell r="A5430" t="str">
            <v>in storage</v>
          </cell>
          <cell r="K5430" t="str">
            <v>EMON</v>
          </cell>
          <cell r="AB5430" t="str">
            <v>Heart</v>
          </cell>
        </row>
        <row r="5431">
          <cell r="A5431" t="str">
            <v>in storage</v>
          </cell>
          <cell r="K5431" t="str">
            <v>EMON</v>
          </cell>
          <cell r="AB5431" t="str">
            <v>Pancreas</v>
          </cell>
        </row>
        <row r="5432">
          <cell r="A5432" t="str">
            <v>in storage</v>
          </cell>
          <cell r="K5432" t="str">
            <v>EMON</v>
          </cell>
          <cell r="AB5432" t="str">
            <v>Heart</v>
          </cell>
        </row>
        <row r="5433">
          <cell r="A5433" t="str">
            <v>in storage</v>
          </cell>
          <cell r="K5433" t="str">
            <v>EMON</v>
          </cell>
          <cell r="AB5433" t="str">
            <v>Lung</v>
          </cell>
        </row>
        <row r="5434">
          <cell r="A5434" t="str">
            <v>in storage</v>
          </cell>
          <cell r="K5434" t="str">
            <v>EMON</v>
          </cell>
          <cell r="AB5434" t="str">
            <v>Lung</v>
          </cell>
        </row>
        <row r="5435">
          <cell r="A5435" t="str">
            <v>in storage</v>
          </cell>
          <cell r="K5435" t="str">
            <v>EMON</v>
          </cell>
          <cell r="AB5435" t="str">
            <v>Lung</v>
          </cell>
        </row>
        <row r="5436">
          <cell r="A5436" t="str">
            <v>in storage</v>
          </cell>
          <cell r="K5436" t="str">
            <v>EMON</v>
          </cell>
          <cell r="AB5436" t="str">
            <v>unknown tissue type</v>
          </cell>
        </row>
        <row r="5437">
          <cell r="A5437" t="str">
            <v>unk</v>
          </cell>
          <cell r="K5437" t="str">
            <v>EMON</v>
          </cell>
          <cell r="AB5437" t="str">
            <v>Liver</v>
          </cell>
        </row>
        <row r="5438">
          <cell r="A5438" t="str">
            <v>unk</v>
          </cell>
          <cell r="K5438" t="str">
            <v>EMON</v>
          </cell>
          <cell r="AB5438" t="str">
            <v>Liver</v>
          </cell>
        </row>
        <row r="5439">
          <cell r="A5439" t="str">
            <v>in storage</v>
          </cell>
          <cell r="K5439" t="str">
            <v>EMON</v>
          </cell>
          <cell r="AB5439" t="str">
            <v>Skin</v>
          </cell>
        </row>
        <row r="5440">
          <cell r="A5440" t="str">
            <v>in storage</v>
          </cell>
          <cell r="K5440" t="str">
            <v>EMON</v>
          </cell>
          <cell r="AB5440" t="str">
            <v>Eye</v>
          </cell>
        </row>
        <row r="5441">
          <cell r="A5441" t="str">
            <v>in storage</v>
          </cell>
          <cell r="K5441" t="str">
            <v>EMON</v>
          </cell>
          <cell r="AB5441" t="str">
            <v>R- teste(s)</v>
          </cell>
        </row>
        <row r="5442">
          <cell r="A5442" t="str">
            <v>in storage</v>
          </cell>
          <cell r="K5442" t="str">
            <v>MMUR</v>
          </cell>
          <cell r="AB5442" t="str">
            <v>Liver</v>
          </cell>
        </row>
        <row r="5443">
          <cell r="A5443" t="str">
            <v>in storage</v>
          </cell>
          <cell r="K5443" t="str">
            <v>EFLA</v>
          </cell>
          <cell r="AB5443" t="str">
            <v>R- amniotic sac</v>
          </cell>
        </row>
        <row r="5444">
          <cell r="A5444" t="str">
            <v>in storage</v>
          </cell>
          <cell r="K5444" t="str">
            <v>EFLA</v>
          </cell>
          <cell r="AB5444" t="str">
            <v>R- placenta</v>
          </cell>
        </row>
        <row r="5445">
          <cell r="A5445" t="str">
            <v>in storage</v>
          </cell>
          <cell r="K5445" t="str">
            <v>PCOQ</v>
          </cell>
          <cell r="AB5445" t="str">
            <v>Liver</v>
          </cell>
        </row>
        <row r="5446">
          <cell r="A5446" t="str">
            <v>in storage</v>
          </cell>
          <cell r="K5446" t="str">
            <v>GMOH</v>
          </cell>
          <cell r="AB5446" t="str">
            <v>Liver</v>
          </cell>
        </row>
        <row r="5447">
          <cell r="A5447" t="str">
            <v>in storage</v>
          </cell>
          <cell r="K5447" t="str">
            <v>PCOQ</v>
          </cell>
          <cell r="AB5447" t="str">
            <v>Kidney</v>
          </cell>
        </row>
        <row r="5448">
          <cell r="A5448" t="str">
            <v>in storage</v>
          </cell>
          <cell r="K5448" t="str">
            <v>PCOQ</v>
          </cell>
          <cell r="AB5448" t="str">
            <v>Kidney</v>
          </cell>
        </row>
        <row r="5449">
          <cell r="A5449" t="str">
            <v>in storage</v>
          </cell>
          <cell r="K5449" t="str">
            <v>PCOQ</v>
          </cell>
          <cell r="AB5449" t="str">
            <v>Spleen</v>
          </cell>
        </row>
        <row r="5450">
          <cell r="A5450" t="str">
            <v>in storage</v>
          </cell>
          <cell r="K5450" t="str">
            <v>PCOQ</v>
          </cell>
          <cell r="AB5450" t="str">
            <v>Lung</v>
          </cell>
        </row>
        <row r="5451">
          <cell r="A5451" t="str">
            <v>in storage</v>
          </cell>
          <cell r="K5451" t="str">
            <v>PCOQ</v>
          </cell>
          <cell r="AB5451" t="str">
            <v>Lung</v>
          </cell>
        </row>
        <row r="5452">
          <cell r="A5452" t="str">
            <v>in storage</v>
          </cell>
          <cell r="K5452" t="str">
            <v>PCOQ</v>
          </cell>
          <cell r="AB5452" t="str">
            <v>Skin</v>
          </cell>
        </row>
        <row r="5453">
          <cell r="A5453" t="str">
            <v>in storage</v>
          </cell>
          <cell r="K5453" t="str">
            <v>PCOQ</v>
          </cell>
          <cell r="AB5453" t="str">
            <v>Heart</v>
          </cell>
        </row>
        <row r="5454">
          <cell r="A5454" t="str">
            <v>in storage</v>
          </cell>
          <cell r="K5454" t="str">
            <v>PCOQ</v>
          </cell>
          <cell r="AB5454" t="str">
            <v>Adrenal gland</v>
          </cell>
        </row>
        <row r="5455">
          <cell r="A5455" t="str">
            <v>in storage</v>
          </cell>
          <cell r="K5455" t="str">
            <v>PCOQ</v>
          </cell>
          <cell r="AB5455" t="str">
            <v>Thymus</v>
          </cell>
        </row>
        <row r="5456">
          <cell r="A5456" t="str">
            <v>in storage</v>
          </cell>
          <cell r="K5456" t="str">
            <v>PCOQ</v>
          </cell>
          <cell r="AB5456" t="str">
            <v>Thyroid</v>
          </cell>
        </row>
        <row r="5457">
          <cell r="A5457" t="str">
            <v>in storage</v>
          </cell>
          <cell r="K5457" t="str">
            <v>PCOQ</v>
          </cell>
          <cell r="AB5457" t="str">
            <v>Muscle</v>
          </cell>
        </row>
        <row r="5458">
          <cell r="A5458" t="str">
            <v>in storage</v>
          </cell>
          <cell r="K5458" t="str">
            <v>GMOH</v>
          </cell>
          <cell r="AB5458" t="str">
            <v>Kidney</v>
          </cell>
        </row>
        <row r="5459">
          <cell r="A5459" t="str">
            <v>in storage</v>
          </cell>
          <cell r="K5459" t="str">
            <v>LTAR</v>
          </cell>
          <cell r="AB5459" t="str">
            <v>GI- small intestine</v>
          </cell>
        </row>
        <row r="5460">
          <cell r="A5460" t="str">
            <v>in storage</v>
          </cell>
          <cell r="K5460" t="str">
            <v>PCOQ</v>
          </cell>
          <cell r="AB5460" t="str">
            <v>Liver</v>
          </cell>
        </row>
        <row r="5461">
          <cell r="A5461" t="str">
            <v>in storage</v>
          </cell>
          <cell r="K5461" t="str">
            <v>LTAR</v>
          </cell>
          <cell r="AB5461" t="str">
            <v>GI- stomach</v>
          </cell>
        </row>
        <row r="5462">
          <cell r="A5462" t="str">
            <v>in storage</v>
          </cell>
          <cell r="K5462" t="str">
            <v>LTAR</v>
          </cell>
          <cell r="AB5462" t="str">
            <v>GI Tract</v>
          </cell>
        </row>
        <row r="5463">
          <cell r="A5463" t="str">
            <v>in storage</v>
          </cell>
          <cell r="K5463" t="str">
            <v>LTAR</v>
          </cell>
          <cell r="AB5463" t="str">
            <v>GI Contents- large intestine</v>
          </cell>
        </row>
        <row r="5464">
          <cell r="A5464" t="str">
            <v>in storage</v>
          </cell>
          <cell r="K5464" t="str">
            <v>PCOQ</v>
          </cell>
          <cell r="AB5464" t="str">
            <v>Heart</v>
          </cell>
        </row>
        <row r="5465">
          <cell r="A5465" t="str">
            <v>in storage</v>
          </cell>
          <cell r="K5465" t="str">
            <v>PCOQ</v>
          </cell>
          <cell r="AB5465" t="str">
            <v>Pancreas</v>
          </cell>
        </row>
        <row r="5466">
          <cell r="A5466" t="str">
            <v>in storage</v>
          </cell>
          <cell r="K5466" t="str">
            <v>PCOQ</v>
          </cell>
          <cell r="AB5466" t="str">
            <v>Heart</v>
          </cell>
        </row>
        <row r="5467">
          <cell r="A5467" t="str">
            <v>in storage</v>
          </cell>
          <cell r="K5467" t="str">
            <v>PCOQ</v>
          </cell>
          <cell r="AB5467" t="str">
            <v>Lung</v>
          </cell>
        </row>
        <row r="5468">
          <cell r="A5468" t="str">
            <v>in storage</v>
          </cell>
          <cell r="K5468" t="str">
            <v>PCOQ</v>
          </cell>
          <cell r="AB5468" t="str">
            <v>Heart</v>
          </cell>
        </row>
        <row r="5469">
          <cell r="A5469" t="str">
            <v>in storage</v>
          </cell>
          <cell r="K5469" t="str">
            <v>PCOQ</v>
          </cell>
          <cell r="AB5469" t="str">
            <v>U- bladder</v>
          </cell>
        </row>
        <row r="5470">
          <cell r="A5470" t="str">
            <v>in storage</v>
          </cell>
          <cell r="K5470" t="str">
            <v>PCOQ</v>
          </cell>
          <cell r="AB5470" t="str">
            <v>Kidney</v>
          </cell>
        </row>
        <row r="5471">
          <cell r="A5471" t="str">
            <v>in storage</v>
          </cell>
          <cell r="K5471" t="str">
            <v>PCOQ</v>
          </cell>
          <cell r="AB5471" t="str">
            <v>Spleen</v>
          </cell>
        </row>
        <row r="5472">
          <cell r="A5472" t="str">
            <v>in storage</v>
          </cell>
          <cell r="K5472" t="str">
            <v>PCOQ</v>
          </cell>
          <cell r="AB5472" t="str">
            <v>Lung</v>
          </cell>
        </row>
        <row r="5473">
          <cell r="A5473" t="str">
            <v>in storage</v>
          </cell>
          <cell r="K5473" t="str">
            <v>PCOQ</v>
          </cell>
          <cell r="AB5473" t="str">
            <v>Spleen</v>
          </cell>
        </row>
        <row r="5474">
          <cell r="A5474" t="str">
            <v>in storage</v>
          </cell>
          <cell r="K5474" t="str">
            <v>PCOQ</v>
          </cell>
          <cell r="AB5474" t="str">
            <v>Gallbladder/ liver</v>
          </cell>
        </row>
        <row r="5475">
          <cell r="A5475" t="str">
            <v>in storage</v>
          </cell>
          <cell r="K5475" t="str">
            <v>PCOQ</v>
          </cell>
          <cell r="AB5475" t="str">
            <v>Liver</v>
          </cell>
        </row>
        <row r="5476">
          <cell r="A5476" t="str">
            <v>in storage</v>
          </cell>
          <cell r="K5476" t="str">
            <v>PCOQ</v>
          </cell>
          <cell r="AB5476" t="str">
            <v>Lung</v>
          </cell>
        </row>
        <row r="5477">
          <cell r="A5477" t="str">
            <v>in storage</v>
          </cell>
          <cell r="K5477" t="str">
            <v>PCOQ</v>
          </cell>
          <cell r="AB5477" t="str">
            <v>Lung</v>
          </cell>
        </row>
        <row r="5478">
          <cell r="A5478" t="str">
            <v>in storage</v>
          </cell>
          <cell r="K5478" t="str">
            <v>PCOQ</v>
          </cell>
          <cell r="AB5478" t="str">
            <v>Kidney</v>
          </cell>
        </row>
        <row r="5479">
          <cell r="A5479" t="str">
            <v>in storage</v>
          </cell>
          <cell r="K5479" t="str">
            <v>PCOQ</v>
          </cell>
          <cell r="AB5479" t="str">
            <v>Kidney</v>
          </cell>
        </row>
        <row r="5480">
          <cell r="A5480" t="str">
            <v>in storage</v>
          </cell>
          <cell r="K5480" t="str">
            <v>PCOQ</v>
          </cell>
          <cell r="AB5480" t="str">
            <v>Kidney</v>
          </cell>
        </row>
        <row r="5481">
          <cell r="A5481" t="str">
            <v>in storage</v>
          </cell>
          <cell r="K5481" t="str">
            <v>PCOQ</v>
          </cell>
          <cell r="AB5481" t="str">
            <v>Spleen</v>
          </cell>
        </row>
        <row r="5482">
          <cell r="A5482" t="str">
            <v>in storage</v>
          </cell>
          <cell r="K5482" t="str">
            <v>PCOQ</v>
          </cell>
          <cell r="AB5482" t="str">
            <v>Lung</v>
          </cell>
        </row>
        <row r="5483">
          <cell r="A5483" t="str">
            <v>in storage</v>
          </cell>
          <cell r="K5483" t="str">
            <v>PCOQ</v>
          </cell>
          <cell r="AB5483" t="str">
            <v>Skin</v>
          </cell>
        </row>
        <row r="5484">
          <cell r="A5484" t="str">
            <v>in storage</v>
          </cell>
          <cell r="K5484" t="str">
            <v>PCOQ</v>
          </cell>
          <cell r="AB5484" t="str">
            <v>Kidney</v>
          </cell>
        </row>
        <row r="5485">
          <cell r="A5485" t="str">
            <v>in storage</v>
          </cell>
          <cell r="K5485" t="str">
            <v>PCOQ</v>
          </cell>
          <cell r="AB5485" t="str">
            <v>Lung</v>
          </cell>
        </row>
        <row r="5486">
          <cell r="A5486" t="str">
            <v>in storage</v>
          </cell>
          <cell r="K5486" t="str">
            <v>PCOQ</v>
          </cell>
          <cell r="AB5486" t="str">
            <v>Liver</v>
          </cell>
        </row>
        <row r="5487">
          <cell r="A5487" t="str">
            <v>unk</v>
          </cell>
          <cell r="K5487" t="str">
            <v>PCOQ</v>
          </cell>
          <cell r="AB5487" t="str">
            <v>Kidney</v>
          </cell>
        </row>
        <row r="5488">
          <cell r="A5488" t="str">
            <v>in storage</v>
          </cell>
          <cell r="K5488" t="str">
            <v>PCOQ</v>
          </cell>
          <cell r="AB5488" t="str">
            <v>Kidney</v>
          </cell>
        </row>
        <row r="5489">
          <cell r="A5489" t="str">
            <v>in storage</v>
          </cell>
          <cell r="K5489" t="str">
            <v>PCOQ</v>
          </cell>
          <cell r="AB5489" t="str">
            <v>Spleen</v>
          </cell>
        </row>
        <row r="5490">
          <cell r="A5490" t="str">
            <v>in storage</v>
          </cell>
          <cell r="K5490" t="str">
            <v>PCOQ</v>
          </cell>
          <cell r="AB5490" t="str">
            <v>Heart</v>
          </cell>
        </row>
        <row r="5491">
          <cell r="A5491" t="str">
            <v>in storage</v>
          </cell>
          <cell r="K5491" t="str">
            <v>PCOQ</v>
          </cell>
          <cell r="AB5491" t="str">
            <v>Lung</v>
          </cell>
        </row>
        <row r="5492">
          <cell r="A5492" t="str">
            <v>in storage</v>
          </cell>
          <cell r="K5492" t="str">
            <v>PCOQ</v>
          </cell>
          <cell r="AB5492" t="str">
            <v>Lung</v>
          </cell>
        </row>
        <row r="5493">
          <cell r="A5493" t="str">
            <v>in storage</v>
          </cell>
          <cell r="K5493" t="str">
            <v>PCOQ</v>
          </cell>
          <cell r="AB5493" t="str">
            <v>Hair</v>
          </cell>
        </row>
        <row r="5494">
          <cell r="A5494" t="str">
            <v>in storage</v>
          </cell>
          <cell r="K5494" t="str">
            <v>LTAR</v>
          </cell>
          <cell r="AB5494" t="str">
            <v>GI Tract</v>
          </cell>
        </row>
        <row r="5495">
          <cell r="A5495" t="str">
            <v>in storage</v>
          </cell>
          <cell r="K5495" t="str">
            <v>PCOQ</v>
          </cell>
          <cell r="AB5495" t="str">
            <v>Muscle</v>
          </cell>
        </row>
        <row r="5496">
          <cell r="A5496" t="str">
            <v>in storage</v>
          </cell>
          <cell r="K5496" t="str">
            <v>PCOQ</v>
          </cell>
          <cell r="AB5496" t="str">
            <v>Muscle</v>
          </cell>
        </row>
        <row r="5497">
          <cell r="A5497" t="str">
            <v>in storage</v>
          </cell>
          <cell r="K5497" t="str">
            <v>NPYG</v>
          </cell>
          <cell r="AB5497" t="str">
            <v>Liver</v>
          </cell>
        </row>
        <row r="5498">
          <cell r="A5498" t="str">
            <v>in storage</v>
          </cell>
          <cell r="K5498" t="str">
            <v>LTAR</v>
          </cell>
          <cell r="AB5498" t="str">
            <v>GI- large intestine</v>
          </cell>
        </row>
        <row r="5499">
          <cell r="A5499" t="str">
            <v>in storage</v>
          </cell>
          <cell r="K5499" t="str">
            <v>NPYG</v>
          </cell>
          <cell r="AB5499" t="str">
            <v>Lung</v>
          </cell>
        </row>
        <row r="5500">
          <cell r="A5500" t="str">
            <v>in storage</v>
          </cell>
          <cell r="K5500" t="str">
            <v>NPYG</v>
          </cell>
          <cell r="AB5500" t="str">
            <v>Liver</v>
          </cell>
        </row>
        <row r="5501">
          <cell r="A5501" t="str">
            <v>in storage</v>
          </cell>
          <cell r="K5501" t="str">
            <v>NPYG</v>
          </cell>
          <cell r="AB5501" t="str">
            <v>Lung</v>
          </cell>
        </row>
        <row r="5502">
          <cell r="A5502" t="str">
            <v>in storage</v>
          </cell>
          <cell r="K5502" t="str">
            <v>NPYG</v>
          </cell>
          <cell r="AB5502" t="str">
            <v>Lung</v>
          </cell>
        </row>
        <row r="5503">
          <cell r="A5503" t="str">
            <v>in storage</v>
          </cell>
          <cell r="K5503" t="str">
            <v>NPYG</v>
          </cell>
          <cell r="AB5503" t="str">
            <v>Lung</v>
          </cell>
        </row>
        <row r="5504">
          <cell r="A5504" t="str">
            <v>in storage</v>
          </cell>
          <cell r="K5504" t="str">
            <v>NPYG</v>
          </cell>
          <cell r="AB5504" t="str">
            <v>Lung</v>
          </cell>
        </row>
        <row r="5505">
          <cell r="A5505" t="str">
            <v>in storage</v>
          </cell>
          <cell r="K5505" t="str">
            <v>NPYG</v>
          </cell>
          <cell r="AB5505" t="str">
            <v>Lung</v>
          </cell>
        </row>
        <row r="5506">
          <cell r="A5506" t="str">
            <v>in storage</v>
          </cell>
          <cell r="K5506" t="str">
            <v>NPYG</v>
          </cell>
          <cell r="AB5506" t="str">
            <v>Liver</v>
          </cell>
        </row>
        <row r="5507">
          <cell r="A5507" t="str">
            <v>in storage</v>
          </cell>
          <cell r="K5507" t="str">
            <v>NPYG</v>
          </cell>
          <cell r="AB5507" t="str">
            <v>Liver</v>
          </cell>
        </row>
        <row r="5508">
          <cell r="A5508" t="str">
            <v>in storage</v>
          </cell>
          <cell r="K5508" t="str">
            <v>NPYG</v>
          </cell>
          <cell r="AB5508" t="str">
            <v>Spleen</v>
          </cell>
        </row>
        <row r="5509">
          <cell r="A5509" t="str">
            <v>in storage</v>
          </cell>
          <cell r="K5509" t="str">
            <v>NPYG</v>
          </cell>
          <cell r="AB5509" t="str">
            <v>Spleen</v>
          </cell>
        </row>
        <row r="5510">
          <cell r="A5510" t="str">
            <v>in storage</v>
          </cell>
          <cell r="K5510" t="str">
            <v>NPYG</v>
          </cell>
          <cell r="AB5510" t="str">
            <v>Heart</v>
          </cell>
        </row>
        <row r="5511">
          <cell r="A5511" t="str">
            <v>in storage</v>
          </cell>
          <cell r="K5511" t="str">
            <v>NPYG</v>
          </cell>
          <cell r="AB5511" t="str">
            <v>Pancreas</v>
          </cell>
        </row>
        <row r="5512">
          <cell r="A5512" t="str">
            <v>in storage</v>
          </cell>
          <cell r="K5512" t="str">
            <v>NPYG</v>
          </cell>
          <cell r="AB5512" t="str">
            <v>Kidney</v>
          </cell>
        </row>
        <row r="5513">
          <cell r="A5513" t="str">
            <v>in storage</v>
          </cell>
          <cell r="K5513" t="str">
            <v>NPYG</v>
          </cell>
          <cell r="AB5513" t="str">
            <v>Kidney</v>
          </cell>
        </row>
        <row r="5514">
          <cell r="A5514" t="str">
            <v>in storage</v>
          </cell>
          <cell r="K5514" t="str">
            <v>NPYG</v>
          </cell>
          <cell r="AB5514" t="str">
            <v>Adrenal gland</v>
          </cell>
        </row>
        <row r="5515">
          <cell r="A5515" t="str">
            <v>in storage</v>
          </cell>
          <cell r="K5515" t="str">
            <v>NPYG</v>
          </cell>
          <cell r="AB5515" t="str">
            <v>Eye</v>
          </cell>
        </row>
        <row r="5516">
          <cell r="A5516" t="str">
            <v>in storage</v>
          </cell>
          <cell r="K5516" t="str">
            <v>NPYG</v>
          </cell>
          <cell r="AB5516" t="str">
            <v>Skin</v>
          </cell>
        </row>
        <row r="5517">
          <cell r="A5517" t="str">
            <v>in storage</v>
          </cell>
          <cell r="K5517" t="str">
            <v>NPYG</v>
          </cell>
          <cell r="AB5517" t="str">
            <v>R- teste(s)</v>
          </cell>
        </row>
        <row r="5518">
          <cell r="A5518" t="str">
            <v>in storage</v>
          </cell>
          <cell r="K5518" t="str">
            <v>NPYG</v>
          </cell>
          <cell r="AB5518" t="str">
            <v>R- teste(s)</v>
          </cell>
        </row>
        <row r="5519">
          <cell r="A5519" t="str">
            <v>in storage</v>
          </cell>
          <cell r="K5519" t="str">
            <v>NPYG</v>
          </cell>
          <cell r="AB5519" t="str">
            <v>Muscle</v>
          </cell>
        </row>
        <row r="5520">
          <cell r="A5520" t="str">
            <v>in storage</v>
          </cell>
          <cell r="K5520" t="str">
            <v>LTAR</v>
          </cell>
          <cell r="AB5520" t="str">
            <v>GI- small intestine</v>
          </cell>
        </row>
        <row r="5521">
          <cell r="A5521" t="str">
            <v>in storage</v>
          </cell>
          <cell r="K5521" t="str">
            <v>LTAR</v>
          </cell>
          <cell r="AB5521" t="str">
            <v>GI- stomach</v>
          </cell>
        </row>
        <row r="5522">
          <cell r="A5522" t="str">
            <v>in storage</v>
          </cell>
          <cell r="K5522" t="str">
            <v>MMUR</v>
          </cell>
          <cell r="AB5522" t="str">
            <v>Gallbladder/ liver</v>
          </cell>
        </row>
        <row r="5523">
          <cell r="A5523" t="str">
            <v>in storage</v>
          </cell>
          <cell r="K5523" t="str">
            <v>MMUR</v>
          </cell>
          <cell r="AB5523" t="str">
            <v>Gallbladder/ liver</v>
          </cell>
        </row>
        <row r="5524">
          <cell r="A5524" t="str">
            <v>in storage</v>
          </cell>
          <cell r="K5524" t="str">
            <v>LTAR</v>
          </cell>
          <cell r="AB5524" t="str">
            <v>GI- cecum</v>
          </cell>
        </row>
        <row r="5525">
          <cell r="A5525" t="str">
            <v>in storage</v>
          </cell>
          <cell r="K5525" t="str">
            <v>LTAR</v>
          </cell>
          <cell r="AB5525" t="str">
            <v>GI- large intestine</v>
          </cell>
        </row>
        <row r="5526">
          <cell r="A5526" t="str">
            <v>in storage</v>
          </cell>
          <cell r="K5526" t="str">
            <v>LTAR</v>
          </cell>
          <cell r="AB5526" t="str">
            <v>GI- small intestine</v>
          </cell>
        </row>
        <row r="5527">
          <cell r="A5527" t="str">
            <v>in storage</v>
          </cell>
          <cell r="K5527" t="str">
            <v>MMUR</v>
          </cell>
          <cell r="AB5527" t="str">
            <v>U- bladder</v>
          </cell>
        </row>
        <row r="5528">
          <cell r="A5528" t="str">
            <v>in storage</v>
          </cell>
          <cell r="K5528" t="str">
            <v>MMUR</v>
          </cell>
          <cell r="AB5528" t="str">
            <v>Eye</v>
          </cell>
        </row>
        <row r="5529">
          <cell r="A5529" t="str">
            <v>in storage</v>
          </cell>
          <cell r="K5529" t="str">
            <v>MMUR</v>
          </cell>
          <cell r="AB5529" t="str">
            <v>Eye</v>
          </cell>
        </row>
        <row r="5530">
          <cell r="A5530" t="str">
            <v>in storage</v>
          </cell>
          <cell r="K5530" t="str">
            <v>MMUR</v>
          </cell>
          <cell r="AB5530" t="str">
            <v>Fat- brown</v>
          </cell>
        </row>
        <row r="5531">
          <cell r="A5531" t="str">
            <v>in storage</v>
          </cell>
          <cell r="K5531" t="str">
            <v>MMUR</v>
          </cell>
          <cell r="AB5531" t="str">
            <v>Heart</v>
          </cell>
        </row>
        <row r="5532">
          <cell r="A5532" t="str">
            <v>in storage</v>
          </cell>
          <cell r="K5532" t="str">
            <v>MMUR</v>
          </cell>
          <cell r="AB5532" t="str">
            <v>Kidney</v>
          </cell>
        </row>
        <row r="5533">
          <cell r="A5533" t="str">
            <v>in storage</v>
          </cell>
          <cell r="K5533" t="str">
            <v>MMUR</v>
          </cell>
          <cell r="AB5533" t="str">
            <v>Kidney</v>
          </cell>
        </row>
        <row r="5534">
          <cell r="A5534" t="str">
            <v>in storage</v>
          </cell>
          <cell r="K5534" t="str">
            <v>MMUR</v>
          </cell>
          <cell r="AB5534" t="str">
            <v>Lung</v>
          </cell>
        </row>
        <row r="5535">
          <cell r="A5535" t="str">
            <v>in storage</v>
          </cell>
          <cell r="K5535" t="str">
            <v>MMUR</v>
          </cell>
          <cell r="AB5535" t="str">
            <v>Lung</v>
          </cell>
        </row>
        <row r="5536">
          <cell r="A5536" t="str">
            <v>in storage</v>
          </cell>
          <cell r="K5536" t="str">
            <v>MMUR</v>
          </cell>
          <cell r="AB5536" t="str">
            <v>Pancreas</v>
          </cell>
        </row>
        <row r="5537">
          <cell r="A5537" t="str">
            <v>in storage</v>
          </cell>
          <cell r="K5537" t="str">
            <v>MMUR</v>
          </cell>
          <cell r="AB5537" t="str">
            <v>Spleen</v>
          </cell>
        </row>
        <row r="5538">
          <cell r="A5538" t="str">
            <v>in storage</v>
          </cell>
          <cell r="K5538" t="str">
            <v>MMUR</v>
          </cell>
          <cell r="AB5538" t="str">
            <v>Thyroid</v>
          </cell>
        </row>
        <row r="5539">
          <cell r="A5539" t="str">
            <v>in storage</v>
          </cell>
          <cell r="K5539" t="str">
            <v>MMUR</v>
          </cell>
          <cell r="AB5539" t="str">
            <v>VNO</v>
          </cell>
        </row>
        <row r="5540">
          <cell r="A5540" t="str">
            <v>in storage</v>
          </cell>
          <cell r="K5540" t="str">
            <v>MMUR</v>
          </cell>
          <cell r="AB5540" t="str">
            <v>Skin</v>
          </cell>
        </row>
        <row r="5541">
          <cell r="A5541" t="str">
            <v>in storage</v>
          </cell>
          <cell r="K5541" t="str">
            <v>MMUR</v>
          </cell>
          <cell r="AB5541" t="str">
            <v>R- uterus</v>
          </cell>
        </row>
        <row r="5542">
          <cell r="A5542" t="str">
            <v>in storage</v>
          </cell>
          <cell r="K5542" t="str">
            <v>MMUR</v>
          </cell>
          <cell r="AB5542" t="str">
            <v>Muscle</v>
          </cell>
        </row>
        <row r="5543">
          <cell r="A5543" t="str">
            <v>in storage</v>
          </cell>
          <cell r="K5543" t="str">
            <v>LCAT</v>
          </cell>
          <cell r="AB5543" t="str">
            <v>Tail</v>
          </cell>
        </row>
        <row r="5544">
          <cell r="A5544" t="str">
            <v>in storage</v>
          </cell>
          <cell r="K5544" t="str">
            <v>HGG</v>
          </cell>
          <cell r="AB5544" t="str">
            <v>Muscle</v>
          </cell>
        </row>
        <row r="5545">
          <cell r="A5545" t="str">
            <v>in storage</v>
          </cell>
          <cell r="K5545" t="str">
            <v>HGG</v>
          </cell>
          <cell r="AB5545" t="str">
            <v>Muscle</v>
          </cell>
        </row>
        <row r="5546">
          <cell r="A5546" t="str">
            <v>in storage</v>
          </cell>
          <cell r="K5546" t="str">
            <v>HGG</v>
          </cell>
          <cell r="AB5546" t="str">
            <v>R- ovary</v>
          </cell>
        </row>
        <row r="5547">
          <cell r="A5547" t="str">
            <v>in storage</v>
          </cell>
          <cell r="K5547" t="str">
            <v>LTAR</v>
          </cell>
          <cell r="AB5547" t="str">
            <v>GI- stomach</v>
          </cell>
        </row>
        <row r="5548">
          <cell r="A5548" t="str">
            <v>in storage</v>
          </cell>
          <cell r="K5548" t="str">
            <v>HGG</v>
          </cell>
          <cell r="AB5548" t="str">
            <v>Liver</v>
          </cell>
        </row>
        <row r="5549">
          <cell r="A5549" t="str">
            <v>in storage</v>
          </cell>
          <cell r="K5549" t="str">
            <v>MMUR</v>
          </cell>
          <cell r="AB5549" t="str">
            <v>GI Tract</v>
          </cell>
        </row>
        <row r="5550">
          <cell r="A5550" t="str">
            <v>in storage</v>
          </cell>
          <cell r="K5550" t="str">
            <v>MMUR</v>
          </cell>
          <cell r="AB5550" t="str">
            <v>GI Tract</v>
          </cell>
        </row>
        <row r="5551">
          <cell r="A5551" t="str">
            <v>in storage</v>
          </cell>
          <cell r="K5551" t="str">
            <v>MMUR</v>
          </cell>
          <cell r="AB5551" t="str">
            <v>GI Tract</v>
          </cell>
        </row>
        <row r="5552">
          <cell r="A5552" t="str">
            <v>in storage</v>
          </cell>
          <cell r="K5552" t="str">
            <v>HGG</v>
          </cell>
          <cell r="AB5552" t="str">
            <v>Pancreas</v>
          </cell>
        </row>
        <row r="5553">
          <cell r="A5553" t="str">
            <v>in storage</v>
          </cell>
          <cell r="K5553" t="str">
            <v>HGG</v>
          </cell>
          <cell r="AB5553" t="str">
            <v>pituitary gland</v>
          </cell>
        </row>
        <row r="5554">
          <cell r="A5554" t="str">
            <v>in storage</v>
          </cell>
          <cell r="K5554" t="str">
            <v>HGG</v>
          </cell>
          <cell r="AB5554" t="str">
            <v>Spleen</v>
          </cell>
        </row>
        <row r="5555">
          <cell r="A5555" t="str">
            <v>in storage</v>
          </cell>
          <cell r="K5555" t="str">
            <v>HGG</v>
          </cell>
          <cell r="AB5555" t="str">
            <v>Adrenal gland</v>
          </cell>
        </row>
        <row r="5556">
          <cell r="A5556" t="str">
            <v>in storage</v>
          </cell>
          <cell r="K5556" t="str">
            <v>HGG</v>
          </cell>
          <cell r="AB5556" t="str">
            <v>Thyroid</v>
          </cell>
        </row>
        <row r="5557">
          <cell r="A5557" t="str">
            <v>in storage</v>
          </cell>
          <cell r="K5557" t="str">
            <v>HGG</v>
          </cell>
          <cell r="AB5557" t="str">
            <v>Liver</v>
          </cell>
        </row>
        <row r="5558">
          <cell r="A5558" t="str">
            <v>in storage</v>
          </cell>
          <cell r="K5558" t="str">
            <v>HGG</v>
          </cell>
          <cell r="AB5558" t="str">
            <v>Liver</v>
          </cell>
        </row>
        <row r="5559">
          <cell r="A5559" t="str">
            <v>in storage</v>
          </cell>
          <cell r="K5559" t="str">
            <v>HGG</v>
          </cell>
          <cell r="AB5559" t="str">
            <v>VNO</v>
          </cell>
        </row>
        <row r="5560">
          <cell r="A5560" t="str">
            <v>in storage</v>
          </cell>
          <cell r="K5560" t="str">
            <v>HGG</v>
          </cell>
          <cell r="AB5560" t="str">
            <v>Heart</v>
          </cell>
        </row>
        <row r="5561">
          <cell r="A5561" t="str">
            <v>in storage</v>
          </cell>
          <cell r="K5561" t="str">
            <v>HGG</v>
          </cell>
          <cell r="AB5561" t="str">
            <v>Heart</v>
          </cell>
        </row>
        <row r="5562">
          <cell r="A5562" t="str">
            <v>in storage</v>
          </cell>
          <cell r="K5562" t="str">
            <v>HGG</v>
          </cell>
          <cell r="AB5562" t="str">
            <v>Kidney</v>
          </cell>
        </row>
        <row r="5563">
          <cell r="A5563" t="str">
            <v>in storage</v>
          </cell>
          <cell r="K5563" t="str">
            <v>HGG</v>
          </cell>
          <cell r="AB5563" t="str">
            <v>Kidney</v>
          </cell>
        </row>
        <row r="5564">
          <cell r="A5564" t="str">
            <v>in storage</v>
          </cell>
          <cell r="K5564" t="str">
            <v>HGG</v>
          </cell>
          <cell r="AB5564" t="str">
            <v>Pancreas</v>
          </cell>
        </row>
        <row r="5565">
          <cell r="A5565" t="str">
            <v>in storage</v>
          </cell>
          <cell r="K5565" t="str">
            <v>HGG</v>
          </cell>
          <cell r="AB5565" t="str">
            <v>Skin</v>
          </cell>
        </row>
        <row r="5566">
          <cell r="A5566" t="str">
            <v>in storage</v>
          </cell>
          <cell r="K5566" t="str">
            <v>HGG</v>
          </cell>
          <cell r="AB5566" t="str">
            <v>Skin</v>
          </cell>
        </row>
        <row r="5567">
          <cell r="A5567" t="str">
            <v>in storage</v>
          </cell>
          <cell r="K5567" t="str">
            <v>HGG</v>
          </cell>
          <cell r="AB5567" t="str">
            <v>Liver</v>
          </cell>
        </row>
        <row r="5568">
          <cell r="A5568" t="str">
            <v>in storage</v>
          </cell>
          <cell r="K5568" t="str">
            <v>HGG</v>
          </cell>
          <cell r="AB5568" t="str">
            <v>Eye</v>
          </cell>
        </row>
        <row r="5569">
          <cell r="A5569" t="str">
            <v>in storage</v>
          </cell>
          <cell r="K5569" t="str">
            <v>HGG</v>
          </cell>
          <cell r="AB5569" t="str">
            <v>Heart</v>
          </cell>
        </row>
        <row r="5570">
          <cell r="A5570" t="str">
            <v>in storage</v>
          </cell>
          <cell r="K5570" t="str">
            <v>HGG</v>
          </cell>
          <cell r="AB5570" t="str">
            <v>Eye</v>
          </cell>
        </row>
        <row r="5571">
          <cell r="A5571" t="str">
            <v>in storage</v>
          </cell>
          <cell r="K5571" t="str">
            <v>HGG</v>
          </cell>
          <cell r="AB5571" t="str">
            <v>Lung</v>
          </cell>
        </row>
        <row r="5572">
          <cell r="A5572" t="str">
            <v>in storage</v>
          </cell>
          <cell r="K5572" t="str">
            <v>HGG</v>
          </cell>
          <cell r="AB5572" t="str">
            <v>Lung</v>
          </cell>
        </row>
        <row r="5573">
          <cell r="A5573" t="str">
            <v>in storage</v>
          </cell>
          <cell r="K5573" t="str">
            <v>HGG</v>
          </cell>
          <cell r="AB5573" t="str">
            <v>Lung</v>
          </cell>
        </row>
        <row r="5574">
          <cell r="A5574" t="str">
            <v>in storage</v>
          </cell>
          <cell r="K5574" t="str">
            <v>HGG</v>
          </cell>
          <cell r="AB5574" t="str">
            <v>Lung</v>
          </cell>
        </row>
        <row r="5575">
          <cell r="A5575" t="str">
            <v>in storage</v>
          </cell>
          <cell r="K5575" t="str">
            <v>VVV</v>
          </cell>
          <cell r="AB5575" t="str">
            <v>R- ovary</v>
          </cell>
        </row>
        <row r="5576">
          <cell r="A5576" t="str">
            <v>unk</v>
          </cell>
          <cell r="K5576" t="str">
            <v>MMUR</v>
          </cell>
          <cell r="AB5576" t="str">
            <v>GI Tract</v>
          </cell>
        </row>
        <row r="5577">
          <cell r="A5577" t="str">
            <v>in storage</v>
          </cell>
          <cell r="K5577" t="str">
            <v>MMUR</v>
          </cell>
          <cell r="AB5577" t="str">
            <v>GI- cecum</v>
          </cell>
        </row>
        <row r="5578">
          <cell r="A5578" t="str">
            <v>in storage</v>
          </cell>
          <cell r="K5578" t="str">
            <v>MMUR</v>
          </cell>
          <cell r="AB5578" t="str">
            <v>GI- large intestine</v>
          </cell>
        </row>
        <row r="5579">
          <cell r="A5579" t="str">
            <v>in storage</v>
          </cell>
          <cell r="K5579" t="str">
            <v>MMUR</v>
          </cell>
          <cell r="AB5579" t="str">
            <v>GI- duodenum</v>
          </cell>
        </row>
        <row r="5580">
          <cell r="A5580" t="str">
            <v>in storage</v>
          </cell>
          <cell r="K5580" t="str">
            <v>VVV</v>
          </cell>
          <cell r="AB5580" t="str">
            <v>Kidney</v>
          </cell>
        </row>
        <row r="5581">
          <cell r="A5581" t="str">
            <v>in storage</v>
          </cell>
          <cell r="K5581" t="str">
            <v>VVV</v>
          </cell>
          <cell r="AB5581" t="str">
            <v>Kidney</v>
          </cell>
        </row>
        <row r="5582">
          <cell r="A5582" t="str">
            <v>in storage</v>
          </cell>
          <cell r="K5582" t="str">
            <v>VVV</v>
          </cell>
          <cell r="AB5582" t="str">
            <v>Heart</v>
          </cell>
        </row>
        <row r="5583">
          <cell r="A5583" t="str">
            <v>in storage</v>
          </cell>
          <cell r="K5583" t="str">
            <v>VVV</v>
          </cell>
          <cell r="AB5583" t="str">
            <v>Lung</v>
          </cell>
        </row>
        <row r="5584">
          <cell r="A5584" t="str">
            <v>in storage</v>
          </cell>
          <cell r="K5584" t="str">
            <v>VVV</v>
          </cell>
          <cell r="AB5584" t="str">
            <v>Lung</v>
          </cell>
        </row>
        <row r="5585">
          <cell r="A5585" t="str">
            <v>in storage</v>
          </cell>
          <cell r="K5585" t="str">
            <v>VVV</v>
          </cell>
          <cell r="AB5585" t="str">
            <v>Gallbladder/ liver</v>
          </cell>
        </row>
        <row r="5586">
          <cell r="A5586" t="str">
            <v>in storage</v>
          </cell>
          <cell r="K5586" t="str">
            <v>VVV</v>
          </cell>
          <cell r="AB5586" t="str">
            <v>Lung</v>
          </cell>
        </row>
        <row r="5587">
          <cell r="A5587" t="str">
            <v>in storage</v>
          </cell>
          <cell r="K5587" t="str">
            <v>VVV</v>
          </cell>
          <cell r="AB5587" t="str">
            <v>Liver</v>
          </cell>
        </row>
        <row r="5588">
          <cell r="A5588" t="str">
            <v>in storage</v>
          </cell>
          <cell r="K5588" t="str">
            <v>VVV</v>
          </cell>
          <cell r="AB5588" t="str">
            <v>Heart</v>
          </cell>
        </row>
        <row r="5589">
          <cell r="A5589" t="str">
            <v>in storage</v>
          </cell>
          <cell r="K5589" t="str">
            <v>VVV</v>
          </cell>
          <cell r="AB5589" t="str">
            <v>Spleen</v>
          </cell>
        </row>
        <row r="5590">
          <cell r="A5590" t="str">
            <v>in storage</v>
          </cell>
          <cell r="K5590" t="str">
            <v>VVV</v>
          </cell>
          <cell r="AB5590" t="str">
            <v>Kidney</v>
          </cell>
        </row>
        <row r="5591">
          <cell r="A5591" t="str">
            <v>in storage</v>
          </cell>
          <cell r="K5591" t="str">
            <v>VVV</v>
          </cell>
          <cell r="AB5591" t="str">
            <v>Heart</v>
          </cell>
        </row>
        <row r="5592">
          <cell r="A5592" t="str">
            <v>in storage</v>
          </cell>
          <cell r="K5592" t="str">
            <v>VVV</v>
          </cell>
          <cell r="AB5592" t="str">
            <v>Kidney</v>
          </cell>
        </row>
        <row r="5593">
          <cell r="A5593" t="str">
            <v>in storage</v>
          </cell>
          <cell r="K5593" t="str">
            <v>VVV</v>
          </cell>
          <cell r="AB5593" t="str">
            <v>Lung</v>
          </cell>
        </row>
        <row r="5594">
          <cell r="A5594" t="str">
            <v>in storage</v>
          </cell>
          <cell r="K5594" t="str">
            <v>VVV</v>
          </cell>
          <cell r="AB5594" t="str">
            <v>Lung</v>
          </cell>
        </row>
        <row r="5595">
          <cell r="A5595" t="str">
            <v>in storage</v>
          </cell>
          <cell r="K5595" t="str">
            <v>VVV</v>
          </cell>
          <cell r="AB5595" t="str">
            <v>U- bladder</v>
          </cell>
        </row>
        <row r="5596">
          <cell r="A5596" t="str">
            <v>in storage</v>
          </cell>
          <cell r="K5596" t="str">
            <v>VVV</v>
          </cell>
          <cell r="AB5596" t="str">
            <v>Heart</v>
          </cell>
        </row>
        <row r="5597">
          <cell r="A5597" t="str">
            <v>in storage</v>
          </cell>
          <cell r="K5597" t="str">
            <v>VVV</v>
          </cell>
          <cell r="AB5597" t="str">
            <v>Liver</v>
          </cell>
        </row>
        <row r="5598">
          <cell r="A5598" t="str">
            <v>in storage</v>
          </cell>
          <cell r="K5598" t="str">
            <v>VVV</v>
          </cell>
          <cell r="AB5598" t="str">
            <v>Kidney</v>
          </cell>
        </row>
        <row r="5599">
          <cell r="A5599" t="str">
            <v>in storage</v>
          </cell>
          <cell r="K5599" t="str">
            <v>VVV</v>
          </cell>
          <cell r="AB5599" t="str">
            <v>Kidney</v>
          </cell>
        </row>
        <row r="5600">
          <cell r="A5600" t="str">
            <v>in storage</v>
          </cell>
          <cell r="K5600" t="str">
            <v>VVV</v>
          </cell>
          <cell r="AB5600" t="str">
            <v>Kidney</v>
          </cell>
        </row>
        <row r="5601">
          <cell r="A5601" t="str">
            <v>in storage</v>
          </cell>
          <cell r="K5601" t="str">
            <v>VVV</v>
          </cell>
          <cell r="AB5601" t="str">
            <v>Liver</v>
          </cell>
        </row>
        <row r="5602">
          <cell r="A5602" t="str">
            <v>in storage</v>
          </cell>
          <cell r="K5602" t="str">
            <v>VVV</v>
          </cell>
          <cell r="AB5602" t="str">
            <v>Kidney</v>
          </cell>
        </row>
        <row r="5603">
          <cell r="A5603" t="str">
            <v>in storage</v>
          </cell>
          <cell r="K5603" t="str">
            <v>VVV</v>
          </cell>
          <cell r="AB5603" t="str">
            <v>Spleen</v>
          </cell>
        </row>
        <row r="5604">
          <cell r="A5604" t="str">
            <v>in storage</v>
          </cell>
          <cell r="K5604" t="str">
            <v>VVV</v>
          </cell>
          <cell r="AB5604" t="str">
            <v>Spleen</v>
          </cell>
        </row>
        <row r="5605">
          <cell r="A5605" t="str">
            <v>in storage</v>
          </cell>
          <cell r="K5605" t="str">
            <v>VVV</v>
          </cell>
          <cell r="AB5605" t="str">
            <v>Skin</v>
          </cell>
        </row>
        <row r="5606">
          <cell r="A5606" t="str">
            <v>in storage</v>
          </cell>
          <cell r="K5606" t="str">
            <v>VVV</v>
          </cell>
          <cell r="AB5606" t="str">
            <v>Skin</v>
          </cell>
        </row>
        <row r="5607">
          <cell r="A5607" t="str">
            <v>unk</v>
          </cell>
          <cell r="K5607" t="str">
            <v>VVV</v>
          </cell>
          <cell r="AB5607" t="str">
            <v>Hair</v>
          </cell>
        </row>
        <row r="5608">
          <cell r="A5608" t="str">
            <v>unk</v>
          </cell>
          <cell r="K5608" t="str">
            <v>VVV</v>
          </cell>
          <cell r="AB5608" t="str">
            <v>Hair</v>
          </cell>
        </row>
        <row r="5609">
          <cell r="A5609" t="str">
            <v>unk</v>
          </cell>
          <cell r="K5609" t="str">
            <v>VVV</v>
          </cell>
          <cell r="AB5609" t="str">
            <v>Hair</v>
          </cell>
        </row>
        <row r="5610">
          <cell r="A5610" t="str">
            <v>in storage</v>
          </cell>
          <cell r="K5610" t="str">
            <v>VVV</v>
          </cell>
          <cell r="AB5610" t="str">
            <v>Thyroid</v>
          </cell>
        </row>
        <row r="5611">
          <cell r="A5611" t="str">
            <v>in storage</v>
          </cell>
          <cell r="K5611" t="str">
            <v>VVV</v>
          </cell>
          <cell r="AB5611" t="str">
            <v>Lymph node- mesenteric</v>
          </cell>
        </row>
        <row r="5612">
          <cell r="A5612" t="str">
            <v>in storage</v>
          </cell>
          <cell r="K5612" t="str">
            <v>MMUR</v>
          </cell>
          <cell r="AB5612" t="str">
            <v>GI- stomach</v>
          </cell>
        </row>
        <row r="5613">
          <cell r="A5613" t="str">
            <v>in storage</v>
          </cell>
          <cell r="K5613" t="str">
            <v>VVV</v>
          </cell>
          <cell r="AB5613" t="str">
            <v>Muscle</v>
          </cell>
        </row>
        <row r="5614">
          <cell r="A5614" t="str">
            <v>in storage</v>
          </cell>
          <cell r="K5614" t="str">
            <v>VVV</v>
          </cell>
          <cell r="AB5614" t="str">
            <v>Muscle</v>
          </cell>
        </row>
        <row r="5615">
          <cell r="A5615" t="str">
            <v>in storage</v>
          </cell>
          <cell r="K5615" t="str">
            <v>VVV</v>
          </cell>
          <cell r="AB5615" t="str">
            <v>Muscle</v>
          </cell>
        </row>
        <row r="5616">
          <cell r="A5616" t="str">
            <v>in storage</v>
          </cell>
          <cell r="K5616" t="str">
            <v>LCAT</v>
          </cell>
          <cell r="AB5616" t="str">
            <v>Tail</v>
          </cell>
        </row>
        <row r="5617">
          <cell r="A5617" t="str">
            <v>on hold</v>
          </cell>
          <cell r="K5617" t="str">
            <v>PCOQ</v>
          </cell>
          <cell r="AB5617" t="str">
            <v>R- sperm plug</v>
          </cell>
        </row>
        <row r="5618">
          <cell r="A5618" t="str">
            <v>in storage</v>
          </cell>
          <cell r="K5618" t="str">
            <v>NPYG</v>
          </cell>
          <cell r="AB5618" t="str">
            <v>R- ovary</v>
          </cell>
        </row>
        <row r="5619">
          <cell r="A5619" t="str">
            <v>in storage</v>
          </cell>
          <cell r="K5619" t="str">
            <v>MMUR</v>
          </cell>
          <cell r="AB5619" t="str">
            <v>GI- jejunum</v>
          </cell>
        </row>
        <row r="5620">
          <cell r="A5620" t="str">
            <v>in storage</v>
          </cell>
          <cell r="K5620" t="str">
            <v>NPYG</v>
          </cell>
          <cell r="AB5620" t="str">
            <v>Liver</v>
          </cell>
        </row>
        <row r="5621">
          <cell r="A5621" t="str">
            <v>in storage</v>
          </cell>
          <cell r="K5621" t="str">
            <v>MMUR</v>
          </cell>
          <cell r="AB5621" t="str">
            <v>GI Tract</v>
          </cell>
        </row>
        <row r="5622">
          <cell r="A5622" t="str">
            <v>in storage</v>
          </cell>
          <cell r="K5622" t="str">
            <v>MMUR</v>
          </cell>
          <cell r="AB5622" t="str">
            <v>GI Tract</v>
          </cell>
        </row>
        <row r="5623">
          <cell r="A5623" t="str">
            <v>in storage</v>
          </cell>
          <cell r="K5623" t="str">
            <v>MMUR</v>
          </cell>
          <cell r="AB5623" t="str">
            <v>GI- small intestine</v>
          </cell>
        </row>
        <row r="5624">
          <cell r="A5624" t="str">
            <v>in storage</v>
          </cell>
          <cell r="K5624" t="str">
            <v>NPYG</v>
          </cell>
          <cell r="AB5624" t="str">
            <v>Kidney</v>
          </cell>
        </row>
        <row r="5625">
          <cell r="A5625" t="str">
            <v>in storage</v>
          </cell>
          <cell r="K5625" t="str">
            <v>NPYG</v>
          </cell>
          <cell r="AB5625" t="str">
            <v>Pancreas</v>
          </cell>
        </row>
        <row r="5626">
          <cell r="A5626" t="str">
            <v>in storage</v>
          </cell>
          <cell r="K5626" t="str">
            <v>NPYG</v>
          </cell>
          <cell r="AB5626" t="str">
            <v>Lung</v>
          </cell>
        </row>
        <row r="5627">
          <cell r="A5627" t="str">
            <v>in storage</v>
          </cell>
          <cell r="K5627" t="str">
            <v>NPYG</v>
          </cell>
          <cell r="AB5627" t="str">
            <v>Kidney</v>
          </cell>
        </row>
        <row r="5628">
          <cell r="A5628" t="str">
            <v>in storage</v>
          </cell>
          <cell r="K5628" t="str">
            <v>NPYG</v>
          </cell>
          <cell r="AB5628" t="str">
            <v>Lung</v>
          </cell>
        </row>
        <row r="5629">
          <cell r="A5629" t="str">
            <v>in storage</v>
          </cell>
          <cell r="K5629" t="str">
            <v>NPYG</v>
          </cell>
          <cell r="AB5629" t="str">
            <v>Heart</v>
          </cell>
        </row>
        <row r="5630">
          <cell r="A5630" t="str">
            <v>in storage</v>
          </cell>
          <cell r="K5630" t="str">
            <v>NPYG</v>
          </cell>
          <cell r="AB5630" t="str">
            <v>VNO</v>
          </cell>
        </row>
        <row r="5631">
          <cell r="A5631" t="str">
            <v>in storage</v>
          </cell>
          <cell r="K5631" t="str">
            <v>NPYG</v>
          </cell>
          <cell r="AB5631" t="str">
            <v>U- bladder</v>
          </cell>
        </row>
        <row r="5632">
          <cell r="A5632" t="str">
            <v>in storage</v>
          </cell>
          <cell r="K5632" t="str">
            <v>NPYG</v>
          </cell>
          <cell r="AB5632" t="str">
            <v>Kidney</v>
          </cell>
        </row>
        <row r="5633">
          <cell r="A5633" t="str">
            <v>in storage</v>
          </cell>
          <cell r="K5633" t="str">
            <v>NPYG</v>
          </cell>
          <cell r="AB5633" t="str">
            <v>Liver</v>
          </cell>
        </row>
        <row r="5634">
          <cell r="A5634" t="str">
            <v>in storage</v>
          </cell>
          <cell r="K5634" t="str">
            <v>NPYG</v>
          </cell>
          <cell r="AB5634" t="str">
            <v>Gallstone</v>
          </cell>
        </row>
        <row r="5635">
          <cell r="A5635" t="str">
            <v>in storage</v>
          </cell>
          <cell r="K5635" t="str">
            <v>NPYG</v>
          </cell>
          <cell r="AB5635" t="str">
            <v>Liver</v>
          </cell>
        </row>
        <row r="5636">
          <cell r="A5636" t="str">
            <v>in storage</v>
          </cell>
          <cell r="K5636" t="str">
            <v>NPYG</v>
          </cell>
          <cell r="AB5636" t="str">
            <v>Heart</v>
          </cell>
        </row>
        <row r="5637">
          <cell r="A5637" t="str">
            <v>in storage</v>
          </cell>
          <cell r="K5637" t="str">
            <v>NPYG</v>
          </cell>
          <cell r="AB5637" t="str">
            <v>Liver</v>
          </cell>
        </row>
        <row r="5638">
          <cell r="A5638" t="str">
            <v>in storage</v>
          </cell>
          <cell r="K5638" t="str">
            <v>NPYG</v>
          </cell>
          <cell r="AB5638" t="str">
            <v>Lung</v>
          </cell>
        </row>
        <row r="5639">
          <cell r="A5639" t="str">
            <v>in storage</v>
          </cell>
          <cell r="K5639" t="str">
            <v>NPYG</v>
          </cell>
          <cell r="AB5639" t="str">
            <v>Spleen</v>
          </cell>
        </row>
        <row r="5640">
          <cell r="A5640" t="str">
            <v>in storage</v>
          </cell>
          <cell r="K5640" t="str">
            <v>NPYG</v>
          </cell>
          <cell r="AB5640" t="str">
            <v>Kidney</v>
          </cell>
        </row>
        <row r="5641">
          <cell r="A5641" t="str">
            <v>in storage</v>
          </cell>
          <cell r="K5641" t="str">
            <v>NPYG</v>
          </cell>
          <cell r="AB5641" t="str">
            <v>Lung</v>
          </cell>
        </row>
        <row r="5642">
          <cell r="A5642" t="str">
            <v>in storage</v>
          </cell>
          <cell r="K5642" t="str">
            <v>NPYG</v>
          </cell>
          <cell r="AB5642" t="str">
            <v>Skin</v>
          </cell>
        </row>
        <row r="5643">
          <cell r="A5643" t="str">
            <v>in storage</v>
          </cell>
          <cell r="K5643" t="str">
            <v>NPYG</v>
          </cell>
          <cell r="AB5643" t="str">
            <v>Gallstone</v>
          </cell>
        </row>
        <row r="5644">
          <cell r="A5644" t="str">
            <v>in storage</v>
          </cell>
          <cell r="K5644" t="str">
            <v>MMUR</v>
          </cell>
          <cell r="AB5644" t="str">
            <v>GI- large intestine</v>
          </cell>
        </row>
        <row r="5645">
          <cell r="A5645" t="str">
            <v>in storage</v>
          </cell>
          <cell r="K5645" t="str">
            <v>NPYG</v>
          </cell>
          <cell r="AB5645" t="str">
            <v>Lymph node</v>
          </cell>
        </row>
        <row r="5646">
          <cell r="A5646" t="str">
            <v>in storage</v>
          </cell>
          <cell r="K5646" t="str">
            <v>NPYG</v>
          </cell>
          <cell r="AB5646" t="str">
            <v>R- uterus</v>
          </cell>
        </row>
        <row r="5647">
          <cell r="A5647" t="str">
            <v>in storage</v>
          </cell>
          <cell r="K5647" t="str">
            <v>NPYG</v>
          </cell>
          <cell r="AB5647" t="str">
            <v>Muscle</v>
          </cell>
        </row>
        <row r="5648">
          <cell r="A5648" t="str">
            <v>on hold</v>
          </cell>
          <cell r="K5648" t="str">
            <v>LCAT</v>
          </cell>
          <cell r="AB5648" t="str">
            <v>R- sperm plug</v>
          </cell>
        </row>
        <row r="5649">
          <cell r="A5649" t="str">
            <v>in storage</v>
          </cell>
          <cell r="K5649" t="str">
            <v>NPYG</v>
          </cell>
          <cell r="AB5649" t="str">
            <v>R- accessory sex glands</v>
          </cell>
        </row>
        <row r="5650">
          <cell r="A5650" t="str">
            <v>in storage</v>
          </cell>
          <cell r="K5650" t="str">
            <v>NPYG</v>
          </cell>
          <cell r="AB5650" t="str">
            <v>Liver</v>
          </cell>
        </row>
        <row r="5651">
          <cell r="A5651" t="str">
            <v>in storage</v>
          </cell>
          <cell r="K5651" t="str">
            <v>MMUR</v>
          </cell>
          <cell r="AB5651" t="str">
            <v>GI- small intestine</v>
          </cell>
        </row>
        <row r="5652">
          <cell r="A5652" t="str">
            <v>in storage</v>
          </cell>
          <cell r="K5652" t="str">
            <v>NPYG</v>
          </cell>
          <cell r="AB5652" t="str">
            <v>Heart</v>
          </cell>
        </row>
        <row r="5653">
          <cell r="A5653" t="str">
            <v>in storage</v>
          </cell>
          <cell r="K5653" t="str">
            <v>NPYG</v>
          </cell>
          <cell r="AB5653" t="str">
            <v>Lung</v>
          </cell>
        </row>
        <row r="5654">
          <cell r="A5654" t="str">
            <v>in storage</v>
          </cell>
          <cell r="K5654" t="str">
            <v>NPYG</v>
          </cell>
          <cell r="AB5654" t="str">
            <v>Salivary gland</v>
          </cell>
        </row>
        <row r="5655">
          <cell r="A5655" t="str">
            <v>in storage</v>
          </cell>
          <cell r="K5655" t="str">
            <v>NPYG</v>
          </cell>
          <cell r="AB5655" t="str">
            <v>Liver</v>
          </cell>
        </row>
        <row r="5656">
          <cell r="A5656" t="str">
            <v>in storage</v>
          </cell>
          <cell r="K5656" t="str">
            <v>NPYG</v>
          </cell>
          <cell r="AB5656" t="str">
            <v>Pancreas</v>
          </cell>
        </row>
        <row r="5657">
          <cell r="A5657" t="str">
            <v>in storage</v>
          </cell>
          <cell r="K5657" t="str">
            <v>NPYG</v>
          </cell>
          <cell r="AB5657" t="str">
            <v>Liver</v>
          </cell>
        </row>
        <row r="5658">
          <cell r="A5658" t="str">
            <v>in storage</v>
          </cell>
          <cell r="K5658" t="str">
            <v>NPYG</v>
          </cell>
          <cell r="AB5658" t="str">
            <v>Kidney</v>
          </cell>
        </row>
        <row r="5659">
          <cell r="A5659" t="str">
            <v>in storage</v>
          </cell>
          <cell r="K5659" t="str">
            <v>NPYG</v>
          </cell>
          <cell r="AB5659" t="str">
            <v>Kidney</v>
          </cell>
        </row>
        <row r="5660">
          <cell r="A5660" t="str">
            <v>in storage</v>
          </cell>
          <cell r="K5660" t="str">
            <v>NPYG</v>
          </cell>
          <cell r="AB5660" t="str">
            <v>Lung</v>
          </cell>
        </row>
        <row r="5661">
          <cell r="A5661" t="str">
            <v>in storage</v>
          </cell>
          <cell r="K5661" t="str">
            <v>NPYG</v>
          </cell>
          <cell r="AB5661" t="str">
            <v>Heart</v>
          </cell>
        </row>
        <row r="5662">
          <cell r="A5662" t="str">
            <v>in storage</v>
          </cell>
          <cell r="K5662" t="str">
            <v>NPYG</v>
          </cell>
          <cell r="AB5662" t="str">
            <v>Pancreas</v>
          </cell>
        </row>
        <row r="5663">
          <cell r="A5663" t="str">
            <v>in storage</v>
          </cell>
          <cell r="K5663" t="str">
            <v>NPYG</v>
          </cell>
          <cell r="AB5663" t="str">
            <v>Kidney</v>
          </cell>
        </row>
        <row r="5664">
          <cell r="A5664" t="str">
            <v>in storage</v>
          </cell>
          <cell r="K5664" t="str">
            <v>NPYG</v>
          </cell>
          <cell r="AB5664" t="str">
            <v>Heart</v>
          </cell>
        </row>
        <row r="5665">
          <cell r="A5665" t="str">
            <v>in storage</v>
          </cell>
          <cell r="K5665" t="str">
            <v>NPYG</v>
          </cell>
          <cell r="AB5665" t="str">
            <v>Liver</v>
          </cell>
        </row>
        <row r="5666">
          <cell r="A5666" t="str">
            <v>in storage</v>
          </cell>
          <cell r="K5666" t="str">
            <v>NPYG</v>
          </cell>
          <cell r="AB5666" t="str">
            <v>Spleen</v>
          </cell>
        </row>
        <row r="5667">
          <cell r="A5667" t="str">
            <v>in storage</v>
          </cell>
          <cell r="K5667" t="str">
            <v>NPYG</v>
          </cell>
          <cell r="AB5667" t="str">
            <v>Kidney</v>
          </cell>
        </row>
        <row r="5668">
          <cell r="A5668" t="str">
            <v>in storage</v>
          </cell>
          <cell r="K5668" t="str">
            <v>NPYG</v>
          </cell>
          <cell r="AB5668" t="str">
            <v>U- bladder</v>
          </cell>
        </row>
        <row r="5669">
          <cell r="A5669" t="str">
            <v>in storage</v>
          </cell>
          <cell r="K5669" t="str">
            <v>NPYG</v>
          </cell>
          <cell r="AB5669" t="str">
            <v>Thyroid</v>
          </cell>
        </row>
        <row r="5670">
          <cell r="A5670" t="str">
            <v>in storage</v>
          </cell>
          <cell r="K5670" t="str">
            <v>NPYG</v>
          </cell>
          <cell r="AB5670" t="str">
            <v>Heart</v>
          </cell>
        </row>
        <row r="5671">
          <cell r="A5671" t="str">
            <v>in storage</v>
          </cell>
          <cell r="K5671" t="str">
            <v>NPYG</v>
          </cell>
          <cell r="AB5671" t="str">
            <v>Pancreas</v>
          </cell>
        </row>
        <row r="5672">
          <cell r="A5672" t="str">
            <v>in storage</v>
          </cell>
          <cell r="K5672" t="str">
            <v>NPYG</v>
          </cell>
          <cell r="AB5672" t="str">
            <v>Adrenal gland</v>
          </cell>
        </row>
        <row r="5673">
          <cell r="A5673" t="str">
            <v>in storage</v>
          </cell>
          <cell r="K5673" t="str">
            <v>NPYG</v>
          </cell>
          <cell r="AB5673" t="str">
            <v>Skin</v>
          </cell>
        </row>
        <row r="5674">
          <cell r="A5674" t="str">
            <v>in storage</v>
          </cell>
          <cell r="K5674" t="str">
            <v>NPYG</v>
          </cell>
          <cell r="AB5674" t="str">
            <v>R- teste(s)</v>
          </cell>
        </row>
        <row r="5675">
          <cell r="A5675" t="str">
            <v>in storage</v>
          </cell>
          <cell r="K5675" t="str">
            <v>NPYG</v>
          </cell>
          <cell r="AB5675" t="str">
            <v>Muscle</v>
          </cell>
        </row>
        <row r="5676">
          <cell r="A5676" t="str">
            <v>on hold</v>
          </cell>
          <cell r="K5676" t="str">
            <v>EFLA</v>
          </cell>
          <cell r="AB5676" t="str">
            <v>R- sperm plug</v>
          </cell>
        </row>
        <row r="5677">
          <cell r="A5677" t="str">
            <v>in storage</v>
          </cell>
          <cell r="K5677" t="str">
            <v>MMUR</v>
          </cell>
          <cell r="AB5677" t="str">
            <v>GI Contents- large intestine</v>
          </cell>
        </row>
        <row r="5678">
          <cell r="A5678" t="str">
            <v>in storage</v>
          </cell>
          <cell r="K5678" t="str">
            <v>MMUR</v>
          </cell>
          <cell r="AB5678" t="str">
            <v>GI Tract</v>
          </cell>
        </row>
        <row r="5679">
          <cell r="A5679" t="str">
            <v>in storage</v>
          </cell>
          <cell r="K5679" t="str">
            <v>MMUR</v>
          </cell>
          <cell r="AB5679" t="str">
            <v>Pancreas</v>
          </cell>
        </row>
        <row r="5680">
          <cell r="A5680" t="str">
            <v>in storage</v>
          </cell>
          <cell r="K5680" t="str">
            <v>MMUR</v>
          </cell>
          <cell r="AB5680" t="str">
            <v>Adrenal gland</v>
          </cell>
        </row>
        <row r="5681">
          <cell r="A5681" t="str">
            <v>in storage</v>
          </cell>
          <cell r="K5681" t="str">
            <v>MMUR</v>
          </cell>
          <cell r="AB5681" t="str">
            <v>Liver</v>
          </cell>
        </row>
        <row r="5682">
          <cell r="A5682" t="str">
            <v>in storage</v>
          </cell>
          <cell r="K5682" t="str">
            <v>MMUR</v>
          </cell>
          <cell r="AB5682" t="str">
            <v>Liver</v>
          </cell>
        </row>
        <row r="5683">
          <cell r="A5683" t="str">
            <v>in storage</v>
          </cell>
          <cell r="K5683" t="str">
            <v>MMUR</v>
          </cell>
          <cell r="AB5683" t="str">
            <v>Liver</v>
          </cell>
        </row>
        <row r="5684">
          <cell r="A5684" t="str">
            <v>in storage</v>
          </cell>
          <cell r="K5684" t="str">
            <v>MMUR</v>
          </cell>
          <cell r="AB5684" t="str">
            <v>Heart</v>
          </cell>
        </row>
        <row r="5685">
          <cell r="A5685" t="str">
            <v>in storage</v>
          </cell>
          <cell r="K5685" t="str">
            <v>MMUR</v>
          </cell>
          <cell r="AB5685" t="str">
            <v>Spleen</v>
          </cell>
        </row>
        <row r="5686">
          <cell r="A5686" t="str">
            <v>in storage</v>
          </cell>
          <cell r="K5686" t="str">
            <v>MMUR</v>
          </cell>
          <cell r="AB5686" t="str">
            <v>Lung</v>
          </cell>
        </row>
        <row r="5687">
          <cell r="A5687" t="str">
            <v>in storage</v>
          </cell>
          <cell r="K5687" t="str">
            <v>MMUR</v>
          </cell>
          <cell r="AB5687" t="str">
            <v>Lung</v>
          </cell>
        </row>
        <row r="5688">
          <cell r="A5688" t="str">
            <v>in storage</v>
          </cell>
          <cell r="K5688" t="str">
            <v>MMUR</v>
          </cell>
          <cell r="AB5688" t="str">
            <v>Kidney</v>
          </cell>
        </row>
        <row r="5689">
          <cell r="A5689" t="str">
            <v>in storage</v>
          </cell>
          <cell r="K5689" t="str">
            <v>MMUR</v>
          </cell>
          <cell r="AB5689" t="str">
            <v>Kidney</v>
          </cell>
        </row>
        <row r="5690">
          <cell r="A5690" t="str">
            <v>in storage</v>
          </cell>
          <cell r="K5690" t="str">
            <v>MMUR</v>
          </cell>
          <cell r="AB5690" t="str">
            <v>Adrenal gland</v>
          </cell>
        </row>
        <row r="5691">
          <cell r="A5691" t="str">
            <v>in storage</v>
          </cell>
          <cell r="K5691" t="str">
            <v>MMUR</v>
          </cell>
          <cell r="AB5691" t="str">
            <v>Skin</v>
          </cell>
        </row>
        <row r="5692">
          <cell r="A5692" t="str">
            <v>in storage</v>
          </cell>
          <cell r="K5692" t="str">
            <v>MMUR</v>
          </cell>
          <cell r="AB5692" t="str">
            <v>Skin</v>
          </cell>
        </row>
        <row r="5693">
          <cell r="A5693" t="str">
            <v>in storage</v>
          </cell>
          <cell r="K5693" t="str">
            <v>MMUR</v>
          </cell>
          <cell r="AB5693" t="str">
            <v>Muscle</v>
          </cell>
        </row>
        <row r="5694">
          <cell r="A5694" t="str">
            <v>in storage</v>
          </cell>
          <cell r="K5694" t="str">
            <v>MMUR</v>
          </cell>
          <cell r="AB5694" t="str">
            <v>Mass- sarcoma</v>
          </cell>
        </row>
        <row r="5695">
          <cell r="A5695" t="str">
            <v>in storage</v>
          </cell>
          <cell r="K5695" t="str">
            <v>MMUR</v>
          </cell>
          <cell r="AB5695" t="str">
            <v>Mass- sarcoma</v>
          </cell>
        </row>
        <row r="5696">
          <cell r="A5696" t="str">
            <v>in storage</v>
          </cell>
          <cell r="K5696" t="str">
            <v>MMUR</v>
          </cell>
          <cell r="AB5696" t="str">
            <v>Muscle</v>
          </cell>
        </row>
        <row r="5697">
          <cell r="A5697" t="str">
            <v>in storage</v>
          </cell>
          <cell r="K5697" t="str">
            <v>MMUR</v>
          </cell>
          <cell r="AB5697" t="str">
            <v>Muscle</v>
          </cell>
        </row>
        <row r="5698">
          <cell r="A5698" t="str">
            <v>in storage</v>
          </cell>
          <cell r="K5698" t="str">
            <v>MMUR</v>
          </cell>
          <cell r="AB5698" t="str">
            <v>GI Contents- cecum</v>
          </cell>
        </row>
        <row r="5699">
          <cell r="A5699" t="str">
            <v>in storage</v>
          </cell>
          <cell r="K5699" t="str">
            <v>MMUR</v>
          </cell>
          <cell r="AB5699" t="str">
            <v>GI- cecum/ colon</v>
          </cell>
        </row>
        <row r="5700">
          <cell r="A5700" t="str">
            <v>in storage</v>
          </cell>
          <cell r="K5700" t="str">
            <v>MMUR</v>
          </cell>
          <cell r="AB5700" t="str">
            <v>Thyroid</v>
          </cell>
        </row>
        <row r="5701">
          <cell r="A5701" t="str">
            <v>in storage</v>
          </cell>
          <cell r="K5701" t="str">
            <v>MMUR</v>
          </cell>
          <cell r="AB5701" t="str">
            <v>Heart</v>
          </cell>
        </row>
        <row r="5702">
          <cell r="A5702" t="str">
            <v>in storage</v>
          </cell>
          <cell r="K5702" t="str">
            <v>MMUR</v>
          </cell>
          <cell r="AB5702" t="str">
            <v>Adrenal gland</v>
          </cell>
        </row>
        <row r="5703">
          <cell r="A5703" t="str">
            <v>in storage</v>
          </cell>
          <cell r="K5703" t="str">
            <v>MMUR</v>
          </cell>
          <cell r="AB5703" t="str">
            <v>Liver</v>
          </cell>
        </row>
        <row r="5704">
          <cell r="A5704" t="str">
            <v>in storage</v>
          </cell>
          <cell r="K5704" t="str">
            <v>MMUR</v>
          </cell>
          <cell r="AB5704" t="str">
            <v>Spleen</v>
          </cell>
        </row>
        <row r="5705">
          <cell r="A5705" t="str">
            <v>in storage</v>
          </cell>
          <cell r="K5705" t="str">
            <v>MMUR</v>
          </cell>
          <cell r="AB5705" t="str">
            <v>Lung</v>
          </cell>
        </row>
        <row r="5706">
          <cell r="A5706" t="str">
            <v>in storage</v>
          </cell>
          <cell r="K5706" t="str">
            <v>MMUR</v>
          </cell>
          <cell r="AB5706" t="str">
            <v>Liver</v>
          </cell>
        </row>
        <row r="5707">
          <cell r="A5707" t="str">
            <v>in storage</v>
          </cell>
          <cell r="K5707" t="str">
            <v>MMUR</v>
          </cell>
          <cell r="AB5707" t="str">
            <v>Thyroid</v>
          </cell>
        </row>
        <row r="5708">
          <cell r="A5708" t="str">
            <v>in storage</v>
          </cell>
          <cell r="K5708" t="str">
            <v>MMUR</v>
          </cell>
          <cell r="AB5708" t="str">
            <v>Kidney</v>
          </cell>
        </row>
        <row r="5709">
          <cell r="A5709" t="str">
            <v>in storage</v>
          </cell>
          <cell r="K5709" t="str">
            <v>MMUR</v>
          </cell>
          <cell r="AB5709" t="str">
            <v>Lung</v>
          </cell>
        </row>
        <row r="5710">
          <cell r="A5710" t="str">
            <v>in storage</v>
          </cell>
          <cell r="K5710" t="str">
            <v>MMUR</v>
          </cell>
          <cell r="AB5710" t="str">
            <v>Kidney</v>
          </cell>
        </row>
        <row r="5711">
          <cell r="A5711" t="str">
            <v>in storage</v>
          </cell>
          <cell r="K5711" t="str">
            <v>MMUR</v>
          </cell>
          <cell r="AB5711" t="str">
            <v>Liver</v>
          </cell>
        </row>
        <row r="5712">
          <cell r="A5712" t="str">
            <v>in storage</v>
          </cell>
          <cell r="K5712" t="str">
            <v>MMUR</v>
          </cell>
          <cell r="AB5712" t="str">
            <v>Skin</v>
          </cell>
        </row>
        <row r="5713">
          <cell r="A5713" t="str">
            <v>in storage</v>
          </cell>
          <cell r="K5713" t="str">
            <v>MMUR</v>
          </cell>
          <cell r="AB5713" t="str">
            <v>Eye</v>
          </cell>
        </row>
        <row r="5714">
          <cell r="A5714" t="str">
            <v>in storage</v>
          </cell>
          <cell r="K5714" t="str">
            <v>EFLA</v>
          </cell>
          <cell r="AB5714" t="str">
            <v>Liver</v>
          </cell>
        </row>
        <row r="5715">
          <cell r="A5715" t="str">
            <v>in storage</v>
          </cell>
          <cell r="K5715" t="str">
            <v>MMUR</v>
          </cell>
          <cell r="AB5715" t="str">
            <v>GI- small intestine</v>
          </cell>
        </row>
        <row r="5716">
          <cell r="A5716" t="str">
            <v>in storage</v>
          </cell>
          <cell r="K5716" t="str">
            <v>EFLA</v>
          </cell>
          <cell r="AB5716" t="str">
            <v>Kidney</v>
          </cell>
        </row>
        <row r="5717">
          <cell r="A5717" t="str">
            <v>in storage</v>
          </cell>
          <cell r="K5717" t="str">
            <v>EFLA</v>
          </cell>
          <cell r="AB5717" t="str">
            <v>Lung</v>
          </cell>
        </row>
        <row r="5718">
          <cell r="A5718" t="str">
            <v>in storage</v>
          </cell>
          <cell r="K5718" t="str">
            <v>EFLA</v>
          </cell>
          <cell r="AB5718" t="str">
            <v>Adrenal gland</v>
          </cell>
        </row>
        <row r="5719">
          <cell r="A5719" t="str">
            <v>in storage</v>
          </cell>
          <cell r="K5719" t="str">
            <v>EFLA</v>
          </cell>
          <cell r="AB5719" t="str">
            <v>Spleen</v>
          </cell>
        </row>
        <row r="5720">
          <cell r="A5720" t="str">
            <v>in storage</v>
          </cell>
          <cell r="K5720" t="str">
            <v>VRUB</v>
          </cell>
          <cell r="AB5720" t="str">
            <v>Mass- cecal</v>
          </cell>
        </row>
        <row r="5721">
          <cell r="A5721" t="str">
            <v>in storage</v>
          </cell>
          <cell r="K5721" t="str">
            <v>ECOR</v>
          </cell>
          <cell r="AB5721" t="str">
            <v>R- fetal membrane</v>
          </cell>
        </row>
        <row r="5722">
          <cell r="A5722" t="str">
            <v>in storage</v>
          </cell>
          <cell r="K5722" t="str">
            <v>ECOR</v>
          </cell>
          <cell r="AB5722" t="str">
            <v>Muscle</v>
          </cell>
        </row>
        <row r="5723">
          <cell r="A5723" t="str">
            <v>unk</v>
          </cell>
          <cell r="K5723" t="str">
            <v>ECOR</v>
          </cell>
          <cell r="AB5723" t="str">
            <v>R- fetal membrane</v>
          </cell>
        </row>
        <row r="5724">
          <cell r="A5724" t="str">
            <v>in storage</v>
          </cell>
          <cell r="K5724" t="str">
            <v>ECOR</v>
          </cell>
          <cell r="AB5724" t="str">
            <v>R- ovary</v>
          </cell>
        </row>
        <row r="5725">
          <cell r="A5725" t="str">
            <v>unk</v>
          </cell>
          <cell r="K5725" t="str">
            <v>ECOR</v>
          </cell>
          <cell r="AB5725" t="str">
            <v>Trachea</v>
          </cell>
        </row>
        <row r="5726">
          <cell r="A5726" t="str">
            <v>in storage</v>
          </cell>
          <cell r="K5726" t="str">
            <v>ECOR</v>
          </cell>
          <cell r="AB5726" t="str">
            <v>Liver</v>
          </cell>
        </row>
        <row r="5727">
          <cell r="A5727" t="str">
            <v>in storage</v>
          </cell>
          <cell r="K5727" t="str">
            <v>ECOR</v>
          </cell>
          <cell r="AB5727" t="str">
            <v>Pancreas</v>
          </cell>
        </row>
        <row r="5728">
          <cell r="A5728" t="str">
            <v>in storage</v>
          </cell>
          <cell r="K5728" t="str">
            <v>MMUR</v>
          </cell>
          <cell r="AB5728" t="str">
            <v>GI Tract</v>
          </cell>
        </row>
        <row r="5729">
          <cell r="A5729" t="str">
            <v>in storage</v>
          </cell>
          <cell r="K5729" t="str">
            <v>ECOR</v>
          </cell>
          <cell r="AB5729" t="str">
            <v>Kidney</v>
          </cell>
        </row>
        <row r="5730">
          <cell r="A5730" t="str">
            <v>in storage</v>
          </cell>
          <cell r="K5730" t="str">
            <v>ECOR</v>
          </cell>
          <cell r="AB5730" t="str">
            <v>Spleen</v>
          </cell>
        </row>
        <row r="5731">
          <cell r="A5731" t="str">
            <v>in storage</v>
          </cell>
          <cell r="K5731" t="str">
            <v>ECOR</v>
          </cell>
          <cell r="AB5731" t="str">
            <v>Heart</v>
          </cell>
        </row>
        <row r="5732">
          <cell r="A5732" t="str">
            <v>in storage</v>
          </cell>
          <cell r="K5732" t="str">
            <v>ECOR</v>
          </cell>
          <cell r="AB5732" t="str">
            <v>Lung</v>
          </cell>
        </row>
        <row r="5733">
          <cell r="A5733" t="str">
            <v>in storage</v>
          </cell>
          <cell r="K5733" t="str">
            <v>ECOR</v>
          </cell>
          <cell r="AB5733" t="str">
            <v>Skin</v>
          </cell>
        </row>
        <row r="5734">
          <cell r="A5734" t="str">
            <v>in storage</v>
          </cell>
          <cell r="K5734" t="str">
            <v>ECOR</v>
          </cell>
          <cell r="AB5734" t="str">
            <v>Adrenal gland</v>
          </cell>
        </row>
        <row r="5735">
          <cell r="A5735" t="str">
            <v>in storage</v>
          </cell>
          <cell r="K5735" t="str">
            <v>ECOR</v>
          </cell>
          <cell r="AB5735" t="str">
            <v>Thymus</v>
          </cell>
        </row>
        <row r="5736">
          <cell r="A5736" t="str">
            <v>in storage</v>
          </cell>
          <cell r="K5736" t="str">
            <v>ECOR</v>
          </cell>
          <cell r="AB5736" t="str">
            <v>Thyroid</v>
          </cell>
        </row>
        <row r="5737">
          <cell r="A5737" t="str">
            <v>in storage</v>
          </cell>
          <cell r="K5737" t="str">
            <v>MMUR</v>
          </cell>
          <cell r="AB5737" t="str">
            <v>GI- large intestine</v>
          </cell>
        </row>
        <row r="5738">
          <cell r="A5738" t="str">
            <v>in storage</v>
          </cell>
          <cell r="K5738" t="str">
            <v>MMUR</v>
          </cell>
          <cell r="AB5738" t="str">
            <v>Muscle</v>
          </cell>
        </row>
        <row r="5739">
          <cell r="A5739" t="str">
            <v>in storage</v>
          </cell>
          <cell r="K5739" t="str">
            <v>MMUR</v>
          </cell>
          <cell r="AB5739" t="str">
            <v>R- ovary</v>
          </cell>
        </row>
        <row r="5740">
          <cell r="A5740" t="str">
            <v>in storage</v>
          </cell>
          <cell r="K5740" t="str">
            <v>MMUR</v>
          </cell>
          <cell r="AB5740" t="str">
            <v>GI- small intestine</v>
          </cell>
        </row>
        <row r="5741">
          <cell r="A5741" t="str">
            <v>in storage</v>
          </cell>
          <cell r="K5741" t="str">
            <v>MMUR</v>
          </cell>
          <cell r="AB5741" t="str">
            <v>GI- stomach</v>
          </cell>
        </row>
        <row r="5742">
          <cell r="A5742" t="str">
            <v>in storage</v>
          </cell>
          <cell r="K5742" t="str">
            <v>MMUR</v>
          </cell>
          <cell r="AB5742" t="str">
            <v>Skin</v>
          </cell>
        </row>
        <row r="5743">
          <cell r="A5743" t="str">
            <v>in storage</v>
          </cell>
          <cell r="K5743" t="str">
            <v>MMUR</v>
          </cell>
          <cell r="AB5743" t="str">
            <v>Liver</v>
          </cell>
        </row>
        <row r="5744">
          <cell r="A5744" t="str">
            <v>in storage</v>
          </cell>
          <cell r="K5744" t="str">
            <v>MMUR</v>
          </cell>
          <cell r="AB5744" t="str">
            <v>Liver</v>
          </cell>
        </row>
        <row r="5745">
          <cell r="A5745" t="str">
            <v>in storage</v>
          </cell>
          <cell r="K5745" t="str">
            <v>MMUR</v>
          </cell>
          <cell r="AB5745" t="str">
            <v>Liver</v>
          </cell>
        </row>
        <row r="5746">
          <cell r="A5746" t="str">
            <v>in storage</v>
          </cell>
          <cell r="K5746" t="str">
            <v>MMUR</v>
          </cell>
          <cell r="AB5746" t="str">
            <v>Kidney</v>
          </cell>
        </row>
        <row r="5747">
          <cell r="A5747" t="str">
            <v>in storage</v>
          </cell>
          <cell r="K5747" t="str">
            <v>MMUR</v>
          </cell>
          <cell r="AB5747" t="str">
            <v>VNO</v>
          </cell>
        </row>
        <row r="5748">
          <cell r="A5748" t="str">
            <v>in storage</v>
          </cell>
          <cell r="K5748" t="str">
            <v>MMUR</v>
          </cell>
          <cell r="AB5748" t="str">
            <v>Kidney</v>
          </cell>
        </row>
        <row r="5749">
          <cell r="A5749" t="str">
            <v>in storage</v>
          </cell>
          <cell r="K5749" t="str">
            <v>MMUR</v>
          </cell>
          <cell r="AB5749" t="str">
            <v>Lung</v>
          </cell>
        </row>
        <row r="5750">
          <cell r="A5750" t="str">
            <v>in storage</v>
          </cell>
          <cell r="K5750" t="str">
            <v>MMUR</v>
          </cell>
          <cell r="AB5750" t="str">
            <v>Spleen</v>
          </cell>
        </row>
        <row r="5751">
          <cell r="A5751" t="str">
            <v>in storage</v>
          </cell>
          <cell r="K5751" t="str">
            <v>MMUR</v>
          </cell>
          <cell r="AB5751" t="str">
            <v>Heart</v>
          </cell>
        </row>
        <row r="5752">
          <cell r="A5752" t="str">
            <v>in storage</v>
          </cell>
          <cell r="K5752" t="str">
            <v>MMUR</v>
          </cell>
          <cell r="AB5752" t="str">
            <v>Gallbladder/ liver</v>
          </cell>
        </row>
        <row r="5753">
          <cell r="A5753" t="str">
            <v>in storage</v>
          </cell>
          <cell r="K5753" t="str">
            <v>EFLA</v>
          </cell>
          <cell r="AB5753" t="str">
            <v>R- placenta</v>
          </cell>
        </row>
        <row r="5754">
          <cell r="A5754" t="str">
            <v>in storage</v>
          </cell>
          <cell r="K5754" t="str">
            <v>EFLA</v>
          </cell>
          <cell r="AB5754" t="str">
            <v>R- placenta</v>
          </cell>
        </row>
        <row r="5755">
          <cell r="A5755" t="str">
            <v>in storage</v>
          </cell>
          <cell r="K5755" t="str">
            <v>EFLA</v>
          </cell>
          <cell r="AB5755" t="str">
            <v>R- placenta</v>
          </cell>
        </row>
        <row r="5756">
          <cell r="A5756" t="str">
            <v>in storage</v>
          </cell>
          <cell r="K5756" t="str">
            <v>NCOU</v>
          </cell>
          <cell r="AB5756" t="str">
            <v>Mass- mammary</v>
          </cell>
        </row>
        <row r="5757">
          <cell r="A5757" t="str">
            <v>in storage</v>
          </cell>
          <cell r="K5757" t="str">
            <v>VRUB</v>
          </cell>
          <cell r="AB5757" t="str">
            <v>R- placenta</v>
          </cell>
        </row>
        <row r="5758">
          <cell r="A5758" t="str">
            <v>in storage</v>
          </cell>
          <cell r="K5758" t="str">
            <v>PCOQ</v>
          </cell>
          <cell r="AB5758" t="str">
            <v>R- amniotic sac/ placenta</v>
          </cell>
        </row>
        <row r="5759">
          <cell r="A5759" t="str">
            <v>in storage</v>
          </cell>
          <cell r="K5759" t="str">
            <v>PCOQ</v>
          </cell>
          <cell r="AB5759" t="str">
            <v>Liver</v>
          </cell>
        </row>
        <row r="5760">
          <cell r="A5760" t="str">
            <v>in storage</v>
          </cell>
          <cell r="K5760" t="str">
            <v>MMUR</v>
          </cell>
          <cell r="AB5760" t="str">
            <v>GI Tract</v>
          </cell>
        </row>
        <row r="5761">
          <cell r="A5761" t="str">
            <v>in storage</v>
          </cell>
          <cell r="K5761" t="str">
            <v>PCOQ</v>
          </cell>
          <cell r="AB5761" t="str">
            <v>Kidney</v>
          </cell>
        </row>
        <row r="5762">
          <cell r="A5762" t="str">
            <v>in storage</v>
          </cell>
          <cell r="K5762" t="str">
            <v>PCOQ</v>
          </cell>
          <cell r="AB5762" t="str">
            <v>Spleen</v>
          </cell>
        </row>
        <row r="5763">
          <cell r="A5763" t="str">
            <v>in storage</v>
          </cell>
          <cell r="K5763" t="str">
            <v>PCOQ</v>
          </cell>
          <cell r="AB5763" t="str">
            <v>Heart</v>
          </cell>
        </row>
        <row r="5764">
          <cell r="A5764" t="str">
            <v>in storage</v>
          </cell>
          <cell r="K5764" t="str">
            <v>PCOQ</v>
          </cell>
          <cell r="AB5764" t="str">
            <v>Lung</v>
          </cell>
        </row>
        <row r="5765">
          <cell r="A5765" t="str">
            <v>in storage</v>
          </cell>
          <cell r="K5765" t="str">
            <v>MMUR</v>
          </cell>
          <cell r="AB5765" t="str">
            <v>Tail</v>
          </cell>
        </row>
        <row r="5766">
          <cell r="A5766" t="str">
            <v>in storage</v>
          </cell>
          <cell r="K5766" t="str">
            <v>OCRA</v>
          </cell>
          <cell r="AB5766" t="str">
            <v>R- reproductive tract</v>
          </cell>
        </row>
        <row r="5767">
          <cell r="A5767" t="str">
            <v>in storage</v>
          </cell>
          <cell r="K5767" t="str">
            <v>MMUR</v>
          </cell>
          <cell r="AB5767" t="str">
            <v>GI Contents- cecum</v>
          </cell>
        </row>
        <row r="5768">
          <cell r="A5768" t="str">
            <v>unk</v>
          </cell>
          <cell r="K5768" t="str">
            <v>OCRA</v>
          </cell>
          <cell r="AB5768" t="str">
            <v>Trachea</v>
          </cell>
        </row>
        <row r="5769">
          <cell r="A5769" t="str">
            <v>in storage</v>
          </cell>
          <cell r="K5769" t="str">
            <v>OCRA</v>
          </cell>
          <cell r="AB5769" t="str">
            <v>Liver</v>
          </cell>
        </row>
        <row r="5770">
          <cell r="A5770" t="str">
            <v>in storage</v>
          </cell>
          <cell r="K5770" t="str">
            <v>MMUR</v>
          </cell>
          <cell r="AB5770" t="str">
            <v>GI Contents- large intestine</v>
          </cell>
        </row>
        <row r="5771">
          <cell r="A5771" t="str">
            <v>in storage</v>
          </cell>
          <cell r="K5771" t="str">
            <v>MMUR</v>
          </cell>
          <cell r="AB5771" t="str">
            <v>GI- large intestine</v>
          </cell>
        </row>
        <row r="5772">
          <cell r="A5772" t="str">
            <v>in storage</v>
          </cell>
          <cell r="K5772" t="str">
            <v>MMUR</v>
          </cell>
          <cell r="AB5772" t="str">
            <v>GI- small intestine</v>
          </cell>
        </row>
        <row r="5773">
          <cell r="A5773" t="str">
            <v>in storage</v>
          </cell>
          <cell r="K5773" t="str">
            <v>OCRA</v>
          </cell>
          <cell r="AB5773" t="str">
            <v>Pancreas</v>
          </cell>
        </row>
        <row r="5774">
          <cell r="A5774" t="str">
            <v>in storage</v>
          </cell>
          <cell r="K5774" t="str">
            <v>OCRA</v>
          </cell>
          <cell r="AB5774" t="str">
            <v>Kidney</v>
          </cell>
        </row>
        <row r="5775">
          <cell r="A5775" t="str">
            <v>in storage</v>
          </cell>
          <cell r="K5775" t="str">
            <v>OCRA</v>
          </cell>
          <cell r="AB5775" t="str">
            <v>Kidney</v>
          </cell>
        </row>
        <row r="5776">
          <cell r="A5776" t="str">
            <v>in storage</v>
          </cell>
          <cell r="K5776" t="str">
            <v>OCRA</v>
          </cell>
          <cell r="AB5776" t="str">
            <v>Spleen</v>
          </cell>
        </row>
        <row r="5777">
          <cell r="A5777" t="str">
            <v>in storage</v>
          </cell>
          <cell r="K5777" t="str">
            <v>OCRA</v>
          </cell>
          <cell r="AB5777" t="str">
            <v>Spleen</v>
          </cell>
        </row>
        <row r="5778">
          <cell r="A5778" t="str">
            <v>in storage</v>
          </cell>
          <cell r="K5778" t="str">
            <v>OCRA</v>
          </cell>
          <cell r="AB5778" t="str">
            <v>Heart</v>
          </cell>
        </row>
        <row r="5779">
          <cell r="A5779" t="str">
            <v>in storage</v>
          </cell>
          <cell r="K5779" t="str">
            <v>OCRA</v>
          </cell>
          <cell r="AB5779" t="str">
            <v>Lung</v>
          </cell>
        </row>
        <row r="5780">
          <cell r="A5780" t="str">
            <v>in storage</v>
          </cell>
          <cell r="K5780" t="str">
            <v>OCRA</v>
          </cell>
          <cell r="AB5780" t="str">
            <v>Lung</v>
          </cell>
        </row>
        <row r="5781">
          <cell r="A5781" t="str">
            <v>in storage</v>
          </cell>
          <cell r="K5781" t="str">
            <v>OCRA</v>
          </cell>
          <cell r="AB5781" t="str">
            <v>U- bladder</v>
          </cell>
        </row>
        <row r="5782">
          <cell r="A5782" t="str">
            <v>gone</v>
          </cell>
          <cell r="K5782" t="str">
            <v>OCRA</v>
          </cell>
          <cell r="AB5782" t="str">
            <v>Liver</v>
          </cell>
        </row>
        <row r="5783">
          <cell r="A5783" t="str">
            <v>in storage</v>
          </cell>
          <cell r="K5783" t="str">
            <v>OCRA</v>
          </cell>
          <cell r="AB5783" t="str">
            <v>Liver</v>
          </cell>
        </row>
        <row r="5784">
          <cell r="A5784" t="str">
            <v>in storage</v>
          </cell>
          <cell r="K5784" t="str">
            <v>OCRA</v>
          </cell>
          <cell r="AB5784" t="str">
            <v>Liver</v>
          </cell>
        </row>
        <row r="5785">
          <cell r="A5785" t="str">
            <v>in storage</v>
          </cell>
          <cell r="K5785" t="str">
            <v>OCRA</v>
          </cell>
          <cell r="AB5785" t="str">
            <v>Liver</v>
          </cell>
        </row>
        <row r="5786">
          <cell r="A5786" t="str">
            <v>in storage</v>
          </cell>
          <cell r="K5786" t="str">
            <v>OCRA</v>
          </cell>
          <cell r="AB5786" t="str">
            <v>Pancreas</v>
          </cell>
        </row>
        <row r="5787">
          <cell r="A5787" t="str">
            <v>in storage</v>
          </cell>
          <cell r="K5787" t="str">
            <v>OCRA</v>
          </cell>
          <cell r="AB5787" t="str">
            <v>Pancreas</v>
          </cell>
        </row>
        <row r="5788">
          <cell r="A5788" t="str">
            <v>in storage</v>
          </cell>
          <cell r="K5788" t="str">
            <v>OCRA</v>
          </cell>
          <cell r="AB5788" t="str">
            <v>Pancreas</v>
          </cell>
        </row>
        <row r="5789">
          <cell r="A5789" t="str">
            <v>in storage</v>
          </cell>
          <cell r="K5789" t="str">
            <v>OCRA</v>
          </cell>
          <cell r="AB5789" t="str">
            <v>Kidney</v>
          </cell>
        </row>
        <row r="5790">
          <cell r="A5790" t="str">
            <v>in storage</v>
          </cell>
          <cell r="K5790" t="str">
            <v>OCRA</v>
          </cell>
          <cell r="AB5790" t="str">
            <v>Kidney</v>
          </cell>
        </row>
        <row r="5791">
          <cell r="A5791" t="str">
            <v>in storage</v>
          </cell>
          <cell r="K5791" t="str">
            <v>OCRA</v>
          </cell>
          <cell r="AB5791" t="str">
            <v>Spleen</v>
          </cell>
        </row>
        <row r="5792">
          <cell r="A5792" t="str">
            <v>in storage</v>
          </cell>
          <cell r="K5792" t="str">
            <v>OCRA</v>
          </cell>
          <cell r="AB5792" t="str">
            <v>Spleen</v>
          </cell>
        </row>
        <row r="5793">
          <cell r="A5793" t="str">
            <v>in storage</v>
          </cell>
          <cell r="K5793" t="str">
            <v>OCRA</v>
          </cell>
          <cell r="AB5793" t="str">
            <v>Spleen</v>
          </cell>
        </row>
        <row r="5794">
          <cell r="A5794" t="str">
            <v>in storage</v>
          </cell>
          <cell r="K5794" t="str">
            <v>OCRA</v>
          </cell>
          <cell r="AB5794" t="str">
            <v>Lung</v>
          </cell>
        </row>
        <row r="5795">
          <cell r="A5795" t="str">
            <v>in storage</v>
          </cell>
          <cell r="K5795" t="str">
            <v>OCRA</v>
          </cell>
          <cell r="AB5795" t="str">
            <v>Lung</v>
          </cell>
        </row>
        <row r="5796">
          <cell r="A5796" t="str">
            <v>in storage</v>
          </cell>
          <cell r="K5796" t="str">
            <v>OCRA</v>
          </cell>
          <cell r="AB5796" t="str">
            <v>Lung</v>
          </cell>
        </row>
        <row r="5797">
          <cell r="A5797" t="str">
            <v>in storage</v>
          </cell>
          <cell r="K5797" t="str">
            <v>OCRA</v>
          </cell>
          <cell r="AB5797" t="str">
            <v>Heart</v>
          </cell>
        </row>
        <row r="5798">
          <cell r="A5798" t="str">
            <v>in storage</v>
          </cell>
          <cell r="K5798" t="str">
            <v>OCRA</v>
          </cell>
          <cell r="AB5798" t="str">
            <v>Heart</v>
          </cell>
        </row>
        <row r="5799">
          <cell r="A5799" t="str">
            <v>in storage</v>
          </cell>
          <cell r="K5799" t="str">
            <v>OCRA</v>
          </cell>
          <cell r="AB5799" t="str">
            <v>Heart</v>
          </cell>
        </row>
        <row r="5800">
          <cell r="A5800" t="str">
            <v>in storage</v>
          </cell>
          <cell r="K5800" t="str">
            <v>OCRA</v>
          </cell>
          <cell r="AB5800" t="str">
            <v>Salivary gland</v>
          </cell>
        </row>
        <row r="5801">
          <cell r="A5801" t="str">
            <v>in storage</v>
          </cell>
          <cell r="K5801" t="str">
            <v>OCRA</v>
          </cell>
          <cell r="AB5801" t="str">
            <v>Salivary gland</v>
          </cell>
        </row>
        <row r="5802">
          <cell r="A5802" t="str">
            <v>in storage</v>
          </cell>
          <cell r="K5802" t="str">
            <v>OCRA</v>
          </cell>
          <cell r="AB5802" t="str">
            <v>Salivary gland</v>
          </cell>
        </row>
        <row r="5803">
          <cell r="A5803" t="str">
            <v>in storage</v>
          </cell>
          <cell r="K5803" t="str">
            <v>OCRA</v>
          </cell>
          <cell r="AB5803" t="str">
            <v>Thyroid</v>
          </cell>
        </row>
        <row r="5804">
          <cell r="A5804" t="str">
            <v>in storage</v>
          </cell>
          <cell r="K5804" t="str">
            <v>OCRA</v>
          </cell>
          <cell r="AB5804" t="str">
            <v>Thyroid</v>
          </cell>
        </row>
        <row r="5805">
          <cell r="A5805" t="str">
            <v>in storage</v>
          </cell>
          <cell r="K5805" t="str">
            <v>OCRA</v>
          </cell>
          <cell r="AB5805" t="str">
            <v>Adrenal gland</v>
          </cell>
        </row>
        <row r="5806">
          <cell r="A5806" t="str">
            <v>in storage</v>
          </cell>
          <cell r="K5806" t="str">
            <v>OCRA</v>
          </cell>
          <cell r="AB5806" t="str">
            <v>Adrenal gland</v>
          </cell>
        </row>
        <row r="5807">
          <cell r="A5807" t="str">
            <v>in storage</v>
          </cell>
          <cell r="K5807" t="str">
            <v>OCRA</v>
          </cell>
          <cell r="AB5807" t="str">
            <v>Eye</v>
          </cell>
        </row>
        <row r="5808">
          <cell r="A5808" t="str">
            <v>in storage</v>
          </cell>
          <cell r="K5808" t="str">
            <v>OCRA</v>
          </cell>
          <cell r="AB5808" t="str">
            <v>Kidney</v>
          </cell>
        </row>
        <row r="5809">
          <cell r="A5809" t="str">
            <v>gone</v>
          </cell>
          <cell r="K5809" t="str">
            <v>OCRA</v>
          </cell>
          <cell r="AB5809" t="str">
            <v>Kidney</v>
          </cell>
        </row>
        <row r="5810">
          <cell r="A5810" t="str">
            <v>in storage</v>
          </cell>
          <cell r="K5810" t="str">
            <v>OCRA</v>
          </cell>
          <cell r="AB5810" t="str">
            <v>Skin</v>
          </cell>
        </row>
        <row r="5811">
          <cell r="A5811" t="str">
            <v>in storage</v>
          </cell>
          <cell r="K5811" t="str">
            <v>OCRA</v>
          </cell>
          <cell r="AB5811" t="str">
            <v>Skin</v>
          </cell>
        </row>
        <row r="5812">
          <cell r="A5812" t="str">
            <v>in storage</v>
          </cell>
          <cell r="K5812" t="str">
            <v>OCRA</v>
          </cell>
          <cell r="AB5812" t="str">
            <v>Lymph node</v>
          </cell>
        </row>
        <row r="5813">
          <cell r="A5813" t="str">
            <v>in storage</v>
          </cell>
          <cell r="K5813" t="str">
            <v>OCRA</v>
          </cell>
          <cell r="AB5813" t="str">
            <v>Muscle</v>
          </cell>
        </row>
        <row r="5814">
          <cell r="A5814" t="str">
            <v>in storage</v>
          </cell>
          <cell r="K5814" t="str">
            <v>OCRA</v>
          </cell>
          <cell r="AB5814" t="str">
            <v>Muscle</v>
          </cell>
        </row>
        <row r="5815">
          <cell r="A5815" t="str">
            <v>in storage</v>
          </cell>
          <cell r="K5815" t="str">
            <v>OCRA</v>
          </cell>
          <cell r="AB5815" t="str">
            <v>Muscle</v>
          </cell>
        </row>
        <row r="5816">
          <cell r="A5816" t="str">
            <v>in storage</v>
          </cell>
          <cell r="K5816" t="str">
            <v>OCRA</v>
          </cell>
          <cell r="AB5816" t="str">
            <v>Muscle</v>
          </cell>
        </row>
        <row r="5817">
          <cell r="A5817" t="str">
            <v>in storage</v>
          </cell>
          <cell r="K5817" t="str">
            <v>OCRA</v>
          </cell>
          <cell r="AB5817" t="str">
            <v>Aorta/ esophagus/ trachea</v>
          </cell>
        </row>
        <row r="5818">
          <cell r="A5818" t="str">
            <v>in storage</v>
          </cell>
          <cell r="K5818" t="str">
            <v>ERUB</v>
          </cell>
          <cell r="AB5818" t="str">
            <v>Muscle</v>
          </cell>
        </row>
        <row r="5819">
          <cell r="A5819" t="str">
            <v>in storage</v>
          </cell>
          <cell r="K5819" t="str">
            <v>ERUB</v>
          </cell>
          <cell r="AB5819" t="str">
            <v>Muscle</v>
          </cell>
        </row>
        <row r="5820">
          <cell r="A5820" t="str">
            <v>in storage</v>
          </cell>
          <cell r="K5820" t="str">
            <v>ERUB</v>
          </cell>
          <cell r="AB5820" t="str">
            <v>R- ovary</v>
          </cell>
        </row>
        <row r="5821">
          <cell r="A5821" t="str">
            <v>in storage</v>
          </cell>
          <cell r="K5821" t="str">
            <v>MMUR</v>
          </cell>
          <cell r="AB5821" t="str">
            <v>GI- stomach</v>
          </cell>
        </row>
        <row r="5822">
          <cell r="A5822" t="str">
            <v>in storage</v>
          </cell>
          <cell r="K5822" t="str">
            <v>ERUB</v>
          </cell>
          <cell r="AB5822" t="str">
            <v>Trachea</v>
          </cell>
        </row>
        <row r="5823">
          <cell r="A5823" t="str">
            <v>in storage</v>
          </cell>
          <cell r="K5823" t="str">
            <v>ERUB</v>
          </cell>
          <cell r="AB5823" t="str">
            <v>Liver</v>
          </cell>
        </row>
        <row r="5824">
          <cell r="A5824" t="str">
            <v>in storage</v>
          </cell>
          <cell r="K5824" t="str">
            <v>MMUR</v>
          </cell>
          <cell r="AB5824" t="str">
            <v>GI- cecum/ colon/ ileum</v>
          </cell>
        </row>
        <row r="5825">
          <cell r="A5825" t="str">
            <v>in storage</v>
          </cell>
          <cell r="K5825" t="str">
            <v>MMUR</v>
          </cell>
          <cell r="AB5825" t="str">
            <v>GI- duodenum/ jejunum/ small intestine/ stomach</v>
          </cell>
        </row>
        <row r="5826">
          <cell r="A5826" t="str">
            <v>in storage</v>
          </cell>
          <cell r="K5826" t="str">
            <v>MMUR</v>
          </cell>
          <cell r="AB5826" t="str">
            <v>GI Tract</v>
          </cell>
        </row>
        <row r="5827">
          <cell r="A5827" t="str">
            <v>in storage</v>
          </cell>
          <cell r="K5827" t="str">
            <v>ERUB</v>
          </cell>
          <cell r="AB5827" t="str">
            <v>Spleen</v>
          </cell>
        </row>
        <row r="5828">
          <cell r="A5828" t="str">
            <v>in storage</v>
          </cell>
          <cell r="K5828" t="str">
            <v>ERUB</v>
          </cell>
          <cell r="AB5828" t="str">
            <v>Heart</v>
          </cell>
        </row>
        <row r="5829">
          <cell r="A5829" t="str">
            <v>in storage</v>
          </cell>
          <cell r="K5829" t="str">
            <v>ERUB</v>
          </cell>
          <cell r="AB5829" t="str">
            <v>Heart</v>
          </cell>
        </row>
        <row r="5830">
          <cell r="A5830" t="str">
            <v>in storage</v>
          </cell>
          <cell r="K5830" t="str">
            <v>ERUB</v>
          </cell>
          <cell r="AB5830" t="str">
            <v>Heart</v>
          </cell>
        </row>
        <row r="5831">
          <cell r="A5831" t="str">
            <v>in storage</v>
          </cell>
          <cell r="K5831" t="str">
            <v>ERUB</v>
          </cell>
          <cell r="AB5831" t="str">
            <v>Spleen</v>
          </cell>
        </row>
        <row r="5832">
          <cell r="A5832" t="str">
            <v>in storage</v>
          </cell>
          <cell r="K5832" t="str">
            <v>ERUB</v>
          </cell>
          <cell r="AB5832" t="str">
            <v>Spleen</v>
          </cell>
        </row>
        <row r="5833">
          <cell r="A5833" t="str">
            <v>in storage</v>
          </cell>
          <cell r="K5833" t="str">
            <v>ERUB</v>
          </cell>
          <cell r="AB5833" t="str">
            <v>Spleen</v>
          </cell>
        </row>
        <row r="5834">
          <cell r="A5834" t="str">
            <v>in storage</v>
          </cell>
          <cell r="K5834" t="str">
            <v>ERUB</v>
          </cell>
          <cell r="AB5834" t="str">
            <v>Kidney</v>
          </cell>
        </row>
        <row r="5835">
          <cell r="A5835" t="str">
            <v>in storage</v>
          </cell>
          <cell r="K5835" t="str">
            <v>ERUB</v>
          </cell>
          <cell r="AB5835" t="str">
            <v>Kidney</v>
          </cell>
        </row>
        <row r="5836">
          <cell r="A5836" t="str">
            <v>in storage</v>
          </cell>
          <cell r="K5836" t="str">
            <v>ERUB</v>
          </cell>
          <cell r="AB5836" t="str">
            <v>Kidney</v>
          </cell>
        </row>
        <row r="5837">
          <cell r="A5837" t="str">
            <v>in storage</v>
          </cell>
          <cell r="K5837" t="str">
            <v>ERUB</v>
          </cell>
          <cell r="AB5837" t="str">
            <v>Pancreas</v>
          </cell>
        </row>
        <row r="5838">
          <cell r="A5838" t="str">
            <v>in storage</v>
          </cell>
          <cell r="K5838" t="str">
            <v>ERUB</v>
          </cell>
          <cell r="AB5838" t="str">
            <v>Pancreas</v>
          </cell>
        </row>
        <row r="5839">
          <cell r="A5839" t="str">
            <v>in storage</v>
          </cell>
          <cell r="K5839" t="str">
            <v>ERUB</v>
          </cell>
          <cell r="AB5839" t="str">
            <v>Liver</v>
          </cell>
        </row>
        <row r="5840">
          <cell r="A5840" t="str">
            <v>in storage</v>
          </cell>
          <cell r="K5840" t="str">
            <v>ERUB</v>
          </cell>
          <cell r="AB5840" t="str">
            <v>Liver</v>
          </cell>
        </row>
        <row r="5841">
          <cell r="A5841" t="str">
            <v>in storage</v>
          </cell>
          <cell r="K5841" t="str">
            <v>ERUB</v>
          </cell>
          <cell r="AB5841" t="str">
            <v>Liver</v>
          </cell>
        </row>
        <row r="5842">
          <cell r="A5842" t="str">
            <v>in storage</v>
          </cell>
          <cell r="K5842" t="str">
            <v>ERUB</v>
          </cell>
          <cell r="AB5842" t="str">
            <v>Lung</v>
          </cell>
        </row>
        <row r="5843">
          <cell r="A5843" t="str">
            <v>in storage</v>
          </cell>
          <cell r="K5843" t="str">
            <v>ERUB</v>
          </cell>
          <cell r="AB5843" t="str">
            <v>Lung</v>
          </cell>
        </row>
        <row r="5844">
          <cell r="A5844" t="str">
            <v>in storage</v>
          </cell>
          <cell r="K5844" t="str">
            <v>ERUB</v>
          </cell>
          <cell r="AB5844" t="str">
            <v>Lung</v>
          </cell>
        </row>
        <row r="5845">
          <cell r="A5845" t="str">
            <v>in storage</v>
          </cell>
          <cell r="K5845" t="str">
            <v>ERUB</v>
          </cell>
          <cell r="AB5845" t="str">
            <v>Adrenal gland</v>
          </cell>
        </row>
        <row r="5846">
          <cell r="A5846" t="str">
            <v>in storage</v>
          </cell>
          <cell r="K5846" t="str">
            <v>ERUB</v>
          </cell>
          <cell r="AB5846" t="str">
            <v>Adrenal gland</v>
          </cell>
        </row>
        <row r="5847">
          <cell r="A5847" t="str">
            <v>in storage</v>
          </cell>
          <cell r="K5847" t="str">
            <v>ERUB</v>
          </cell>
          <cell r="AB5847" t="str">
            <v>Heart</v>
          </cell>
        </row>
        <row r="5848">
          <cell r="A5848" t="str">
            <v>in storage</v>
          </cell>
          <cell r="K5848" t="str">
            <v>ERUB</v>
          </cell>
          <cell r="AB5848" t="str">
            <v>Lung</v>
          </cell>
        </row>
        <row r="5849">
          <cell r="A5849" t="str">
            <v>in storage</v>
          </cell>
          <cell r="K5849" t="str">
            <v>ERUB</v>
          </cell>
          <cell r="AB5849" t="str">
            <v>Lung</v>
          </cell>
        </row>
        <row r="5850">
          <cell r="A5850" t="str">
            <v>in storage</v>
          </cell>
          <cell r="K5850" t="str">
            <v>ERUB</v>
          </cell>
          <cell r="AB5850" t="str">
            <v>Skin</v>
          </cell>
        </row>
        <row r="5851">
          <cell r="A5851" t="str">
            <v>in storage</v>
          </cell>
          <cell r="K5851" t="str">
            <v>ERUB</v>
          </cell>
          <cell r="AB5851" t="str">
            <v>Eye</v>
          </cell>
        </row>
        <row r="5852">
          <cell r="A5852" t="str">
            <v>in storage</v>
          </cell>
          <cell r="K5852" t="str">
            <v>MMUR</v>
          </cell>
          <cell r="AB5852" t="str">
            <v>GI- stomach</v>
          </cell>
        </row>
        <row r="5853">
          <cell r="A5853" t="str">
            <v>in storage</v>
          </cell>
          <cell r="K5853" t="str">
            <v>ERUB</v>
          </cell>
          <cell r="AB5853" t="str">
            <v>Kidney</v>
          </cell>
        </row>
        <row r="5854">
          <cell r="A5854" t="str">
            <v>in storage</v>
          </cell>
          <cell r="K5854" t="str">
            <v>DMAD</v>
          </cell>
          <cell r="AB5854" t="str">
            <v>Muscle</v>
          </cell>
        </row>
        <row r="5855">
          <cell r="A5855" t="str">
            <v>in storage</v>
          </cell>
          <cell r="K5855" t="str">
            <v>DMAD</v>
          </cell>
          <cell r="AB5855" t="str">
            <v>Muscle</v>
          </cell>
        </row>
        <row r="5856">
          <cell r="A5856" t="str">
            <v>in storage</v>
          </cell>
          <cell r="K5856" t="str">
            <v>DMAD</v>
          </cell>
          <cell r="AB5856" t="str">
            <v>Muscle</v>
          </cell>
        </row>
        <row r="5857">
          <cell r="A5857" t="str">
            <v>in storage</v>
          </cell>
          <cell r="K5857" t="str">
            <v>MMUR</v>
          </cell>
          <cell r="AB5857" t="str">
            <v>GI- large intestine</v>
          </cell>
        </row>
        <row r="5858">
          <cell r="A5858" t="str">
            <v>in storage</v>
          </cell>
          <cell r="K5858" t="str">
            <v>MMUR</v>
          </cell>
          <cell r="AB5858" t="str">
            <v>GI- small intestine</v>
          </cell>
        </row>
        <row r="5859">
          <cell r="A5859" t="str">
            <v>in storage</v>
          </cell>
          <cell r="K5859" t="str">
            <v>MMUR</v>
          </cell>
          <cell r="AB5859" t="str">
            <v>GI Tract</v>
          </cell>
        </row>
        <row r="5860">
          <cell r="A5860" t="str">
            <v>in storage</v>
          </cell>
          <cell r="K5860" t="str">
            <v>MMUR</v>
          </cell>
          <cell r="AB5860" t="str">
            <v>GI Tract</v>
          </cell>
        </row>
        <row r="5861">
          <cell r="A5861" t="str">
            <v>in storage</v>
          </cell>
          <cell r="K5861" t="str">
            <v>DMAD</v>
          </cell>
          <cell r="AB5861" t="str">
            <v>Liver</v>
          </cell>
        </row>
        <row r="5862">
          <cell r="A5862" t="str">
            <v>in storage</v>
          </cell>
          <cell r="K5862" t="str">
            <v>MMUR</v>
          </cell>
          <cell r="AB5862" t="str">
            <v>GI- esophagus</v>
          </cell>
        </row>
        <row r="5863">
          <cell r="A5863" t="str">
            <v>in storage</v>
          </cell>
          <cell r="K5863" t="str">
            <v>MMUR</v>
          </cell>
          <cell r="AB5863" t="str">
            <v>GI Contents- cecum</v>
          </cell>
        </row>
        <row r="5864">
          <cell r="A5864" t="str">
            <v>in storage</v>
          </cell>
          <cell r="K5864" t="str">
            <v>MMUR</v>
          </cell>
          <cell r="AB5864" t="str">
            <v>GI- cecum</v>
          </cell>
        </row>
        <row r="5865">
          <cell r="A5865" t="str">
            <v>in storage</v>
          </cell>
          <cell r="K5865" t="str">
            <v>DMAD</v>
          </cell>
          <cell r="AB5865" t="str">
            <v>Pancreas</v>
          </cell>
        </row>
        <row r="5866">
          <cell r="A5866" t="str">
            <v>in storage</v>
          </cell>
          <cell r="K5866" t="str">
            <v>DMAD</v>
          </cell>
          <cell r="AB5866" t="str">
            <v>Kidney</v>
          </cell>
        </row>
        <row r="5867">
          <cell r="A5867" t="str">
            <v>in storage</v>
          </cell>
          <cell r="K5867" t="str">
            <v>DMAD</v>
          </cell>
          <cell r="AB5867" t="str">
            <v>Kidney</v>
          </cell>
        </row>
        <row r="5868">
          <cell r="A5868" t="str">
            <v>in storage</v>
          </cell>
          <cell r="K5868" t="str">
            <v>DMAD</v>
          </cell>
          <cell r="AB5868" t="str">
            <v>Spleen</v>
          </cell>
        </row>
        <row r="5869">
          <cell r="A5869" t="str">
            <v>in storage</v>
          </cell>
          <cell r="K5869" t="str">
            <v>DMAD</v>
          </cell>
          <cell r="AB5869" t="str">
            <v>Heart</v>
          </cell>
        </row>
        <row r="5870">
          <cell r="A5870" t="str">
            <v>in storage</v>
          </cell>
          <cell r="K5870" t="str">
            <v>DMAD</v>
          </cell>
          <cell r="AB5870" t="str">
            <v>Lung</v>
          </cell>
        </row>
        <row r="5871">
          <cell r="A5871" t="str">
            <v>in storage</v>
          </cell>
          <cell r="K5871" t="str">
            <v>DMAD</v>
          </cell>
          <cell r="AB5871" t="str">
            <v>Lung</v>
          </cell>
        </row>
        <row r="5872">
          <cell r="A5872" t="str">
            <v>in storage</v>
          </cell>
          <cell r="K5872" t="str">
            <v>DMAD</v>
          </cell>
          <cell r="AB5872" t="str">
            <v>Liver</v>
          </cell>
        </row>
        <row r="5873">
          <cell r="A5873" t="str">
            <v>gone</v>
          </cell>
          <cell r="K5873" t="str">
            <v>DMAD</v>
          </cell>
          <cell r="AB5873" t="str">
            <v>Heart</v>
          </cell>
        </row>
        <row r="5874">
          <cell r="A5874" t="str">
            <v>in storage</v>
          </cell>
          <cell r="K5874" t="str">
            <v>DMAD</v>
          </cell>
          <cell r="AB5874" t="str">
            <v>Heart</v>
          </cell>
        </row>
        <row r="5875">
          <cell r="A5875" t="str">
            <v>in storage</v>
          </cell>
          <cell r="K5875" t="str">
            <v>DMAD</v>
          </cell>
          <cell r="AB5875" t="str">
            <v>Heart</v>
          </cell>
        </row>
        <row r="5876">
          <cell r="A5876" t="str">
            <v>in storage</v>
          </cell>
          <cell r="K5876" t="str">
            <v>DMAD</v>
          </cell>
          <cell r="AB5876" t="str">
            <v>Liver</v>
          </cell>
        </row>
        <row r="5877">
          <cell r="A5877" t="str">
            <v>gone</v>
          </cell>
          <cell r="K5877" t="str">
            <v>DMAD</v>
          </cell>
          <cell r="AB5877" t="str">
            <v>Liver</v>
          </cell>
        </row>
        <row r="5878">
          <cell r="A5878" t="str">
            <v>in storage</v>
          </cell>
          <cell r="K5878" t="str">
            <v>DMAD</v>
          </cell>
          <cell r="AB5878" t="str">
            <v>Adrenal gland</v>
          </cell>
        </row>
        <row r="5879">
          <cell r="A5879" t="str">
            <v>in storage</v>
          </cell>
          <cell r="K5879" t="str">
            <v>DMAD</v>
          </cell>
          <cell r="AB5879" t="str">
            <v>Spleen</v>
          </cell>
        </row>
        <row r="5880">
          <cell r="A5880" t="str">
            <v>gone</v>
          </cell>
          <cell r="K5880" t="str">
            <v>DMAD</v>
          </cell>
          <cell r="AB5880" t="str">
            <v>Spleen</v>
          </cell>
        </row>
        <row r="5881">
          <cell r="A5881" t="str">
            <v>in storage</v>
          </cell>
          <cell r="K5881" t="str">
            <v>DMAD</v>
          </cell>
          <cell r="AB5881" t="str">
            <v>Spleen</v>
          </cell>
        </row>
        <row r="5882">
          <cell r="A5882" t="str">
            <v>gone</v>
          </cell>
          <cell r="K5882" t="str">
            <v>DMAD</v>
          </cell>
          <cell r="AB5882" t="str">
            <v>Lung</v>
          </cell>
        </row>
        <row r="5883">
          <cell r="A5883" t="str">
            <v>in storage</v>
          </cell>
          <cell r="K5883" t="str">
            <v>DMAD</v>
          </cell>
          <cell r="AB5883" t="str">
            <v>Lung</v>
          </cell>
        </row>
        <row r="5884">
          <cell r="A5884" t="str">
            <v>in storage</v>
          </cell>
          <cell r="K5884" t="str">
            <v>DMAD</v>
          </cell>
          <cell r="AB5884" t="str">
            <v>Lung</v>
          </cell>
        </row>
        <row r="5885">
          <cell r="A5885" t="str">
            <v>in storage</v>
          </cell>
          <cell r="K5885" t="str">
            <v>DMAD</v>
          </cell>
          <cell r="AB5885" t="str">
            <v>Kidney</v>
          </cell>
        </row>
        <row r="5886">
          <cell r="A5886" t="str">
            <v>in storage</v>
          </cell>
          <cell r="K5886" t="str">
            <v>DMAD</v>
          </cell>
          <cell r="AB5886" t="str">
            <v>Kidney</v>
          </cell>
        </row>
        <row r="5887">
          <cell r="A5887" t="str">
            <v>in storage</v>
          </cell>
          <cell r="K5887" t="str">
            <v>DMAD</v>
          </cell>
          <cell r="AB5887" t="str">
            <v>Kidney</v>
          </cell>
        </row>
        <row r="5888">
          <cell r="A5888" t="str">
            <v>in storage</v>
          </cell>
          <cell r="K5888" t="str">
            <v>DMAD</v>
          </cell>
          <cell r="AB5888" t="str">
            <v>Pancreas</v>
          </cell>
        </row>
        <row r="5889">
          <cell r="A5889" t="str">
            <v>in storage</v>
          </cell>
          <cell r="K5889" t="str">
            <v>DMAD</v>
          </cell>
          <cell r="AB5889" t="str">
            <v>Pancreas</v>
          </cell>
        </row>
        <row r="5890">
          <cell r="A5890" t="str">
            <v>in storage</v>
          </cell>
          <cell r="K5890" t="str">
            <v>DMAD</v>
          </cell>
          <cell r="AB5890" t="str">
            <v>Adrenal gland</v>
          </cell>
        </row>
        <row r="5891">
          <cell r="A5891" t="str">
            <v>in storage</v>
          </cell>
          <cell r="K5891" t="str">
            <v>DMAD</v>
          </cell>
          <cell r="AB5891" t="str">
            <v>Adrenal gland</v>
          </cell>
        </row>
        <row r="5892">
          <cell r="A5892" t="str">
            <v>in storage</v>
          </cell>
          <cell r="K5892" t="str">
            <v>DMAD</v>
          </cell>
          <cell r="AB5892" t="str">
            <v>Pancreas</v>
          </cell>
        </row>
        <row r="5893">
          <cell r="A5893" t="str">
            <v>gone</v>
          </cell>
          <cell r="K5893" t="str">
            <v>DMAD</v>
          </cell>
          <cell r="AB5893" t="str">
            <v>Skin</v>
          </cell>
        </row>
        <row r="5894">
          <cell r="A5894" t="str">
            <v>in storage</v>
          </cell>
          <cell r="K5894" t="str">
            <v>DMAD</v>
          </cell>
          <cell r="AB5894" t="str">
            <v>Skin</v>
          </cell>
        </row>
        <row r="5895">
          <cell r="A5895" t="str">
            <v>in storage</v>
          </cell>
          <cell r="K5895" t="str">
            <v>MMUR</v>
          </cell>
          <cell r="AB5895" t="str">
            <v>GI Tract</v>
          </cell>
        </row>
        <row r="5896">
          <cell r="A5896" t="str">
            <v>in storage</v>
          </cell>
          <cell r="K5896" t="str">
            <v>DMAD</v>
          </cell>
          <cell r="AB5896" t="str">
            <v>R- teste(s)</v>
          </cell>
        </row>
        <row r="5897">
          <cell r="A5897" t="str">
            <v>in storage</v>
          </cell>
          <cell r="K5897" t="str">
            <v>DMAD</v>
          </cell>
          <cell r="AB5897" t="str">
            <v>R- teste(s)</v>
          </cell>
        </row>
        <row r="5898">
          <cell r="A5898" t="str">
            <v>in storage</v>
          </cell>
          <cell r="K5898" t="str">
            <v>MMUR</v>
          </cell>
          <cell r="AB5898" t="str">
            <v>GI- large intestine</v>
          </cell>
        </row>
        <row r="5899">
          <cell r="A5899" t="str">
            <v>in storage</v>
          </cell>
          <cell r="K5899" t="str">
            <v>MMUR</v>
          </cell>
          <cell r="AB5899" t="str">
            <v>GI- stomach</v>
          </cell>
        </row>
        <row r="5900">
          <cell r="A5900" t="str">
            <v>in storage</v>
          </cell>
          <cell r="K5900" t="str">
            <v>MMUR</v>
          </cell>
          <cell r="AB5900" t="str">
            <v>GI- esophagus</v>
          </cell>
        </row>
        <row r="5901">
          <cell r="A5901" t="str">
            <v>in storage</v>
          </cell>
          <cell r="K5901" t="str">
            <v>MMUR</v>
          </cell>
          <cell r="AB5901" t="str">
            <v>GI Contents- cecum</v>
          </cell>
        </row>
        <row r="5902">
          <cell r="A5902" t="str">
            <v>in storage</v>
          </cell>
          <cell r="K5902" t="str">
            <v>MMUR</v>
          </cell>
          <cell r="AB5902" t="str">
            <v>GI Contents- large intestine</v>
          </cell>
        </row>
        <row r="5903">
          <cell r="A5903" t="str">
            <v>in storage</v>
          </cell>
          <cell r="K5903" t="str">
            <v>MMUR</v>
          </cell>
          <cell r="AB5903" t="str">
            <v>GI Contents- duodenum</v>
          </cell>
        </row>
        <row r="5904">
          <cell r="A5904" t="str">
            <v>in storage</v>
          </cell>
          <cell r="K5904" t="str">
            <v>VRUB</v>
          </cell>
          <cell r="AB5904" t="str">
            <v>Trachea</v>
          </cell>
        </row>
        <row r="5905">
          <cell r="A5905" t="str">
            <v>in storage</v>
          </cell>
          <cell r="K5905" t="str">
            <v>MMUR</v>
          </cell>
          <cell r="AB5905" t="str">
            <v>GI Contents- ileum</v>
          </cell>
        </row>
        <row r="5906">
          <cell r="A5906" t="str">
            <v>in storage</v>
          </cell>
          <cell r="K5906" t="str">
            <v>MMUR</v>
          </cell>
          <cell r="AB5906" t="str">
            <v>GI Tract</v>
          </cell>
        </row>
        <row r="5907">
          <cell r="A5907" t="str">
            <v>in storage</v>
          </cell>
          <cell r="K5907" t="str">
            <v>VRUB</v>
          </cell>
          <cell r="AB5907" t="str">
            <v>Lung</v>
          </cell>
        </row>
        <row r="5908">
          <cell r="A5908" t="str">
            <v>in storage</v>
          </cell>
          <cell r="K5908" t="str">
            <v>VRUB</v>
          </cell>
          <cell r="AB5908" t="str">
            <v>Lung</v>
          </cell>
        </row>
        <row r="5909">
          <cell r="A5909" t="str">
            <v>in storage</v>
          </cell>
          <cell r="K5909" t="str">
            <v>VRUB</v>
          </cell>
          <cell r="AB5909" t="str">
            <v>Lung</v>
          </cell>
        </row>
        <row r="5910">
          <cell r="A5910" t="str">
            <v>in storage</v>
          </cell>
          <cell r="K5910" t="str">
            <v>VRUB</v>
          </cell>
          <cell r="AB5910" t="str">
            <v>Heart</v>
          </cell>
        </row>
        <row r="5911">
          <cell r="A5911" t="str">
            <v>in storage</v>
          </cell>
          <cell r="K5911" t="str">
            <v>VRUB</v>
          </cell>
          <cell r="AB5911" t="str">
            <v>Heart</v>
          </cell>
        </row>
        <row r="5912">
          <cell r="A5912" t="str">
            <v>in storage</v>
          </cell>
          <cell r="K5912" t="str">
            <v>VRUB</v>
          </cell>
          <cell r="AB5912" t="str">
            <v>Liver</v>
          </cell>
        </row>
        <row r="5913">
          <cell r="A5913" t="str">
            <v>in storage</v>
          </cell>
          <cell r="K5913" t="str">
            <v>VRUB</v>
          </cell>
          <cell r="AB5913" t="str">
            <v>Liver</v>
          </cell>
        </row>
        <row r="5914">
          <cell r="A5914" t="str">
            <v>in storage</v>
          </cell>
          <cell r="K5914" t="str">
            <v>VRUB</v>
          </cell>
          <cell r="AB5914" t="str">
            <v>Liver</v>
          </cell>
        </row>
        <row r="5915">
          <cell r="A5915" t="str">
            <v>in storage</v>
          </cell>
          <cell r="K5915" t="str">
            <v>VRUB</v>
          </cell>
          <cell r="AB5915" t="str">
            <v>Adrenal gland</v>
          </cell>
        </row>
        <row r="5916">
          <cell r="A5916" t="str">
            <v>in storage</v>
          </cell>
          <cell r="K5916" t="str">
            <v>VRUB</v>
          </cell>
          <cell r="AB5916" t="str">
            <v>Spleen</v>
          </cell>
        </row>
        <row r="5917">
          <cell r="A5917" t="str">
            <v>in storage</v>
          </cell>
          <cell r="K5917" t="str">
            <v>VRUB</v>
          </cell>
          <cell r="AB5917" t="str">
            <v>Spleen</v>
          </cell>
        </row>
        <row r="5918">
          <cell r="A5918" t="str">
            <v>in storage</v>
          </cell>
          <cell r="K5918" t="str">
            <v>VRUB</v>
          </cell>
          <cell r="AB5918" t="str">
            <v>Liver</v>
          </cell>
        </row>
        <row r="5919">
          <cell r="A5919" t="str">
            <v>in storage</v>
          </cell>
          <cell r="K5919" t="str">
            <v>VRUB</v>
          </cell>
          <cell r="AB5919" t="str">
            <v>Kidney</v>
          </cell>
        </row>
        <row r="5920">
          <cell r="A5920" t="str">
            <v>in storage</v>
          </cell>
          <cell r="K5920" t="str">
            <v>VRUB</v>
          </cell>
          <cell r="AB5920" t="str">
            <v>Kidney</v>
          </cell>
        </row>
        <row r="5921">
          <cell r="A5921" t="str">
            <v>in storage</v>
          </cell>
          <cell r="K5921" t="str">
            <v>VRUB</v>
          </cell>
          <cell r="AB5921" t="str">
            <v>Kidney</v>
          </cell>
        </row>
        <row r="5922">
          <cell r="A5922" t="str">
            <v>in storage</v>
          </cell>
          <cell r="K5922" t="str">
            <v>VRUB</v>
          </cell>
          <cell r="AB5922" t="str">
            <v>Heart</v>
          </cell>
        </row>
        <row r="5923">
          <cell r="A5923" t="str">
            <v>in storage</v>
          </cell>
          <cell r="K5923" t="str">
            <v>VRUB</v>
          </cell>
          <cell r="AB5923" t="str">
            <v>Thyroid</v>
          </cell>
        </row>
        <row r="5924">
          <cell r="A5924" t="str">
            <v>in storage</v>
          </cell>
          <cell r="K5924" t="str">
            <v>VRUB</v>
          </cell>
          <cell r="AB5924" t="str">
            <v>Kidney</v>
          </cell>
        </row>
        <row r="5925">
          <cell r="A5925" t="str">
            <v>in storage</v>
          </cell>
          <cell r="K5925" t="str">
            <v>VRUB</v>
          </cell>
          <cell r="AB5925" t="str">
            <v>Kidney</v>
          </cell>
        </row>
        <row r="5926">
          <cell r="A5926" t="str">
            <v>in storage</v>
          </cell>
          <cell r="K5926" t="str">
            <v>VRUB</v>
          </cell>
          <cell r="AB5926" t="str">
            <v>Spleen</v>
          </cell>
        </row>
        <row r="5927">
          <cell r="A5927" t="str">
            <v>in storage</v>
          </cell>
          <cell r="K5927" t="str">
            <v>VRUB</v>
          </cell>
          <cell r="AB5927" t="str">
            <v>Heart</v>
          </cell>
        </row>
        <row r="5928">
          <cell r="A5928" t="str">
            <v>in storage</v>
          </cell>
          <cell r="K5928" t="str">
            <v>VRUB</v>
          </cell>
          <cell r="AB5928" t="str">
            <v>Lung</v>
          </cell>
        </row>
        <row r="5929">
          <cell r="A5929" t="str">
            <v>in storage</v>
          </cell>
          <cell r="K5929" t="str">
            <v>VRUB</v>
          </cell>
          <cell r="AB5929" t="str">
            <v>Lung</v>
          </cell>
        </row>
        <row r="5930">
          <cell r="A5930" t="str">
            <v>in storage</v>
          </cell>
          <cell r="K5930" t="str">
            <v>VRUB</v>
          </cell>
          <cell r="AB5930" t="str">
            <v>Skin</v>
          </cell>
        </row>
        <row r="5931">
          <cell r="A5931" t="str">
            <v>in storage</v>
          </cell>
          <cell r="K5931" t="str">
            <v>MMUR</v>
          </cell>
          <cell r="AB5931" t="str">
            <v>GI Contents- jejunum</v>
          </cell>
        </row>
        <row r="5932">
          <cell r="A5932" t="str">
            <v>in storage</v>
          </cell>
          <cell r="K5932" t="str">
            <v>MMUR</v>
          </cell>
          <cell r="AB5932" t="str">
            <v>GI Contents- stomach</v>
          </cell>
        </row>
        <row r="5933">
          <cell r="A5933" t="str">
            <v>in storage</v>
          </cell>
          <cell r="K5933" t="str">
            <v>VRUB</v>
          </cell>
          <cell r="AB5933" t="str">
            <v>Muscle</v>
          </cell>
        </row>
        <row r="5934">
          <cell r="A5934" t="str">
            <v>in storage</v>
          </cell>
          <cell r="K5934" t="str">
            <v>VRUB</v>
          </cell>
          <cell r="AB5934" t="str">
            <v>Muscle</v>
          </cell>
        </row>
        <row r="5935">
          <cell r="A5935" t="str">
            <v>in storage</v>
          </cell>
          <cell r="K5935" t="str">
            <v>VRUB</v>
          </cell>
          <cell r="AB5935" t="str">
            <v>Muscle</v>
          </cell>
        </row>
        <row r="5936">
          <cell r="A5936" t="str">
            <v>in storage</v>
          </cell>
          <cell r="K5936" t="str">
            <v>VRUB</v>
          </cell>
          <cell r="AB5936" t="str">
            <v>Muscle</v>
          </cell>
        </row>
        <row r="5937">
          <cell r="A5937" t="str">
            <v>in storage</v>
          </cell>
          <cell r="K5937" t="str">
            <v>ERUB</v>
          </cell>
          <cell r="AB5937" t="str">
            <v>Muscle</v>
          </cell>
        </row>
        <row r="5938">
          <cell r="A5938" t="str">
            <v>in storage</v>
          </cell>
          <cell r="K5938" t="str">
            <v>ERUB</v>
          </cell>
          <cell r="AB5938" t="str">
            <v>Muscle</v>
          </cell>
        </row>
        <row r="5939">
          <cell r="A5939" t="str">
            <v>in storage</v>
          </cell>
          <cell r="K5939" t="str">
            <v>ERUB</v>
          </cell>
          <cell r="AB5939" t="str">
            <v>Muscle</v>
          </cell>
        </row>
        <row r="5940">
          <cell r="A5940" t="str">
            <v>in storage</v>
          </cell>
          <cell r="K5940" t="str">
            <v>MMUR</v>
          </cell>
          <cell r="AB5940" t="str">
            <v>GI- cecum</v>
          </cell>
        </row>
        <row r="5941">
          <cell r="A5941" t="str">
            <v>in storage</v>
          </cell>
          <cell r="K5941" t="str">
            <v>MMUR</v>
          </cell>
          <cell r="AB5941" t="str">
            <v>GI- duodenum</v>
          </cell>
        </row>
        <row r="5942">
          <cell r="A5942" t="str">
            <v>in storage</v>
          </cell>
          <cell r="K5942" t="str">
            <v>MMUR</v>
          </cell>
          <cell r="AB5942" t="str">
            <v>GI- large intestine</v>
          </cell>
        </row>
        <row r="5943">
          <cell r="A5943" t="str">
            <v>in storage</v>
          </cell>
          <cell r="K5943" t="str">
            <v>ERUB</v>
          </cell>
          <cell r="AB5943" t="str">
            <v>Liver</v>
          </cell>
        </row>
        <row r="5944">
          <cell r="A5944" t="str">
            <v>in storage</v>
          </cell>
          <cell r="K5944" t="str">
            <v>MMUR</v>
          </cell>
          <cell r="AB5944" t="str">
            <v>GI- stomach</v>
          </cell>
        </row>
        <row r="5945">
          <cell r="A5945" t="str">
            <v>in storage</v>
          </cell>
          <cell r="K5945" t="str">
            <v>MMUR</v>
          </cell>
          <cell r="AB5945" t="str">
            <v>GI- ileum</v>
          </cell>
        </row>
        <row r="5946">
          <cell r="A5946" t="str">
            <v>in storage</v>
          </cell>
          <cell r="K5946" t="str">
            <v>ERUB</v>
          </cell>
          <cell r="AB5946" t="str">
            <v>Kidney</v>
          </cell>
        </row>
        <row r="5947">
          <cell r="A5947" t="str">
            <v>in storage</v>
          </cell>
          <cell r="K5947" t="str">
            <v>ERUB</v>
          </cell>
          <cell r="AB5947" t="str">
            <v>Heart</v>
          </cell>
        </row>
        <row r="5948">
          <cell r="A5948" t="str">
            <v>in storage</v>
          </cell>
          <cell r="K5948" t="str">
            <v>ERUB</v>
          </cell>
          <cell r="AB5948" t="str">
            <v>Lung</v>
          </cell>
        </row>
        <row r="5949">
          <cell r="A5949" t="str">
            <v>in storage</v>
          </cell>
          <cell r="K5949" t="str">
            <v>ERUB</v>
          </cell>
          <cell r="AB5949" t="str">
            <v>Lung</v>
          </cell>
        </row>
        <row r="5950">
          <cell r="A5950" t="str">
            <v>in storage</v>
          </cell>
          <cell r="K5950" t="str">
            <v>ERUB</v>
          </cell>
          <cell r="AB5950" t="str">
            <v>Adrenal gland</v>
          </cell>
        </row>
        <row r="5951">
          <cell r="A5951" t="str">
            <v>in storage</v>
          </cell>
          <cell r="K5951" t="str">
            <v>ERUB</v>
          </cell>
          <cell r="AB5951" t="str">
            <v>Thyroid</v>
          </cell>
        </row>
        <row r="5952">
          <cell r="A5952" t="str">
            <v>in storage</v>
          </cell>
          <cell r="K5952" t="str">
            <v>ERUB</v>
          </cell>
          <cell r="AB5952" t="str">
            <v>Heart</v>
          </cell>
        </row>
        <row r="5953">
          <cell r="A5953" t="str">
            <v>in storage</v>
          </cell>
          <cell r="K5953" t="str">
            <v>ERUB</v>
          </cell>
          <cell r="AB5953" t="str">
            <v>Heart</v>
          </cell>
        </row>
        <row r="5954">
          <cell r="A5954" t="str">
            <v>in storage</v>
          </cell>
          <cell r="K5954" t="str">
            <v>ERUB</v>
          </cell>
          <cell r="AB5954" t="str">
            <v>Heart</v>
          </cell>
        </row>
        <row r="5955">
          <cell r="A5955" t="str">
            <v>in storage</v>
          </cell>
          <cell r="K5955" t="str">
            <v>ERUB</v>
          </cell>
          <cell r="AB5955" t="str">
            <v>Kidney</v>
          </cell>
        </row>
        <row r="5956">
          <cell r="A5956" t="str">
            <v>in storage</v>
          </cell>
          <cell r="K5956" t="str">
            <v>ERUB</v>
          </cell>
          <cell r="AB5956" t="str">
            <v>Kidney</v>
          </cell>
        </row>
        <row r="5957">
          <cell r="A5957" t="str">
            <v>in storage</v>
          </cell>
          <cell r="K5957" t="str">
            <v>ERUB</v>
          </cell>
          <cell r="AB5957" t="str">
            <v>Kidney</v>
          </cell>
        </row>
        <row r="5958">
          <cell r="A5958" t="str">
            <v>in storage</v>
          </cell>
          <cell r="K5958" t="str">
            <v>ERUB</v>
          </cell>
          <cell r="AB5958" t="str">
            <v>Liver</v>
          </cell>
        </row>
        <row r="5959">
          <cell r="A5959" t="str">
            <v>in storage</v>
          </cell>
          <cell r="K5959" t="str">
            <v>ERUB</v>
          </cell>
          <cell r="AB5959" t="str">
            <v>Liver</v>
          </cell>
        </row>
        <row r="5960">
          <cell r="A5960" t="str">
            <v>in storage</v>
          </cell>
          <cell r="K5960" t="str">
            <v>ERUB</v>
          </cell>
          <cell r="AB5960" t="str">
            <v>Liver</v>
          </cell>
        </row>
        <row r="5961">
          <cell r="A5961" t="str">
            <v>in storage</v>
          </cell>
          <cell r="K5961" t="str">
            <v>ERUB</v>
          </cell>
          <cell r="AB5961" t="str">
            <v>Pancreas</v>
          </cell>
        </row>
        <row r="5962">
          <cell r="A5962" t="str">
            <v>in storage</v>
          </cell>
          <cell r="K5962" t="str">
            <v>ERUB</v>
          </cell>
          <cell r="AB5962" t="str">
            <v>Pancreas</v>
          </cell>
        </row>
        <row r="5963">
          <cell r="A5963" t="str">
            <v>in storage</v>
          </cell>
          <cell r="K5963" t="str">
            <v>ERUB</v>
          </cell>
          <cell r="AB5963" t="str">
            <v>Adrenal gland</v>
          </cell>
        </row>
        <row r="5964">
          <cell r="A5964" t="str">
            <v>in storage</v>
          </cell>
          <cell r="K5964" t="str">
            <v>ERUB</v>
          </cell>
          <cell r="AB5964" t="str">
            <v>Pancreas</v>
          </cell>
        </row>
        <row r="5965">
          <cell r="A5965" t="str">
            <v>in storage</v>
          </cell>
          <cell r="K5965" t="str">
            <v>ERUB</v>
          </cell>
          <cell r="AB5965" t="str">
            <v>Spleen</v>
          </cell>
        </row>
        <row r="5966">
          <cell r="A5966" t="str">
            <v>in storage</v>
          </cell>
          <cell r="K5966" t="str">
            <v>ERUB</v>
          </cell>
          <cell r="AB5966" t="str">
            <v>Spleen</v>
          </cell>
        </row>
        <row r="5967">
          <cell r="A5967" t="str">
            <v>in storage</v>
          </cell>
          <cell r="K5967" t="str">
            <v>ERUB</v>
          </cell>
          <cell r="AB5967" t="str">
            <v>Spleen</v>
          </cell>
        </row>
        <row r="5968">
          <cell r="A5968" t="str">
            <v>in storage</v>
          </cell>
          <cell r="K5968" t="str">
            <v>ERUB</v>
          </cell>
          <cell r="AB5968" t="str">
            <v>Lung</v>
          </cell>
        </row>
        <row r="5969">
          <cell r="A5969" t="str">
            <v>in storage</v>
          </cell>
          <cell r="K5969" t="str">
            <v>ERUB</v>
          </cell>
          <cell r="AB5969" t="str">
            <v>Lung</v>
          </cell>
        </row>
        <row r="5970">
          <cell r="A5970" t="str">
            <v>in storage</v>
          </cell>
          <cell r="K5970" t="str">
            <v>ERUB</v>
          </cell>
          <cell r="AB5970" t="str">
            <v>Lung</v>
          </cell>
        </row>
        <row r="5971">
          <cell r="A5971" t="str">
            <v>in storage</v>
          </cell>
          <cell r="K5971" t="str">
            <v>ERUB</v>
          </cell>
          <cell r="AB5971" t="str">
            <v>Skin</v>
          </cell>
        </row>
        <row r="5972">
          <cell r="A5972" t="str">
            <v>unk</v>
          </cell>
          <cell r="K5972" t="str">
            <v>ERUB</v>
          </cell>
          <cell r="AB5972" t="str">
            <v>Kidney</v>
          </cell>
        </row>
        <row r="5973">
          <cell r="A5973" t="str">
            <v>unk</v>
          </cell>
          <cell r="K5973" t="str">
            <v>ERUB</v>
          </cell>
          <cell r="AB5973" t="str">
            <v>Spleen</v>
          </cell>
        </row>
        <row r="5974">
          <cell r="A5974" t="str">
            <v>in storage</v>
          </cell>
          <cell r="K5974" t="str">
            <v>MMUR</v>
          </cell>
          <cell r="AB5974" t="str">
            <v>GI- jejunum</v>
          </cell>
        </row>
        <row r="5975">
          <cell r="A5975" t="str">
            <v>in storage</v>
          </cell>
          <cell r="K5975" t="str">
            <v>MMUR</v>
          </cell>
          <cell r="AB5975" t="str">
            <v>GI Contents- cecum</v>
          </cell>
        </row>
        <row r="5976">
          <cell r="A5976" t="str">
            <v>in storage</v>
          </cell>
          <cell r="K5976" t="str">
            <v>MMUR</v>
          </cell>
          <cell r="AB5976" t="str">
            <v>GI- cecum</v>
          </cell>
        </row>
        <row r="5977">
          <cell r="A5977" t="str">
            <v>in storage</v>
          </cell>
          <cell r="K5977" t="str">
            <v>MMUR</v>
          </cell>
          <cell r="AB5977" t="str">
            <v>GI Contents- large intestine</v>
          </cell>
        </row>
        <row r="5978">
          <cell r="A5978" t="str">
            <v>in storage</v>
          </cell>
          <cell r="K5978" t="str">
            <v>ERUB</v>
          </cell>
          <cell r="AB5978" t="str">
            <v>R- teste(s)</v>
          </cell>
        </row>
        <row r="5979">
          <cell r="A5979" t="str">
            <v>in storage</v>
          </cell>
          <cell r="K5979" t="str">
            <v>ERUB</v>
          </cell>
          <cell r="AB5979" t="str">
            <v>R- teste(s)</v>
          </cell>
        </row>
        <row r="5980">
          <cell r="A5980" t="str">
            <v>in storage</v>
          </cell>
          <cell r="K5980" t="str">
            <v>MMUR</v>
          </cell>
          <cell r="AB5980" t="str">
            <v>GI- esophagus</v>
          </cell>
        </row>
        <row r="5981">
          <cell r="A5981" t="str">
            <v>in storage</v>
          </cell>
          <cell r="K5981" t="str">
            <v>MMUR</v>
          </cell>
          <cell r="AB5981" t="str">
            <v>Muscle</v>
          </cell>
        </row>
        <row r="5982">
          <cell r="A5982" t="str">
            <v>in storage</v>
          </cell>
          <cell r="K5982" t="str">
            <v>MMUR</v>
          </cell>
          <cell r="AB5982" t="str">
            <v>R- ovary</v>
          </cell>
        </row>
        <row r="5983">
          <cell r="A5983" t="str">
            <v>in storage</v>
          </cell>
          <cell r="K5983" t="str">
            <v>MMUR</v>
          </cell>
          <cell r="AB5983" t="str">
            <v>GI- large intestine</v>
          </cell>
        </row>
        <row r="5984">
          <cell r="A5984" t="str">
            <v>in storage</v>
          </cell>
          <cell r="K5984" t="str">
            <v>MMUR</v>
          </cell>
          <cell r="AB5984" t="str">
            <v>Skin</v>
          </cell>
        </row>
        <row r="5985">
          <cell r="A5985" t="str">
            <v>in storage</v>
          </cell>
          <cell r="K5985" t="str">
            <v>MMUR</v>
          </cell>
          <cell r="AB5985" t="str">
            <v>U- bladder</v>
          </cell>
        </row>
        <row r="5986">
          <cell r="A5986" t="str">
            <v>in storage</v>
          </cell>
          <cell r="K5986" t="str">
            <v>MMUR</v>
          </cell>
          <cell r="AB5986" t="str">
            <v>Eye</v>
          </cell>
        </row>
        <row r="5987">
          <cell r="A5987" t="str">
            <v>in storage</v>
          </cell>
          <cell r="K5987" t="str">
            <v>MMUR</v>
          </cell>
          <cell r="AB5987" t="str">
            <v>Eye</v>
          </cell>
        </row>
        <row r="5988">
          <cell r="A5988" t="str">
            <v>in storage</v>
          </cell>
          <cell r="K5988" t="str">
            <v>MMUR</v>
          </cell>
          <cell r="AB5988" t="str">
            <v>Heart</v>
          </cell>
        </row>
        <row r="5989">
          <cell r="A5989" t="str">
            <v>in storage</v>
          </cell>
          <cell r="K5989" t="str">
            <v>MMUR</v>
          </cell>
          <cell r="AB5989" t="str">
            <v>Kidney</v>
          </cell>
        </row>
        <row r="5990">
          <cell r="A5990" t="str">
            <v>in storage</v>
          </cell>
          <cell r="K5990" t="str">
            <v>MMUR</v>
          </cell>
          <cell r="AB5990" t="str">
            <v>Kidney</v>
          </cell>
        </row>
        <row r="5991">
          <cell r="A5991" t="str">
            <v>in storage</v>
          </cell>
          <cell r="K5991" t="str">
            <v>MMUR</v>
          </cell>
          <cell r="AB5991" t="str">
            <v>Gallbladder/ liver</v>
          </cell>
        </row>
        <row r="5992">
          <cell r="A5992" t="str">
            <v>in storage</v>
          </cell>
          <cell r="K5992" t="str">
            <v>MMUR</v>
          </cell>
          <cell r="AB5992" t="str">
            <v>Pancreas</v>
          </cell>
        </row>
        <row r="5993">
          <cell r="A5993" t="str">
            <v>in storage</v>
          </cell>
          <cell r="K5993" t="str">
            <v>MMUR</v>
          </cell>
          <cell r="AB5993" t="str">
            <v>Spleen</v>
          </cell>
        </row>
        <row r="5994">
          <cell r="A5994" t="str">
            <v>in storage</v>
          </cell>
          <cell r="K5994" t="str">
            <v>MMUR</v>
          </cell>
          <cell r="AB5994" t="str">
            <v>Lung</v>
          </cell>
        </row>
        <row r="5995">
          <cell r="A5995" t="str">
            <v>in storage</v>
          </cell>
          <cell r="K5995" t="str">
            <v>MMUR</v>
          </cell>
          <cell r="AB5995" t="str">
            <v>Muscle</v>
          </cell>
        </row>
        <row r="5996">
          <cell r="A5996" t="str">
            <v>in storage</v>
          </cell>
          <cell r="K5996" t="str">
            <v>MMUR</v>
          </cell>
          <cell r="AB5996" t="str">
            <v>R- ejaculate</v>
          </cell>
        </row>
        <row r="5997">
          <cell r="A5997" t="str">
            <v>in storage</v>
          </cell>
          <cell r="K5997" t="str">
            <v>MMUR</v>
          </cell>
          <cell r="AB5997" t="str">
            <v>R- epididemis</v>
          </cell>
        </row>
        <row r="5998">
          <cell r="A5998" t="str">
            <v>in storage</v>
          </cell>
          <cell r="K5998" t="str">
            <v>MMUR</v>
          </cell>
          <cell r="AB5998" t="str">
            <v>GI Contents- ileum</v>
          </cell>
        </row>
        <row r="5999">
          <cell r="A5999" t="str">
            <v>in storage</v>
          </cell>
          <cell r="K5999" t="str">
            <v>MMUR</v>
          </cell>
          <cell r="AB5999" t="str">
            <v>Gallbladder/ liver</v>
          </cell>
        </row>
        <row r="6000">
          <cell r="A6000" t="str">
            <v>in storage</v>
          </cell>
          <cell r="K6000" t="str">
            <v>MMUR</v>
          </cell>
          <cell r="AB6000" t="str">
            <v>Skin</v>
          </cell>
        </row>
        <row r="6001">
          <cell r="A6001" t="str">
            <v>in storage</v>
          </cell>
          <cell r="K6001" t="str">
            <v>MMUR</v>
          </cell>
          <cell r="AB6001" t="str">
            <v>Pancreas</v>
          </cell>
        </row>
        <row r="6002">
          <cell r="A6002" t="str">
            <v>in storage</v>
          </cell>
          <cell r="K6002" t="str">
            <v>MMUR</v>
          </cell>
          <cell r="AB6002" t="str">
            <v>Kidney</v>
          </cell>
        </row>
        <row r="6003">
          <cell r="A6003" t="str">
            <v>in storage</v>
          </cell>
          <cell r="K6003" t="str">
            <v>MMUR</v>
          </cell>
          <cell r="AB6003" t="str">
            <v>Kidney</v>
          </cell>
        </row>
        <row r="6004">
          <cell r="A6004" t="str">
            <v>in storage</v>
          </cell>
          <cell r="K6004" t="str">
            <v>MMUR</v>
          </cell>
          <cell r="AB6004" t="str">
            <v>Lung</v>
          </cell>
        </row>
        <row r="6005">
          <cell r="A6005" t="str">
            <v>in storage</v>
          </cell>
          <cell r="K6005" t="str">
            <v>MMUR</v>
          </cell>
          <cell r="AB6005" t="str">
            <v>Lung</v>
          </cell>
        </row>
        <row r="6006">
          <cell r="A6006" t="str">
            <v>in storage</v>
          </cell>
          <cell r="K6006" t="str">
            <v>MMUR</v>
          </cell>
          <cell r="AB6006" t="str">
            <v>Heart</v>
          </cell>
        </row>
        <row r="6007">
          <cell r="A6007" t="str">
            <v>in storage</v>
          </cell>
          <cell r="K6007" t="str">
            <v>MMUR</v>
          </cell>
          <cell r="AB6007" t="str">
            <v>Spleen</v>
          </cell>
        </row>
        <row r="6008">
          <cell r="A6008" t="str">
            <v>in storage</v>
          </cell>
          <cell r="K6008" t="str">
            <v>MMUR</v>
          </cell>
          <cell r="AB6008" t="str">
            <v>Adrenal gland</v>
          </cell>
        </row>
        <row r="6009">
          <cell r="A6009" t="str">
            <v>in storage</v>
          </cell>
          <cell r="K6009" t="str">
            <v>MMUR</v>
          </cell>
          <cell r="AB6009" t="str">
            <v>Adrenal gland</v>
          </cell>
        </row>
        <row r="6010">
          <cell r="A6010" t="str">
            <v>in storage</v>
          </cell>
          <cell r="K6010" t="str">
            <v>MMUR</v>
          </cell>
          <cell r="AB6010" t="str">
            <v>Trachea</v>
          </cell>
        </row>
        <row r="6011">
          <cell r="A6011" t="str">
            <v>in storage</v>
          </cell>
          <cell r="K6011" t="str">
            <v>MMUR</v>
          </cell>
          <cell r="AB6011" t="str">
            <v>GI- small intestine</v>
          </cell>
        </row>
        <row r="6012">
          <cell r="A6012" t="str">
            <v>in storage</v>
          </cell>
          <cell r="K6012" t="str">
            <v>MMUR</v>
          </cell>
          <cell r="AB6012" t="str">
            <v>Liver</v>
          </cell>
        </row>
        <row r="6013">
          <cell r="A6013" t="str">
            <v>in storage</v>
          </cell>
          <cell r="K6013" t="str">
            <v>MMUR</v>
          </cell>
          <cell r="AB6013" t="str">
            <v>RU- accessory sex glands/ bladder</v>
          </cell>
        </row>
        <row r="6014">
          <cell r="A6014" t="str">
            <v>in storage</v>
          </cell>
          <cell r="K6014" t="str">
            <v>MMUR</v>
          </cell>
          <cell r="AB6014" t="str">
            <v>RU- accessory sex glands/ bladder</v>
          </cell>
        </row>
        <row r="6015">
          <cell r="A6015" t="str">
            <v>in storage</v>
          </cell>
          <cell r="K6015" t="str">
            <v>MMUR</v>
          </cell>
          <cell r="AB6015" t="str">
            <v>R- teste(s)</v>
          </cell>
        </row>
        <row r="6016">
          <cell r="A6016" t="str">
            <v>in storage</v>
          </cell>
          <cell r="K6016" t="str">
            <v>EMAC</v>
          </cell>
          <cell r="AB6016" t="str">
            <v>Muscle</v>
          </cell>
        </row>
        <row r="6017">
          <cell r="A6017" t="str">
            <v>in storage</v>
          </cell>
          <cell r="K6017" t="str">
            <v>EMAC</v>
          </cell>
          <cell r="AB6017" t="str">
            <v>Muscle</v>
          </cell>
        </row>
        <row r="6018">
          <cell r="A6018" t="str">
            <v>in storage</v>
          </cell>
          <cell r="K6018" t="str">
            <v>EMAC</v>
          </cell>
          <cell r="AB6018" t="str">
            <v>Mass- liver</v>
          </cell>
        </row>
        <row r="6019">
          <cell r="A6019" t="str">
            <v>in storage</v>
          </cell>
          <cell r="K6019" t="str">
            <v>MMUR</v>
          </cell>
          <cell r="AB6019" t="str">
            <v>GI- stomach</v>
          </cell>
        </row>
        <row r="6020">
          <cell r="A6020" t="str">
            <v>in storage</v>
          </cell>
          <cell r="K6020" t="str">
            <v>EMAC</v>
          </cell>
          <cell r="AB6020" t="str">
            <v>Trachea</v>
          </cell>
        </row>
        <row r="6021">
          <cell r="A6021" t="str">
            <v>in storage</v>
          </cell>
          <cell r="K6021" t="str">
            <v>MMUR</v>
          </cell>
          <cell r="AB6021" t="str">
            <v>GI Contents- stomach</v>
          </cell>
        </row>
        <row r="6022">
          <cell r="A6022" t="str">
            <v>in storage</v>
          </cell>
          <cell r="K6022" t="str">
            <v>EMAC</v>
          </cell>
          <cell r="AB6022" t="str">
            <v>Liver</v>
          </cell>
        </row>
        <row r="6023">
          <cell r="A6023" t="str">
            <v>in storage</v>
          </cell>
          <cell r="K6023" t="str">
            <v>EMAC</v>
          </cell>
          <cell r="AB6023" t="str">
            <v>Pancreas</v>
          </cell>
        </row>
        <row r="6024">
          <cell r="A6024" t="str">
            <v>in storage</v>
          </cell>
          <cell r="K6024" t="str">
            <v>MMUR</v>
          </cell>
          <cell r="AB6024" t="str">
            <v>GI- large intestine</v>
          </cell>
        </row>
        <row r="6025">
          <cell r="A6025" t="str">
            <v>in storage</v>
          </cell>
          <cell r="K6025" t="str">
            <v>MMUR</v>
          </cell>
          <cell r="AB6025" t="str">
            <v>GI- stomach</v>
          </cell>
        </row>
        <row r="6026">
          <cell r="A6026" t="str">
            <v>unk</v>
          </cell>
          <cell r="K6026" t="str">
            <v>MMUR</v>
          </cell>
          <cell r="AB6026" t="str">
            <v>GI- small intestine</v>
          </cell>
        </row>
        <row r="6027">
          <cell r="A6027" t="str">
            <v>in storage</v>
          </cell>
          <cell r="K6027" t="str">
            <v>EMAC</v>
          </cell>
          <cell r="AB6027" t="str">
            <v>Kidney</v>
          </cell>
        </row>
        <row r="6028">
          <cell r="A6028" t="str">
            <v>in storage</v>
          </cell>
          <cell r="K6028" t="str">
            <v>EMAC</v>
          </cell>
          <cell r="AB6028" t="str">
            <v>Kidney</v>
          </cell>
        </row>
        <row r="6029">
          <cell r="A6029" t="str">
            <v>in storage</v>
          </cell>
          <cell r="K6029" t="str">
            <v>EMAC</v>
          </cell>
          <cell r="AB6029" t="str">
            <v>Spleen</v>
          </cell>
        </row>
        <row r="6030">
          <cell r="A6030" t="str">
            <v>in storage</v>
          </cell>
          <cell r="K6030" t="str">
            <v>EMAC</v>
          </cell>
          <cell r="AB6030" t="str">
            <v>Heart</v>
          </cell>
        </row>
        <row r="6031">
          <cell r="A6031" t="str">
            <v>in storage</v>
          </cell>
          <cell r="K6031" t="str">
            <v>EMAC</v>
          </cell>
          <cell r="AB6031" t="str">
            <v>Aorta</v>
          </cell>
        </row>
        <row r="6032">
          <cell r="A6032" t="str">
            <v>in storage</v>
          </cell>
          <cell r="K6032" t="str">
            <v>EMAC</v>
          </cell>
          <cell r="AB6032" t="str">
            <v>Lung</v>
          </cell>
        </row>
        <row r="6033">
          <cell r="A6033" t="str">
            <v>in storage</v>
          </cell>
          <cell r="K6033" t="str">
            <v>EMAC</v>
          </cell>
          <cell r="AB6033" t="str">
            <v>Lung</v>
          </cell>
        </row>
        <row r="6034">
          <cell r="A6034" t="str">
            <v>gone</v>
          </cell>
          <cell r="K6034" t="str">
            <v>EMAC</v>
          </cell>
          <cell r="AB6034" t="str">
            <v>Skin</v>
          </cell>
        </row>
        <row r="6035">
          <cell r="A6035" t="str">
            <v>in storage</v>
          </cell>
          <cell r="K6035" t="str">
            <v>EMAC</v>
          </cell>
          <cell r="AB6035" t="str">
            <v>Skin</v>
          </cell>
        </row>
        <row r="6036">
          <cell r="A6036" t="str">
            <v>in storage</v>
          </cell>
          <cell r="K6036" t="str">
            <v>EMAC</v>
          </cell>
          <cell r="AB6036" t="str">
            <v>Adrenal gland</v>
          </cell>
        </row>
        <row r="6037">
          <cell r="A6037" t="str">
            <v>in storage</v>
          </cell>
          <cell r="K6037" t="str">
            <v>EMAC</v>
          </cell>
          <cell r="AB6037" t="str">
            <v>Kidney</v>
          </cell>
        </row>
        <row r="6038">
          <cell r="A6038" t="str">
            <v>in storage</v>
          </cell>
          <cell r="K6038" t="str">
            <v>EMAC</v>
          </cell>
          <cell r="AB6038" t="str">
            <v>Kidney</v>
          </cell>
        </row>
        <row r="6039">
          <cell r="A6039" t="str">
            <v>in storage</v>
          </cell>
          <cell r="K6039" t="str">
            <v>EMAC</v>
          </cell>
          <cell r="AB6039" t="str">
            <v>Kidney</v>
          </cell>
        </row>
        <row r="6040">
          <cell r="A6040" t="str">
            <v>in storage</v>
          </cell>
          <cell r="K6040" t="str">
            <v>EMAC</v>
          </cell>
          <cell r="AB6040" t="str">
            <v>Lung</v>
          </cell>
        </row>
        <row r="6041">
          <cell r="A6041" t="str">
            <v>in storage</v>
          </cell>
          <cell r="K6041" t="str">
            <v>EMAC</v>
          </cell>
          <cell r="AB6041" t="str">
            <v>Lung</v>
          </cell>
        </row>
        <row r="6042">
          <cell r="A6042" t="str">
            <v>in storage</v>
          </cell>
          <cell r="K6042" t="str">
            <v>EMAC</v>
          </cell>
          <cell r="AB6042" t="str">
            <v>Lung</v>
          </cell>
        </row>
        <row r="6043">
          <cell r="A6043" t="str">
            <v>in storage</v>
          </cell>
          <cell r="K6043" t="str">
            <v>EMAC</v>
          </cell>
          <cell r="AB6043" t="str">
            <v>Pancreas</v>
          </cell>
        </row>
        <row r="6044">
          <cell r="A6044" t="str">
            <v>in storage</v>
          </cell>
          <cell r="K6044" t="str">
            <v>EMAC</v>
          </cell>
          <cell r="AB6044" t="str">
            <v>Pancreas</v>
          </cell>
        </row>
        <row r="6045">
          <cell r="A6045" t="str">
            <v>in storage</v>
          </cell>
          <cell r="K6045" t="str">
            <v>EMAC</v>
          </cell>
          <cell r="AB6045" t="str">
            <v>Heart</v>
          </cell>
        </row>
        <row r="6046">
          <cell r="A6046" t="str">
            <v>in storage</v>
          </cell>
          <cell r="K6046" t="str">
            <v>EMAC</v>
          </cell>
          <cell r="AB6046" t="str">
            <v>Heart</v>
          </cell>
        </row>
        <row r="6047">
          <cell r="A6047" t="str">
            <v>in storage</v>
          </cell>
          <cell r="K6047" t="str">
            <v>EMAC</v>
          </cell>
          <cell r="AB6047" t="str">
            <v>Heart</v>
          </cell>
        </row>
        <row r="6048">
          <cell r="A6048" t="str">
            <v>in storage</v>
          </cell>
          <cell r="K6048" t="str">
            <v>EMAC</v>
          </cell>
          <cell r="AB6048" t="str">
            <v>Liver</v>
          </cell>
        </row>
        <row r="6049">
          <cell r="A6049" t="str">
            <v>in storage</v>
          </cell>
          <cell r="K6049" t="str">
            <v>EMAC</v>
          </cell>
          <cell r="AB6049" t="str">
            <v>Liver</v>
          </cell>
        </row>
        <row r="6050">
          <cell r="A6050" t="str">
            <v>in storage</v>
          </cell>
          <cell r="K6050" t="str">
            <v>EMAC</v>
          </cell>
          <cell r="AB6050" t="str">
            <v>Liver</v>
          </cell>
        </row>
        <row r="6051">
          <cell r="A6051" t="str">
            <v>in storage</v>
          </cell>
          <cell r="K6051" t="str">
            <v>EMAC</v>
          </cell>
          <cell r="AB6051" t="str">
            <v>Spleen</v>
          </cell>
        </row>
        <row r="6052">
          <cell r="A6052" t="str">
            <v>in storage</v>
          </cell>
          <cell r="K6052" t="str">
            <v>EMAC</v>
          </cell>
          <cell r="AB6052" t="str">
            <v>Spleen</v>
          </cell>
        </row>
        <row r="6053">
          <cell r="A6053" t="str">
            <v>in storage</v>
          </cell>
          <cell r="K6053" t="str">
            <v>EMAC</v>
          </cell>
          <cell r="AB6053" t="str">
            <v>RU- accessory sex glands/ bladder</v>
          </cell>
        </row>
        <row r="6054">
          <cell r="A6054" t="str">
            <v>in storage</v>
          </cell>
          <cell r="K6054" t="str">
            <v>MMUR</v>
          </cell>
          <cell r="AB6054" t="str">
            <v>GI- cecum</v>
          </cell>
        </row>
        <row r="6055">
          <cell r="A6055" t="str">
            <v>in storage</v>
          </cell>
          <cell r="K6055" t="str">
            <v>EMAC</v>
          </cell>
          <cell r="AB6055" t="str">
            <v>R- teste(s)</v>
          </cell>
        </row>
        <row r="6056">
          <cell r="A6056" t="str">
            <v>in storage</v>
          </cell>
          <cell r="K6056" t="str">
            <v>EMAC</v>
          </cell>
          <cell r="AB6056" t="str">
            <v>R- teste(s)</v>
          </cell>
        </row>
        <row r="6057">
          <cell r="A6057" t="str">
            <v>in storage</v>
          </cell>
          <cell r="K6057" t="str">
            <v>EMAC</v>
          </cell>
          <cell r="AB6057" t="str">
            <v>Liver</v>
          </cell>
        </row>
        <row r="6058">
          <cell r="A6058" t="str">
            <v>in storage</v>
          </cell>
          <cell r="K6058" t="str">
            <v>EMAC</v>
          </cell>
          <cell r="AB6058" t="str">
            <v>Liver</v>
          </cell>
        </row>
        <row r="6059">
          <cell r="A6059" t="str">
            <v>in storage</v>
          </cell>
          <cell r="K6059" t="str">
            <v>ECOR</v>
          </cell>
          <cell r="AB6059" t="str">
            <v>Hair</v>
          </cell>
        </row>
        <row r="6060">
          <cell r="A6060" t="str">
            <v>in storage</v>
          </cell>
          <cell r="K6060" t="str">
            <v>VVV</v>
          </cell>
          <cell r="AB6060" t="str">
            <v>Skin</v>
          </cell>
        </row>
        <row r="6061">
          <cell r="A6061" t="str">
            <v>in storage</v>
          </cell>
          <cell r="K6061" t="str">
            <v>VVV</v>
          </cell>
          <cell r="AB6061" t="str">
            <v>Kidney</v>
          </cell>
        </row>
        <row r="6062">
          <cell r="A6062" t="str">
            <v>in storage</v>
          </cell>
          <cell r="K6062" t="str">
            <v>VVV</v>
          </cell>
          <cell r="AB6062" t="str">
            <v>Lung</v>
          </cell>
        </row>
        <row r="6063">
          <cell r="A6063" t="str">
            <v>in storage</v>
          </cell>
          <cell r="K6063" t="str">
            <v>VVV</v>
          </cell>
          <cell r="AB6063" t="str">
            <v>Lung</v>
          </cell>
        </row>
        <row r="6064">
          <cell r="A6064" t="str">
            <v>in storage</v>
          </cell>
          <cell r="K6064" t="str">
            <v>VVV</v>
          </cell>
          <cell r="AB6064" t="str">
            <v>Liver</v>
          </cell>
        </row>
        <row r="6065">
          <cell r="A6065" t="str">
            <v>in storage</v>
          </cell>
          <cell r="K6065" t="str">
            <v>VVV</v>
          </cell>
          <cell r="AB6065" t="str">
            <v>Heart</v>
          </cell>
        </row>
        <row r="6066">
          <cell r="A6066" t="str">
            <v>in storage</v>
          </cell>
          <cell r="K6066" t="str">
            <v>VVV</v>
          </cell>
          <cell r="AB6066" t="str">
            <v>Kidney</v>
          </cell>
        </row>
        <row r="6067">
          <cell r="A6067" t="str">
            <v>in storage</v>
          </cell>
          <cell r="K6067" t="str">
            <v>VVV</v>
          </cell>
          <cell r="AB6067" t="str">
            <v>Spleen</v>
          </cell>
        </row>
        <row r="6068">
          <cell r="A6068" t="str">
            <v>in storage</v>
          </cell>
          <cell r="K6068" t="str">
            <v>MMUR</v>
          </cell>
          <cell r="AB6068" t="str">
            <v>GI- esophagus</v>
          </cell>
        </row>
        <row r="6069">
          <cell r="A6069" t="str">
            <v>in storage</v>
          </cell>
          <cell r="K6069" t="str">
            <v>VVV</v>
          </cell>
          <cell r="AB6069" t="str">
            <v>Kidney</v>
          </cell>
        </row>
        <row r="6070">
          <cell r="A6070" t="str">
            <v>in storage</v>
          </cell>
          <cell r="K6070" t="str">
            <v>VVV</v>
          </cell>
          <cell r="AB6070" t="str">
            <v>Kidney</v>
          </cell>
        </row>
        <row r="6071">
          <cell r="A6071" t="str">
            <v>in storage</v>
          </cell>
          <cell r="K6071" t="str">
            <v>VVV</v>
          </cell>
          <cell r="AB6071" t="str">
            <v>Spleen</v>
          </cell>
        </row>
        <row r="6072">
          <cell r="A6072" t="str">
            <v>in storage</v>
          </cell>
          <cell r="K6072" t="str">
            <v>VVV</v>
          </cell>
          <cell r="AB6072" t="str">
            <v>Heart</v>
          </cell>
        </row>
        <row r="6073">
          <cell r="A6073" t="str">
            <v>in storage</v>
          </cell>
          <cell r="K6073" t="str">
            <v>VVV</v>
          </cell>
          <cell r="AB6073" t="str">
            <v>Lung</v>
          </cell>
        </row>
        <row r="6074">
          <cell r="A6074" t="str">
            <v>in storage</v>
          </cell>
          <cell r="K6074" t="str">
            <v>VVV</v>
          </cell>
          <cell r="AB6074" t="str">
            <v>Lung</v>
          </cell>
        </row>
        <row r="6075">
          <cell r="A6075" t="str">
            <v>in storage</v>
          </cell>
          <cell r="K6075" t="str">
            <v>VVV</v>
          </cell>
          <cell r="AB6075" t="str">
            <v>Liver</v>
          </cell>
        </row>
        <row r="6076">
          <cell r="A6076" t="str">
            <v>in storage</v>
          </cell>
          <cell r="K6076" t="str">
            <v>VVV</v>
          </cell>
          <cell r="AB6076" t="str">
            <v>Skin</v>
          </cell>
        </row>
        <row r="6077">
          <cell r="A6077" t="str">
            <v>in storage</v>
          </cell>
          <cell r="K6077" t="str">
            <v>VVV</v>
          </cell>
          <cell r="AB6077" t="str">
            <v>Muscle</v>
          </cell>
        </row>
        <row r="6078">
          <cell r="A6078" t="str">
            <v>in storage</v>
          </cell>
          <cell r="K6078" t="str">
            <v>VVV</v>
          </cell>
          <cell r="AB6078" t="str">
            <v>Muscle</v>
          </cell>
        </row>
        <row r="6079">
          <cell r="A6079" t="str">
            <v>in storage</v>
          </cell>
          <cell r="K6079" t="str">
            <v>MMUR</v>
          </cell>
          <cell r="AB6079" t="str">
            <v>GI- small intestine</v>
          </cell>
        </row>
        <row r="6080">
          <cell r="A6080" t="str">
            <v>in storage</v>
          </cell>
          <cell r="K6080" t="str">
            <v>MMUR</v>
          </cell>
          <cell r="AB6080" t="str">
            <v>GI- large intestine</v>
          </cell>
        </row>
        <row r="6081">
          <cell r="A6081" t="str">
            <v>in storage</v>
          </cell>
          <cell r="K6081" t="str">
            <v>MMUR</v>
          </cell>
          <cell r="AB6081" t="str">
            <v>GI- stomach</v>
          </cell>
        </row>
        <row r="6082">
          <cell r="A6082" t="str">
            <v>in storage</v>
          </cell>
          <cell r="K6082" t="str">
            <v>PCOQ</v>
          </cell>
          <cell r="AB6082" t="str">
            <v>Trachea</v>
          </cell>
        </row>
        <row r="6083">
          <cell r="A6083" t="str">
            <v>in storage</v>
          </cell>
          <cell r="K6083" t="str">
            <v>MMUR</v>
          </cell>
          <cell r="AB6083" t="str">
            <v>GI- cecum</v>
          </cell>
        </row>
        <row r="6084">
          <cell r="A6084" t="str">
            <v>in storage</v>
          </cell>
          <cell r="K6084" t="str">
            <v>PCOQ</v>
          </cell>
          <cell r="AB6084" t="str">
            <v>Liver</v>
          </cell>
        </row>
        <row r="6085">
          <cell r="A6085" t="str">
            <v>in storage</v>
          </cell>
          <cell r="K6085" t="str">
            <v>PCOQ</v>
          </cell>
          <cell r="AB6085" t="str">
            <v>Pancreas</v>
          </cell>
        </row>
        <row r="6086">
          <cell r="A6086" t="str">
            <v>in storage</v>
          </cell>
          <cell r="K6086" t="str">
            <v>MMUR</v>
          </cell>
          <cell r="AB6086" t="str">
            <v>GI- esophagus</v>
          </cell>
        </row>
        <row r="6087">
          <cell r="A6087" t="str">
            <v>in storage</v>
          </cell>
          <cell r="K6087" t="str">
            <v>MMUR</v>
          </cell>
          <cell r="AB6087" t="str">
            <v>GI- large intestine</v>
          </cell>
        </row>
        <row r="6088">
          <cell r="A6088" t="str">
            <v>unk</v>
          </cell>
          <cell r="K6088" t="str">
            <v>MMUR</v>
          </cell>
          <cell r="AB6088" t="str">
            <v>GI- small intestine</v>
          </cell>
        </row>
        <row r="6089">
          <cell r="A6089" t="str">
            <v>in storage</v>
          </cell>
          <cell r="K6089" t="str">
            <v>PCOQ</v>
          </cell>
          <cell r="AB6089" t="str">
            <v>Kidney</v>
          </cell>
        </row>
        <row r="6090">
          <cell r="A6090" t="str">
            <v>in storage</v>
          </cell>
          <cell r="K6090" t="str">
            <v>PCOQ</v>
          </cell>
          <cell r="AB6090" t="str">
            <v>Kidney</v>
          </cell>
        </row>
        <row r="6091">
          <cell r="A6091" t="str">
            <v>in storage</v>
          </cell>
          <cell r="K6091" t="str">
            <v>PCOQ</v>
          </cell>
          <cell r="AB6091" t="str">
            <v>Spleen</v>
          </cell>
        </row>
        <row r="6092">
          <cell r="A6092" t="str">
            <v>in storage</v>
          </cell>
          <cell r="K6092" t="str">
            <v>PCOQ</v>
          </cell>
          <cell r="AB6092" t="str">
            <v>Heart</v>
          </cell>
        </row>
        <row r="6093">
          <cell r="A6093" t="str">
            <v>in storage</v>
          </cell>
          <cell r="K6093" t="str">
            <v>PCOQ</v>
          </cell>
          <cell r="AB6093" t="str">
            <v>Lung</v>
          </cell>
        </row>
        <row r="6094">
          <cell r="A6094" t="str">
            <v>in storage</v>
          </cell>
          <cell r="K6094" t="str">
            <v>PCOQ</v>
          </cell>
          <cell r="AB6094" t="str">
            <v>Lung</v>
          </cell>
        </row>
        <row r="6095">
          <cell r="A6095" t="str">
            <v>in storage</v>
          </cell>
          <cell r="K6095" t="str">
            <v>PCOQ</v>
          </cell>
          <cell r="AB6095" t="str">
            <v>Skin</v>
          </cell>
        </row>
        <row r="6096">
          <cell r="A6096" t="str">
            <v>in storage</v>
          </cell>
          <cell r="K6096" t="str">
            <v>PCOQ</v>
          </cell>
          <cell r="AB6096" t="str">
            <v>Adrenal gland</v>
          </cell>
        </row>
        <row r="6097">
          <cell r="A6097" t="str">
            <v>unk</v>
          </cell>
          <cell r="K6097" t="str">
            <v>PCOQ</v>
          </cell>
          <cell r="AB6097" t="str">
            <v>Adrenal gland</v>
          </cell>
        </row>
        <row r="6098">
          <cell r="A6098" t="str">
            <v>in storage</v>
          </cell>
          <cell r="K6098" t="str">
            <v>MMUR</v>
          </cell>
          <cell r="AB6098" t="str">
            <v>GI- stomach</v>
          </cell>
        </row>
        <row r="6099">
          <cell r="A6099" t="str">
            <v>in storage</v>
          </cell>
          <cell r="K6099" t="str">
            <v>MMUR</v>
          </cell>
          <cell r="AB6099" t="str">
            <v>GI- cecum</v>
          </cell>
        </row>
        <row r="6100">
          <cell r="A6100" t="str">
            <v>in storage</v>
          </cell>
          <cell r="K6100" t="str">
            <v>MMUR</v>
          </cell>
          <cell r="AB6100" t="str">
            <v>GI- small intestine</v>
          </cell>
        </row>
        <row r="6101">
          <cell r="A6101" t="str">
            <v>in storage</v>
          </cell>
          <cell r="K6101" t="str">
            <v>MMUR</v>
          </cell>
          <cell r="AB6101" t="str">
            <v>GI- stomach</v>
          </cell>
        </row>
        <row r="6102">
          <cell r="A6102" t="str">
            <v>in storage</v>
          </cell>
          <cell r="K6102" t="str">
            <v>MMUR</v>
          </cell>
          <cell r="AB6102" t="str">
            <v>GI- large intestine</v>
          </cell>
        </row>
        <row r="6103">
          <cell r="A6103" t="str">
            <v>in storage</v>
          </cell>
          <cell r="K6103" t="str">
            <v>MMUR</v>
          </cell>
          <cell r="AB6103" t="str">
            <v>GI- small intestine</v>
          </cell>
        </row>
        <row r="6104">
          <cell r="A6104" t="str">
            <v>in storage</v>
          </cell>
          <cell r="K6104" t="str">
            <v>MMUR</v>
          </cell>
          <cell r="AB6104" t="str">
            <v>GI Contents- stomach</v>
          </cell>
        </row>
        <row r="6105">
          <cell r="A6105" t="str">
            <v>in storage</v>
          </cell>
          <cell r="K6105" t="str">
            <v>PCOQ</v>
          </cell>
          <cell r="AB6105" t="str">
            <v>Muscle</v>
          </cell>
        </row>
        <row r="6106">
          <cell r="A6106" t="str">
            <v>in storage</v>
          </cell>
          <cell r="K6106" t="str">
            <v>PCOQ</v>
          </cell>
          <cell r="AB6106" t="str">
            <v>skull cap</v>
          </cell>
        </row>
        <row r="6107">
          <cell r="A6107" t="str">
            <v>in storage</v>
          </cell>
          <cell r="K6107" t="str">
            <v>PCOQ</v>
          </cell>
          <cell r="AB6107" t="str">
            <v>R- ovary</v>
          </cell>
        </row>
        <row r="6108">
          <cell r="A6108" t="str">
            <v>in storage</v>
          </cell>
          <cell r="K6108" t="str">
            <v>PCOQ</v>
          </cell>
          <cell r="AB6108" t="str">
            <v>R- ovary</v>
          </cell>
        </row>
        <row r="6109">
          <cell r="A6109" t="str">
            <v>unk</v>
          </cell>
          <cell r="K6109" t="str">
            <v>PCOQ</v>
          </cell>
          <cell r="AB6109" t="str">
            <v>R- ovary</v>
          </cell>
        </row>
        <row r="6110">
          <cell r="A6110" t="str">
            <v>unk</v>
          </cell>
          <cell r="K6110" t="str">
            <v>MMUR</v>
          </cell>
          <cell r="AB6110" t="str">
            <v>GI Contents- stomach</v>
          </cell>
        </row>
        <row r="6111">
          <cell r="A6111" t="str">
            <v>in storage</v>
          </cell>
          <cell r="K6111" t="str">
            <v>MMUR</v>
          </cell>
          <cell r="AB6111" t="str">
            <v>GI Tract</v>
          </cell>
        </row>
        <row r="6112">
          <cell r="A6112" t="str">
            <v>in storage</v>
          </cell>
          <cell r="K6112" t="str">
            <v>MMUR</v>
          </cell>
          <cell r="AB6112" t="str">
            <v>GI- small intestine</v>
          </cell>
        </row>
        <row r="6113">
          <cell r="A6113" t="str">
            <v>in storage</v>
          </cell>
          <cell r="K6113" t="str">
            <v>MMUR</v>
          </cell>
          <cell r="AB6113" t="str">
            <v>GI- small intestine</v>
          </cell>
        </row>
        <row r="6114">
          <cell r="A6114" t="str">
            <v>in storage</v>
          </cell>
          <cell r="K6114" t="str">
            <v>PCOQ</v>
          </cell>
          <cell r="AB6114" t="str">
            <v>Trachea</v>
          </cell>
        </row>
        <row r="6115">
          <cell r="A6115" t="str">
            <v>in storage</v>
          </cell>
          <cell r="K6115" t="str">
            <v>PCOQ</v>
          </cell>
          <cell r="AB6115" t="str">
            <v>Liver</v>
          </cell>
        </row>
        <row r="6116">
          <cell r="A6116" t="str">
            <v>in storage</v>
          </cell>
          <cell r="K6116" t="str">
            <v>PCOQ</v>
          </cell>
          <cell r="AB6116" t="str">
            <v>Liver</v>
          </cell>
        </row>
        <row r="6117">
          <cell r="A6117" t="str">
            <v>in storage</v>
          </cell>
          <cell r="K6117" t="str">
            <v>PCOQ</v>
          </cell>
          <cell r="AB6117" t="str">
            <v>Liver</v>
          </cell>
        </row>
        <row r="6118">
          <cell r="A6118" t="str">
            <v>in storage</v>
          </cell>
          <cell r="K6118" t="str">
            <v>PCOQ</v>
          </cell>
          <cell r="AB6118" t="str">
            <v>Pancreas</v>
          </cell>
        </row>
        <row r="6119">
          <cell r="A6119" t="str">
            <v>in storage</v>
          </cell>
          <cell r="K6119" t="str">
            <v>MMUR</v>
          </cell>
          <cell r="AB6119" t="str">
            <v>GI- large intestine</v>
          </cell>
        </row>
        <row r="6120">
          <cell r="A6120" t="str">
            <v>in storage</v>
          </cell>
          <cell r="K6120" t="str">
            <v>MMUR</v>
          </cell>
          <cell r="AB6120" t="str">
            <v>GI- stomach</v>
          </cell>
        </row>
        <row r="6121">
          <cell r="A6121" t="str">
            <v>in storage</v>
          </cell>
          <cell r="K6121" t="str">
            <v>MMUR</v>
          </cell>
          <cell r="AB6121" t="str">
            <v>GI- esophagus</v>
          </cell>
        </row>
        <row r="6122">
          <cell r="A6122" t="str">
            <v>in storage</v>
          </cell>
          <cell r="K6122" t="str">
            <v>PCOQ</v>
          </cell>
          <cell r="AB6122" t="str">
            <v>Kidney</v>
          </cell>
        </row>
        <row r="6123">
          <cell r="A6123" t="str">
            <v>in storage</v>
          </cell>
          <cell r="K6123" t="str">
            <v>PCOQ</v>
          </cell>
          <cell r="AB6123" t="str">
            <v>Kidney</v>
          </cell>
        </row>
        <row r="6124">
          <cell r="A6124" t="str">
            <v>in storage</v>
          </cell>
          <cell r="K6124" t="str">
            <v>PCOQ</v>
          </cell>
          <cell r="AB6124" t="str">
            <v>Heart</v>
          </cell>
        </row>
        <row r="6125">
          <cell r="A6125" t="str">
            <v>in storage</v>
          </cell>
          <cell r="K6125" t="str">
            <v>PCOQ</v>
          </cell>
          <cell r="AB6125" t="str">
            <v>Lung</v>
          </cell>
        </row>
        <row r="6126">
          <cell r="A6126" t="str">
            <v>in storage</v>
          </cell>
          <cell r="K6126" t="str">
            <v>PCOQ</v>
          </cell>
          <cell r="AB6126" t="str">
            <v>Lung</v>
          </cell>
        </row>
        <row r="6127">
          <cell r="A6127" t="str">
            <v>in storage</v>
          </cell>
          <cell r="K6127" t="str">
            <v>PCOQ</v>
          </cell>
          <cell r="AB6127" t="str">
            <v>Liver</v>
          </cell>
        </row>
        <row r="6128">
          <cell r="A6128" t="str">
            <v>in storage</v>
          </cell>
          <cell r="K6128" t="str">
            <v>PCOQ</v>
          </cell>
          <cell r="AB6128" t="str">
            <v>Kidney</v>
          </cell>
        </row>
        <row r="6129">
          <cell r="A6129" t="str">
            <v>in storage</v>
          </cell>
          <cell r="K6129" t="str">
            <v>PCOQ</v>
          </cell>
          <cell r="AB6129" t="str">
            <v>Heart</v>
          </cell>
        </row>
        <row r="6130">
          <cell r="A6130" t="str">
            <v>in storage</v>
          </cell>
          <cell r="K6130" t="str">
            <v>PCOQ</v>
          </cell>
          <cell r="AB6130" t="str">
            <v>Gallbladder</v>
          </cell>
        </row>
        <row r="6131">
          <cell r="A6131" t="str">
            <v>in storage</v>
          </cell>
          <cell r="K6131" t="str">
            <v>PCOQ</v>
          </cell>
          <cell r="AB6131" t="str">
            <v>Spleen</v>
          </cell>
        </row>
        <row r="6132">
          <cell r="A6132" t="str">
            <v>in storage</v>
          </cell>
          <cell r="K6132" t="str">
            <v>PCOQ</v>
          </cell>
          <cell r="AB6132" t="str">
            <v>Kidney</v>
          </cell>
        </row>
        <row r="6133">
          <cell r="A6133" t="str">
            <v>in storage</v>
          </cell>
          <cell r="K6133" t="str">
            <v>PCOQ</v>
          </cell>
          <cell r="AB6133" t="str">
            <v>Heart</v>
          </cell>
        </row>
        <row r="6134">
          <cell r="A6134" t="str">
            <v>in storage</v>
          </cell>
          <cell r="K6134" t="str">
            <v>PCOQ</v>
          </cell>
          <cell r="AB6134" t="str">
            <v>Lung</v>
          </cell>
        </row>
        <row r="6135">
          <cell r="A6135" t="str">
            <v>in storage</v>
          </cell>
          <cell r="K6135" t="str">
            <v>PCOQ</v>
          </cell>
          <cell r="AB6135" t="str">
            <v>Pancreas</v>
          </cell>
        </row>
        <row r="6136">
          <cell r="A6136" t="str">
            <v>in storage</v>
          </cell>
          <cell r="K6136" t="str">
            <v>PCOQ</v>
          </cell>
          <cell r="AB6136" t="str">
            <v>Lung</v>
          </cell>
        </row>
        <row r="6137">
          <cell r="A6137" t="str">
            <v>in storage</v>
          </cell>
          <cell r="K6137" t="str">
            <v>PCOQ</v>
          </cell>
          <cell r="AB6137" t="str">
            <v>Pancreas</v>
          </cell>
        </row>
        <row r="6138">
          <cell r="A6138" t="str">
            <v>in storage</v>
          </cell>
          <cell r="K6138" t="str">
            <v>PCOQ</v>
          </cell>
          <cell r="AB6138" t="str">
            <v>Heart</v>
          </cell>
        </row>
        <row r="6139">
          <cell r="A6139" t="str">
            <v>in storage</v>
          </cell>
          <cell r="K6139" t="str">
            <v>PCOQ</v>
          </cell>
          <cell r="AB6139" t="str">
            <v>Adrenal gland</v>
          </cell>
        </row>
        <row r="6140">
          <cell r="A6140" t="str">
            <v>in storage</v>
          </cell>
          <cell r="K6140" t="str">
            <v>PCOQ</v>
          </cell>
          <cell r="AB6140" t="str">
            <v>Adrenal gland</v>
          </cell>
        </row>
        <row r="6141">
          <cell r="A6141" t="str">
            <v>in storage</v>
          </cell>
          <cell r="K6141" t="str">
            <v>PCOQ</v>
          </cell>
          <cell r="AB6141" t="str">
            <v>Pancreas</v>
          </cell>
        </row>
        <row r="6142">
          <cell r="A6142" t="str">
            <v>in storage</v>
          </cell>
          <cell r="K6142" t="str">
            <v>PCOQ</v>
          </cell>
          <cell r="AB6142" t="str">
            <v>Kidney</v>
          </cell>
        </row>
        <row r="6143">
          <cell r="A6143" t="str">
            <v>in storage</v>
          </cell>
          <cell r="K6143" t="str">
            <v>PCOQ</v>
          </cell>
          <cell r="AB6143" t="str">
            <v>Lung</v>
          </cell>
        </row>
        <row r="6144">
          <cell r="A6144" t="str">
            <v>in storage</v>
          </cell>
          <cell r="K6144" t="str">
            <v>PCOQ</v>
          </cell>
          <cell r="AB6144" t="str">
            <v>Spleen</v>
          </cell>
        </row>
        <row r="6145">
          <cell r="A6145" t="str">
            <v>in storage</v>
          </cell>
          <cell r="K6145" t="str">
            <v>PCOQ</v>
          </cell>
          <cell r="AB6145" t="str">
            <v>Spleen</v>
          </cell>
        </row>
        <row r="6146">
          <cell r="A6146" t="str">
            <v>in storage</v>
          </cell>
          <cell r="K6146" t="str">
            <v>PCOQ</v>
          </cell>
          <cell r="AB6146" t="str">
            <v>Skin</v>
          </cell>
        </row>
        <row r="6147">
          <cell r="A6147" t="str">
            <v>in storage</v>
          </cell>
          <cell r="K6147" t="str">
            <v>PCOQ</v>
          </cell>
          <cell r="AB6147" t="str">
            <v>Skin</v>
          </cell>
        </row>
        <row r="6148">
          <cell r="A6148" t="str">
            <v>in storage</v>
          </cell>
          <cell r="K6148" t="str">
            <v>PCOQ</v>
          </cell>
          <cell r="AB6148" t="str">
            <v>Skin</v>
          </cell>
        </row>
        <row r="6149">
          <cell r="A6149" t="str">
            <v>in storage</v>
          </cell>
          <cell r="K6149" t="str">
            <v>MMUR</v>
          </cell>
          <cell r="AB6149" t="str">
            <v>GI- cecum</v>
          </cell>
        </row>
        <row r="6150">
          <cell r="A6150" t="str">
            <v>in storage</v>
          </cell>
          <cell r="K6150" t="str">
            <v>MMUR</v>
          </cell>
          <cell r="AB6150" t="str">
            <v>GI- large intestine</v>
          </cell>
        </row>
        <row r="6151">
          <cell r="A6151" t="str">
            <v>in storage</v>
          </cell>
          <cell r="K6151" t="str">
            <v>MMUR</v>
          </cell>
          <cell r="AB6151" t="str">
            <v>GI- small intestine</v>
          </cell>
        </row>
        <row r="6152">
          <cell r="A6152" t="str">
            <v>in storage</v>
          </cell>
          <cell r="K6152" t="str">
            <v>MMUR</v>
          </cell>
          <cell r="AB6152" t="str">
            <v>GI- small intestine</v>
          </cell>
        </row>
        <row r="6153">
          <cell r="A6153" t="str">
            <v>in storage</v>
          </cell>
          <cell r="K6153" t="str">
            <v>PCOQ</v>
          </cell>
          <cell r="AB6153" t="str">
            <v>R- uterus</v>
          </cell>
        </row>
        <row r="6154">
          <cell r="A6154" t="str">
            <v>in storage</v>
          </cell>
          <cell r="K6154" t="str">
            <v>PCOQ</v>
          </cell>
          <cell r="AB6154" t="str">
            <v>Muscle</v>
          </cell>
        </row>
        <row r="6155">
          <cell r="A6155" t="str">
            <v>in storage</v>
          </cell>
          <cell r="K6155" t="str">
            <v>PCOQ</v>
          </cell>
          <cell r="AB6155" t="str">
            <v>Muscle</v>
          </cell>
        </row>
        <row r="6156">
          <cell r="A6156" t="str">
            <v>in storage</v>
          </cell>
          <cell r="K6156" t="str">
            <v>PCOQ</v>
          </cell>
          <cell r="AB6156" t="str">
            <v>Muscle</v>
          </cell>
        </row>
        <row r="6157">
          <cell r="A6157" t="str">
            <v>in storage</v>
          </cell>
          <cell r="K6157" t="str">
            <v>PCOQ</v>
          </cell>
          <cell r="AB6157" t="str">
            <v>Muscle</v>
          </cell>
        </row>
        <row r="6158">
          <cell r="A6158" t="str">
            <v>on hold</v>
          </cell>
          <cell r="K6158" t="str">
            <v>PCOQ</v>
          </cell>
          <cell r="AB6158" t="str">
            <v>R- sperm plug</v>
          </cell>
        </row>
        <row r="6159">
          <cell r="A6159" t="str">
            <v>in storage</v>
          </cell>
          <cell r="K6159" t="str">
            <v>MMUR</v>
          </cell>
          <cell r="AB6159" t="str">
            <v>Eye</v>
          </cell>
        </row>
        <row r="6160">
          <cell r="A6160" t="str">
            <v>in storage</v>
          </cell>
          <cell r="K6160" t="str">
            <v>EMAC</v>
          </cell>
          <cell r="AB6160" t="str">
            <v>Muscle</v>
          </cell>
        </row>
        <row r="6161">
          <cell r="A6161" t="str">
            <v>in storage</v>
          </cell>
          <cell r="K6161" t="str">
            <v>EMAC</v>
          </cell>
          <cell r="AB6161" t="str">
            <v>Muscle</v>
          </cell>
        </row>
        <row r="6162">
          <cell r="A6162" t="str">
            <v>in storage</v>
          </cell>
          <cell r="K6162" t="str">
            <v>EMAC</v>
          </cell>
          <cell r="AB6162" t="str">
            <v>Muscle</v>
          </cell>
        </row>
        <row r="6163">
          <cell r="A6163" t="str">
            <v>in storage</v>
          </cell>
          <cell r="K6163" t="str">
            <v>EMAC</v>
          </cell>
          <cell r="AB6163" t="str">
            <v>R- ovary</v>
          </cell>
        </row>
        <row r="6164">
          <cell r="A6164" t="str">
            <v>in storage</v>
          </cell>
          <cell r="K6164" t="str">
            <v>MMUR</v>
          </cell>
          <cell r="AB6164" t="str">
            <v>GI- stomach</v>
          </cell>
        </row>
        <row r="6165">
          <cell r="A6165" t="str">
            <v>in storage</v>
          </cell>
          <cell r="K6165" t="str">
            <v>MMUR</v>
          </cell>
          <cell r="AB6165" t="str">
            <v>GI Tract</v>
          </cell>
        </row>
        <row r="6166">
          <cell r="A6166" t="str">
            <v>in storage</v>
          </cell>
          <cell r="K6166" t="str">
            <v>EMAC</v>
          </cell>
          <cell r="AB6166" t="str">
            <v>Liver</v>
          </cell>
        </row>
        <row r="6167">
          <cell r="A6167" t="str">
            <v>in storage</v>
          </cell>
          <cell r="K6167" t="str">
            <v>EMAC</v>
          </cell>
          <cell r="AB6167" t="str">
            <v>Liver</v>
          </cell>
        </row>
        <row r="6168">
          <cell r="A6168" t="str">
            <v>in storage</v>
          </cell>
          <cell r="K6168" t="str">
            <v>EMAC</v>
          </cell>
          <cell r="AB6168" t="str">
            <v>Liver</v>
          </cell>
        </row>
        <row r="6169">
          <cell r="A6169" t="str">
            <v>in storage</v>
          </cell>
          <cell r="K6169" t="str">
            <v>MMUR</v>
          </cell>
          <cell r="AB6169" t="str">
            <v>GI- large intestine</v>
          </cell>
        </row>
        <row r="6170">
          <cell r="A6170" t="str">
            <v>in storage</v>
          </cell>
          <cell r="K6170" t="str">
            <v>EMAC</v>
          </cell>
          <cell r="AB6170" t="str">
            <v>Kidney</v>
          </cell>
        </row>
        <row r="6171">
          <cell r="A6171" t="str">
            <v>in storage</v>
          </cell>
          <cell r="K6171" t="str">
            <v>EMAC</v>
          </cell>
          <cell r="AB6171" t="str">
            <v>Kidney</v>
          </cell>
        </row>
        <row r="6172">
          <cell r="A6172" t="str">
            <v>in storage</v>
          </cell>
          <cell r="K6172" t="str">
            <v>EMAC</v>
          </cell>
          <cell r="AB6172" t="str">
            <v>Spleen</v>
          </cell>
        </row>
        <row r="6173">
          <cell r="A6173" t="str">
            <v>in storage</v>
          </cell>
          <cell r="K6173" t="str">
            <v>EMAC</v>
          </cell>
          <cell r="AB6173" t="str">
            <v>Heart</v>
          </cell>
        </row>
        <row r="6174">
          <cell r="A6174" t="str">
            <v>in storage</v>
          </cell>
          <cell r="K6174" t="str">
            <v>EMAC</v>
          </cell>
          <cell r="AB6174" t="str">
            <v>Lung</v>
          </cell>
        </row>
        <row r="6175">
          <cell r="A6175" t="str">
            <v>in storage</v>
          </cell>
          <cell r="K6175" t="str">
            <v>EMAC</v>
          </cell>
          <cell r="AB6175" t="str">
            <v>Lung</v>
          </cell>
        </row>
        <row r="6176">
          <cell r="A6176" t="str">
            <v>in storage</v>
          </cell>
          <cell r="K6176" t="str">
            <v>EMAC</v>
          </cell>
          <cell r="AB6176" t="str">
            <v>Kidney</v>
          </cell>
        </row>
        <row r="6177">
          <cell r="A6177" t="str">
            <v>in storage</v>
          </cell>
          <cell r="K6177" t="str">
            <v>EMAC</v>
          </cell>
          <cell r="AB6177" t="str">
            <v>Lung</v>
          </cell>
        </row>
        <row r="6178">
          <cell r="A6178" t="str">
            <v>in storage</v>
          </cell>
          <cell r="K6178" t="str">
            <v>EMAC</v>
          </cell>
          <cell r="AB6178" t="str">
            <v>Thyroid</v>
          </cell>
        </row>
        <row r="6179">
          <cell r="A6179" t="str">
            <v>in storage</v>
          </cell>
          <cell r="K6179" t="str">
            <v>EMAC</v>
          </cell>
          <cell r="AB6179" t="str">
            <v>Kidney</v>
          </cell>
        </row>
        <row r="6180">
          <cell r="A6180" t="str">
            <v>in storage</v>
          </cell>
          <cell r="K6180" t="str">
            <v>EMAC</v>
          </cell>
          <cell r="AB6180" t="str">
            <v>Kidney</v>
          </cell>
        </row>
        <row r="6181">
          <cell r="A6181" t="str">
            <v>in storage</v>
          </cell>
          <cell r="K6181" t="str">
            <v>EMAC</v>
          </cell>
          <cell r="AB6181" t="str">
            <v>Skin</v>
          </cell>
        </row>
        <row r="6182">
          <cell r="A6182" t="str">
            <v>in storage</v>
          </cell>
          <cell r="K6182" t="str">
            <v>EMAC</v>
          </cell>
          <cell r="AB6182" t="str">
            <v>Skin</v>
          </cell>
        </row>
        <row r="6183">
          <cell r="A6183" t="str">
            <v>in storage</v>
          </cell>
          <cell r="K6183" t="str">
            <v>EMAC</v>
          </cell>
          <cell r="AB6183" t="str">
            <v>Heart</v>
          </cell>
        </row>
        <row r="6184">
          <cell r="A6184" t="str">
            <v>in storage</v>
          </cell>
          <cell r="K6184" t="str">
            <v>EMAC</v>
          </cell>
          <cell r="AB6184" t="str">
            <v>Kidney</v>
          </cell>
        </row>
        <row r="6185">
          <cell r="A6185" t="str">
            <v>in storage</v>
          </cell>
          <cell r="K6185" t="str">
            <v>EMAC</v>
          </cell>
          <cell r="AB6185" t="str">
            <v>Heart</v>
          </cell>
        </row>
        <row r="6186">
          <cell r="A6186" t="str">
            <v>in storage</v>
          </cell>
          <cell r="K6186" t="str">
            <v>EMAC</v>
          </cell>
          <cell r="AB6186" t="str">
            <v>Heart</v>
          </cell>
        </row>
        <row r="6187">
          <cell r="A6187" t="str">
            <v>in storage</v>
          </cell>
          <cell r="K6187" t="str">
            <v>EMAC</v>
          </cell>
          <cell r="AB6187" t="str">
            <v>Spleen</v>
          </cell>
        </row>
        <row r="6188">
          <cell r="A6188" t="str">
            <v>in storage</v>
          </cell>
          <cell r="K6188" t="str">
            <v>EMAC</v>
          </cell>
          <cell r="AB6188" t="str">
            <v>Lung</v>
          </cell>
        </row>
        <row r="6189">
          <cell r="A6189" t="str">
            <v>in storage</v>
          </cell>
          <cell r="K6189" t="str">
            <v>EMAC</v>
          </cell>
          <cell r="AB6189" t="str">
            <v>Liver</v>
          </cell>
        </row>
        <row r="6190">
          <cell r="A6190" t="str">
            <v>in storage</v>
          </cell>
          <cell r="K6190" t="str">
            <v>EMAC</v>
          </cell>
          <cell r="AB6190" t="str">
            <v>Kidney</v>
          </cell>
        </row>
        <row r="6191">
          <cell r="A6191" t="str">
            <v>in storage</v>
          </cell>
          <cell r="K6191" t="str">
            <v>EMAC</v>
          </cell>
          <cell r="AB6191" t="str">
            <v>Lung</v>
          </cell>
        </row>
        <row r="6192">
          <cell r="A6192" t="str">
            <v>in storage</v>
          </cell>
          <cell r="K6192" t="str">
            <v>EMAC</v>
          </cell>
          <cell r="AB6192" t="str">
            <v>Kidney</v>
          </cell>
        </row>
        <row r="6193">
          <cell r="A6193" t="str">
            <v>in storage</v>
          </cell>
          <cell r="K6193" t="str">
            <v>EMAC</v>
          </cell>
          <cell r="AB6193" t="str">
            <v>Spleen</v>
          </cell>
        </row>
        <row r="6194">
          <cell r="A6194" t="str">
            <v>in storage</v>
          </cell>
          <cell r="K6194" t="str">
            <v>EMAC</v>
          </cell>
          <cell r="AB6194" t="str">
            <v>Pancreas</v>
          </cell>
        </row>
        <row r="6195">
          <cell r="A6195" t="str">
            <v>in storage</v>
          </cell>
          <cell r="K6195" t="str">
            <v>EMAC</v>
          </cell>
          <cell r="AB6195" t="str">
            <v>Spleen</v>
          </cell>
        </row>
        <row r="6196">
          <cell r="A6196" t="str">
            <v>in storage</v>
          </cell>
          <cell r="K6196" t="str">
            <v>EMAC</v>
          </cell>
          <cell r="AB6196" t="str">
            <v>Lung</v>
          </cell>
        </row>
        <row r="6197">
          <cell r="A6197" t="str">
            <v>in storage</v>
          </cell>
          <cell r="K6197" t="str">
            <v>EMAC</v>
          </cell>
          <cell r="AB6197" t="str">
            <v>Lung</v>
          </cell>
        </row>
        <row r="6198">
          <cell r="A6198" t="str">
            <v>in storage</v>
          </cell>
          <cell r="K6198" t="str">
            <v>EMAC</v>
          </cell>
          <cell r="AB6198" t="str">
            <v>Lung</v>
          </cell>
        </row>
        <row r="6199">
          <cell r="A6199" t="str">
            <v>in storage</v>
          </cell>
          <cell r="K6199" t="str">
            <v>EMAC</v>
          </cell>
          <cell r="AB6199" t="str">
            <v>Skin</v>
          </cell>
        </row>
        <row r="6200">
          <cell r="A6200" t="str">
            <v>in storage</v>
          </cell>
          <cell r="K6200" t="str">
            <v>MMUR</v>
          </cell>
          <cell r="AB6200" t="str">
            <v>GI- small intestine</v>
          </cell>
        </row>
        <row r="6201">
          <cell r="A6201" t="str">
            <v>in storage</v>
          </cell>
          <cell r="K6201" t="str">
            <v>MMUR</v>
          </cell>
          <cell r="AB6201" t="str">
            <v>GI- cecum</v>
          </cell>
        </row>
        <row r="6202">
          <cell r="A6202" t="str">
            <v>in storage</v>
          </cell>
          <cell r="K6202" t="str">
            <v>MMUR</v>
          </cell>
          <cell r="AB6202" t="str">
            <v>GI- esophagus</v>
          </cell>
        </row>
        <row r="6203">
          <cell r="A6203" t="str">
            <v>in storage</v>
          </cell>
          <cell r="K6203" t="str">
            <v>ECOR</v>
          </cell>
          <cell r="AB6203" t="str">
            <v>Muscle</v>
          </cell>
        </row>
        <row r="6204">
          <cell r="A6204" t="str">
            <v>in storage</v>
          </cell>
          <cell r="K6204" t="str">
            <v>ECOR</v>
          </cell>
          <cell r="AB6204" t="str">
            <v>Muscle</v>
          </cell>
        </row>
        <row r="6205">
          <cell r="A6205" t="str">
            <v>in storage</v>
          </cell>
          <cell r="K6205" t="str">
            <v>ECOR</v>
          </cell>
          <cell r="AB6205" t="str">
            <v>Muscle</v>
          </cell>
        </row>
        <row r="6206">
          <cell r="A6206" t="str">
            <v>in storage</v>
          </cell>
          <cell r="K6206" t="str">
            <v>MMUR</v>
          </cell>
          <cell r="AB6206" t="str">
            <v>GI- large intestine</v>
          </cell>
        </row>
        <row r="6207">
          <cell r="A6207" t="str">
            <v>in storage</v>
          </cell>
          <cell r="K6207" t="str">
            <v>MMUR</v>
          </cell>
          <cell r="AB6207" t="str">
            <v>GI- small intestine</v>
          </cell>
        </row>
        <row r="6208">
          <cell r="A6208" t="str">
            <v>in storage</v>
          </cell>
          <cell r="K6208" t="str">
            <v>ECOR</v>
          </cell>
          <cell r="AB6208" t="str">
            <v>Liver</v>
          </cell>
        </row>
        <row r="6209">
          <cell r="A6209" t="str">
            <v>in storage</v>
          </cell>
          <cell r="K6209" t="str">
            <v>ECOR</v>
          </cell>
          <cell r="AB6209" t="str">
            <v>Liver</v>
          </cell>
        </row>
        <row r="6210">
          <cell r="A6210" t="str">
            <v>in storage</v>
          </cell>
          <cell r="K6210" t="str">
            <v>ECOR</v>
          </cell>
          <cell r="AB6210" t="str">
            <v>Liver</v>
          </cell>
        </row>
        <row r="6211">
          <cell r="A6211" t="str">
            <v>in storage</v>
          </cell>
          <cell r="K6211" t="str">
            <v>MMUR</v>
          </cell>
          <cell r="AB6211" t="str">
            <v>GI- stomach</v>
          </cell>
        </row>
        <row r="6212">
          <cell r="A6212" t="str">
            <v>in storage</v>
          </cell>
          <cell r="K6212" t="str">
            <v>ECOR</v>
          </cell>
          <cell r="AB6212" t="str">
            <v>Kidney</v>
          </cell>
        </row>
        <row r="6213">
          <cell r="A6213" t="str">
            <v>in storage</v>
          </cell>
          <cell r="K6213" t="str">
            <v>ECOR</v>
          </cell>
          <cell r="AB6213" t="str">
            <v>Lung</v>
          </cell>
        </row>
        <row r="6214">
          <cell r="A6214" t="str">
            <v>in storage</v>
          </cell>
          <cell r="K6214" t="str">
            <v>ECOR</v>
          </cell>
          <cell r="AB6214" t="str">
            <v>Adrenal gland</v>
          </cell>
        </row>
        <row r="6215">
          <cell r="A6215" t="str">
            <v>in storage</v>
          </cell>
          <cell r="K6215" t="str">
            <v>ECOR</v>
          </cell>
          <cell r="AB6215" t="str">
            <v>Thyroid</v>
          </cell>
        </row>
        <row r="6216">
          <cell r="A6216" t="str">
            <v>in storage</v>
          </cell>
          <cell r="K6216" t="str">
            <v>ECOR</v>
          </cell>
          <cell r="AB6216" t="str">
            <v>Liver</v>
          </cell>
        </row>
        <row r="6217">
          <cell r="A6217" t="str">
            <v>in storage</v>
          </cell>
          <cell r="K6217" t="str">
            <v>ECOR</v>
          </cell>
          <cell r="AB6217" t="str">
            <v>Lung</v>
          </cell>
        </row>
        <row r="6218">
          <cell r="A6218" t="str">
            <v>in storage</v>
          </cell>
          <cell r="K6218" t="str">
            <v>ECOR</v>
          </cell>
          <cell r="AB6218" t="str">
            <v>Pancreas</v>
          </cell>
        </row>
        <row r="6219">
          <cell r="A6219" t="str">
            <v>in storage</v>
          </cell>
          <cell r="K6219" t="str">
            <v>ECOR</v>
          </cell>
          <cell r="AB6219" t="str">
            <v>Pancreas</v>
          </cell>
        </row>
        <row r="6220">
          <cell r="A6220" t="str">
            <v>in storage</v>
          </cell>
          <cell r="K6220" t="str">
            <v>ECOR</v>
          </cell>
          <cell r="AB6220" t="str">
            <v>Heart</v>
          </cell>
        </row>
        <row r="6221">
          <cell r="A6221" t="str">
            <v>in storage</v>
          </cell>
          <cell r="K6221" t="str">
            <v>ECOR</v>
          </cell>
          <cell r="AB6221" t="str">
            <v>Pancreas</v>
          </cell>
        </row>
        <row r="6222">
          <cell r="A6222" t="str">
            <v>in storage</v>
          </cell>
          <cell r="K6222" t="str">
            <v>ECOR</v>
          </cell>
          <cell r="AB6222" t="str">
            <v>Heart</v>
          </cell>
        </row>
        <row r="6223">
          <cell r="A6223" t="str">
            <v>in storage</v>
          </cell>
          <cell r="K6223" t="str">
            <v>ECOR</v>
          </cell>
          <cell r="AB6223" t="str">
            <v>Lung</v>
          </cell>
        </row>
        <row r="6224">
          <cell r="A6224" t="str">
            <v>in storage</v>
          </cell>
          <cell r="K6224" t="str">
            <v>ECOR</v>
          </cell>
          <cell r="AB6224" t="str">
            <v>Kidney</v>
          </cell>
        </row>
        <row r="6225">
          <cell r="A6225" t="str">
            <v>in storage</v>
          </cell>
          <cell r="K6225" t="str">
            <v>ECOR</v>
          </cell>
          <cell r="AB6225" t="str">
            <v>Heart</v>
          </cell>
        </row>
        <row r="6226">
          <cell r="A6226" t="str">
            <v>in storage</v>
          </cell>
          <cell r="K6226" t="str">
            <v>ECOR</v>
          </cell>
          <cell r="AB6226" t="str">
            <v>Spleen</v>
          </cell>
        </row>
        <row r="6227">
          <cell r="A6227" t="str">
            <v>in storage</v>
          </cell>
          <cell r="K6227" t="str">
            <v>ECOR</v>
          </cell>
          <cell r="AB6227" t="str">
            <v>Kidney</v>
          </cell>
        </row>
        <row r="6228">
          <cell r="A6228" t="str">
            <v>in storage</v>
          </cell>
          <cell r="K6228" t="str">
            <v>ECOR</v>
          </cell>
          <cell r="AB6228" t="str">
            <v>Skin</v>
          </cell>
        </row>
        <row r="6229">
          <cell r="A6229" t="str">
            <v>in storage</v>
          </cell>
          <cell r="K6229" t="str">
            <v>MMUR</v>
          </cell>
          <cell r="AB6229" t="str">
            <v>GI- cecum</v>
          </cell>
        </row>
        <row r="6230">
          <cell r="A6230" t="str">
            <v>in storage</v>
          </cell>
          <cell r="K6230" t="str">
            <v>MMUR</v>
          </cell>
          <cell r="AB6230" t="str">
            <v>GI- stomach</v>
          </cell>
        </row>
        <row r="6231">
          <cell r="A6231" t="str">
            <v>in storage</v>
          </cell>
          <cell r="K6231" t="str">
            <v>ECOR</v>
          </cell>
          <cell r="AB6231" t="str">
            <v>R- teste(s)</v>
          </cell>
        </row>
        <row r="6232">
          <cell r="A6232" t="str">
            <v>in storage</v>
          </cell>
          <cell r="K6232" t="str">
            <v>MMUR</v>
          </cell>
          <cell r="AB6232" t="str">
            <v>GI- small intestine</v>
          </cell>
        </row>
        <row r="6233">
          <cell r="A6233" t="str">
            <v>in storage</v>
          </cell>
          <cell r="K6233" t="str">
            <v>MMUR</v>
          </cell>
          <cell r="AB6233" t="str">
            <v>Tail</v>
          </cell>
        </row>
        <row r="6234">
          <cell r="A6234" t="str">
            <v>in storage</v>
          </cell>
          <cell r="K6234" t="str">
            <v>PCOQ</v>
          </cell>
          <cell r="AB6234" t="str">
            <v>Heart</v>
          </cell>
        </row>
        <row r="6235">
          <cell r="A6235" t="str">
            <v>in storage</v>
          </cell>
          <cell r="K6235" t="str">
            <v>PCOQ</v>
          </cell>
          <cell r="AB6235" t="str">
            <v>R- ovary</v>
          </cell>
        </row>
        <row r="6236">
          <cell r="A6236" t="str">
            <v>in storage</v>
          </cell>
          <cell r="K6236" t="str">
            <v>MMUR</v>
          </cell>
          <cell r="AB6236" t="str">
            <v>GI- large intestine</v>
          </cell>
        </row>
        <row r="6237">
          <cell r="A6237" t="str">
            <v>in storage</v>
          </cell>
          <cell r="K6237" t="str">
            <v>MMUR</v>
          </cell>
          <cell r="AB6237" t="str">
            <v>GI- esophagus</v>
          </cell>
        </row>
        <row r="6238">
          <cell r="A6238" t="str">
            <v>in storage</v>
          </cell>
          <cell r="K6238" t="str">
            <v>MMUR</v>
          </cell>
          <cell r="AB6238" t="str">
            <v xml:space="preserve">GI- cecum </v>
          </cell>
        </row>
        <row r="6239">
          <cell r="A6239" t="str">
            <v>in storage</v>
          </cell>
          <cell r="K6239" t="str">
            <v>PCOQ</v>
          </cell>
          <cell r="AB6239" t="str">
            <v>Trachea</v>
          </cell>
        </row>
        <row r="6240">
          <cell r="A6240" t="str">
            <v>in storage</v>
          </cell>
          <cell r="K6240" t="str">
            <v>PCOQ</v>
          </cell>
          <cell r="AB6240" t="str">
            <v>Liver</v>
          </cell>
        </row>
        <row r="6241">
          <cell r="A6241" t="str">
            <v>in storage</v>
          </cell>
          <cell r="K6241" t="str">
            <v>PCOQ</v>
          </cell>
          <cell r="AB6241" t="str">
            <v>Liver</v>
          </cell>
        </row>
        <row r="6242">
          <cell r="A6242" t="str">
            <v>in storage</v>
          </cell>
          <cell r="K6242" t="str">
            <v>PCOQ</v>
          </cell>
          <cell r="AB6242" t="str">
            <v>Liver</v>
          </cell>
        </row>
        <row r="6243">
          <cell r="A6243" t="str">
            <v>in storage</v>
          </cell>
          <cell r="K6243" t="str">
            <v>MMUR</v>
          </cell>
          <cell r="AB6243" t="str">
            <v>GI- large intestine</v>
          </cell>
        </row>
        <row r="6244">
          <cell r="A6244" t="str">
            <v>in storage</v>
          </cell>
          <cell r="K6244" t="str">
            <v>MMUR</v>
          </cell>
          <cell r="AB6244" t="str">
            <v>GI- esophagus</v>
          </cell>
        </row>
        <row r="6245">
          <cell r="A6245" t="str">
            <v>in storage</v>
          </cell>
          <cell r="K6245" t="str">
            <v>PCOQ</v>
          </cell>
          <cell r="AB6245" t="str">
            <v>Kidney</v>
          </cell>
        </row>
        <row r="6246">
          <cell r="A6246" t="str">
            <v>in storage</v>
          </cell>
          <cell r="K6246" t="str">
            <v>PCOQ</v>
          </cell>
          <cell r="AB6246" t="str">
            <v>Kidney</v>
          </cell>
        </row>
        <row r="6247">
          <cell r="A6247" t="str">
            <v>in storage</v>
          </cell>
          <cell r="K6247" t="str">
            <v>PCOQ</v>
          </cell>
          <cell r="AB6247" t="str">
            <v>Spleen</v>
          </cell>
        </row>
        <row r="6248">
          <cell r="A6248" t="str">
            <v>in storage</v>
          </cell>
          <cell r="K6248" t="str">
            <v>PCOQ</v>
          </cell>
          <cell r="AB6248" t="str">
            <v>Lung</v>
          </cell>
        </row>
        <row r="6249">
          <cell r="A6249" t="str">
            <v>in storage</v>
          </cell>
          <cell r="K6249" t="str">
            <v>PCOQ</v>
          </cell>
          <cell r="AB6249" t="str">
            <v>Lung</v>
          </cell>
        </row>
        <row r="6250">
          <cell r="A6250" t="str">
            <v>in storage</v>
          </cell>
          <cell r="K6250" t="str">
            <v>PCOQ</v>
          </cell>
          <cell r="AB6250" t="str">
            <v>Liver</v>
          </cell>
        </row>
        <row r="6251">
          <cell r="A6251" t="str">
            <v>in storage</v>
          </cell>
          <cell r="K6251" t="str">
            <v>PCOQ</v>
          </cell>
          <cell r="AB6251" t="str">
            <v>Skin</v>
          </cell>
        </row>
        <row r="6252">
          <cell r="A6252" t="str">
            <v>in storage</v>
          </cell>
          <cell r="K6252" t="str">
            <v>PCOQ</v>
          </cell>
          <cell r="AB6252" t="str">
            <v>Lung</v>
          </cell>
        </row>
        <row r="6253">
          <cell r="A6253" t="str">
            <v>in storage</v>
          </cell>
          <cell r="K6253" t="str">
            <v>PCOQ</v>
          </cell>
          <cell r="AB6253" t="str">
            <v>Lung</v>
          </cell>
        </row>
        <row r="6254">
          <cell r="A6254" t="str">
            <v>in storage</v>
          </cell>
          <cell r="K6254" t="str">
            <v>PCOQ</v>
          </cell>
          <cell r="AB6254" t="str">
            <v>Spleen</v>
          </cell>
        </row>
        <row r="6255">
          <cell r="A6255" t="str">
            <v>in storage</v>
          </cell>
          <cell r="K6255" t="str">
            <v>PCOQ</v>
          </cell>
          <cell r="AB6255" t="str">
            <v>Heart</v>
          </cell>
        </row>
        <row r="6256">
          <cell r="A6256" t="str">
            <v>in storage</v>
          </cell>
          <cell r="K6256" t="str">
            <v>PCOQ</v>
          </cell>
          <cell r="AB6256" t="str">
            <v>Kidney</v>
          </cell>
        </row>
        <row r="6257">
          <cell r="A6257" t="str">
            <v>in storage</v>
          </cell>
          <cell r="K6257" t="str">
            <v>PCOQ</v>
          </cell>
          <cell r="AB6257" t="str">
            <v>Spleen</v>
          </cell>
        </row>
        <row r="6258">
          <cell r="A6258" t="str">
            <v>in storage</v>
          </cell>
          <cell r="K6258" t="str">
            <v>PCOQ</v>
          </cell>
          <cell r="AB6258" t="str">
            <v>Lung</v>
          </cell>
        </row>
        <row r="6259">
          <cell r="A6259" t="str">
            <v>in storage</v>
          </cell>
          <cell r="K6259" t="str">
            <v>PCOQ</v>
          </cell>
          <cell r="AB6259" t="str">
            <v>Spleen</v>
          </cell>
        </row>
        <row r="6260">
          <cell r="A6260" t="str">
            <v>in storage</v>
          </cell>
          <cell r="K6260" t="str">
            <v>PCOQ</v>
          </cell>
          <cell r="AB6260" t="str">
            <v>Heart</v>
          </cell>
        </row>
        <row r="6261">
          <cell r="A6261" t="str">
            <v>in storage</v>
          </cell>
          <cell r="K6261" t="str">
            <v>PCOQ</v>
          </cell>
          <cell r="AB6261" t="str">
            <v>Kidney</v>
          </cell>
        </row>
        <row r="6262">
          <cell r="A6262" t="str">
            <v>in storage</v>
          </cell>
          <cell r="K6262" t="str">
            <v>PCOQ</v>
          </cell>
          <cell r="AB6262" t="str">
            <v>Adrenal gland</v>
          </cell>
        </row>
        <row r="6263">
          <cell r="A6263" t="str">
            <v>in storage</v>
          </cell>
          <cell r="K6263" t="str">
            <v>PCOQ</v>
          </cell>
          <cell r="AB6263" t="str">
            <v>Kidney</v>
          </cell>
        </row>
        <row r="6264">
          <cell r="A6264" t="str">
            <v>in storage</v>
          </cell>
          <cell r="K6264" t="str">
            <v>PCOQ</v>
          </cell>
          <cell r="AB6264" t="str">
            <v>Heart</v>
          </cell>
        </row>
        <row r="6265">
          <cell r="A6265" t="str">
            <v>in storage</v>
          </cell>
          <cell r="K6265" t="str">
            <v>MMUR</v>
          </cell>
          <cell r="AB6265" t="str">
            <v>GI- small intestine</v>
          </cell>
        </row>
        <row r="6266">
          <cell r="A6266" t="str">
            <v>in storage</v>
          </cell>
          <cell r="K6266" t="str">
            <v>MMUR</v>
          </cell>
          <cell r="AB6266" t="str">
            <v>GI- stomach</v>
          </cell>
        </row>
        <row r="6267">
          <cell r="A6267" t="str">
            <v>in storage</v>
          </cell>
          <cell r="K6267" t="str">
            <v>GMOH</v>
          </cell>
          <cell r="AB6267" t="str">
            <v>Kidney</v>
          </cell>
        </row>
        <row r="6268">
          <cell r="A6268" t="str">
            <v>in storage</v>
          </cell>
          <cell r="K6268" t="str">
            <v>PCOQ</v>
          </cell>
          <cell r="AB6268" t="str">
            <v>Muscle</v>
          </cell>
        </row>
        <row r="6269">
          <cell r="A6269" t="str">
            <v>in storage</v>
          </cell>
          <cell r="K6269" t="str">
            <v>PCOQ</v>
          </cell>
          <cell r="AB6269" t="str">
            <v>Muscle</v>
          </cell>
        </row>
        <row r="6270">
          <cell r="A6270" t="str">
            <v>in storage</v>
          </cell>
          <cell r="K6270" t="str">
            <v>PCOQ</v>
          </cell>
          <cell r="AB6270" t="str">
            <v>Muscle</v>
          </cell>
        </row>
        <row r="6271">
          <cell r="A6271" t="str">
            <v>in storage</v>
          </cell>
          <cell r="K6271" t="str">
            <v>PCOQ</v>
          </cell>
          <cell r="AB6271" t="str">
            <v>Muscle</v>
          </cell>
        </row>
        <row r="6272">
          <cell r="A6272" t="str">
            <v>in storage</v>
          </cell>
          <cell r="K6272" t="str">
            <v>PCOQ</v>
          </cell>
          <cell r="AB6272" t="str">
            <v>Hair</v>
          </cell>
        </row>
        <row r="6273">
          <cell r="A6273" t="str">
            <v>in storage</v>
          </cell>
          <cell r="K6273" t="str">
            <v>PCOQ</v>
          </cell>
          <cell r="AB6273" t="str">
            <v>Hair</v>
          </cell>
        </row>
        <row r="6274">
          <cell r="A6274" t="str">
            <v>in storage</v>
          </cell>
          <cell r="K6274" t="str">
            <v>HGG</v>
          </cell>
          <cell r="AB6274" t="str">
            <v>Hair</v>
          </cell>
        </row>
        <row r="6275">
          <cell r="A6275" t="str">
            <v>in storage</v>
          </cell>
          <cell r="K6275" t="str">
            <v>MMUR</v>
          </cell>
          <cell r="AB6275" t="str">
            <v>Muscle</v>
          </cell>
        </row>
        <row r="6276">
          <cell r="A6276" t="str">
            <v>in storage</v>
          </cell>
          <cell r="K6276" t="str">
            <v>MMUR</v>
          </cell>
          <cell r="AB6276" t="str">
            <v>R- ovary</v>
          </cell>
        </row>
        <row r="6277">
          <cell r="A6277" t="str">
            <v>in storage</v>
          </cell>
          <cell r="K6277" t="str">
            <v>GMOH</v>
          </cell>
          <cell r="AB6277" t="str">
            <v>Kidney</v>
          </cell>
        </row>
        <row r="6278">
          <cell r="A6278" t="str">
            <v>in storage</v>
          </cell>
          <cell r="K6278" t="str">
            <v>GMOH</v>
          </cell>
          <cell r="AB6278" t="str">
            <v>Kidney</v>
          </cell>
        </row>
        <row r="6279">
          <cell r="A6279" t="str">
            <v>in storage</v>
          </cell>
          <cell r="K6279" t="str">
            <v>GMOH</v>
          </cell>
          <cell r="AB6279" t="str">
            <v>U- bladder</v>
          </cell>
        </row>
        <row r="6280">
          <cell r="A6280" t="str">
            <v>in storage</v>
          </cell>
          <cell r="K6280" t="str">
            <v>GMOH</v>
          </cell>
          <cell r="AB6280" t="str">
            <v>R- teste(s)</v>
          </cell>
        </row>
        <row r="6281">
          <cell r="A6281" t="str">
            <v>in storage</v>
          </cell>
          <cell r="K6281" t="str">
            <v>GMOH</v>
          </cell>
          <cell r="AB6281" t="str">
            <v>R- teste(s)</v>
          </cell>
        </row>
        <row r="6282">
          <cell r="A6282" t="str">
            <v>in storage</v>
          </cell>
          <cell r="K6282" t="str">
            <v>MMUR</v>
          </cell>
          <cell r="AB6282" t="str">
            <v>Liver</v>
          </cell>
        </row>
        <row r="6283">
          <cell r="A6283" t="str">
            <v>in storage</v>
          </cell>
          <cell r="K6283" t="str">
            <v>MMUR</v>
          </cell>
          <cell r="AB6283" t="str">
            <v>Adrenal gland</v>
          </cell>
        </row>
        <row r="6284">
          <cell r="A6284" t="str">
            <v>in storage</v>
          </cell>
          <cell r="K6284" t="str">
            <v>MMUR</v>
          </cell>
          <cell r="AB6284" t="str">
            <v>Adrenal gland</v>
          </cell>
        </row>
        <row r="6285">
          <cell r="A6285" t="str">
            <v>in storage</v>
          </cell>
          <cell r="K6285" t="str">
            <v>MMUR</v>
          </cell>
          <cell r="AB6285" t="str">
            <v>Liver</v>
          </cell>
        </row>
        <row r="6286">
          <cell r="A6286" t="str">
            <v>in storage</v>
          </cell>
          <cell r="K6286" t="str">
            <v>MMUR</v>
          </cell>
          <cell r="AB6286" t="str">
            <v>Liver</v>
          </cell>
        </row>
        <row r="6287">
          <cell r="A6287" t="str">
            <v>in storage</v>
          </cell>
          <cell r="K6287" t="str">
            <v>MMUR</v>
          </cell>
          <cell r="AB6287" t="str">
            <v>Pancreas</v>
          </cell>
        </row>
        <row r="6288">
          <cell r="A6288" t="str">
            <v>in storage</v>
          </cell>
          <cell r="K6288" t="str">
            <v>MMUR</v>
          </cell>
          <cell r="AB6288" t="str">
            <v>Salivary gland</v>
          </cell>
        </row>
        <row r="6289">
          <cell r="A6289" t="str">
            <v>in storage</v>
          </cell>
          <cell r="K6289" t="str">
            <v>MMUR</v>
          </cell>
          <cell r="AB6289" t="str">
            <v>Lung</v>
          </cell>
        </row>
        <row r="6290">
          <cell r="A6290" t="str">
            <v>in storage</v>
          </cell>
          <cell r="K6290" t="str">
            <v>MMUR</v>
          </cell>
          <cell r="AB6290" t="str">
            <v>U- bladder</v>
          </cell>
        </row>
        <row r="6291">
          <cell r="A6291" t="str">
            <v>in storage</v>
          </cell>
          <cell r="K6291" t="str">
            <v>MMUR</v>
          </cell>
          <cell r="AB6291" t="str">
            <v>Spleen</v>
          </cell>
        </row>
        <row r="6292">
          <cell r="A6292" t="str">
            <v>in storage</v>
          </cell>
          <cell r="K6292" t="str">
            <v>MMUR</v>
          </cell>
          <cell r="AB6292" t="str">
            <v>Kidney</v>
          </cell>
        </row>
        <row r="6293">
          <cell r="A6293" t="str">
            <v>in storage</v>
          </cell>
          <cell r="K6293" t="str">
            <v>MMUR</v>
          </cell>
          <cell r="AB6293" t="str">
            <v>Kidney</v>
          </cell>
        </row>
        <row r="6294">
          <cell r="A6294" t="str">
            <v>in storage</v>
          </cell>
          <cell r="K6294" t="str">
            <v>MMUR</v>
          </cell>
          <cell r="AB6294" t="str">
            <v>Heart</v>
          </cell>
        </row>
        <row r="6295">
          <cell r="A6295" t="str">
            <v>in storage</v>
          </cell>
          <cell r="K6295" t="str">
            <v>MMUR</v>
          </cell>
          <cell r="AB6295" t="str">
            <v>Salivary gland</v>
          </cell>
        </row>
        <row r="6296">
          <cell r="A6296" t="str">
            <v>in storage</v>
          </cell>
          <cell r="K6296" t="str">
            <v>MMUR</v>
          </cell>
          <cell r="AB6296" t="str">
            <v>Lung</v>
          </cell>
        </row>
        <row r="6297">
          <cell r="A6297" t="str">
            <v>in storage</v>
          </cell>
          <cell r="K6297" t="str">
            <v>MMUR</v>
          </cell>
          <cell r="AB6297" t="str">
            <v>Eye</v>
          </cell>
        </row>
        <row r="6298">
          <cell r="A6298" t="str">
            <v>in storage</v>
          </cell>
          <cell r="K6298" t="str">
            <v>MMUR</v>
          </cell>
          <cell r="AB6298" t="str">
            <v>Skin</v>
          </cell>
        </row>
        <row r="6299">
          <cell r="A6299" t="str">
            <v>in storage</v>
          </cell>
          <cell r="K6299" t="str">
            <v>MMUR</v>
          </cell>
          <cell r="AB6299" t="str">
            <v>Trachea</v>
          </cell>
        </row>
        <row r="6300">
          <cell r="A6300" t="str">
            <v>in storage</v>
          </cell>
          <cell r="K6300" t="str">
            <v>GMOH</v>
          </cell>
          <cell r="AB6300" t="str">
            <v>Pancreas</v>
          </cell>
        </row>
        <row r="6301">
          <cell r="A6301" t="str">
            <v>in storage</v>
          </cell>
          <cell r="K6301" t="str">
            <v>VRUB</v>
          </cell>
          <cell r="AB6301" t="str">
            <v>Hair</v>
          </cell>
        </row>
        <row r="6302">
          <cell r="A6302" t="str">
            <v>in storage</v>
          </cell>
          <cell r="K6302" t="str">
            <v>MMUR</v>
          </cell>
          <cell r="AB6302" t="str">
            <v>Hair</v>
          </cell>
        </row>
        <row r="6303">
          <cell r="A6303" t="str">
            <v>in storage</v>
          </cell>
          <cell r="K6303" t="str">
            <v>LCAT</v>
          </cell>
          <cell r="AB6303" t="str">
            <v>Muscle</v>
          </cell>
        </row>
        <row r="6304">
          <cell r="A6304" t="str">
            <v>in storage</v>
          </cell>
          <cell r="K6304" t="str">
            <v>LCAT</v>
          </cell>
          <cell r="AB6304" t="str">
            <v>Muscle</v>
          </cell>
        </row>
        <row r="6305">
          <cell r="A6305" t="str">
            <v>in storage</v>
          </cell>
          <cell r="K6305" t="str">
            <v>LCAT</v>
          </cell>
          <cell r="AB6305" t="str">
            <v>Muscle</v>
          </cell>
        </row>
        <row r="6306">
          <cell r="A6306" t="str">
            <v>in storage</v>
          </cell>
          <cell r="K6306" t="str">
            <v>LCAT</v>
          </cell>
          <cell r="AB6306" t="str">
            <v>Muscle</v>
          </cell>
        </row>
        <row r="6307">
          <cell r="A6307" t="str">
            <v>in storage</v>
          </cell>
          <cell r="K6307" t="str">
            <v>GMOH</v>
          </cell>
          <cell r="AB6307" t="str">
            <v>Lung</v>
          </cell>
        </row>
        <row r="6308">
          <cell r="A6308" t="str">
            <v>in storage</v>
          </cell>
          <cell r="K6308" t="str">
            <v>LCAT</v>
          </cell>
          <cell r="AB6308" t="str">
            <v>Trachea</v>
          </cell>
        </row>
        <row r="6309">
          <cell r="A6309" t="str">
            <v>in storage</v>
          </cell>
          <cell r="K6309" t="str">
            <v>LCAT</v>
          </cell>
          <cell r="AB6309" t="str">
            <v>Liver</v>
          </cell>
        </row>
        <row r="6310">
          <cell r="A6310" t="str">
            <v>in storage</v>
          </cell>
          <cell r="K6310" t="str">
            <v>LCAT</v>
          </cell>
          <cell r="AB6310" t="str">
            <v>Liver</v>
          </cell>
        </row>
        <row r="6311">
          <cell r="A6311" t="str">
            <v>in storage</v>
          </cell>
          <cell r="K6311" t="str">
            <v>LCAT</v>
          </cell>
          <cell r="AB6311" t="str">
            <v>Liver</v>
          </cell>
        </row>
        <row r="6312">
          <cell r="A6312" t="str">
            <v>in storage</v>
          </cell>
          <cell r="K6312" t="str">
            <v>GMOH</v>
          </cell>
          <cell r="AB6312" t="str">
            <v>Lung</v>
          </cell>
        </row>
        <row r="6313">
          <cell r="A6313" t="str">
            <v>in storage</v>
          </cell>
          <cell r="K6313" t="str">
            <v>GMOH</v>
          </cell>
          <cell r="AB6313" t="str">
            <v>Heart</v>
          </cell>
        </row>
        <row r="6314">
          <cell r="A6314" t="str">
            <v>in storage</v>
          </cell>
          <cell r="K6314" t="str">
            <v>GMOH</v>
          </cell>
          <cell r="AB6314" t="str">
            <v>Trachea</v>
          </cell>
        </row>
        <row r="6315">
          <cell r="A6315" t="str">
            <v>in storage</v>
          </cell>
          <cell r="K6315" t="str">
            <v>LCAT</v>
          </cell>
          <cell r="AB6315" t="str">
            <v>Kidney</v>
          </cell>
        </row>
        <row r="6316">
          <cell r="A6316" t="str">
            <v>in storage</v>
          </cell>
          <cell r="K6316" t="str">
            <v>LCAT</v>
          </cell>
          <cell r="AB6316" t="str">
            <v>Kidney</v>
          </cell>
        </row>
        <row r="6317">
          <cell r="A6317" t="str">
            <v>in storage</v>
          </cell>
          <cell r="K6317" t="str">
            <v>LCAT</v>
          </cell>
          <cell r="AB6317" t="str">
            <v>Lung</v>
          </cell>
        </row>
        <row r="6318">
          <cell r="A6318" t="str">
            <v>in storage</v>
          </cell>
          <cell r="K6318" t="str">
            <v>LCAT</v>
          </cell>
          <cell r="AB6318" t="str">
            <v>Lung</v>
          </cell>
        </row>
        <row r="6319">
          <cell r="A6319" t="str">
            <v>in storage</v>
          </cell>
          <cell r="K6319" t="str">
            <v>LCAT</v>
          </cell>
          <cell r="AB6319" t="str">
            <v>Liver</v>
          </cell>
        </row>
        <row r="6320">
          <cell r="A6320" t="str">
            <v>in storage</v>
          </cell>
          <cell r="K6320" t="str">
            <v>LCAT</v>
          </cell>
          <cell r="AB6320" t="str">
            <v>Lung</v>
          </cell>
        </row>
        <row r="6321">
          <cell r="A6321" t="str">
            <v>in storage</v>
          </cell>
          <cell r="K6321" t="str">
            <v>LCAT</v>
          </cell>
          <cell r="AB6321" t="str">
            <v>Spleen</v>
          </cell>
        </row>
        <row r="6322">
          <cell r="A6322" t="str">
            <v>in storage</v>
          </cell>
          <cell r="K6322" t="str">
            <v>LCAT</v>
          </cell>
          <cell r="AB6322" t="str">
            <v>Spleen</v>
          </cell>
        </row>
        <row r="6323">
          <cell r="A6323" t="str">
            <v>in storage</v>
          </cell>
          <cell r="K6323" t="str">
            <v>LCAT</v>
          </cell>
          <cell r="AB6323" t="str">
            <v>Kidney</v>
          </cell>
        </row>
        <row r="6324">
          <cell r="A6324" t="str">
            <v>in storage</v>
          </cell>
          <cell r="K6324" t="str">
            <v>LCAT</v>
          </cell>
          <cell r="AB6324" t="str">
            <v>Kidney</v>
          </cell>
        </row>
        <row r="6325">
          <cell r="A6325" t="str">
            <v>in storage</v>
          </cell>
          <cell r="K6325" t="str">
            <v>LCAT</v>
          </cell>
          <cell r="AB6325" t="str">
            <v>Kidney</v>
          </cell>
        </row>
        <row r="6326">
          <cell r="A6326" t="str">
            <v>in storage</v>
          </cell>
          <cell r="K6326" t="str">
            <v>LCAT</v>
          </cell>
          <cell r="AB6326" t="str">
            <v>Lung</v>
          </cell>
        </row>
        <row r="6327">
          <cell r="A6327" t="str">
            <v>in storage</v>
          </cell>
          <cell r="K6327" t="str">
            <v>LCAT</v>
          </cell>
          <cell r="AB6327" t="str">
            <v>Lung</v>
          </cell>
        </row>
        <row r="6328">
          <cell r="A6328" t="str">
            <v>in storage</v>
          </cell>
          <cell r="K6328" t="str">
            <v>LCAT</v>
          </cell>
          <cell r="AB6328" t="str">
            <v>Skin</v>
          </cell>
        </row>
        <row r="6329">
          <cell r="A6329" t="str">
            <v>in storage</v>
          </cell>
          <cell r="K6329" t="str">
            <v>LCAT</v>
          </cell>
          <cell r="AB6329" t="str">
            <v>Spleen</v>
          </cell>
        </row>
        <row r="6330">
          <cell r="A6330" t="str">
            <v>in storage</v>
          </cell>
          <cell r="K6330" t="str">
            <v>GMOH</v>
          </cell>
          <cell r="AB6330" t="str">
            <v>Skin</v>
          </cell>
        </row>
        <row r="6331">
          <cell r="A6331" t="str">
            <v>in storage</v>
          </cell>
          <cell r="K6331" t="str">
            <v>GMOH</v>
          </cell>
          <cell r="AB6331" t="str">
            <v>R- accessory sex glands</v>
          </cell>
        </row>
        <row r="6332">
          <cell r="A6332" t="str">
            <v>in storage</v>
          </cell>
          <cell r="K6332" t="str">
            <v>MMUR</v>
          </cell>
          <cell r="AB6332" t="str">
            <v>R- sperm plug</v>
          </cell>
        </row>
        <row r="6333">
          <cell r="A6333" t="str">
            <v>in storage</v>
          </cell>
          <cell r="K6333" t="str">
            <v>CMED</v>
          </cell>
          <cell r="AB6333" t="str">
            <v>Hair</v>
          </cell>
        </row>
        <row r="6334">
          <cell r="A6334" t="str">
            <v>in storage</v>
          </cell>
          <cell r="K6334" t="str">
            <v>CMED</v>
          </cell>
          <cell r="AB6334" t="str">
            <v>Hair</v>
          </cell>
        </row>
        <row r="6335">
          <cell r="A6335" t="str">
            <v>in storage</v>
          </cell>
          <cell r="K6335" t="str">
            <v>PCOQ</v>
          </cell>
          <cell r="AB6335" t="str">
            <v>GI- stomach</v>
          </cell>
        </row>
        <row r="6336">
          <cell r="A6336" t="str">
            <v>in storage</v>
          </cell>
          <cell r="K6336" t="str">
            <v>PCOQ</v>
          </cell>
          <cell r="AB6336" t="str">
            <v>GI- small intestine</v>
          </cell>
        </row>
        <row r="6337">
          <cell r="A6337" t="str">
            <v>in storage</v>
          </cell>
          <cell r="K6337" t="str">
            <v>PCOQ</v>
          </cell>
          <cell r="AB6337" t="str">
            <v>GI contents- stomach</v>
          </cell>
        </row>
        <row r="6338">
          <cell r="A6338" t="str">
            <v>in storage</v>
          </cell>
          <cell r="K6338" t="str">
            <v>PCOQ</v>
          </cell>
          <cell r="AB6338" t="str">
            <v>Trachea</v>
          </cell>
        </row>
        <row r="6339">
          <cell r="A6339" t="str">
            <v>in storage</v>
          </cell>
          <cell r="K6339" t="str">
            <v>PCOQ</v>
          </cell>
          <cell r="AB6339" t="str">
            <v>Gallbladder/ liver</v>
          </cell>
        </row>
        <row r="6340">
          <cell r="A6340" t="str">
            <v>in storage</v>
          </cell>
          <cell r="K6340" t="str">
            <v>PCOQ</v>
          </cell>
          <cell r="AB6340" t="str">
            <v>Liver</v>
          </cell>
        </row>
        <row r="6341">
          <cell r="A6341" t="str">
            <v>in storage</v>
          </cell>
          <cell r="K6341" t="str">
            <v>PCOQ</v>
          </cell>
          <cell r="AB6341" t="str">
            <v>Liver</v>
          </cell>
        </row>
        <row r="6342">
          <cell r="A6342" t="str">
            <v>in storage</v>
          </cell>
          <cell r="K6342" t="str">
            <v>MZAZ</v>
          </cell>
          <cell r="AB6342" t="str">
            <v>GI Tract</v>
          </cell>
        </row>
        <row r="6343">
          <cell r="A6343" t="str">
            <v>in storage</v>
          </cell>
          <cell r="K6343" t="str">
            <v>MZAZ</v>
          </cell>
          <cell r="AB6343" t="str">
            <v>GI Tract</v>
          </cell>
        </row>
        <row r="6344">
          <cell r="A6344" t="str">
            <v>in storage</v>
          </cell>
          <cell r="K6344" t="str">
            <v>MZAZ</v>
          </cell>
          <cell r="AB6344" t="str">
            <v>GI- duodenum</v>
          </cell>
        </row>
        <row r="6345">
          <cell r="A6345" t="str">
            <v>in storage</v>
          </cell>
          <cell r="K6345" t="str">
            <v>PCOQ</v>
          </cell>
          <cell r="AB6345" t="str">
            <v>Kidney</v>
          </cell>
        </row>
        <row r="6346">
          <cell r="A6346" t="str">
            <v>in storage</v>
          </cell>
          <cell r="K6346" t="str">
            <v>PCOQ</v>
          </cell>
          <cell r="AB6346" t="str">
            <v>Kidney</v>
          </cell>
        </row>
        <row r="6347">
          <cell r="A6347" t="str">
            <v>in storage</v>
          </cell>
          <cell r="K6347" t="str">
            <v>PCOQ</v>
          </cell>
          <cell r="AB6347" t="str">
            <v>Spleen</v>
          </cell>
        </row>
        <row r="6348">
          <cell r="A6348" t="str">
            <v>in storage</v>
          </cell>
          <cell r="K6348" t="str">
            <v>PCOQ</v>
          </cell>
          <cell r="AB6348" t="str">
            <v>Heart</v>
          </cell>
        </row>
        <row r="6349">
          <cell r="A6349" t="str">
            <v>in storage</v>
          </cell>
          <cell r="K6349" t="str">
            <v>PCOQ</v>
          </cell>
          <cell r="AB6349" t="str">
            <v>Lung</v>
          </cell>
        </row>
        <row r="6350">
          <cell r="A6350" t="str">
            <v>in storage</v>
          </cell>
          <cell r="K6350" t="str">
            <v>PCOQ</v>
          </cell>
          <cell r="AB6350" t="str">
            <v>Lung</v>
          </cell>
        </row>
        <row r="6351">
          <cell r="A6351" t="str">
            <v>in storage</v>
          </cell>
          <cell r="K6351" t="str">
            <v>PCOQ</v>
          </cell>
          <cell r="AB6351" t="str">
            <v>U- bladder</v>
          </cell>
        </row>
        <row r="6352">
          <cell r="A6352" t="str">
            <v>in storage</v>
          </cell>
          <cell r="K6352" t="str">
            <v>PCOQ</v>
          </cell>
          <cell r="AB6352" t="str">
            <v>Liver</v>
          </cell>
        </row>
        <row r="6353">
          <cell r="A6353" t="str">
            <v>in storage</v>
          </cell>
          <cell r="K6353" t="str">
            <v>PCOQ</v>
          </cell>
          <cell r="AB6353" t="str">
            <v>Skin</v>
          </cell>
        </row>
        <row r="6354">
          <cell r="A6354" t="str">
            <v>in storage</v>
          </cell>
          <cell r="K6354" t="str">
            <v>PCOQ</v>
          </cell>
          <cell r="AB6354" t="str">
            <v>Spleen</v>
          </cell>
        </row>
        <row r="6355">
          <cell r="A6355" t="str">
            <v>in storage</v>
          </cell>
          <cell r="K6355" t="str">
            <v>PCOQ</v>
          </cell>
          <cell r="AB6355" t="str">
            <v>Spleen</v>
          </cell>
        </row>
        <row r="6356">
          <cell r="A6356" t="str">
            <v>in storage</v>
          </cell>
          <cell r="K6356" t="str">
            <v>PCOQ</v>
          </cell>
          <cell r="AB6356" t="str">
            <v>Spleen</v>
          </cell>
        </row>
        <row r="6357">
          <cell r="A6357" t="str">
            <v>in storage</v>
          </cell>
          <cell r="K6357" t="str">
            <v>PCOQ</v>
          </cell>
          <cell r="AB6357" t="str">
            <v>Pancreas</v>
          </cell>
        </row>
        <row r="6358">
          <cell r="A6358" t="str">
            <v>in storage</v>
          </cell>
          <cell r="K6358" t="str">
            <v>PCOQ</v>
          </cell>
          <cell r="AB6358" t="str">
            <v>Pancreas</v>
          </cell>
        </row>
        <row r="6359">
          <cell r="A6359" t="str">
            <v>in storage</v>
          </cell>
          <cell r="K6359" t="str">
            <v>PCOQ</v>
          </cell>
          <cell r="AB6359" t="str">
            <v>Pancreas</v>
          </cell>
        </row>
        <row r="6360">
          <cell r="A6360" t="str">
            <v>in storage</v>
          </cell>
          <cell r="K6360" t="str">
            <v>PCOQ</v>
          </cell>
          <cell r="AB6360" t="str">
            <v>Heart</v>
          </cell>
        </row>
        <row r="6361">
          <cell r="A6361" t="str">
            <v>in storage</v>
          </cell>
          <cell r="K6361" t="str">
            <v>PCOQ</v>
          </cell>
          <cell r="AB6361" t="str">
            <v>Heart</v>
          </cell>
        </row>
        <row r="6362">
          <cell r="A6362" t="str">
            <v>in storage</v>
          </cell>
          <cell r="K6362" t="str">
            <v>PCOQ</v>
          </cell>
          <cell r="AB6362" t="str">
            <v>Heart</v>
          </cell>
        </row>
        <row r="6363">
          <cell r="A6363" t="str">
            <v>in storage</v>
          </cell>
          <cell r="K6363" t="str">
            <v>PCOQ</v>
          </cell>
          <cell r="AB6363" t="str">
            <v>Lung</v>
          </cell>
        </row>
        <row r="6364">
          <cell r="A6364" t="str">
            <v>in storage</v>
          </cell>
          <cell r="K6364" t="str">
            <v>PCOQ</v>
          </cell>
          <cell r="AB6364" t="str">
            <v>Lung</v>
          </cell>
        </row>
        <row r="6365">
          <cell r="A6365" t="str">
            <v>in storage</v>
          </cell>
          <cell r="K6365" t="str">
            <v>PCOQ</v>
          </cell>
          <cell r="AB6365" t="str">
            <v>Lung</v>
          </cell>
        </row>
        <row r="6366">
          <cell r="A6366" t="str">
            <v>in storage</v>
          </cell>
          <cell r="K6366" t="str">
            <v>PCOQ</v>
          </cell>
          <cell r="AB6366" t="str">
            <v>Lung</v>
          </cell>
        </row>
        <row r="6367">
          <cell r="A6367" t="str">
            <v>in storage</v>
          </cell>
          <cell r="K6367" t="str">
            <v>PCOQ</v>
          </cell>
          <cell r="AB6367" t="str">
            <v>Lung</v>
          </cell>
        </row>
        <row r="6368">
          <cell r="A6368" t="str">
            <v>in storage</v>
          </cell>
          <cell r="K6368" t="str">
            <v>PCOQ</v>
          </cell>
          <cell r="AB6368" t="str">
            <v>Lung</v>
          </cell>
        </row>
        <row r="6369">
          <cell r="A6369" t="str">
            <v>in storage</v>
          </cell>
          <cell r="K6369" t="str">
            <v>PCOQ</v>
          </cell>
          <cell r="AB6369" t="str">
            <v>Adrenal gland</v>
          </cell>
        </row>
        <row r="6370">
          <cell r="A6370" t="str">
            <v>in storage</v>
          </cell>
          <cell r="K6370" t="str">
            <v>PCOQ</v>
          </cell>
          <cell r="AB6370" t="str">
            <v>Adrenal gland</v>
          </cell>
        </row>
        <row r="6371">
          <cell r="A6371" t="str">
            <v>in storage</v>
          </cell>
          <cell r="K6371" t="str">
            <v>PCOQ</v>
          </cell>
          <cell r="AB6371" t="str">
            <v>Kidney</v>
          </cell>
        </row>
        <row r="6372">
          <cell r="A6372" t="str">
            <v>in storage</v>
          </cell>
          <cell r="K6372" t="str">
            <v>PCOQ</v>
          </cell>
          <cell r="AB6372" t="str">
            <v>Kidney</v>
          </cell>
        </row>
        <row r="6373">
          <cell r="A6373" t="str">
            <v>in storage</v>
          </cell>
          <cell r="K6373" t="str">
            <v>PCOQ</v>
          </cell>
          <cell r="AB6373" t="str">
            <v>Kidney</v>
          </cell>
        </row>
        <row r="6374">
          <cell r="A6374" t="str">
            <v>in storage</v>
          </cell>
          <cell r="K6374" t="str">
            <v>PCOQ</v>
          </cell>
          <cell r="AB6374" t="str">
            <v>Kidney</v>
          </cell>
        </row>
        <row r="6375">
          <cell r="A6375" t="str">
            <v>in storage</v>
          </cell>
          <cell r="K6375" t="str">
            <v>PCOQ</v>
          </cell>
          <cell r="AB6375" t="str">
            <v>Kidney</v>
          </cell>
        </row>
        <row r="6376">
          <cell r="A6376" t="str">
            <v>in storage</v>
          </cell>
          <cell r="K6376" t="str">
            <v>PCOQ</v>
          </cell>
          <cell r="AB6376" t="str">
            <v>Kidney</v>
          </cell>
        </row>
        <row r="6377">
          <cell r="A6377" t="str">
            <v>in storage</v>
          </cell>
          <cell r="K6377" t="str">
            <v>PCOQ</v>
          </cell>
          <cell r="AB6377" t="str">
            <v>Pancreas</v>
          </cell>
        </row>
        <row r="6378">
          <cell r="A6378" t="str">
            <v>in storage</v>
          </cell>
          <cell r="K6378" t="str">
            <v>PCOQ</v>
          </cell>
          <cell r="AB6378" t="str">
            <v>R- teste(s)</v>
          </cell>
        </row>
        <row r="6379">
          <cell r="A6379" t="str">
            <v>in storage</v>
          </cell>
          <cell r="K6379" t="str">
            <v>PCOQ</v>
          </cell>
          <cell r="AB6379" t="str">
            <v>R- teste(s)</v>
          </cell>
        </row>
        <row r="6380">
          <cell r="A6380" t="str">
            <v>in storage</v>
          </cell>
          <cell r="K6380" t="str">
            <v>MZAZ</v>
          </cell>
          <cell r="AB6380" t="str">
            <v>GI- cecum/ colon</v>
          </cell>
        </row>
        <row r="6381">
          <cell r="A6381" t="str">
            <v>in storage</v>
          </cell>
          <cell r="K6381" t="str">
            <v>PCOQ</v>
          </cell>
          <cell r="AB6381" t="str">
            <v>Muscle</v>
          </cell>
        </row>
        <row r="6382">
          <cell r="A6382" t="str">
            <v>in storage</v>
          </cell>
          <cell r="K6382" t="str">
            <v>PCOQ</v>
          </cell>
          <cell r="AB6382" t="str">
            <v>Muscle</v>
          </cell>
        </row>
        <row r="6383">
          <cell r="A6383" t="str">
            <v>in storage</v>
          </cell>
          <cell r="K6383" t="str">
            <v>CMED</v>
          </cell>
          <cell r="AB6383" t="str">
            <v>Hair</v>
          </cell>
        </row>
        <row r="6384">
          <cell r="A6384" t="str">
            <v>in storage</v>
          </cell>
          <cell r="K6384" t="str">
            <v>CMED</v>
          </cell>
          <cell r="AB6384" t="str">
            <v>Hair</v>
          </cell>
        </row>
        <row r="6385">
          <cell r="A6385" t="str">
            <v>in storage</v>
          </cell>
          <cell r="K6385" t="str">
            <v>LCAT</v>
          </cell>
          <cell r="AB6385" t="str">
            <v>Hair</v>
          </cell>
        </row>
        <row r="6386">
          <cell r="A6386" t="str">
            <v>in storage</v>
          </cell>
          <cell r="K6386" t="str">
            <v>VRUB</v>
          </cell>
          <cell r="AB6386" t="str">
            <v>Hair</v>
          </cell>
        </row>
        <row r="6387">
          <cell r="A6387" t="str">
            <v>in storage</v>
          </cell>
          <cell r="K6387" t="str">
            <v>PCOQ</v>
          </cell>
          <cell r="AB6387" t="str">
            <v>Hair</v>
          </cell>
        </row>
        <row r="6388">
          <cell r="A6388" t="str">
            <v>in storage</v>
          </cell>
          <cell r="K6388" t="str">
            <v>NPYG</v>
          </cell>
          <cell r="AB6388" t="str">
            <v>Hair</v>
          </cell>
        </row>
        <row r="6389">
          <cell r="A6389" t="str">
            <v>in storage</v>
          </cell>
          <cell r="K6389" t="str">
            <v>CMED</v>
          </cell>
          <cell r="AB6389" t="str">
            <v>muscle</v>
          </cell>
        </row>
        <row r="6390">
          <cell r="A6390" t="str">
            <v>in storage</v>
          </cell>
          <cell r="K6390" t="str">
            <v>CMED</v>
          </cell>
          <cell r="AB6390" t="str">
            <v>R- accessory sex glands</v>
          </cell>
        </row>
        <row r="6391">
          <cell r="A6391" t="str">
            <v>in storage</v>
          </cell>
          <cell r="K6391" t="str">
            <v>MZAZ</v>
          </cell>
          <cell r="AB6391" t="str">
            <v>GI- colon</v>
          </cell>
        </row>
        <row r="6392">
          <cell r="A6392" t="str">
            <v>in storage</v>
          </cell>
          <cell r="K6392" t="str">
            <v>MZAZ</v>
          </cell>
          <cell r="AB6392" t="str">
            <v>GI- stomach</v>
          </cell>
        </row>
        <row r="6393">
          <cell r="A6393" t="str">
            <v>in storage</v>
          </cell>
          <cell r="K6393" t="str">
            <v>MZAZ</v>
          </cell>
          <cell r="AB6393" t="str">
            <v>GI- ileum</v>
          </cell>
        </row>
        <row r="6394">
          <cell r="A6394" t="str">
            <v>in storage</v>
          </cell>
          <cell r="K6394" t="str">
            <v>CMED</v>
          </cell>
          <cell r="AB6394" t="str">
            <v>Trachea</v>
          </cell>
        </row>
        <row r="6395">
          <cell r="A6395" t="str">
            <v>in storage</v>
          </cell>
          <cell r="K6395" t="str">
            <v>CMED</v>
          </cell>
          <cell r="AB6395" t="str">
            <v>Liver</v>
          </cell>
        </row>
        <row r="6396">
          <cell r="A6396" t="str">
            <v>in storage</v>
          </cell>
          <cell r="K6396" t="str">
            <v>CMED</v>
          </cell>
          <cell r="AB6396" t="str">
            <v>Liver</v>
          </cell>
        </row>
        <row r="6397">
          <cell r="A6397" t="str">
            <v>in storage</v>
          </cell>
          <cell r="K6397" t="str">
            <v>CMED</v>
          </cell>
          <cell r="AB6397" t="str">
            <v>Liver</v>
          </cell>
        </row>
        <row r="6398">
          <cell r="A6398" t="str">
            <v>in storage</v>
          </cell>
          <cell r="K6398" t="str">
            <v>MZAZ</v>
          </cell>
          <cell r="AB6398" t="str">
            <v>GI- jejunum</v>
          </cell>
        </row>
        <row r="6399">
          <cell r="A6399" t="str">
            <v>in storage</v>
          </cell>
          <cell r="K6399" t="str">
            <v>NCOU</v>
          </cell>
          <cell r="AB6399" t="str">
            <v>GI- cecum/ colon</v>
          </cell>
        </row>
        <row r="6400">
          <cell r="A6400" t="str">
            <v>in storage</v>
          </cell>
          <cell r="K6400" t="str">
            <v>NCOU</v>
          </cell>
          <cell r="AB6400" t="str">
            <v>GI- large intestine</v>
          </cell>
        </row>
        <row r="6401">
          <cell r="A6401" t="str">
            <v>in storage</v>
          </cell>
          <cell r="K6401" t="str">
            <v>CMED</v>
          </cell>
          <cell r="AB6401" t="str">
            <v>Adrenal gland</v>
          </cell>
        </row>
        <row r="6402">
          <cell r="A6402" t="str">
            <v>in storage</v>
          </cell>
          <cell r="K6402" t="str">
            <v>CMED</v>
          </cell>
          <cell r="AB6402" t="str">
            <v>Lung</v>
          </cell>
        </row>
        <row r="6403">
          <cell r="A6403" t="str">
            <v>in storage</v>
          </cell>
          <cell r="K6403" t="str">
            <v>CMED</v>
          </cell>
          <cell r="AB6403" t="str">
            <v>U- bladder</v>
          </cell>
        </row>
        <row r="6404">
          <cell r="A6404" t="str">
            <v>in storage</v>
          </cell>
          <cell r="K6404" t="str">
            <v>CMED</v>
          </cell>
          <cell r="AB6404" t="str">
            <v>Lung</v>
          </cell>
        </row>
        <row r="6405">
          <cell r="A6405" t="str">
            <v>in storage</v>
          </cell>
          <cell r="K6405" t="str">
            <v>CMED</v>
          </cell>
          <cell r="AB6405" t="str">
            <v>Adrenal gland</v>
          </cell>
        </row>
        <row r="6406">
          <cell r="A6406" t="str">
            <v>in storage</v>
          </cell>
          <cell r="K6406" t="str">
            <v>CMED</v>
          </cell>
          <cell r="AB6406" t="str">
            <v>Pancreas</v>
          </cell>
        </row>
        <row r="6407">
          <cell r="A6407" t="str">
            <v>in storage</v>
          </cell>
          <cell r="K6407" t="str">
            <v>CMED</v>
          </cell>
          <cell r="AB6407" t="str">
            <v>Heart</v>
          </cell>
        </row>
        <row r="6408">
          <cell r="A6408" t="str">
            <v>in storage</v>
          </cell>
          <cell r="K6408" t="str">
            <v>CMED</v>
          </cell>
          <cell r="AB6408" t="str">
            <v>Kidney</v>
          </cell>
        </row>
        <row r="6409">
          <cell r="A6409" t="str">
            <v>in storage</v>
          </cell>
          <cell r="K6409" t="str">
            <v>CMED</v>
          </cell>
          <cell r="AB6409" t="str">
            <v>Spleen</v>
          </cell>
        </row>
        <row r="6410">
          <cell r="A6410" t="str">
            <v>in storage</v>
          </cell>
          <cell r="K6410" t="str">
            <v>CMED</v>
          </cell>
          <cell r="AB6410" t="str">
            <v>Kidney</v>
          </cell>
        </row>
        <row r="6411">
          <cell r="A6411" t="str">
            <v>in storage</v>
          </cell>
          <cell r="K6411" t="str">
            <v>CMED</v>
          </cell>
          <cell r="AB6411" t="str">
            <v>Skin</v>
          </cell>
        </row>
        <row r="6412">
          <cell r="A6412" t="str">
            <v>in storage</v>
          </cell>
          <cell r="K6412" t="str">
            <v>CMED</v>
          </cell>
          <cell r="AB6412" t="str">
            <v>R- teste(s)</v>
          </cell>
        </row>
        <row r="6413">
          <cell r="A6413" t="str">
            <v>in storage</v>
          </cell>
          <cell r="K6413" t="str">
            <v>EFLA</v>
          </cell>
          <cell r="AB6413" t="str">
            <v>Hair</v>
          </cell>
        </row>
        <row r="6414">
          <cell r="A6414" t="str">
            <v>in storage</v>
          </cell>
          <cell r="K6414" t="str">
            <v>VRUB</v>
          </cell>
          <cell r="AB6414" t="str">
            <v>Hair</v>
          </cell>
        </row>
        <row r="6415">
          <cell r="A6415" t="str">
            <v>in storage</v>
          </cell>
          <cell r="K6415" t="str">
            <v>ECOR</v>
          </cell>
          <cell r="AB6415" t="str">
            <v>R- placenta</v>
          </cell>
        </row>
        <row r="6416">
          <cell r="A6416" t="str">
            <v>in storage</v>
          </cell>
          <cell r="K6416" t="str">
            <v>PCOQ</v>
          </cell>
          <cell r="AB6416" t="str">
            <v>R- accessory sex glands</v>
          </cell>
        </row>
        <row r="6417">
          <cell r="A6417" t="str">
            <v>in storage</v>
          </cell>
          <cell r="K6417" t="str">
            <v>PCOQ</v>
          </cell>
          <cell r="AB6417" t="str">
            <v>Lymph node- axillary</v>
          </cell>
        </row>
        <row r="6418">
          <cell r="A6418" t="str">
            <v>in storage</v>
          </cell>
          <cell r="K6418" t="str">
            <v>PCOQ</v>
          </cell>
          <cell r="AB6418" t="str">
            <v>Lymph node- axillary</v>
          </cell>
        </row>
        <row r="6419">
          <cell r="A6419" t="str">
            <v>in storage</v>
          </cell>
          <cell r="K6419" t="str">
            <v>PCOQ</v>
          </cell>
          <cell r="AB6419" t="str">
            <v>Lymph node- cecolic-iliac-colic</v>
          </cell>
        </row>
        <row r="6420">
          <cell r="A6420" t="str">
            <v>in storage</v>
          </cell>
          <cell r="K6420" t="str">
            <v>PCOQ</v>
          </cell>
          <cell r="AB6420" t="str">
            <v>Lymph node- inguinal</v>
          </cell>
        </row>
        <row r="6421">
          <cell r="A6421" t="str">
            <v>in storage</v>
          </cell>
          <cell r="K6421" t="str">
            <v>PCOQ</v>
          </cell>
          <cell r="AB6421" t="str">
            <v>Lymph node- inguinal</v>
          </cell>
        </row>
        <row r="6422">
          <cell r="A6422" t="str">
            <v>in storage</v>
          </cell>
          <cell r="K6422" t="str">
            <v>NCOU</v>
          </cell>
          <cell r="AB6422" t="str">
            <v>GI- small intestine</v>
          </cell>
        </row>
        <row r="6423">
          <cell r="A6423" t="str">
            <v>in storage</v>
          </cell>
          <cell r="K6423" t="str">
            <v>NCOU</v>
          </cell>
          <cell r="AB6423" t="str">
            <v>GI- stomach</v>
          </cell>
        </row>
        <row r="6424">
          <cell r="A6424" t="str">
            <v>in storage</v>
          </cell>
          <cell r="K6424" t="str">
            <v>PCOQ</v>
          </cell>
          <cell r="AB6424" t="str">
            <v>Trachea</v>
          </cell>
        </row>
        <row r="6425">
          <cell r="A6425" t="str">
            <v>in storage</v>
          </cell>
          <cell r="K6425" t="str">
            <v>PCOQ</v>
          </cell>
          <cell r="AB6425" t="str">
            <v>Liver</v>
          </cell>
        </row>
        <row r="6426">
          <cell r="A6426" t="str">
            <v>gone</v>
          </cell>
          <cell r="K6426" t="str">
            <v>PCOQ</v>
          </cell>
          <cell r="AB6426" t="str">
            <v>Liver</v>
          </cell>
        </row>
        <row r="6427">
          <cell r="A6427" t="str">
            <v>in storage</v>
          </cell>
          <cell r="K6427" t="str">
            <v>PCOQ</v>
          </cell>
          <cell r="AB6427" t="str">
            <v>Liver</v>
          </cell>
        </row>
        <row r="6428">
          <cell r="A6428" t="str">
            <v>in storage</v>
          </cell>
          <cell r="K6428" t="str">
            <v>NCOU</v>
          </cell>
          <cell r="AB6428" t="str">
            <v>GI- large intestine</v>
          </cell>
        </row>
        <row r="6429">
          <cell r="A6429" t="str">
            <v>in storage</v>
          </cell>
          <cell r="K6429" t="str">
            <v>NCOU</v>
          </cell>
          <cell r="AB6429" t="str">
            <v>GI- small intestine</v>
          </cell>
        </row>
        <row r="6430">
          <cell r="A6430" t="str">
            <v>in storage</v>
          </cell>
          <cell r="K6430" t="str">
            <v>NCOU</v>
          </cell>
          <cell r="AB6430" t="str">
            <v>GI- stomach</v>
          </cell>
        </row>
        <row r="6431">
          <cell r="A6431" t="str">
            <v>in storage</v>
          </cell>
          <cell r="K6431" t="str">
            <v>PCOQ</v>
          </cell>
          <cell r="AB6431" t="str">
            <v>Kidney</v>
          </cell>
        </row>
        <row r="6432">
          <cell r="A6432" t="str">
            <v>in storage</v>
          </cell>
          <cell r="K6432" t="str">
            <v>PCOQ</v>
          </cell>
          <cell r="AB6432" t="str">
            <v>Kidney</v>
          </cell>
        </row>
        <row r="6433">
          <cell r="A6433" t="str">
            <v>in storage</v>
          </cell>
          <cell r="K6433" t="str">
            <v>PCOQ</v>
          </cell>
          <cell r="AB6433" t="str">
            <v>Heart</v>
          </cell>
        </row>
        <row r="6434">
          <cell r="A6434" t="str">
            <v>in storage</v>
          </cell>
          <cell r="K6434" t="str">
            <v>PCOQ</v>
          </cell>
          <cell r="AB6434" t="str">
            <v>Kidney</v>
          </cell>
        </row>
        <row r="6435">
          <cell r="A6435" t="str">
            <v>in storage</v>
          </cell>
          <cell r="K6435" t="str">
            <v>PCOQ</v>
          </cell>
          <cell r="AB6435" t="str">
            <v>Adrenal gland</v>
          </cell>
        </row>
        <row r="6436">
          <cell r="A6436" t="str">
            <v>gone</v>
          </cell>
          <cell r="K6436" t="str">
            <v>PCOQ</v>
          </cell>
          <cell r="AB6436" t="str">
            <v>Heart</v>
          </cell>
        </row>
        <row r="6437">
          <cell r="A6437" t="str">
            <v>in storage</v>
          </cell>
          <cell r="K6437" t="str">
            <v>PCOQ</v>
          </cell>
          <cell r="AB6437" t="str">
            <v>Kidney</v>
          </cell>
        </row>
        <row r="6438">
          <cell r="A6438" t="str">
            <v>in storage</v>
          </cell>
          <cell r="K6438" t="str">
            <v>PCOQ</v>
          </cell>
          <cell r="AB6438" t="str">
            <v>Pancreas</v>
          </cell>
        </row>
        <row r="6439">
          <cell r="A6439" t="str">
            <v>in storage</v>
          </cell>
          <cell r="K6439" t="str">
            <v>PCOQ</v>
          </cell>
          <cell r="AB6439" t="str">
            <v>Liver</v>
          </cell>
        </row>
        <row r="6440">
          <cell r="A6440" t="str">
            <v>gone</v>
          </cell>
          <cell r="K6440" t="str">
            <v>PCOQ</v>
          </cell>
          <cell r="AB6440" t="str">
            <v>Spleen</v>
          </cell>
        </row>
        <row r="6441">
          <cell r="A6441" t="str">
            <v>in storage</v>
          </cell>
          <cell r="K6441" t="str">
            <v>PCOQ</v>
          </cell>
          <cell r="AB6441" t="str">
            <v>Thyroid</v>
          </cell>
        </row>
        <row r="6442">
          <cell r="A6442" t="str">
            <v>in storage</v>
          </cell>
          <cell r="K6442" t="str">
            <v>PCOQ</v>
          </cell>
          <cell r="AB6442" t="str">
            <v>Lung</v>
          </cell>
        </row>
        <row r="6443">
          <cell r="A6443" t="str">
            <v>in storage</v>
          </cell>
          <cell r="K6443" t="str">
            <v>PCOQ</v>
          </cell>
          <cell r="AB6443" t="str">
            <v>Spleen</v>
          </cell>
        </row>
        <row r="6444">
          <cell r="A6444" t="str">
            <v>in storage</v>
          </cell>
          <cell r="K6444" t="str">
            <v>PCOQ</v>
          </cell>
          <cell r="AB6444" t="str">
            <v>Kidney</v>
          </cell>
        </row>
        <row r="6445">
          <cell r="A6445" t="str">
            <v>in storage</v>
          </cell>
          <cell r="K6445" t="str">
            <v>PCOQ</v>
          </cell>
          <cell r="AB6445" t="str">
            <v>Thyroid</v>
          </cell>
        </row>
        <row r="6446">
          <cell r="A6446" t="str">
            <v>in storage</v>
          </cell>
          <cell r="K6446" t="str">
            <v>PCOQ</v>
          </cell>
          <cell r="AB6446" t="str">
            <v>Heart</v>
          </cell>
        </row>
        <row r="6447">
          <cell r="A6447" t="str">
            <v>in storage</v>
          </cell>
          <cell r="K6447" t="str">
            <v>PCOQ</v>
          </cell>
          <cell r="AB6447" t="str">
            <v>Kidney</v>
          </cell>
        </row>
        <row r="6448">
          <cell r="A6448" t="str">
            <v>gone</v>
          </cell>
          <cell r="K6448" t="str">
            <v>PCOQ</v>
          </cell>
          <cell r="AB6448" t="str">
            <v>Lung</v>
          </cell>
        </row>
        <row r="6449">
          <cell r="A6449" t="str">
            <v>gone</v>
          </cell>
          <cell r="K6449" t="str">
            <v>PCOQ</v>
          </cell>
          <cell r="AB6449" t="str">
            <v>Kidney</v>
          </cell>
        </row>
        <row r="6450">
          <cell r="A6450" t="str">
            <v>in storage</v>
          </cell>
          <cell r="K6450" t="str">
            <v>PCOQ</v>
          </cell>
          <cell r="AB6450" t="str">
            <v>Lung</v>
          </cell>
        </row>
        <row r="6451">
          <cell r="A6451" t="str">
            <v>gone</v>
          </cell>
          <cell r="K6451" t="str">
            <v>PCOQ</v>
          </cell>
          <cell r="AB6451" t="str">
            <v>Pancreas</v>
          </cell>
        </row>
        <row r="6452">
          <cell r="A6452" t="str">
            <v>in storage</v>
          </cell>
          <cell r="K6452" t="str">
            <v>PCOQ</v>
          </cell>
          <cell r="AB6452" t="str">
            <v>Pancreas</v>
          </cell>
        </row>
        <row r="6453">
          <cell r="A6453" t="str">
            <v>in storage</v>
          </cell>
          <cell r="K6453" t="str">
            <v>PCOQ</v>
          </cell>
          <cell r="AB6453" t="str">
            <v>Adrenal gland</v>
          </cell>
        </row>
        <row r="6454">
          <cell r="A6454" t="str">
            <v>in storage</v>
          </cell>
          <cell r="K6454" t="str">
            <v>PCOQ</v>
          </cell>
          <cell r="AB6454" t="str">
            <v>Spleen</v>
          </cell>
        </row>
        <row r="6455">
          <cell r="A6455" t="str">
            <v>in storage</v>
          </cell>
          <cell r="K6455" t="str">
            <v>PCOQ</v>
          </cell>
          <cell r="AB6455" t="str">
            <v>Kidney</v>
          </cell>
        </row>
        <row r="6456">
          <cell r="A6456" t="str">
            <v>in storage</v>
          </cell>
          <cell r="K6456" t="str">
            <v>PCOQ</v>
          </cell>
          <cell r="AB6456" t="str">
            <v>Gallbladder</v>
          </cell>
        </row>
        <row r="6457">
          <cell r="A6457" t="str">
            <v>in storage</v>
          </cell>
          <cell r="K6457" t="str">
            <v>PCOQ</v>
          </cell>
          <cell r="AB6457" t="str">
            <v>Heart</v>
          </cell>
        </row>
        <row r="6458">
          <cell r="A6458" t="str">
            <v>in storage</v>
          </cell>
          <cell r="K6458" t="str">
            <v>PCOQ</v>
          </cell>
          <cell r="AB6458" t="str">
            <v>Lung</v>
          </cell>
        </row>
        <row r="6459">
          <cell r="A6459" t="str">
            <v>in storage</v>
          </cell>
          <cell r="K6459" t="str">
            <v>PCOQ</v>
          </cell>
          <cell r="AB6459" t="str">
            <v>Lung</v>
          </cell>
        </row>
        <row r="6460">
          <cell r="A6460" t="str">
            <v>in storage</v>
          </cell>
          <cell r="K6460" t="str">
            <v>PCOQ</v>
          </cell>
          <cell r="AB6460" t="str">
            <v>Skin</v>
          </cell>
        </row>
        <row r="6461">
          <cell r="A6461" t="str">
            <v>in storage</v>
          </cell>
          <cell r="K6461" t="str">
            <v>PCOQ</v>
          </cell>
          <cell r="AB6461" t="str">
            <v>Pancreas</v>
          </cell>
        </row>
        <row r="6462">
          <cell r="A6462" t="str">
            <v>unk</v>
          </cell>
          <cell r="K6462" t="str">
            <v>PCOQ</v>
          </cell>
          <cell r="AB6462" t="str">
            <v>U- bladder</v>
          </cell>
        </row>
        <row r="6463">
          <cell r="A6463" t="str">
            <v>in storage</v>
          </cell>
          <cell r="K6463" t="str">
            <v>VRUB</v>
          </cell>
          <cell r="AB6463" t="str">
            <v>Tail</v>
          </cell>
        </row>
        <row r="6464">
          <cell r="A6464" t="str">
            <v>in storage</v>
          </cell>
          <cell r="K6464" t="str">
            <v>PCOQ</v>
          </cell>
          <cell r="AB6464" t="str">
            <v>Spleen</v>
          </cell>
        </row>
        <row r="6465">
          <cell r="A6465" t="str">
            <v>in storage</v>
          </cell>
          <cell r="K6465" t="str">
            <v>PCOQ</v>
          </cell>
          <cell r="AB6465" t="str">
            <v>R- teste(s)</v>
          </cell>
        </row>
        <row r="6466">
          <cell r="A6466" t="str">
            <v>in storage</v>
          </cell>
          <cell r="K6466" t="str">
            <v>PCOQ</v>
          </cell>
          <cell r="AB6466" t="str">
            <v>R- teste(s)</v>
          </cell>
        </row>
        <row r="6467">
          <cell r="A6467" t="str">
            <v>in storage</v>
          </cell>
          <cell r="K6467" t="str">
            <v>PCOQ</v>
          </cell>
          <cell r="AB6467" t="str">
            <v>Lymph node- popliteal</v>
          </cell>
        </row>
        <row r="6468">
          <cell r="A6468" t="str">
            <v>in storage</v>
          </cell>
          <cell r="K6468" t="str">
            <v>NCOU</v>
          </cell>
          <cell r="AB6468" t="str">
            <v>GI Contents- cecum</v>
          </cell>
        </row>
        <row r="6469">
          <cell r="A6469" t="str">
            <v>in storage</v>
          </cell>
          <cell r="K6469" t="str">
            <v>PCOQ</v>
          </cell>
          <cell r="AB6469" t="str">
            <v>Lymph node- popliteal</v>
          </cell>
        </row>
        <row r="6470">
          <cell r="A6470" t="str">
            <v>gone</v>
          </cell>
          <cell r="K6470" t="str">
            <v>PCOQ</v>
          </cell>
          <cell r="AB6470" t="str">
            <v>Muscle</v>
          </cell>
        </row>
        <row r="6471">
          <cell r="A6471" t="str">
            <v>in storage</v>
          </cell>
          <cell r="K6471" t="str">
            <v>PCOQ</v>
          </cell>
          <cell r="AB6471" t="str">
            <v>Muscle</v>
          </cell>
        </row>
        <row r="6472">
          <cell r="A6472" t="str">
            <v>in storage</v>
          </cell>
          <cell r="K6472" t="str">
            <v>PCOQ</v>
          </cell>
          <cell r="AB6472" t="str">
            <v>Muscle</v>
          </cell>
        </row>
        <row r="6473">
          <cell r="A6473" t="str">
            <v>in storage</v>
          </cell>
          <cell r="K6473" t="str">
            <v>PCOQ</v>
          </cell>
          <cell r="AB6473" t="str">
            <v>Muscle</v>
          </cell>
        </row>
        <row r="6474">
          <cell r="A6474" t="str">
            <v>in storage</v>
          </cell>
          <cell r="K6474" t="str">
            <v>LCAT</v>
          </cell>
          <cell r="AB6474" t="str">
            <v>Muscle</v>
          </cell>
        </row>
        <row r="6475">
          <cell r="A6475" t="str">
            <v>in storage</v>
          </cell>
          <cell r="K6475" t="str">
            <v>LCAT</v>
          </cell>
          <cell r="AB6475" t="str">
            <v>Muscle</v>
          </cell>
        </row>
        <row r="6476">
          <cell r="A6476" t="str">
            <v>in storage</v>
          </cell>
          <cell r="K6476" t="str">
            <v>LCAT</v>
          </cell>
          <cell r="AB6476" t="str">
            <v>Muscle</v>
          </cell>
        </row>
        <row r="6477">
          <cell r="A6477" t="str">
            <v>in storage</v>
          </cell>
          <cell r="K6477" t="str">
            <v>LCAT</v>
          </cell>
          <cell r="AB6477" t="str">
            <v>Lymph node- branchio-tracheal</v>
          </cell>
        </row>
        <row r="6478">
          <cell r="A6478" t="str">
            <v>in storage</v>
          </cell>
          <cell r="K6478" t="str">
            <v>NCOU</v>
          </cell>
          <cell r="AB6478" t="str">
            <v>GI- cecum</v>
          </cell>
        </row>
        <row r="6479">
          <cell r="A6479" t="str">
            <v>in storage</v>
          </cell>
          <cell r="K6479" t="str">
            <v>NCOU</v>
          </cell>
          <cell r="AB6479" t="str">
            <v>GI Contents- appendix</v>
          </cell>
        </row>
        <row r="6480">
          <cell r="A6480" t="str">
            <v>in storage</v>
          </cell>
          <cell r="K6480" t="str">
            <v>NCOU</v>
          </cell>
          <cell r="AB6480" t="str">
            <v>GI Contents- colon</v>
          </cell>
        </row>
        <row r="6481">
          <cell r="A6481" t="str">
            <v>in storage</v>
          </cell>
          <cell r="K6481" t="str">
            <v>NCOU</v>
          </cell>
          <cell r="AB6481" t="str">
            <v>GI Contents- duodenum</v>
          </cell>
        </row>
        <row r="6482">
          <cell r="A6482" t="str">
            <v>in storage</v>
          </cell>
          <cell r="K6482" t="str">
            <v>NCOU</v>
          </cell>
          <cell r="AB6482" t="str">
            <v>GI- esophagus</v>
          </cell>
        </row>
        <row r="6483">
          <cell r="A6483" t="str">
            <v>in storage</v>
          </cell>
          <cell r="K6483" t="str">
            <v>LCAT</v>
          </cell>
          <cell r="AB6483" t="str">
            <v>Trachea</v>
          </cell>
        </row>
        <row r="6484">
          <cell r="A6484" t="str">
            <v>in storage</v>
          </cell>
          <cell r="K6484" t="str">
            <v>LCAT</v>
          </cell>
          <cell r="AB6484" t="str">
            <v>Liver</v>
          </cell>
        </row>
        <row r="6485">
          <cell r="A6485" t="str">
            <v>in storage</v>
          </cell>
          <cell r="K6485" t="str">
            <v>LCAT</v>
          </cell>
          <cell r="AB6485" t="str">
            <v>Liver</v>
          </cell>
        </row>
        <row r="6486">
          <cell r="A6486" t="str">
            <v>in storage</v>
          </cell>
          <cell r="K6486" t="str">
            <v>LCAT</v>
          </cell>
          <cell r="AB6486" t="str">
            <v>Liver</v>
          </cell>
        </row>
        <row r="6487">
          <cell r="A6487" t="str">
            <v>in storage</v>
          </cell>
          <cell r="K6487" t="str">
            <v>LCAT</v>
          </cell>
          <cell r="AB6487" t="str">
            <v>Pancreas</v>
          </cell>
        </row>
        <row r="6488">
          <cell r="A6488" t="str">
            <v>in storage</v>
          </cell>
          <cell r="K6488" t="str">
            <v>NCOU</v>
          </cell>
          <cell r="AB6488" t="str">
            <v>GI- large intestine</v>
          </cell>
        </row>
        <row r="6489">
          <cell r="A6489" t="str">
            <v>in storage</v>
          </cell>
          <cell r="K6489" t="str">
            <v>NCOU</v>
          </cell>
          <cell r="AB6489" t="str">
            <v>GI- small intestine</v>
          </cell>
        </row>
        <row r="6490">
          <cell r="A6490" t="str">
            <v>in storage</v>
          </cell>
          <cell r="K6490" t="str">
            <v>NCOU</v>
          </cell>
          <cell r="AB6490" t="str">
            <v>GI- stomach</v>
          </cell>
        </row>
        <row r="6491">
          <cell r="A6491" t="str">
            <v>in storage</v>
          </cell>
          <cell r="K6491" t="str">
            <v>LCAT</v>
          </cell>
          <cell r="AB6491" t="str">
            <v>Kidney</v>
          </cell>
        </row>
        <row r="6492">
          <cell r="A6492" t="str">
            <v>in storage</v>
          </cell>
          <cell r="K6492" t="str">
            <v>LCAT</v>
          </cell>
          <cell r="AB6492" t="str">
            <v>Heart</v>
          </cell>
        </row>
        <row r="6493">
          <cell r="A6493" t="str">
            <v>in storage</v>
          </cell>
          <cell r="K6493" t="str">
            <v>LCAT</v>
          </cell>
          <cell r="AB6493" t="str">
            <v>Lung</v>
          </cell>
        </row>
        <row r="6494">
          <cell r="A6494" t="str">
            <v>in storage</v>
          </cell>
          <cell r="K6494" t="str">
            <v>LCAT</v>
          </cell>
          <cell r="AB6494" t="str">
            <v>Lung</v>
          </cell>
        </row>
        <row r="6495">
          <cell r="A6495" t="str">
            <v>in storage</v>
          </cell>
          <cell r="K6495" t="str">
            <v>LCAT</v>
          </cell>
          <cell r="AB6495" t="str">
            <v>U- bladder</v>
          </cell>
        </row>
        <row r="6496">
          <cell r="A6496" t="str">
            <v>in storage</v>
          </cell>
          <cell r="K6496" t="str">
            <v>LCAT</v>
          </cell>
          <cell r="AB6496" t="str">
            <v>Thyroid</v>
          </cell>
        </row>
        <row r="6497">
          <cell r="A6497" t="str">
            <v>in storage</v>
          </cell>
          <cell r="K6497" t="str">
            <v>LCAT</v>
          </cell>
          <cell r="AB6497" t="str">
            <v>Adrenal gland</v>
          </cell>
        </row>
        <row r="6498">
          <cell r="A6498" t="str">
            <v>in storage</v>
          </cell>
          <cell r="K6498" t="str">
            <v>LCAT</v>
          </cell>
          <cell r="AB6498" t="str">
            <v>Heart</v>
          </cell>
        </row>
        <row r="6499">
          <cell r="A6499" t="str">
            <v>in storage</v>
          </cell>
          <cell r="K6499" t="str">
            <v>LCAT</v>
          </cell>
          <cell r="AB6499" t="str">
            <v>Liver</v>
          </cell>
        </row>
        <row r="6500">
          <cell r="A6500" t="str">
            <v>in storage</v>
          </cell>
          <cell r="K6500" t="str">
            <v>LCAT</v>
          </cell>
          <cell r="AB6500" t="str">
            <v>Lung</v>
          </cell>
        </row>
        <row r="6501">
          <cell r="A6501" t="str">
            <v>in storage</v>
          </cell>
          <cell r="K6501" t="str">
            <v>LCAT</v>
          </cell>
          <cell r="AB6501" t="str">
            <v>Kidney</v>
          </cell>
        </row>
        <row r="6502">
          <cell r="A6502" t="str">
            <v>in storage</v>
          </cell>
          <cell r="K6502" t="str">
            <v>LCAT</v>
          </cell>
          <cell r="AB6502" t="str">
            <v>Spleen</v>
          </cell>
        </row>
        <row r="6503">
          <cell r="A6503" t="str">
            <v>in storage</v>
          </cell>
          <cell r="K6503" t="str">
            <v>LCAT</v>
          </cell>
          <cell r="AB6503" t="str">
            <v>Adrenal gland</v>
          </cell>
        </row>
        <row r="6504">
          <cell r="A6504" t="str">
            <v>in storage</v>
          </cell>
          <cell r="K6504" t="str">
            <v>LCAT</v>
          </cell>
          <cell r="AB6504" t="str">
            <v>Heart</v>
          </cell>
        </row>
        <row r="6505">
          <cell r="A6505" t="str">
            <v>in storage</v>
          </cell>
          <cell r="K6505" t="str">
            <v>LCAT</v>
          </cell>
          <cell r="AB6505" t="str">
            <v>Kidney</v>
          </cell>
        </row>
        <row r="6506">
          <cell r="A6506" t="str">
            <v>in storage</v>
          </cell>
          <cell r="K6506" t="str">
            <v>LCAT</v>
          </cell>
          <cell r="AB6506" t="str">
            <v>Heart</v>
          </cell>
        </row>
        <row r="6507">
          <cell r="A6507" t="str">
            <v>in storage</v>
          </cell>
          <cell r="K6507" t="str">
            <v>LCAT</v>
          </cell>
          <cell r="AB6507" t="str">
            <v>Pancreas</v>
          </cell>
        </row>
        <row r="6508">
          <cell r="A6508" t="str">
            <v>in storage</v>
          </cell>
          <cell r="K6508" t="str">
            <v>LCAT</v>
          </cell>
          <cell r="AB6508" t="str">
            <v>Pancreas</v>
          </cell>
        </row>
        <row r="6509">
          <cell r="A6509" t="str">
            <v>in storage</v>
          </cell>
          <cell r="K6509" t="str">
            <v>LCAT</v>
          </cell>
          <cell r="AB6509" t="str">
            <v>Lung</v>
          </cell>
        </row>
        <row r="6510">
          <cell r="A6510" t="str">
            <v>in storage</v>
          </cell>
          <cell r="K6510" t="str">
            <v>LCAT</v>
          </cell>
          <cell r="AB6510" t="str">
            <v>Lung</v>
          </cell>
        </row>
        <row r="6511">
          <cell r="A6511" t="str">
            <v>in storage</v>
          </cell>
          <cell r="K6511" t="str">
            <v>LCAT</v>
          </cell>
          <cell r="AB6511" t="str">
            <v>Lung</v>
          </cell>
        </row>
        <row r="6512">
          <cell r="A6512" t="str">
            <v>in storage</v>
          </cell>
          <cell r="K6512" t="str">
            <v>LCAT</v>
          </cell>
          <cell r="AB6512" t="str">
            <v>Thyroid</v>
          </cell>
        </row>
        <row r="6513">
          <cell r="A6513" t="str">
            <v>in storage</v>
          </cell>
          <cell r="K6513" t="str">
            <v>LCAT</v>
          </cell>
          <cell r="AB6513" t="str">
            <v>Kidney</v>
          </cell>
        </row>
        <row r="6514">
          <cell r="A6514" t="str">
            <v>in storage</v>
          </cell>
          <cell r="K6514" t="str">
            <v>LCAT</v>
          </cell>
          <cell r="AB6514" t="str">
            <v>Lung</v>
          </cell>
        </row>
        <row r="6515">
          <cell r="A6515" t="str">
            <v>in storage</v>
          </cell>
          <cell r="K6515" t="str">
            <v>LCAT</v>
          </cell>
          <cell r="AB6515" t="str">
            <v>Lung</v>
          </cell>
        </row>
        <row r="6516">
          <cell r="A6516" t="str">
            <v>in storage</v>
          </cell>
          <cell r="K6516" t="str">
            <v>LCAT</v>
          </cell>
          <cell r="AB6516" t="str">
            <v>Kidney</v>
          </cell>
        </row>
        <row r="6517">
          <cell r="A6517" t="str">
            <v>in storage</v>
          </cell>
          <cell r="K6517" t="str">
            <v>LCAT</v>
          </cell>
          <cell r="AB6517" t="str">
            <v>Kidney</v>
          </cell>
        </row>
        <row r="6518">
          <cell r="A6518" t="str">
            <v>in storage</v>
          </cell>
          <cell r="K6518" t="str">
            <v>LCAT</v>
          </cell>
          <cell r="AB6518" t="str">
            <v>Skin</v>
          </cell>
        </row>
        <row r="6519">
          <cell r="A6519" t="str">
            <v>in storage</v>
          </cell>
          <cell r="K6519" t="str">
            <v>NCOU</v>
          </cell>
          <cell r="AB6519" t="str">
            <v>GI Contents- jejunum/ ileum</v>
          </cell>
        </row>
        <row r="6520">
          <cell r="A6520" t="str">
            <v>in storage</v>
          </cell>
          <cell r="K6520" t="str">
            <v>NCOU</v>
          </cell>
          <cell r="AB6520" t="str">
            <v>GI Contents- stomach</v>
          </cell>
        </row>
        <row r="6521">
          <cell r="A6521" t="str">
            <v>in storage</v>
          </cell>
          <cell r="K6521" t="str">
            <v>LCAT</v>
          </cell>
          <cell r="AB6521" t="str">
            <v>Lymph node- mesenteric</v>
          </cell>
        </row>
        <row r="6522">
          <cell r="A6522" t="str">
            <v>in storage</v>
          </cell>
          <cell r="K6522" t="str">
            <v>NPYG</v>
          </cell>
          <cell r="AB6522" t="str">
            <v>GI- small intestine/ urinary tract</v>
          </cell>
        </row>
        <row r="6523">
          <cell r="A6523" t="str">
            <v>in storage</v>
          </cell>
          <cell r="K6523" t="str">
            <v>EFLA</v>
          </cell>
          <cell r="AB6523" t="str">
            <v>R- placenta</v>
          </cell>
        </row>
        <row r="6524">
          <cell r="A6524" t="str">
            <v>in storage</v>
          </cell>
          <cell r="K6524" t="str">
            <v>EFLA</v>
          </cell>
          <cell r="AB6524" t="str">
            <v>Muscle</v>
          </cell>
        </row>
        <row r="6525">
          <cell r="A6525" t="str">
            <v>in storage</v>
          </cell>
          <cell r="K6525" t="str">
            <v>EFLA</v>
          </cell>
          <cell r="AB6525" t="str">
            <v>R- ovary</v>
          </cell>
        </row>
        <row r="6526">
          <cell r="A6526" t="str">
            <v>in storage</v>
          </cell>
          <cell r="K6526" t="str">
            <v>EFLA</v>
          </cell>
          <cell r="AB6526" t="str">
            <v>R- ovary</v>
          </cell>
        </row>
        <row r="6527">
          <cell r="A6527" t="str">
            <v>in storage</v>
          </cell>
          <cell r="K6527" t="str">
            <v>NPYG</v>
          </cell>
          <cell r="AB6527" t="str">
            <v>GI Tract</v>
          </cell>
        </row>
        <row r="6528">
          <cell r="A6528" t="str">
            <v>in storage</v>
          </cell>
          <cell r="K6528" t="str">
            <v>EFLA</v>
          </cell>
          <cell r="AB6528" t="str">
            <v>Trachea</v>
          </cell>
        </row>
        <row r="6529">
          <cell r="A6529" t="str">
            <v>in storage</v>
          </cell>
          <cell r="K6529" t="str">
            <v>EFLA</v>
          </cell>
          <cell r="AB6529" t="str">
            <v>Liver</v>
          </cell>
        </row>
        <row r="6530">
          <cell r="A6530" t="str">
            <v>in storage</v>
          </cell>
          <cell r="K6530" t="str">
            <v>EFLA</v>
          </cell>
          <cell r="AB6530" t="str">
            <v>Liver</v>
          </cell>
        </row>
        <row r="6531">
          <cell r="A6531" t="str">
            <v>in storage</v>
          </cell>
          <cell r="K6531" t="str">
            <v>EFLA</v>
          </cell>
          <cell r="AB6531" t="str">
            <v>Liver</v>
          </cell>
        </row>
        <row r="6532">
          <cell r="A6532" t="str">
            <v>in storage</v>
          </cell>
          <cell r="K6532" t="str">
            <v>EFLA</v>
          </cell>
          <cell r="AB6532" t="str">
            <v>Kidney</v>
          </cell>
        </row>
        <row r="6533">
          <cell r="A6533" t="str">
            <v>in storage</v>
          </cell>
          <cell r="K6533" t="str">
            <v>EFLA</v>
          </cell>
          <cell r="AB6533" t="str">
            <v>Liver</v>
          </cell>
        </row>
        <row r="6534">
          <cell r="A6534" t="str">
            <v>in storage</v>
          </cell>
          <cell r="K6534" t="str">
            <v>EFLA</v>
          </cell>
          <cell r="AB6534" t="str">
            <v>Lung</v>
          </cell>
        </row>
        <row r="6535">
          <cell r="A6535" t="str">
            <v>in storage</v>
          </cell>
          <cell r="K6535" t="str">
            <v>EFLA</v>
          </cell>
          <cell r="AB6535" t="str">
            <v>Lung</v>
          </cell>
        </row>
        <row r="6536">
          <cell r="A6536" t="str">
            <v>in storage</v>
          </cell>
          <cell r="K6536" t="str">
            <v>EFLA</v>
          </cell>
          <cell r="AB6536" t="str">
            <v>Spleen</v>
          </cell>
        </row>
        <row r="6537">
          <cell r="A6537" t="str">
            <v>in storage</v>
          </cell>
          <cell r="K6537" t="str">
            <v>EFLA</v>
          </cell>
          <cell r="AB6537" t="str">
            <v>U- bladder</v>
          </cell>
        </row>
        <row r="6538">
          <cell r="A6538" t="str">
            <v>in storage</v>
          </cell>
          <cell r="K6538" t="str">
            <v>EFLA</v>
          </cell>
          <cell r="AB6538" t="str">
            <v>Adrenal gland</v>
          </cell>
        </row>
        <row r="6539">
          <cell r="A6539" t="str">
            <v>in storage</v>
          </cell>
          <cell r="K6539" t="str">
            <v>EFLA</v>
          </cell>
          <cell r="AB6539" t="str">
            <v>Adrenal gland</v>
          </cell>
        </row>
        <row r="6540">
          <cell r="A6540" t="str">
            <v>in storage</v>
          </cell>
          <cell r="K6540" t="str">
            <v>EFLA</v>
          </cell>
          <cell r="AB6540" t="str">
            <v>heart</v>
          </cell>
        </row>
        <row r="6541">
          <cell r="A6541" t="str">
            <v>in storage</v>
          </cell>
          <cell r="K6541" t="str">
            <v>EFLA</v>
          </cell>
          <cell r="AB6541" t="str">
            <v>Thymus</v>
          </cell>
        </row>
        <row r="6542">
          <cell r="A6542" t="str">
            <v>in storage</v>
          </cell>
          <cell r="K6542" t="str">
            <v>EFLA</v>
          </cell>
          <cell r="AB6542" t="str">
            <v>Thyroid</v>
          </cell>
        </row>
        <row r="6543">
          <cell r="A6543" t="str">
            <v>in storage</v>
          </cell>
          <cell r="K6543" t="str">
            <v>EFLA</v>
          </cell>
          <cell r="AB6543" t="str">
            <v>Kidney</v>
          </cell>
        </row>
        <row r="6544">
          <cell r="A6544" t="str">
            <v>in storage</v>
          </cell>
          <cell r="K6544" t="str">
            <v>EFLA</v>
          </cell>
          <cell r="AB6544" t="str">
            <v>Pancreas</v>
          </cell>
        </row>
        <row r="6545">
          <cell r="A6545" t="str">
            <v>in storage</v>
          </cell>
          <cell r="K6545" t="str">
            <v>EFLA</v>
          </cell>
          <cell r="AB6545" t="str">
            <v>Thyroid</v>
          </cell>
        </row>
        <row r="6546">
          <cell r="A6546" t="str">
            <v>in storage</v>
          </cell>
          <cell r="K6546" t="str">
            <v>EFLA</v>
          </cell>
          <cell r="AB6546" t="str">
            <v>Lung</v>
          </cell>
        </row>
        <row r="6547">
          <cell r="A6547" t="str">
            <v>in storage</v>
          </cell>
          <cell r="K6547" t="str">
            <v>EFLA</v>
          </cell>
          <cell r="AB6547" t="str">
            <v>Lung</v>
          </cell>
        </row>
        <row r="6548">
          <cell r="A6548" t="str">
            <v>in storage</v>
          </cell>
          <cell r="K6548" t="str">
            <v>EFLA</v>
          </cell>
          <cell r="AB6548" t="str">
            <v>Skin</v>
          </cell>
        </row>
        <row r="6549">
          <cell r="A6549" t="str">
            <v>in storage</v>
          </cell>
          <cell r="K6549" t="str">
            <v>NPYG</v>
          </cell>
          <cell r="AB6549" t="str">
            <v>GI Tract</v>
          </cell>
        </row>
        <row r="6550">
          <cell r="A6550" t="str">
            <v>in storage</v>
          </cell>
          <cell r="K6550" t="str">
            <v>EFLA</v>
          </cell>
          <cell r="AB6550" t="str">
            <v>R- uterus</v>
          </cell>
        </row>
        <row r="6551">
          <cell r="A6551" t="str">
            <v>in storage</v>
          </cell>
          <cell r="K6551" t="str">
            <v>PCOQ</v>
          </cell>
          <cell r="AB6551" t="str">
            <v>Hair</v>
          </cell>
        </row>
        <row r="6552">
          <cell r="A6552" t="str">
            <v>in storage</v>
          </cell>
          <cell r="K6552" t="str">
            <v>NPYG</v>
          </cell>
          <cell r="AB6552" t="str">
            <v>GI- large intestine</v>
          </cell>
        </row>
        <row r="6553">
          <cell r="A6553" t="str">
            <v>in storage</v>
          </cell>
          <cell r="K6553" t="str">
            <v>VVV</v>
          </cell>
          <cell r="AB6553" t="str">
            <v>Liver</v>
          </cell>
        </row>
        <row r="6554">
          <cell r="A6554" t="str">
            <v>in storage</v>
          </cell>
          <cell r="K6554" t="str">
            <v>VVV</v>
          </cell>
          <cell r="AB6554" t="str">
            <v>Adrenal gland</v>
          </cell>
        </row>
        <row r="6555">
          <cell r="A6555" t="str">
            <v>in storage</v>
          </cell>
          <cell r="K6555" t="str">
            <v>VVV</v>
          </cell>
          <cell r="AB6555" t="str">
            <v>Kidney</v>
          </cell>
        </row>
        <row r="6556">
          <cell r="A6556" t="str">
            <v>in storage</v>
          </cell>
          <cell r="K6556" t="str">
            <v>VVV</v>
          </cell>
          <cell r="AB6556" t="str">
            <v>Skin</v>
          </cell>
        </row>
        <row r="6557">
          <cell r="A6557" t="str">
            <v>in storage</v>
          </cell>
          <cell r="K6557" t="str">
            <v>VVV</v>
          </cell>
          <cell r="AB6557" t="str">
            <v>Spleen</v>
          </cell>
        </row>
        <row r="6558">
          <cell r="A6558" t="str">
            <v>in storage</v>
          </cell>
          <cell r="K6558" t="str">
            <v>VVV</v>
          </cell>
          <cell r="AB6558" t="str">
            <v>Thymus</v>
          </cell>
        </row>
        <row r="6559">
          <cell r="A6559" t="str">
            <v>in storage</v>
          </cell>
          <cell r="K6559" t="str">
            <v>VVV</v>
          </cell>
          <cell r="AB6559" t="str">
            <v>Lung</v>
          </cell>
        </row>
        <row r="6560">
          <cell r="A6560" t="str">
            <v>in storage</v>
          </cell>
          <cell r="K6560" t="str">
            <v>VVV</v>
          </cell>
          <cell r="AB6560" t="str">
            <v>R- teste(s)</v>
          </cell>
        </row>
        <row r="6561">
          <cell r="A6561" t="str">
            <v>in storage</v>
          </cell>
          <cell r="K6561" t="str">
            <v>NPYG</v>
          </cell>
          <cell r="AB6561" t="str">
            <v>GI- small intestine</v>
          </cell>
        </row>
        <row r="6562">
          <cell r="A6562" t="str">
            <v>in storage</v>
          </cell>
          <cell r="K6562" t="str">
            <v>VVV</v>
          </cell>
          <cell r="AB6562" t="str">
            <v>Gallbladder/ liver</v>
          </cell>
        </row>
        <row r="6563">
          <cell r="A6563" t="str">
            <v>in storage</v>
          </cell>
          <cell r="K6563" t="str">
            <v>VVV</v>
          </cell>
          <cell r="AB6563" t="str">
            <v>Skin</v>
          </cell>
        </row>
        <row r="6564">
          <cell r="A6564" t="str">
            <v>in storage</v>
          </cell>
          <cell r="K6564" t="str">
            <v>VVV</v>
          </cell>
          <cell r="AB6564" t="str">
            <v>Kidney</v>
          </cell>
        </row>
        <row r="6565">
          <cell r="A6565" t="str">
            <v>in storage</v>
          </cell>
          <cell r="K6565" t="str">
            <v>VVV</v>
          </cell>
          <cell r="AB6565" t="str">
            <v>Spleen</v>
          </cell>
        </row>
        <row r="6566">
          <cell r="A6566" t="str">
            <v>in storage</v>
          </cell>
          <cell r="K6566" t="str">
            <v>VVV</v>
          </cell>
          <cell r="AB6566" t="str">
            <v>Thymus</v>
          </cell>
        </row>
        <row r="6567">
          <cell r="A6567" t="str">
            <v>in storage</v>
          </cell>
          <cell r="K6567" t="str">
            <v>VVV</v>
          </cell>
          <cell r="AB6567" t="str">
            <v>Lung</v>
          </cell>
        </row>
        <row r="6568">
          <cell r="A6568" t="str">
            <v>in storage</v>
          </cell>
          <cell r="K6568" t="str">
            <v>VVV</v>
          </cell>
          <cell r="AB6568" t="str">
            <v>Adrenal gland</v>
          </cell>
        </row>
        <row r="6569">
          <cell r="A6569" t="str">
            <v>in storage</v>
          </cell>
          <cell r="K6569" t="str">
            <v>VVV</v>
          </cell>
          <cell r="AB6569" t="str">
            <v>R- teste(s)</v>
          </cell>
        </row>
        <row r="6570">
          <cell r="A6570" t="str">
            <v>in storage</v>
          </cell>
          <cell r="K6570" t="str">
            <v>VVV</v>
          </cell>
          <cell r="AB6570" t="str">
            <v>Muscle</v>
          </cell>
        </row>
        <row r="6571">
          <cell r="A6571" t="str">
            <v>in storage</v>
          </cell>
          <cell r="K6571" t="str">
            <v>VVV</v>
          </cell>
          <cell r="AB6571" t="str">
            <v>Muscle</v>
          </cell>
        </row>
        <row r="6572">
          <cell r="A6572" t="str">
            <v>in storage</v>
          </cell>
          <cell r="K6572" t="str">
            <v>DMAD</v>
          </cell>
          <cell r="AB6572" t="str">
            <v>Muscle</v>
          </cell>
        </row>
        <row r="6573">
          <cell r="A6573" t="str">
            <v>in storage</v>
          </cell>
          <cell r="K6573" t="str">
            <v>DMAD</v>
          </cell>
          <cell r="AB6573" t="str">
            <v>Muscle</v>
          </cell>
        </row>
        <row r="6574">
          <cell r="A6574" t="str">
            <v>in storage</v>
          </cell>
          <cell r="K6574" t="str">
            <v>DMAD</v>
          </cell>
          <cell r="AB6574" t="str">
            <v>Muscle</v>
          </cell>
        </row>
        <row r="6575">
          <cell r="A6575" t="str">
            <v>in storage</v>
          </cell>
          <cell r="K6575" t="str">
            <v>DMAD</v>
          </cell>
          <cell r="AB6575" t="str">
            <v>R- ovary</v>
          </cell>
        </row>
        <row r="6576">
          <cell r="A6576" t="str">
            <v>in storage</v>
          </cell>
          <cell r="K6576" t="str">
            <v>DMAD</v>
          </cell>
          <cell r="AB6576" t="str">
            <v>R- ovary</v>
          </cell>
        </row>
        <row r="6577">
          <cell r="A6577" t="str">
            <v>in storage</v>
          </cell>
          <cell r="K6577" t="str">
            <v>NPYG</v>
          </cell>
          <cell r="AB6577" t="str">
            <v>GI Contents- large intestine</v>
          </cell>
        </row>
        <row r="6578">
          <cell r="A6578" t="str">
            <v>in storage</v>
          </cell>
          <cell r="K6578" t="str">
            <v>NPYG</v>
          </cell>
          <cell r="AB6578" t="str">
            <v>GI Tract</v>
          </cell>
        </row>
        <row r="6579">
          <cell r="A6579" t="str">
            <v>in storage</v>
          </cell>
          <cell r="K6579" t="str">
            <v>DMAD</v>
          </cell>
          <cell r="AB6579" t="str">
            <v>Liver</v>
          </cell>
        </row>
        <row r="6580">
          <cell r="A6580" t="str">
            <v>in storage</v>
          </cell>
          <cell r="K6580" t="str">
            <v>DMAD</v>
          </cell>
          <cell r="AB6580" t="str">
            <v>Liver</v>
          </cell>
        </row>
        <row r="6581">
          <cell r="A6581" t="str">
            <v>in storage</v>
          </cell>
          <cell r="K6581" t="str">
            <v>DMAD</v>
          </cell>
          <cell r="AB6581" t="str">
            <v>Liver</v>
          </cell>
        </row>
        <row r="6582">
          <cell r="A6582" t="str">
            <v>in storage</v>
          </cell>
          <cell r="K6582" t="str">
            <v>NPYG</v>
          </cell>
          <cell r="AB6582" t="str">
            <v>GI- small intestine</v>
          </cell>
        </row>
        <row r="6583">
          <cell r="A6583" t="str">
            <v>in storage</v>
          </cell>
          <cell r="K6583" t="str">
            <v>NPYG</v>
          </cell>
          <cell r="AB6583" t="str">
            <v>GI- large intestine</v>
          </cell>
        </row>
        <row r="6584">
          <cell r="A6584" t="str">
            <v>in storage</v>
          </cell>
          <cell r="K6584" t="str">
            <v>NPYG</v>
          </cell>
          <cell r="AB6584" t="str">
            <v>GI- duodenum/ ileum</v>
          </cell>
        </row>
        <row r="6585">
          <cell r="A6585" t="str">
            <v>in storage</v>
          </cell>
          <cell r="K6585" t="str">
            <v>DMAD</v>
          </cell>
          <cell r="AB6585" t="str">
            <v>Heart</v>
          </cell>
        </row>
        <row r="6586">
          <cell r="A6586" t="str">
            <v>in storage</v>
          </cell>
          <cell r="K6586" t="str">
            <v>DMAD</v>
          </cell>
          <cell r="AB6586" t="str">
            <v>Lung</v>
          </cell>
        </row>
        <row r="6587">
          <cell r="A6587" t="str">
            <v>in storage</v>
          </cell>
          <cell r="K6587" t="str">
            <v>DMAD</v>
          </cell>
          <cell r="AB6587" t="str">
            <v>Lung</v>
          </cell>
        </row>
        <row r="6588">
          <cell r="A6588" t="str">
            <v>in storage</v>
          </cell>
          <cell r="K6588" t="str">
            <v>DMAD</v>
          </cell>
          <cell r="AB6588" t="str">
            <v>Liver</v>
          </cell>
        </row>
        <row r="6589">
          <cell r="A6589" t="str">
            <v>in storage</v>
          </cell>
          <cell r="K6589" t="str">
            <v>DMAD</v>
          </cell>
          <cell r="AB6589" t="str">
            <v>Spleen</v>
          </cell>
        </row>
        <row r="6590">
          <cell r="A6590" t="str">
            <v>in storage</v>
          </cell>
          <cell r="K6590" t="str">
            <v>DMAD</v>
          </cell>
          <cell r="AB6590" t="str">
            <v>Kidney</v>
          </cell>
        </row>
        <row r="6591">
          <cell r="A6591" t="str">
            <v>in storage</v>
          </cell>
          <cell r="K6591" t="str">
            <v>DMAD</v>
          </cell>
          <cell r="AB6591" t="str">
            <v>Spleen</v>
          </cell>
        </row>
        <row r="6592">
          <cell r="A6592" t="str">
            <v>in storage</v>
          </cell>
          <cell r="K6592" t="str">
            <v>DMAD</v>
          </cell>
          <cell r="AB6592" t="str">
            <v>Kidney</v>
          </cell>
        </row>
        <row r="6593">
          <cell r="A6593" t="str">
            <v>in storage</v>
          </cell>
          <cell r="K6593" t="str">
            <v>DMAD</v>
          </cell>
          <cell r="AB6593" t="str">
            <v>Adrenal gland</v>
          </cell>
        </row>
        <row r="6594">
          <cell r="A6594" t="str">
            <v>in storage</v>
          </cell>
          <cell r="K6594" t="str">
            <v>DMAD</v>
          </cell>
          <cell r="AB6594" t="str">
            <v>Pancreas</v>
          </cell>
        </row>
        <row r="6595">
          <cell r="A6595" t="str">
            <v>in storage</v>
          </cell>
          <cell r="K6595" t="str">
            <v>DMAD</v>
          </cell>
          <cell r="AB6595" t="str">
            <v>Heart</v>
          </cell>
        </row>
        <row r="6596">
          <cell r="A6596" t="str">
            <v>in storage</v>
          </cell>
          <cell r="K6596" t="str">
            <v>DMAD</v>
          </cell>
          <cell r="AB6596" t="str">
            <v>Heart</v>
          </cell>
        </row>
        <row r="6597">
          <cell r="A6597" t="str">
            <v>in storage</v>
          </cell>
          <cell r="K6597" t="str">
            <v>DMAD</v>
          </cell>
          <cell r="AB6597" t="str">
            <v>Kidney</v>
          </cell>
        </row>
        <row r="6598">
          <cell r="A6598" t="str">
            <v>in storage</v>
          </cell>
          <cell r="K6598" t="str">
            <v>DMAD</v>
          </cell>
          <cell r="AB6598" t="str">
            <v>Kidney</v>
          </cell>
        </row>
        <row r="6599">
          <cell r="A6599" t="str">
            <v>in storage</v>
          </cell>
          <cell r="K6599" t="str">
            <v>DMAD</v>
          </cell>
          <cell r="AB6599" t="str">
            <v>Pancreas</v>
          </cell>
        </row>
        <row r="6600">
          <cell r="A6600" t="str">
            <v>in storage</v>
          </cell>
          <cell r="K6600" t="str">
            <v>DMAD</v>
          </cell>
          <cell r="AB6600" t="str">
            <v>Adrenal gland</v>
          </cell>
        </row>
        <row r="6601">
          <cell r="A6601" t="str">
            <v>in storage</v>
          </cell>
          <cell r="K6601" t="str">
            <v>DMAD</v>
          </cell>
          <cell r="AB6601" t="str">
            <v>Skin</v>
          </cell>
        </row>
        <row r="6602">
          <cell r="A6602" t="str">
            <v>in storage</v>
          </cell>
          <cell r="K6602" t="str">
            <v>DMAD</v>
          </cell>
          <cell r="AB6602" t="str">
            <v>Skin</v>
          </cell>
        </row>
        <row r="6603">
          <cell r="A6603" t="str">
            <v>in storage</v>
          </cell>
          <cell r="K6603" t="str">
            <v>DMAD</v>
          </cell>
          <cell r="AB6603" t="str">
            <v>Skin</v>
          </cell>
        </row>
        <row r="6604">
          <cell r="A6604" t="str">
            <v>in storage</v>
          </cell>
          <cell r="K6604" t="str">
            <v>DMAD</v>
          </cell>
          <cell r="AB6604" t="str">
            <v>R- uterus</v>
          </cell>
        </row>
        <row r="6605">
          <cell r="A6605" t="str">
            <v>in storage</v>
          </cell>
          <cell r="K6605" t="str">
            <v>DMAD</v>
          </cell>
          <cell r="AB6605" t="str">
            <v>Trachea</v>
          </cell>
        </row>
        <row r="6606">
          <cell r="A6606" t="str">
            <v>gone</v>
          </cell>
          <cell r="K6606" t="str">
            <v>MMUR</v>
          </cell>
          <cell r="AB6606" t="str">
            <v>Muscle</v>
          </cell>
        </row>
        <row r="6607">
          <cell r="A6607" t="str">
            <v>in storage</v>
          </cell>
          <cell r="K6607" t="str">
            <v>NPYG</v>
          </cell>
          <cell r="AB6607" t="str">
            <v>GI- ileum</v>
          </cell>
        </row>
        <row r="6608">
          <cell r="A6608" t="str">
            <v>in storage</v>
          </cell>
          <cell r="K6608" t="str">
            <v>NPYG</v>
          </cell>
          <cell r="AB6608" t="str">
            <v>GI Tract</v>
          </cell>
        </row>
        <row r="6609">
          <cell r="A6609" t="str">
            <v>in storage</v>
          </cell>
          <cell r="K6609" t="str">
            <v>NPYG</v>
          </cell>
          <cell r="AB6609" t="str">
            <v>GI Tract</v>
          </cell>
        </row>
        <row r="6610">
          <cell r="A6610" t="str">
            <v>in storage</v>
          </cell>
          <cell r="K6610" t="str">
            <v>NPYG</v>
          </cell>
          <cell r="AB6610" t="str">
            <v>GI- esophagus/ stomach</v>
          </cell>
        </row>
        <row r="6611">
          <cell r="A6611" t="str">
            <v>in storage</v>
          </cell>
          <cell r="K6611" t="str">
            <v>NPYG</v>
          </cell>
          <cell r="AB6611" t="str">
            <v>GI- large intestine</v>
          </cell>
        </row>
        <row r="6612">
          <cell r="A6612" t="str">
            <v>in storage</v>
          </cell>
          <cell r="K6612" t="str">
            <v>NPYG</v>
          </cell>
          <cell r="AB6612" t="str">
            <v>GI- stomach</v>
          </cell>
        </row>
        <row r="6613">
          <cell r="A6613" t="str">
            <v>in storage</v>
          </cell>
          <cell r="K6613" t="str">
            <v>MMUR</v>
          </cell>
          <cell r="AB6613" t="str">
            <v>Liver</v>
          </cell>
        </row>
        <row r="6614">
          <cell r="A6614" t="str">
            <v>in storage</v>
          </cell>
          <cell r="K6614" t="str">
            <v>MMUR</v>
          </cell>
          <cell r="AB6614" t="str">
            <v>Liver</v>
          </cell>
        </row>
        <row r="6615">
          <cell r="A6615" t="str">
            <v>in storage</v>
          </cell>
          <cell r="K6615" t="str">
            <v>MMUR</v>
          </cell>
          <cell r="AB6615" t="str">
            <v>Liver</v>
          </cell>
        </row>
        <row r="6616">
          <cell r="A6616" t="str">
            <v>in storage</v>
          </cell>
          <cell r="K6616" t="str">
            <v>MMUR</v>
          </cell>
          <cell r="AB6616" t="str">
            <v>Liver</v>
          </cell>
        </row>
        <row r="6617">
          <cell r="A6617" t="str">
            <v>in storage</v>
          </cell>
          <cell r="K6617" t="str">
            <v>MMUR</v>
          </cell>
          <cell r="AB6617" t="str">
            <v>Spleen</v>
          </cell>
        </row>
        <row r="6618">
          <cell r="A6618" t="str">
            <v>in storage</v>
          </cell>
          <cell r="K6618" t="str">
            <v>MMUR</v>
          </cell>
          <cell r="AB6618" t="str">
            <v>Lung</v>
          </cell>
        </row>
        <row r="6619">
          <cell r="A6619" t="str">
            <v>in storage</v>
          </cell>
          <cell r="K6619" t="str">
            <v>MMUR</v>
          </cell>
          <cell r="AB6619" t="str">
            <v>Kidney</v>
          </cell>
        </row>
        <row r="6620">
          <cell r="A6620" t="str">
            <v>in storage</v>
          </cell>
          <cell r="K6620" t="str">
            <v>MMUR</v>
          </cell>
          <cell r="AB6620" t="str">
            <v>Lung</v>
          </cell>
        </row>
        <row r="6621">
          <cell r="A6621" t="str">
            <v>in storage</v>
          </cell>
          <cell r="K6621" t="str">
            <v>MMUR</v>
          </cell>
          <cell r="AB6621" t="str">
            <v>Kidney</v>
          </cell>
        </row>
        <row r="6622">
          <cell r="A6622" t="str">
            <v>in storage</v>
          </cell>
          <cell r="K6622" t="str">
            <v>MMUR</v>
          </cell>
          <cell r="AB6622" t="str">
            <v>Spleen</v>
          </cell>
        </row>
        <row r="6623">
          <cell r="A6623" t="str">
            <v>in storage</v>
          </cell>
          <cell r="K6623" t="str">
            <v>MMUR</v>
          </cell>
          <cell r="AB6623" t="str">
            <v>Skin</v>
          </cell>
        </row>
        <row r="6624">
          <cell r="A6624" t="str">
            <v>in storage</v>
          </cell>
          <cell r="K6624" t="str">
            <v>NPYG</v>
          </cell>
          <cell r="AB6624" t="str">
            <v>GI Tract</v>
          </cell>
        </row>
        <row r="6625">
          <cell r="A6625" t="str">
            <v>in storage</v>
          </cell>
          <cell r="K6625" t="str">
            <v>MMUR</v>
          </cell>
          <cell r="AB6625" t="str">
            <v>Muscle</v>
          </cell>
        </row>
        <row r="6626">
          <cell r="A6626" t="str">
            <v>in storage</v>
          </cell>
          <cell r="K6626" t="str">
            <v>NPYG</v>
          </cell>
          <cell r="AB6626" t="str">
            <v>GI Contents- cecum</v>
          </cell>
        </row>
        <row r="6627">
          <cell r="A6627" t="str">
            <v>in storage</v>
          </cell>
          <cell r="K6627" t="str">
            <v>NPYG</v>
          </cell>
          <cell r="AB6627" t="str">
            <v>GI- large intestine</v>
          </cell>
        </row>
        <row r="6628">
          <cell r="A6628" t="str">
            <v>in storage</v>
          </cell>
          <cell r="K6628" t="str">
            <v>NPYG</v>
          </cell>
          <cell r="AB6628" t="str">
            <v>GI- small intestine</v>
          </cell>
        </row>
        <row r="6629">
          <cell r="A6629" t="str">
            <v>in storage</v>
          </cell>
          <cell r="K6629" t="str">
            <v>NPYG</v>
          </cell>
          <cell r="AB6629" t="str">
            <v>GI- stomach</v>
          </cell>
        </row>
        <row r="6630">
          <cell r="A6630" t="str">
            <v>in storage</v>
          </cell>
          <cell r="K6630" t="str">
            <v>MMUR</v>
          </cell>
          <cell r="AB6630" t="str">
            <v>Skin</v>
          </cell>
        </row>
        <row r="6631">
          <cell r="A6631" t="str">
            <v>in storage</v>
          </cell>
          <cell r="K6631" t="str">
            <v>MMUR</v>
          </cell>
          <cell r="AB6631" t="str">
            <v>Skin</v>
          </cell>
        </row>
        <row r="6632">
          <cell r="A6632" t="str">
            <v>in storage</v>
          </cell>
          <cell r="K6632" t="str">
            <v>MMUR</v>
          </cell>
          <cell r="AB6632" t="str">
            <v>Liver</v>
          </cell>
        </row>
        <row r="6633">
          <cell r="A6633" t="str">
            <v>in storage</v>
          </cell>
          <cell r="K6633" t="str">
            <v>MMUR</v>
          </cell>
          <cell r="AB6633" t="str">
            <v>Liver</v>
          </cell>
        </row>
        <row r="6634">
          <cell r="A6634" t="str">
            <v>in storage</v>
          </cell>
          <cell r="K6634" t="str">
            <v>MMUR</v>
          </cell>
          <cell r="AB6634" t="str">
            <v>Kidney</v>
          </cell>
        </row>
        <row r="6635">
          <cell r="A6635" t="str">
            <v>in storage</v>
          </cell>
          <cell r="K6635" t="str">
            <v>MMUR</v>
          </cell>
          <cell r="AB6635" t="str">
            <v>Lung</v>
          </cell>
        </row>
        <row r="6636">
          <cell r="A6636" t="str">
            <v>in storage</v>
          </cell>
          <cell r="K6636" t="str">
            <v>MMUR</v>
          </cell>
          <cell r="AB6636" t="str">
            <v>Spleen</v>
          </cell>
        </row>
        <row r="6637">
          <cell r="A6637" t="str">
            <v>in storage</v>
          </cell>
          <cell r="K6637" t="str">
            <v>MMUR</v>
          </cell>
          <cell r="AB6637" t="str">
            <v>Kidney</v>
          </cell>
        </row>
        <row r="6638">
          <cell r="A6638" t="str">
            <v>in storage</v>
          </cell>
          <cell r="K6638" t="str">
            <v>MMUR</v>
          </cell>
          <cell r="AB6638" t="str">
            <v>Lung</v>
          </cell>
        </row>
        <row r="6639">
          <cell r="A6639" t="str">
            <v>in storage</v>
          </cell>
          <cell r="K6639" t="str">
            <v>MMUR</v>
          </cell>
          <cell r="AB6639" t="str">
            <v>Gallbladder</v>
          </cell>
        </row>
        <row r="6640">
          <cell r="A6640" t="str">
            <v>in storage</v>
          </cell>
          <cell r="K6640" t="str">
            <v>NPYG</v>
          </cell>
          <cell r="AB6640" t="str">
            <v>GI Contents- large intestine</v>
          </cell>
        </row>
        <row r="6641">
          <cell r="A6641" t="str">
            <v>in storage</v>
          </cell>
          <cell r="K6641" t="str">
            <v>NPYG</v>
          </cell>
          <cell r="AB6641" t="str">
            <v>GI Tract</v>
          </cell>
        </row>
        <row r="6642">
          <cell r="A6642" t="str">
            <v>in storage</v>
          </cell>
          <cell r="K6642" t="str">
            <v>OCRA</v>
          </cell>
          <cell r="AB6642" t="str">
            <v>GI- cecum</v>
          </cell>
        </row>
        <row r="6643">
          <cell r="A6643" t="str">
            <v>in storage</v>
          </cell>
          <cell r="K6643" t="str">
            <v>OCRA</v>
          </cell>
          <cell r="AB6643" t="str">
            <v>GI- large intestine</v>
          </cell>
        </row>
        <row r="6644">
          <cell r="A6644" t="str">
            <v>in storage</v>
          </cell>
          <cell r="K6644" t="str">
            <v>PCOQ</v>
          </cell>
          <cell r="AB6644" t="str">
            <v>Liver</v>
          </cell>
        </row>
        <row r="6645">
          <cell r="A6645" t="str">
            <v>in storage</v>
          </cell>
          <cell r="K6645" t="str">
            <v>PCOQ</v>
          </cell>
          <cell r="AB6645" t="str">
            <v>Liver</v>
          </cell>
        </row>
        <row r="6646">
          <cell r="A6646" t="str">
            <v>in storage</v>
          </cell>
          <cell r="K6646" t="str">
            <v>PCOQ</v>
          </cell>
          <cell r="AB6646" t="str">
            <v>Liver</v>
          </cell>
        </row>
        <row r="6647">
          <cell r="A6647" t="str">
            <v>in storage</v>
          </cell>
          <cell r="K6647" t="str">
            <v>OCRA</v>
          </cell>
          <cell r="AB6647" t="str">
            <v>GI- small intestine</v>
          </cell>
        </row>
        <row r="6648">
          <cell r="A6648" t="str">
            <v>in storage</v>
          </cell>
          <cell r="K6648" t="str">
            <v>OCRA</v>
          </cell>
          <cell r="AB6648" t="str">
            <v>GI- stomach</v>
          </cell>
        </row>
        <row r="6649">
          <cell r="A6649" t="str">
            <v>in storage</v>
          </cell>
          <cell r="K6649" t="str">
            <v>PCOQ</v>
          </cell>
          <cell r="AB6649" t="str">
            <v>GI Tract</v>
          </cell>
        </row>
        <row r="6650">
          <cell r="A6650" t="str">
            <v>in storage</v>
          </cell>
          <cell r="K6650" t="str">
            <v>PCOQ</v>
          </cell>
          <cell r="AB6650" t="str">
            <v>GI Contents- cecum</v>
          </cell>
        </row>
        <row r="6651">
          <cell r="A6651" t="str">
            <v>in storage</v>
          </cell>
          <cell r="K6651" t="str">
            <v>PCOQ</v>
          </cell>
          <cell r="AB6651" t="str">
            <v>Lung</v>
          </cell>
        </row>
        <row r="6652">
          <cell r="A6652" t="str">
            <v>in storage</v>
          </cell>
          <cell r="K6652" t="str">
            <v>PCOQ</v>
          </cell>
          <cell r="AB6652" t="str">
            <v>Spleen</v>
          </cell>
        </row>
        <row r="6653">
          <cell r="A6653" t="str">
            <v>in storage</v>
          </cell>
          <cell r="K6653" t="str">
            <v>PCOQ</v>
          </cell>
          <cell r="AB6653" t="str">
            <v>Thyroid</v>
          </cell>
        </row>
        <row r="6654">
          <cell r="A6654" t="str">
            <v>in storage</v>
          </cell>
          <cell r="K6654" t="str">
            <v>PCOQ</v>
          </cell>
          <cell r="AB6654" t="str">
            <v>Kidney</v>
          </cell>
        </row>
        <row r="6655">
          <cell r="A6655" t="str">
            <v>in storage</v>
          </cell>
          <cell r="K6655" t="str">
            <v>PCOQ</v>
          </cell>
          <cell r="AB6655" t="str">
            <v>Lung</v>
          </cell>
        </row>
        <row r="6656">
          <cell r="A6656" t="str">
            <v>in storage</v>
          </cell>
          <cell r="K6656" t="str">
            <v>PCOQ</v>
          </cell>
          <cell r="AB6656" t="str">
            <v>Kidney</v>
          </cell>
        </row>
        <row r="6657">
          <cell r="A6657" t="str">
            <v>in storage</v>
          </cell>
          <cell r="K6657" t="str">
            <v>PCOQ</v>
          </cell>
          <cell r="AB6657" t="str">
            <v>Liver</v>
          </cell>
        </row>
        <row r="6658">
          <cell r="A6658" t="str">
            <v>in storage</v>
          </cell>
          <cell r="K6658" t="str">
            <v>PCOQ</v>
          </cell>
          <cell r="AB6658" t="str">
            <v>Adrenal gland</v>
          </cell>
        </row>
        <row r="6659">
          <cell r="A6659" t="str">
            <v>in storage</v>
          </cell>
          <cell r="K6659" t="str">
            <v>PCOQ</v>
          </cell>
          <cell r="AB6659" t="str">
            <v>Lung</v>
          </cell>
        </row>
        <row r="6660">
          <cell r="A6660" t="str">
            <v>in storage</v>
          </cell>
          <cell r="K6660" t="str">
            <v>PCOQ</v>
          </cell>
          <cell r="AB6660" t="str">
            <v>Lung</v>
          </cell>
        </row>
        <row r="6661">
          <cell r="A6661" t="str">
            <v>in storage</v>
          </cell>
          <cell r="K6661" t="str">
            <v>PCOQ</v>
          </cell>
          <cell r="AB6661" t="str">
            <v>GI Contents- small intestine</v>
          </cell>
        </row>
        <row r="6662">
          <cell r="A6662" t="str">
            <v>in storage</v>
          </cell>
          <cell r="K6662" t="str">
            <v>PCOQ</v>
          </cell>
          <cell r="AB6662" t="str">
            <v>GI Contents- large intestine</v>
          </cell>
        </row>
        <row r="6663">
          <cell r="A6663" t="str">
            <v>in storage</v>
          </cell>
          <cell r="K6663" t="str">
            <v>VRUB</v>
          </cell>
          <cell r="AB6663" t="str">
            <v>R- reproductive tract</v>
          </cell>
        </row>
        <row r="6664">
          <cell r="A6664" t="str">
            <v>in storage</v>
          </cell>
          <cell r="K6664" t="str">
            <v>VRUB</v>
          </cell>
          <cell r="AB6664" t="str">
            <v>Liver</v>
          </cell>
        </row>
        <row r="6665">
          <cell r="A6665" t="str">
            <v>in storage</v>
          </cell>
          <cell r="K6665" t="str">
            <v>VRUB</v>
          </cell>
          <cell r="AB6665" t="str">
            <v>Pancreas</v>
          </cell>
        </row>
        <row r="6666">
          <cell r="A6666" t="str">
            <v>in storage</v>
          </cell>
          <cell r="K6666" t="str">
            <v>PCOQ</v>
          </cell>
          <cell r="AB6666" t="str">
            <v>GI- cecum</v>
          </cell>
        </row>
        <row r="6667">
          <cell r="A6667" t="str">
            <v>in storage</v>
          </cell>
          <cell r="K6667" t="str">
            <v>VRUB</v>
          </cell>
          <cell r="AB6667" t="str">
            <v>Kidney</v>
          </cell>
        </row>
        <row r="6668">
          <cell r="A6668" t="str">
            <v>in storage</v>
          </cell>
          <cell r="K6668" t="str">
            <v>VRUB</v>
          </cell>
          <cell r="AB6668" t="str">
            <v>Kidney</v>
          </cell>
        </row>
        <row r="6669">
          <cell r="A6669" t="str">
            <v>in storage</v>
          </cell>
          <cell r="K6669" t="str">
            <v>VRUB</v>
          </cell>
          <cell r="AB6669" t="str">
            <v>Heart</v>
          </cell>
        </row>
        <row r="6670">
          <cell r="A6670" t="str">
            <v>in storage</v>
          </cell>
          <cell r="K6670" t="str">
            <v>VRUB</v>
          </cell>
          <cell r="AB6670" t="str">
            <v>Lung</v>
          </cell>
        </row>
        <row r="6671">
          <cell r="A6671" t="str">
            <v>in storage</v>
          </cell>
          <cell r="K6671" t="str">
            <v>VRUB</v>
          </cell>
          <cell r="AB6671" t="str">
            <v>Lung</v>
          </cell>
        </row>
        <row r="6672">
          <cell r="A6672" t="str">
            <v>in storage</v>
          </cell>
          <cell r="K6672" t="str">
            <v>VRUB</v>
          </cell>
          <cell r="AB6672" t="str">
            <v>U- bladder</v>
          </cell>
        </row>
        <row r="6673">
          <cell r="A6673" t="str">
            <v>in storage</v>
          </cell>
          <cell r="K6673" t="str">
            <v>VRUB</v>
          </cell>
          <cell r="AB6673" t="str">
            <v>Trachea</v>
          </cell>
        </row>
        <row r="6674">
          <cell r="A6674" t="str">
            <v>in storage</v>
          </cell>
          <cell r="K6674" t="str">
            <v>PCOQ</v>
          </cell>
          <cell r="AB6674" t="str">
            <v>GI- large intestine</v>
          </cell>
        </row>
        <row r="6675">
          <cell r="A6675" t="str">
            <v>in storage</v>
          </cell>
          <cell r="K6675" t="str">
            <v>VRUB</v>
          </cell>
          <cell r="AB6675" t="str">
            <v>Liver</v>
          </cell>
        </row>
        <row r="6676">
          <cell r="A6676" t="str">
            <v>in storage</v>
          </cell>
          <cell r="K6676" t="str">
            <v>VRUB</v>
          </cell>
          <cell r="AB6676" t="str">
            <v>Skin</v>
          </cell>
        </row>
        <row r="6677">
          <cell r="A6677" t="str">
            <v>in storage</v>
          </cell>
          <cell r="K6677" t="str">
            <v>VRUB</v>
          </cell>
          <cell r="AB6677" t="str">
            <v>Kidney</v>
          </cell>
        </row>
        <row r="6678">
          <cell r="A6678" t="str">
            <v>in storage</v>
          </cell>
          <cell r="K6678" t="str">
            <v>VRUB</v>
          </cell>
          <cell r="AB6678" t="str">
            <v>Liver</v>
          </cell>
        </row>
        <row r="6679">
          <cell r="A6679" t="str">
            <v>in storage</v>
          </cell>
          <cell r="K6679" t="str">
            <v>VRUB</v>
          </cell>
          <cell r="AB6679" t="str">
            <v>Liver</v>
          </cell>
        </row>
        <row r="6680">
          <cell r="A6680" t="str">
            <v>in storage</v>
          </cell>
          <cell r="K6680" t="str">
            <v>VRUB</v>
          </cell>
          <cell r="AB6680" t="str">
            <v>Adrenal gland</v>
          </cell>
        </row>
        <row r="6681">
          <cell r="A6681" t="str">
            <v>in storage</v>
          </cell>
          <cell r="K6681" t="str">
            <v>VRUB</v>
          </cell>
          <cell r="AB6681" t="str">
            <v>Adrenal gland</v>
          </cell>
        </row>
        <row r="6682">
          <cell r="A6682" t="str">
            <v>in storage</v>
          </cell>
          <cell r="K6682" t="str">
            <v>VRUB</v>
          </cell>
          <cell r="AB6682" t="str">
            <v>Pancreas</v>
          </cell>
        </row>
        <row r="6683">
          <cell r="A6683" t="str">
            <v>in storage</v>
          </cell>
          <cell r="K6683" t="str">
            <v>VRUB</v>
          </cell>
          <cell r="AB6683" t="str">
            <v>Spleen</v>
          </cell>
        </row>
        <row r="6684">
          <cell r="A6684" t="str">
            <v>in storage</v>
          </cell>
          <cell r="K6684" t="str">
            <v>VRUB</v>
          </cell>
          <cell r="AB6684" t="str">
            <v>Muscle</v>
          </cell>
        </row>
        <row r="6685">
          <cell r="A6685" t="str">
            <v>in storage</v>
          </cell>
          <cell r="K6685" t="str">
            <v>PCOQ</v>
          </cell>
          <cell r="AB6685" t="str">
            <v>R- accessory sex gland contents</v>
          </cell>
        </row>
        <row r="6686">
          <cell r="A6686" t="str">
            <v>in storage</v>
          </cell>
          <cell r="K6686" t="str">
            <v>PCOQ</v>
          </cell>
          <cell r="AB6686" t="str">
            <v>R- accessory sex glands</v>
          </cell>
        </row>
        <row r="6687">
          <cell r="A6687" t="str">
            <v>in storage</v>
          </cell>
          <cell r="K6687" t="str">
            <v>PCOQ</v>
          </cell>
          <cell r="AB6687" t="str">
            <v>GI- duodenum</v>
          </cell>
        </row>
        <row r="6688">
          <cell r="A6688" t="str">
            <v>in storage</v>
          </cell>
          <cell r="K6688" t="str">
            <v>PCOQ</v>
          </cell>
          <cell r="AB6688" t="str">
            <v>GI- large intestine</v>
          </cell>
        </row>
        <row r="6689">
          <cell r="A6689" t="str">
            <v>in storage</v>
          </cell>
          <cell r="K6689" t="str">
            <v>PCOQ</v>
          </cell>
          <cell r="AB6689" t="str">
            <v>Trachea</v>
          </cell>
        </row>
        <row r="6690">
          <cell r="A6690" t="str">
            <v>in storage</v>
          </cell>
          <cell r="K6690" t="str">
            <v>PCOQ</v>
          </cell>
          <cell r="AB6690" t="str">
            <v>Liver</v>
          </cell>
        </row>
        <row r="6691">
          <cell r="A6691" t="str">
            <v>in storage</v>
          </cell>
          <cell r="K6691" t="str">
            <v>PCOQ</v>
          </cell>
          <cell r="AB6691" t="str">
            <v>Liver</v>
          </cell>
        </row>
        <row r="6692">
          <cell r="A6692" t="str">
            <v>in storage</v>
          </cell>
          <cell r="K6692" t="str">
            <v>PCOQ</v>
          </cell>
          <cell r="AB6692" t="str">
            <v>Liver</v>
          </cell>
        </row>
        <row r="6693">
          <cell r="A6693" t="str">
            <v>in storage</v>
          </cell>
          <cell r="K6693" t="str">
            <v>PCOQ</v>
          </cell>
          <cell r="AB6693" t="str">
            <v>Pancreas</v>
          </cell>
        </row>
        <row r="6694">
          <cell r="A6694" t="str">
            <v>in storage</v>
          </cell>
          <cell r="K6694" t="str">
            <v>PCOQ</v>
          </cell>
          <cell r="AB6694" t="str">
            <v>GI Contents- cecum</v>
          </cell>
        </row>
        <row r="6695">
          <cell r="A6695" t="str">
            <v>in storage</v>
          </cell>
          <cell r="K6695" t="str">
            <v>PCOQ</v>
          </cell>
          <cell r="AB6695" t="str">
            <v>GI- jejunum</v>
          </cell>
        </row>
        <row r="6696">
          <cell r="A6696" t="str">
            <v>in storage</v>
          </cell>
          <cell r="K6696" t="str">
            <v>PCOQ</v>
          </cell>
          <cell r="AB6696" t="str">
            <v>GI Contents- stomach</v>
          </cell>
        </row>
        <row r="6697">
          <cell r="A6697" t="str">
            <v>in storage</v>
          </cell>
          <cell r="K6697" t="str">
            <v>PCOQ</v>
          </cell>
          <cell r="AB6697" t="str">
            <v>Kidney</v>
          </cell>
        </row>
        <row r="6698">
          <cell r="A6698" t="str">
            <v>in storage</v>
          </cell>
          <cell r="K6698" t="str">
            <v>PCOQ</v>
          </cell>
          <cell r="AB6698" t="str">
            <v>Kidney</v>
          </cell>
        </row>
        <row r="6699">
          <cell r="A6699" t="str">
            <v>in storage</v>
          </cell>
          <cell r="K6699" t="str">
            <v>PCOQ</v>
          </cell>
          <cell r="AB6699" t="str">
            <v>Heart</v>
          </cell>
        </row>
        <row r="6700">
          <cell r="A6700" t="str">
            <v>in storage</v>
          </cell>
          <cell r="K6700" t="str">
            <v>PCOQ</v>
          </cell>
          <cell r="AB6700" t="str">
            <v>Lung</v>
          </cell>
        </row>
        <row r="6701">
          <cell r="A6701" t="str">
            <v>in storage</v>
          </cell>
          <cell r="K6701" t="str">
            <v>PCOQ</v>
          </cell>
          <cell r="AB6701" t="str">
            <v>Lung</v>
          </cell>
        </row>
        <row r="6702">
          <cell r="A6702" t="str">
            <v>in storage</v>
          </cell>
          <cell r="K6702" t="str">
            <v>PCOQ</v>
          </cell>
          <cell r="AB6702" t="str">
            <v>U- bladder</v>
          </cell>
        </row>
        <row r="6703">
          <cell r="A6703" t="str">
            <v>in storage</v>
          </cell>
          <cell r="K6703" t="str">
            <v>PCOQ</v>
          </cell>
          <cell r="AB6703" t="str">
            <v>Liver</v>
          </cell>
        </row>
        <row r="6704">
          <cell r="A6704" t="str">
            <v>in storage</v>
          </cell>
          <cell r="K6704" t="str">
            <v>PCOQ</v>
          </cell>
          <cell r="AB6704" t="str">
            <v>Skin</v>
          </cell>
        </row>
        <row r="6705">
          <cell r="A6705" t="str">
            <v>in storage</v>
          </cell>
          <cell r="K6705" t="str">
            <v>PCOQ</v>
          </cell>
          <cell r="AB6705" t="str">
            <v>Pancreas</v>
          </cell>
        </row>
        <row r="6706">
          <cell r="A6706" t="str">
            <v>in storage</v>
          </cell>
          <cell r="K6706" t="str">
            <v>PCOQ</v>
          </cell>
          <cell r="AB6706" t="str">
            <v>Kidney</v>
          </cell>
        </row>
        <row r="6707">
          <cell r="A6707" t="str">
            <v>in storage</v>
          </cell>
          <cell r="K6707" t="str">
            <v>PCOQ</v>
          </cell>
          <cell r="AB6707" t="str">
            <v>Kidney</v>
          </cell>
        </row>
        <row r="6708">
          <cell r="A6708" t="str">
            <v>in storage</v>
          </cell>
          <cell r="K6708" t="str">
            <v>PCOQ</v>
          </cell>
          <cell r="AB6708" t="str">
            <v>Adrenal gland</v>
          </cell>
        </row>
        <row r="6709">
          <cell r="A6709" t="str">
            <v>in storage</v>
          </cell>
          <cell r="K6709" t="str">
            <v>PCOQ</v>
          </cell>
          <cell r="AB6709" t="str">
            <v>Spleen</v>
          </cell>
        </row>
        <row r="6710">
          <cell r="A6710" t="str">
            <v>in storage</v>
          </cell>
          <cell r="K6710" t="str">
            <v>PCOQ</v>
          </cell>
          <cell r="AB6710" t="str">
            <v>Adrenal gland</v>
          </cell>
        </row>
        <row r="6711">
          <cell r="A6711" t="str">
            <v>in storage</v>
          </cell>
          <cell r="K6711" t="str">
            <v>PCOQ</v>
          </cell>
          <cell r="AB6711" t="str">
            <v>Liver</v>
          </cell>
        </row>
        <row r="6712">
          <cell r="A6712" t="str">
            <v>in storage</v>
          </cell>
          <cell r="K6712" t="str">
            <v>PCOQ</v>
          </cell>
          <cell r="AB6712" t="str">
            <v>Spleen</v>
          </cell>
        </row>
        <row r="6713">
          <cell r="A6713" t="str">
            <v>in storage</v>
          </cell>
          <cell r="K6713" t="str">
            <v>PCOQ</v>
          </cell>
          <cell r="AB6713" t="str">
            <v>Kidney</v>
          </cell>
        </row>
        <row r="6714">
          <cell r="A6714" t="str">
            <v>in storage</v>
          </cell>
          <cell r="K6714" t="str">
            <v>PCOQ</v>
          </cell>
          <cell r="AB6714" t="str">
            <v>Kidney</v>
          </cell>
        </row>
        <row r="6715">
          <cell r="A6715" t="str">
            <v>in storage</v>
          </cell>
          <cell r="K6715" t="str">
            <v>PCOQ</v>
          </cell>
          <cell r="AB6715" t="str">
            <v>Kidney</v>
          </cell>
        </row>
        <row r="6716">
          <cell r="A6716" t="str">
            <v>in storage</v>
          </cell>
          <cell r="K6716" t="str">
            <v>PCOQ</v>
          </cell>
          <cell r="AB6716" t="str">
            <v>Lung</v>
          </cell>
        </row>
        <row r="6717">
          <cell r="A6717" t="str">
            <v>in storage</v>
          </cell>
          <cell r="K6717" t="str">
            <v>PCOQ</v>
          </cell>
          <cell r="AB6717" t="str">
            <v>Heart</v>
          </cell>
        </row>
        <row r="6718">
          <cell r="A6718" t="str">
            <v>in storage</v>
          </cell>
          <cell r="K6718" t="str">
            <v>PCOQ</v>
          </cell>
          <cell r="AB6718" t="str">
            <v>Pancreas</v>
          </cell>
        </row>
        <row r="6719">
          <cell r="A6719" t="str">
            <v>in storage</v>
          </cell>
          <cell r="K6719" t="str">
            <v>PCOQ</v>
          </cell>
          <cell r="AB6719" t="str">
            <v>Lung</v>
          </cell>
        </row>
        <row r="6720">
          <cell r="A6720" t="str">
            <v>in storage</v>
          </cell>
          <cell r="K6720" t="str">
            <v>PCOQ</v>
          </cell>
          <cell r="AB6720" t="str">
            <v>Heart</v>
          </cell>
        </row>
        <row r="6721">
          <cell r="A6721" t="str">
            <v>in storage</v>
          </cell>
          <cell r="K6721" t="str">
            <v>PCOQ</v>
          </cell>
          <cell r="AB6721" t="str">
            <v>Heart</v>
          </cell>
        </row>
        <row r="6722">
          <cell r="A6722" t="str">
            <v>in storage</v>
          </cell>
          <cell r="K6722" t="str">
            <v>PCOQ</v>
          </cell>
          <cell r="AB6722" t="str">
            <v>Lung</v>
          </cell>
        </row>
        <row r="6723">
          <cell r="A6723" t="str">
            <v>unk</v>
          </cell>
          <cell r="K6723" t="str">
            <v>PCOQ</v>
          </cell>
          <cell r="AB6723" t="str">
            <v>Kidney</v>
          </cell>
        </row>
        <row r="6724">
          <cell r="A6724" t="str">
            <v>in storage</v>
          </cell>
          <cell r="K6724" t="str">
            <v>PCOQ</v>
          </cell>
          <cell r="AB6724" t="str">
            <v>Spleen</v>
          </cell>
        </row>
        <row r="6725">
          <cell r="A6725" t="str">
            <v>in storage</v>
          </cell>
          <cell r="K6725" t="str">
            <v>PCOQ</v>
          </cell>
          <cell r="AB6725" t="str">
            <v>R- teste(s)</v>
          </cell>
        </row>
        <row r="6726">
          <cell r="A6726" t="str">
            <v>in storage</v>
          </cell>
          <cell r="K6726" t="str">
            <v>PCOQ</v>
          </cell>
          <cell r="AB6726" t="str">
            <v>R- teste(s)</v>
          </cell>
        </row>
        <row r="6727">
          <cell r="A6727" t="str">
            <v>in storage</v>
          </cell>
          <cell r="K6727" t="str">
            <v>PCOQ</v>
          </cell>
          <cell r="AB6727" t="str">
            <v>Muscle</v>
          </cell>
        </row>
        <row r="6728">
          <cell r="A6728" t="str">
            <v>in storage</v>
          </cell>
          <cell r="K6728" t="str">
            <v>PCOQ</v>
          </cell>
          <cell r="AB6728" t="str">
            <v>Muscle</v>
          </cell>
        </row>
        <row r="6729">
          <cell r="A6729" t="str">
            <v>in storage</v>
          </cell>
          <cell r="K6729" t="str">
            <v>PCOQ</v>
          </cell>
          <cell r="AB6729" t="str">
            <v>Muscle</v>
          </cell>
        </row>
        <row r="6730">
          <cell r="A6730" t="str">
            <v>in storage</v>
          </cell>
          <cell r="K6730" t="str">
            <v>MMUR</v>
          </cell>
          <cell r="AB6730" t="str">
            <v>Muscle</v>
          </cell>
        </row>
        <row r="6731">
          <cell r="A6731" t="str">
            <v>in storage</v>
          </cell>
          <cell r="K6731" t="str">
            <v>PCOQ</v>
          </cell>
          <cell r="AB6731" t="str">
            <v>GI- colon</v>
          </cell>
        </row>
        <row r="6732">
          <cell r="A6732" t="str">
            <v>unk</v>
          </cell>
          <cell r="K6732" t="str">
            <v>PCOQ</v>
          </cell>
          <cell r="AB6732" t="str">
            <v>GI Contents- cecum</v>
          </cell>
        </row>
        <row r="6733">
          <cell r="A6733" t="str">
            <v>in storage</v>
          </cell>
          <cell r="K6733" t="str">
            <v>PCOQ</v>
          </cell>
          <cell r="AB6733" t="str">
            <v xml:space="preserve">GI- stomach lining </v>
          </cell>
        </row>
        <row r="6734">
          <cell r="A6734" t="str">
            <v>unk</v>
          </cell>
          <cell r="K6734" t="str">
            <v>MMUR</v>
          </cell>
          <cell r="AB6734" t="str">
            <v>Trachea</v>
          </cell>
        </row>
        <row r="6735">
          <cell r="A6735" t="str">
            <v>unk</v>
          </cell>
          <cell r="K6735" t="str">
            <v>PCOQ</v>
          </cell>
          <cell r="AB6735" t="str">
            <v>GI- small intestine</v>
          </cell>
        </row>
        <row r="6736">
          <cell r="A6736" t="str">
            <v>in storage</v>
          </cell>
          <cell r="K6736" t="str">
            <v>MMUR</v>
          </cell>
          <cell r="AB6736" t="str">
            <v>Liver</v>
          </cell>
        </row>
        <row r="6737">
          <cell r="A6737" t="str">
            <v>in storage</v>
          </cell>
          <cell r="K6737" t="str">
            <v>MMUR</v>
          </cell>
          <cell r="AB6737" t="str">
            <v>Liver</v>
          </cell>
        </row>
        <row r="6738">
          <cell r="A6738" t="str">
            <v>in storage</v>
          </cell>
          <cell r="K6738" t="str">
            <v>PCOQ</v>
          </cell>
          <cell r="AB6738" t="str">
            <v>GI Contents- stomach</v>
          </cell>
        </row>
        <row r="6739">
          <cell r="A6739" t="str">
            <v>in storage</v>
          </cell>
          <cell r="K6739" t="str">
            <v>PCOQ</v>
          </cell>
          <cell r="AB6739" t="str">
            <v>GI Contents- cecum</v>
          </cell>
        </row>
        <row r="6740">
          <cell r="A6740" t="str">
            <v>in storage</v>
          </cell>
          <cell r="K6740" t="str">
            <v>PCOQ</v>
          </cell>
          <cell r="AB6740" t="str">
            <v>GI Contents- stomach</v>
          </cell>
        </row>
        <row r="6741">
          <cell r="A6741" t="str">
            <v>in storage</v>
          </cell>
          <cell r="K6741" t="str">
            <v>PCOQ</v>
          </cell>
          <cell r="AB6741" t="str">
            <v>GI- large intestine</v>
          </cell>
        </row>
        <row r="6742">
          <cell r="A6742" t="str">
            <v>in storage</v>
          </cell>
          <cell r="K6742" t="str">
            <v>MMUR</v>
          </cell>
          <cell r="AB6742" t="str">
            <v>RU- accessory sex glands/ bladder</v>
          </cell>
        </row>
        <row r="6743">
          <cell r="A6743" t="str">
            <v>in storage</v>
          </cell>
          <cell r="K6743" t="str">
            <v>MMUR</v>
          </cell>
          <cell r="AB6743" t="str">
            <v>Spleen</v>
          </cell>
        </row>
        <row r="6744">
          <cell r="A6744" t="str">
            <v>in storage</v>
          </cell>
          <cell r="K6744" t="str">
            <v>MMUR</v>
          </cell>
          <cell r="AB6744" t="str">
            <v>Adrenal gland</v>
          </cell>
        </row>
        <row r="6745">
          <cell r="A6745" t="str">
            <v>in storage</v>
          </cell>
          <cell r="K6745" t="str">
            <v>MMUR</v>
          </cell>
          <cell r="AB6745" t="str">
            <v>Pancreas</v>
          </cell>
        </row>
        <row r="6746">
          <cell r="A6746" t="str">
            <v>in storage</v>
          </cell>
          <cell r="K6746" t="str">
            <v>MMUR</v>
          </cell>
          <cell r="AB6746" t="str">
            <v>Kidney</v>
          </cell>
        </row>
        <row r="6747">
          <cell r="A6747" t="str">
            <v>in storage</v>
          </cell>
          <cell r="K6747" t="str">
            <v>MMUR</v>
          </cell>
          <cell r="AB6747" t="str">
            <v>Heart</v>
          </cell>
        </row>
        <row r="6748">
          <cell r="A6748" t="str">
            <v>in storage</v>
          </cell>
          <cell r="K6748" t="str">
            <v>MMUR</v>
          </cell>
          <cell r="AB6748" t="str">
            <v>Kidney</v>
          </cell>
        </row>
        <row r="6749">
          <cell r="A6749" t="str">
            <v>unk</v>
          </cell>
          <cell r="K6749" t="str">
            <v>MMUR</v>
          </cell>
          <cell r="AB6749" t="str">
            <v>Eye</v>
          </cell>
        </row>
        <row r="6750">
          <cell r="A6750" t="str">
            <v>in storage</v>
          </cell>
          <cell r="K6750" t="str">
            <v>MMUR</v>
          </cell>
          <cell r="AB6750" t="str">
            <v>Skin</v>
          </cell>
        </row>
        <row r="6751">
          <cell r="A6751" t="str">
            <v>in storage</v>
          </cell>
          <cell r="K6751" t="str">
            <v>MMUR</v>
          </cell>
          <cell r="AB6751" t="str">
            <v>Lung</v>
          </cell>
        </row>
        <row r="6752">
          <cell r="A6752" t="str">
            <v>in storage</v>
          </cell>
          <cell r="K6752" t="str">
            <v>MMUR</v>
          </cell>
          <cell r="AB6752" t="str">
            <v>R- teste(s)</v>
          </cell>
        </row>
        <row r="6753">
          <cell r="A6753" t="str">
            <v>in storage</v>
          </cell>
          <cell r="K6753" t="str">
            <v>MMUR</v>
          </cell>
          <cell r="AB6753" t="str">
            <v>R- teste(s)</v>
          </cell>
        </row>
        <row r="6754">
          <cell r="A6754" t="str">
            <v>in storage</v>
          </cell>
          <cell r="K6754" t="str">
            <v>PCOQ</v>
          </cell>
          <cell r="AB6754" t="str">
            <v>GI- stomach</v>
          </cell>
        </row>
        <row r="6755">
          <cell r="A6755" t="str">
            <v>in storage</v>
          </cell>
          <cell r="K6755" t="str">
            <v>CMED</v>
          </cell>
          <cell r="AB6755" t="str">
            <v>Muscle</v>
          </cell>
        </row>
        <row r="6756">
          <cell r="A6756" t="str">
            <v>in storage</v>
          </cell>
          <cell r="K6756" t="str">
            <v>PCOQ</v>
          </cell>
          <cell r="AB6756" t="str">
            <v>GI Contents- cecum</v>
          </cell>
        </row>
        <row r="6757">
          <cell r="A6757" t="str">
            <v>in storage</v>
          </cell>
          <cell r="K6757" t="str">
            <v>CMED</v>
          </cell>
          <cell r="AB6757" t="str">
            <v>Liver</v>
          </cell>
        </row>
        <row r="6758">
          <cell r="A6758" t="str">
            <v>in storage</v>
          </cell>
          <cell r="K6758" t="str">
            <v>CMED</v>
          </cell>
          <cell r="AB6758" t="str">
            <v>Liver</v>
          </cell>
        </row>
        <row r="6759">
          <cell r="A6759" t="str">
            <v>in storage</v>
          </cell>
          <cell r="K6759" t="str">
            <v>CMED</v>
          </cell>
          <cell r="AB6759" t="str">
            <v>Liver</v>
          </cell>
        </row>
        <row r="6760">
          <cell r="A6760" t="str">
            <v>in storage</v>
          </cell>
          <cell r="K6760" t="str">
            <v>PCOQ</v>
          </cell>
          <cell r="AB6760" t="str">
            <v>GI- large intestine</v>
          </cell>
        </row>
        <row r="6761">
          <cell r="A6761" t="str">
            <v>in storage</v>
          </cell>
          <cell r="K6761" t="str">
            <v>CMED</v>
          </cell>
          <cell r="AB6761" t="str">
            <v>Kidney</v>
          </cell>
        </row>
        <row r="6762">
          <cell r="A6762" t="str">
            <v>gone</v>
          </cell>
          <cell r="K6762" t="str">
            <v>CMED</v>
          </cell>
          <cell r="AB6762" t="str">
            <v>Skin</v>
          </cell>
        </row>
        <row r="6763">
          <cell r="A6763" t="str">
            <v>in storage</v>
          </cell>
          <cell r="K6763" t="str">
            <v>CMED</v>
          </cell>
          <cell r="AB6763" t="str">
            <v>Pancreas</v>
          </cell>
        </row>
        <row r="6764">
          <cell r="A6764" t="str">
            <v>in storage</v>
          </cell>
          <cell r="K6764" t="str">
            <v>CMED</v>
          </cell>
          <cell r="AB6764" t="str">
            <v>Adrenal gland</v>
          </cell>
        </row>
        <row r="6765">
          <cell r="A6765" t="str">
            <v>in storage</v>
          </cell>
          <cell r="K6765" t="str">
            <v>CMED</v>
          </cell>
          <cell r="AB6765" t="str">
            <v>Lung</v>
          </cell>
        </row>
        <row r="6766">
          <cell r="A6766" t="str">
            <v>in storage</v>
          </cell>
          <cell r="K6766" t="str">
            <v>CMED</v>
          </cell>
          <cell r="AB6766" t="str">
            <v>Adrenal gland</v>
          </cell>
        </row>
        <row r="6767">
          <cell r="A6767" t="str">
            <v>in storage</v>
          </cell>
          <cell r="K6767" t="str">
            <v>CMED</v>
          </cell>
          <cell r="AB6767" t="str">
            <v>Lung</v>
          </cell>
        </row>
        <row r="6768">
          <cell r="A6768" t="str">
            <v>in storage</v>
          </cell>
          <cell r="K6768" t="str">
            <v>CMED</v>
          </cell>
          <cell r="AB6768" t="str">
            <v>Spleen</v>
          </cell>
        </row>
        <row r="6769">
          <cell r="A6769" t="str">
            <v>in storage</v>
          </cell>
          <cell r="K6769" t="str">
            <v>CMED</v>
          </cell>
          <cell r="AB6769" t="str">
            <v>Kidney</v>
          </cell>
        </row>
        <row r="6770">
          <cell r="A6770" t="str">
            <v>in storage</v>
          </cell>
          <cell r="K6770" t="str">
            <v>CMED</v>
          </cell>
          <cell r="AB6770" t="str">
            <v>Heart</v>
          </cell>
        </row>
        <row r="6771">
          <cell r="A6771" t="str">
            <v>unk</v>
          </cell>
          <cell r="K6771" t="str">
            <v>CMED</v>
          </cell>
          <cell r="AB6771" t="str">
            <v>Eye</v>
          </cell>
        </row>
        <row r="6772">
          <cell r="A6772" t="str">
            <v>in storage</v>
          </cell>
          <cell r="K6772" t="str">
            <v>CMED</v>
          </cell>
          <cell r="AB6772" t="str">
            <v>Tracheal bronchi</v>
          </cell>
        </row>
        <row r="6773">
          <cell r="A6773" t="str">
            <v>in storage</v>
          </cell>
          <cell r="K6773" t="str">
            <v>NCOU</v>
          </cell>
          <cell r="AB6773" t="str">
            <v>Muscle</v>
          </cell>
        </row>
        <row r="6774">
          <cell r="A6774" t="str">
            <v>unk</v>
          </cell>
          <cell r="K6774" t="str">
            <v>NCOU</v>
          </cell>
          <cell r="AB6774" t="str">
            <v>R- ovary</v>
          </cell>
        </row>
        <row r="6775">
          <cell r="A6775" t="str">
            <v>in storage</v>
          </cell>
          <cell r="K6775" t="str">
            <v>PCOQ</v>
          </cell>
          <cell r="AB6775" t="str">
            <v>GI- small intestine</v>
          </cell>
        </row>
        <row r="6776">
          <cell r="A6776" t="str">
            <v>in storage</v>
          </cell>
          <cell r="K6776" t="str">
            <v>PCOQ</v>
          </cell>
          <cell r="AB6776" t="str">
            <v>GI Contents- stomach</v>
          </cell>
        </row>
        <row r="6777">
          <cell r="A6777" t="str">
            <v>in storage</v>
          </cell>
          <cell r="K6777" t="str">
            <v>PCOQ</v>
          </cell>
          <cell r="AB6777" t="str">
            <v>GI- large intestine</v>
          </cell>
        </row>
        <row r="6778">
          <cell r="A6778" t="str">
            <v>in storage</v>
          </cell>
          <cell r="K6778" t="str">
            <v>PCOQ</v>
          </cell>
          <cell r="AB6778" t="str">
            <v>GI- small intestine</v>
          </cell>
        </row>
        <row r="6779">
          <cell r="A6779" t="str">
            <v>in storage</v>
          </cell>
          <cell r="K6779" t="str">
            <v>PCOQ</v>
          </cell>
          <cell r="AB6779" t="str">
            <v>GI Contents- large intestine</v>
          </cell>
        </row>
        <row r="6780">
          <cell r="A6780" t="str">
            <v>in storage</v>
          </cell>
          <cell r="K6780" t="str">
            <v>PCOQ</v>
          </cell>
          <cell r="AB6780" t="str">
            <v>GI Contents- cecum</v>
          </cell>
        </row>
        <row r="6781">
          <cell r="A6781" t="str">
            <v>in storage</v>
          </cell>
          <cell r="K6781" t="str">
            <v>NCOU</v>
          </cell>
          <cell r="AB6781" t="str">
            <v>Liver</v>
          </cell>
        </row>
        <row r="6782">
          <cell r="A6782" t="str">
            <v>in storage</v>
          </cell>
          <cell r="K6782" t="str">
            <v>NCOU</v>
          </cell>
          <cell r="AB6782" t="str">
            <v>Liver</v>
          </cell>
        </row>
        <row r="6783">
          <cell r="A6783" t="str">
            <v>in storage</v>
          </cell>
          <cell r="K6783" t="str">
            <v>NCOU</v>
          </cell>
          <cell r="AB6783" t="str">
            <v>Liver</v>
          </cell>
        </row>
        <row r="6784">
          <cell r="A6784" t="str">
            <v>in storage</v>
          </cell>
          <cell r="K6784" t="str">
            <v>PCOQ</v>
          </cell>
          <cell r="AB6784" t="str">
            <v>GI Tract</v>
          </cell>
        </row>
        <row r="6785">
          <cell r="A6785" t="str">
            <v>in storage</v>
          </cell>
          <cell r="K6785" t="str">
            <v>NCOU</v>
          </cell>
          <cell r="AB6785" t="str">
            <v>Kidney</v>
          </cell>
        </row>
        <row r="6786">
          <cell r="A6786" t="str">
            <v>in storage</v>
          </cell>
          <cell r="K6786" t="str">
            <v>PCOQ</v>
          </cell>
          <cell r="AB6786" t="str">
            <v>GI Contents- small intestine</v>
          </cell>
        </row>
        <row r="6787">
          <cell r="A6787" t="str">
            <v>in storage</v>
          </cell>
          <cell r="K6787" t="str">
            <v>PCOQ</v>
          </cell>
          <cell r="AB6787" t="str">
            <v>GI Contents- cecum</v>
          </cell>
        </row>
        <row r="6788">
          <cell r="A6788" t="str">
            <v>in storage</v>
          </cell>
          <cell r="K6788" t="str">
            <v>NCOU</v>
          </cell>
          <cell r="AB6788" t="str">
            <v>Pancreas</v>
          </cell>
        </row>
        <row r="6789">
          <cell r="A6789" t="str">
            <v>in storage</v>
          </cell>
          <cell r="K6789" t="str">
            <v>NCOU</v>
          </cell>
          <cell r="AB6789" t="str">
            <v>Heart</v>
          </cell>
        </row>
        <row r="6790">
          <cell r="A6790" t="str">
            <v>in storage</v>
          </cell>
          <cell r="K6790" t="str">
            <v>NCOU</v>
          </cell>
          <cell r="AB6790" t="str">
            <v>Heart</v>
          </cell>
        </row>
        <row r="6791">
          <cell r="A6791" t="str">
            <v>in storage</v>
          </cell>
          <cell r="K6791" t="str">
            <v>NCOU</v>
          </cell>
          <cell r="AB6791" t="str">
            <v>Kidney</v>
          </cell>
        </row>
        <row r="6792">
          <cell r="A6792" t="str">
            <v>in storage</v>
          </cell>
          <cell r="K6792" t="str">
            <v>NCOU</v>
          </cell>
          <cell r="AB6792" t="str">
            <v>Skin</v>
          </cell>
        </row>
        <row r="6793">
          <cell r="A6793" t="str">
            <v>in storage</v>
          </cell>
          <cell r="K6793" t="str">
            <v>PCOQ</v>
          </cell>
          <cell r="AB6793" t="str">
            <v>GI Tract</v>
          </cell>
        </row>
        <row r="6794">
          <cell r="A6794" t="str">
            <v>in storage</v>
          </cell>
          <cell r="K6794" t="str">
            <v>PCOQ</v>
          </cell>
          <cell r="AB6794" t="str">
            <v>GI- small intestine</v>
          </cell>
        </row>
        <row r="6795">
          <cell r="A6795" t="str">
            <v>in storage</v>
          </cell>
          <cell r="K6795" t="str">
            <v>VRUB</v>
          </cell>
          <cell r="AB6795" t="str">
            <v>R- ovary</v>
          </cell>
        </row>
        <row r="6796">
          <cell r="A6796" t="str">
            <v>in storage</v>
          </cell>
          <cell r="K6796" t="str">
            <v>VRUB</v>
          </cell>
          <cell r="AB6796" t="str">
            <v>R- ovary</v>
          </cell>
        </row>
        <row r="6797">
          <cell r="A6797" t="str">
            <v>in storage</v>
          </cell>
          <cell r="K6797" t="str">
            <v>PCOQ</v>
          </cell>
          <cell r="AB6797" t="str">
            <v>GI Contents- small intestine</v>
          </cell>
        </row>
        <row r="6798">
          <cell r="A6798" t="str">
            <v>in storage</v>
          </cell>
          <cell r="K6798" t="str">
            <v>PCOQ</v>
          </cell>
          <cell r="AB6798" t="str">
            <v>GI Contents- intestinal</v>
          </cell>
        </row>
        <row r="6799">
          <cell r="A6799" t="str">
            <v>in storage</v>
          </cell>
          <cell r="K6799" t="str">
            <v>PCOQ</v>
          </cell>
          <cell r="AB6799" t="str">
            <v>GI Contents- stomach</v>
          </cell>
        </row>
        <row r="6800">
          <cell r="A6800" t="str">
            <v>in storage</v>
          </cell>
          <cell r="K6800" t="str">
            <v>PCOQ</v>
          </cell>
          <cell r="AB6800" t="str">
            <v>GI- duodenum</v>
          </cell>
        </row>
        <row r="6801">
          <cell r="A6801" t="str">
            <v>in storage</v>
          </cell>
          <cell r="K6801" t="str">
            <v>PCOQ</v>
          </cell>
          <cell r="AB6801" t="str">
            <v>GI- cecum</v>
          </cell>
        </row>
        <row r="6802">
          <cell r="A6802" t="str">
            <v>in storage</v>
          </cell>
          <cell r="K6802" t="str">
            <v>PCOQ</v>
          </cell>
          <cell r="AB6802" t="str">
            <v>GI- large intestine</v>
          </cell>
        </row>
        <row r="6803">
          <cell r="A6803" t="str">
            <v>in storage</v>
          </cell>
          <cell r="K6803" t="str">
            <v>VRUB</v>
          </cell>
          <cell r="AB6803" t="str">
            <v>Pancreas</v>
          </cell>
        </row>
        <row r="6804">
          <cell r="A6804" t="str">
            <v>in storage</v>
          </cell>
          <cell r="K6804" t="str">
            <v>VRUB</v>
          </cell>
          <cell r="AB6804" t="str">
            <v>Kidney</v>
          </cell>
        </row>
        <row r="6805">
          <cell r="A6805" t="str">
            <v>in storage</v>
          </cell>
          <cell r="K6805" t="str">
            <v>VRUB</v>
          </cell>
          <cell r="AB6805" t="str">
            <v>Kidney</v>
          </cell>
        </row>
        <row r="6806">
          <cell r="A6806" t="str">
            <v>in storage</v>
          </cell>
          <cell r="K6806" t="str">
            <v>VRUB</v>
          </cell>
          <cell r="AB6806" t="str">
            <v>Spleen</v>
          </cell>
        </row>
        <row r="6807">
          <cell r="A6807" t="str">
            <v>in storage</v>
          </cell>
          <cell r="K6807" t="str">
            <v>PCOQ</v>
          </cell>
          <cell r="AB6807" t="str">
            <v>GI- stomach</v>
          </cell>
        </row>
        <row r="6808">
          <cell r="A6808" t="str">
            <v>in storage</v>
          </cell>
          <cell r="K6808" t="str">
            <v>PCOQ</v>
          </cell>
          <cell r="AB6808" t="str">
            <v>GI- jejunum</v>
          </cell>
        </row>
        <row r="6809">
          <cell r="A6809" t="str">
            <v>in storage</v>
          </cell>
          <cell r="K6809" t="str">
            <v>PCOQ</v>
          </cell>
          <cell r="AB6809" t="str">
            <v>GI Contents- stomach</v>
          </cell>
        </row>
        <row r="6810">
          <cell r="A6810" t="str">
            <v>in storage</v>
          </cell>
          <cell r="K6810" t="str">
            <v>VRUB</v>
          </cell>
          <cell r="AB6810" t="str">
            <v>Heart</v>
          </cell>
        </row>
        <row r="6811">
          <cell r="A6811" t="str">
            <v>in storage</v>
          </cell>
          <cell r="K6811" t="str">
            <v>PCOQ</v>
          </cell>
          <cell r="AB6811" t="str">
            <v>GI Tract</v>
          </cell>
        </row>
        <row r="6812">
          <cell r="A6812" t="str">
            <v>in storage</v>
          </cell>
          <cell r="K6812" t="str">
            <v>VRUB</v>
          </cell>
          <cell r="AB6812" t="str">
            <v>Liver</v>
          </cell>
        </row>
        <row r="6813">
          <cell r="A6813" t="str">
            <v>in storage</v>
          </cell>
          <cell r="K6813" t="str">
            <v>VRUB</v>
          </cell>
          <cell r="AB6813" t="str">
            <v>Liver</v>
          </cell>
        </row>
        <row r="6814">
          <cell r="A6814" t="str">
            <v>in storage</v>
          </cell>
          <cell r="K6814" t="str">
            <v>VRUB</v>
          </cell>
          <cell r="AB6814" t="str">
            <v>Liver</v>
          </cell>
        </row>
        <row r="6815">
          <cell r="A6815" t="str">
            <v>in storage</v>
          </cell>
          <cell r="K6815" t="str">
            <v>VRUB</v>
          </cell>
          <cell r="AB6815" t="str">
            <v>Pancreas</v>
          </cell>
        </row>
        <row r="6816">
          <cell r="A6816" t="str">
            <v>in storage</v>
          </cell>
          <cell r="K6816" t="str">
            <v>VRUB</v>
          </cell>
          <cell r="AB6816" t="str">
            <v>Adrenal gland</v>
          </cell>
        </row>
        <row r="6817">
          <cell r="A6817" t="str">
            <v>in storage</v>
          </cell>
          <cell r="K6817" t="str">
            <v>VRUB</v>
          </cell>
          <cell r="AB6817" t="str">
            <v>Thyroid</v>
          </cell>
        </row>
        <row r="6818">
          <cell r="A6818" t="str">
            <v>in storage</v>
          </cell>
          <cell r="K6818" t="str">
            <v>VRUB</v>
          </cell>
          <cell r="AB6818" t="str">
            <v>Thyroid</v>
          </cell>
        </row>
        <row r="6819">
          <cell r="A6819" t="str">
            <v>in storage</v>
          </cell>
          <cell r="K6819" t="str">
            <v>VRUB</v>
          </cell>
          <cell r="AB6819" t="str">
            <v>Heart</v>
          </cell>
        </row>
        <row r="6820">
          <cell r="A6820" t="str">
            <v>in storage</v>
          </cell>
          <cell r="K6820" t="str">
            <v>VRUB</v>
          </cell>
          <cell r="AB6820" t="str">
            <v>Trachea</v>
          </cell>
        </row>
        <row r="6821">
          <cell r="A6821" t="str">
            <v>in storage</v>
          </cell>
          <cell r="K6821" t="str">
            <v>VRUB</v>
          </cell>
          <cell r="AB6821" t="str">
            <v>Liver</v>
          </cell>
        </row>
        <row r="6822">
          <cell r="A6822" t="str">
            <v>in storage</v>
          </cell>
          <cell r="K6822" t="str">
            <v>VRUB</v>
          </cell>
          <cell r="AB6822" t="str">
            <v>Heart</v>
          </cell>
        </row>
        <row r="6823">
          <cell r="A6823" t="str">
            <v>in storage</v>
          </cell>
          <cell r="K6823" t="str">
            <v>VRUB</v>
          </cell>
          <cell r="AB6823" t="str">
            <v>Heart</v>
          </cell>
        </row>
        <row r="6824">
          <cell r="A6824" t="str">
            <v>in storage</v>
          </cell>
          <cell r="K6824" t="str">
            <v>VRUB</v>
          </cell>
          <cell r="AB6824" t="str">
            <v>Kidney</v>
          </cell>
        </row>
        <row r="6825">
          <cell r="A6825" t="str">
            <v>in storage</v>
          </cell>
          <cell r="K6825" t="str">
            <v>VRUB</v>
          </cell>
          <cell r="AB6825" t="str">
            <v>Kidney</v>
          </cell>
        </row>
        <row r="6826">
          <cell r="A6826" t="str">
            <v>in storage</v>
          </cell>
          <cell r="K6826" t="str">
            <v>VRUB</v>
          </cell>
          <cell r="AB6826" t="str">
            <v>Kidney</v>
          </cell>
        </row>
        <row r="6827">
          <cell r="A6827" t="str">
            <v>in storage</v>
          </cell>
          <cell r="K6827" t="str">
            <v>VRUB</v>
          </cell>
          <cell r="AB6827" t="str">
            <v>Kidney</v>
          </cell>
        </row>
        <row r="6828">
          <cell r="A6828" t="str">
            <v>in storage</v>
          </cell>
          <cell r="K6828" t="str">
            <v>VRUB</v>
          </cell>
          <cell r="AB6828" t="str">
            <v>Kidney</v>
          </cell>
        </row>
        <row r="6829">
          <cell r="A6829" t="str">
            <v>in storage</v>
          </cell>
          <cell r="K6829" t="str">
            <v>VRUB</v>
          </cell>
          <cell r="AB6829" t="str">
            <v>Spleen</v>
          </cell>
        </row>
        <row r="6830">
          <cell r="A6830" t="str">
            <v>in storage</v>
          </cell>
          <cell r="K6830" t="str">
            <v>VRUB</v>
          </cell>
          <cell r="AB6830" t="str">
            <v>Spleen</v>
          </cell>
        </row>
        <row r="6831">
          <cell r="A6831" t="str">
            <v>in storage</v>
          </cell>
          <cell r="K6831" t="str">
            <v>VRUB</v>
          </cell>
          <cell r="AB6831" t="str">
            <v>Lung</v>
          </cell>
        </row>
        <row r="6832">
          <cell r="A6832" t="str">
            <v>in storage</v>
          </cell>
          <cell r="K6832" t="str">
            <v>VRUB</v>
          </cell>
          <cell r="AB6832" t="str">
            <v>Lung</v>
          </cell>
        </row>
        <row r="6833">
          <cell r="A6833" t="str">
            <v>in storage</v>
          </cell>
          <cell r="K6833" t="str">
            <v>VRUB</v>
          </cell>
          <cell r="AB6833" t="str">
            <v>Lung</v>
          </cell>
        </row>
        <row r="6834">
          <cell r="A6834" t="str">
            <v>in storage</v>
          </cell>
          <cell r="K6834" t="str">
            <v>VRUB</v>
          </cell>
          <cell r="AB6834" t="str">
            <v>Lung</v>
          </cell>
        </row>
        <row r="6835">
          <cell r="A6835" t="str">
            <v>in storage</v>
          </cell>
          <cell r="K6835" t="str">
            <v>VRUB</v>
          </cell>
          <cell r="AB6835" t="str">
            <v>U- bladder</v>
          </cell>
        </row>
        <row r="6836">
          <cell r="A6836" t="str">
            <v>in storage</v>
          </cell>
          <cell r="K6836" t="str">
            <v>VRUB</v>
          </cell>
          <cell r="AB6836" t="str">
            <v>Skin</v>
          </cell>
        </row>
        <row r="6837">
          <cell r="A6837" t="str">
            <v>in storage</v>
          </cell>
          <cell r="K6837" t="str">
            <v>VRUB</v>
          </cell>
          <cell r="AB6837" t="str">
            <v>R- uterus</v>
          </cell>
        </row>
        <row r="6838">
          <cell r="A6838" t="str">
            <v>in storage</v>
          </cell>
          <cell r="K6838" t="str">
            <v>PCOQ</v>
          </cell>
          <cell r="AB6838" t="str">
            <v>GI Contents- cecum</v>
          </cell>
        </row>
        <row r="6839">
          <cell r="A6839" t="str">
            <v>in storage</v>
          </cell>
          <cell r="K6839" t="str">
            <v>VRUB</v>
          </cell>
          <cell r="AB6839" t="str">
            <v>Mass- mammary</v>
          </cell>
        </row>
        <row r="6840">
          <cell r="A6840" t="str">
            <v>in storage</v>
          </cell>
          <cell r="K6840" t="str">
            <v>VRUB</v>
          </cell>
          <cell r="AB6840" t="str">
            <v>Muscle</v>
          </cell>
        </row>
        <row r="6841">
          <cell r="A6841" t="str">
            <v>in storage</v>
          </cell>
          <cell r="K6841" t="str">
            <v>PCOQ</v>
          </cell>
          <cell r="AB6841" t="str">
            <v>Liver</v>
          </cell>
        </row>
        <row r="6842">
          <cell r="A6842" t="str">
            <v>in storage</v>
          </cell>
          <cell r="K6842" t="str">
            <v>PCOQ</v>
          </cell>
          <cell r="AB6842" t="str">
            <v>Liver</v>
          </cell>
        </row>
        <row r="6843">
          <cell r="A6843" t="str">
            <v>in storage</v>
          </cell>
          <cell r="K6843" t="str">
            <v>PCOQ</v>
          </cell>
          <cell r="AB6843" t="str">
            <v>Liver</v>
          </cell>
        </row>
        <row r="6844">
          <cell r="A6844" t="str">
            <v>in storage</v>
          </cell>
          <cell r="K6844" t="str">
            <v>PCOQ</v>
          </cell>
          <cell r="AB6844" t="str">
            <v>Spleen</v>
          </cell>
        </row>
        <row r="6845">
          <cell r="A6845" t="str">
            <v>in storage</v>
          </cell>
          <cell r="K6845" t="str">
            <v>PCOQ</v>
          </cell>
          <cell r="AB6845" t="str">
            <v>Thymus</v>
          </cell>
        </row>
        <row r="6846">
          <cell r="A6846" t="str">
            <v>in storage</v>
          </cell>
          <cell r="K6846" t="str">
            <v>PCOQ</v>
          </cell>
          <cell r="AB6846" t="str">
            <v>Heart</v>
          </cell>
        </row>
        <row r="6847">
          <cell r="A6847" t="str">
            <v>in storage</v>
          </cell>
          <cell r="K6847" t="str">
            <v>PCOQ</v>
          </cell>
          <cell r="AB6847" t="str">
            <v>Heart</v>
          </cell>
        </row>
        <row r="6848">
          <cell r="A6848" t="str">
            <v>in storage</v>
          </cell>
          <cell r="K6848" t="str">
            <v>PCOQ</v>
          </cell>
          <cell r="AB6848" t="str">
            <v>Kidney</v>
          </cell>
        </row>
        <row r="6849">
          <cell r="A6849" t="str">
            <v>in storage</v>
          </cell>
          <cell r="K6849" t="str">
            <v>PCOQ</v>
          </cell>
          <cell r="AB6849" t="str">
            <v>Kidney</v>
          </cell>
        </row>
        <row r="6850">
          <cell r="A6850" t="str">
            <v>in storage</v>
          </cell>
          <cell r="K6850" t="str">
            <v>PCOQ</v>
          </cell>
          <cell r="AB6850" t="str">
            <v>Kidney</v>
          </cell>
        </row>
        <row r="6851">
          <cell r="A6851" t="str">
            <v>in storage</v>
          </cell>
          <cell r="K6851" t="str">
            <v>PCOQ</v>
          </cell>
          <cell r="AB6851" t="str">
            <v>Liver</v>
          </cell>
        </row>
        <row r="6852">
          <cell r="A6852" t="str">
            <v>in storage</v>
          </cell>
          <cell r="K6852" t="str">
            <v>PCOQ</v>
          </cell>
          <cell r="AB6852" t="str">
            <v>Skin</v>
          </cell>
        </row>
        <row r="6853">
          <cell r="A6853" t="str">
            <v>in storage</v>
          </cell>
          <cell r="K6853" t="str">
            <v>PCOQ</v>
          </cell>
          <cell r="AB6853" t="str">
            <v>GI- cecum</v>
          </cell>
        </row>
        <row r="6854">
          <cell r="A6854" t="str">
            <v>in storage</v>
          </cell>
          <cell r="K6854" t="str">
            <v>PCOQ</v>
          </cell>
          <cell r="AB6854" t="str">
            <v>Lung</v>
          </cell>
        </row>
        <row r="6855">
          <cell r="A6855" t="str">
            <v>in storage</v>
          </cell>
          <cell r="K6855" t="str">
            <v>PCOQ</v>
          </cell>
          <cell r="AB6855" t="str">
            <v>Lung</v>
          </cell>
        </row>
        <row r="6856">
          <cell r="A6856" t="str">
            <v>in storage</v>
          </cell>
          <cell r="K6856" t="str">
            <v>PCOQ</v>
          </cell>
          <cell r="AB6856" t="str">
            <v>Ear</v>
          </cell>
        </row>
        <row r="6857">
          <cell r="A6857" t="str">
            <v>in storage</v>
          </cell>
          <cell r="K6857" t="str">
            <v>PCOQ</v>
          </cell>
          <cell r="AB6857" t="str">
            <v>Eye</v>
          </cell>
        </row>
        <row r="6858">
          <cell r="A6858" t="str">
            <v>in storage</v>
          </cell>
          <cell r="K6858" t="str">
            <v>PCOQ</v>
          </cell>
          <cell r="AB6858" t="str">
            <v>Larynx</v>
          </cell>
        </row>
        <row r="6859">
          <cell r="A6859" t="str">
            <v>in storage</v>
          </cell>
          <cell r="K6859" t="str">
            <v>PCOQ</v>
          </cell>
          <cell r="AB6859" t="str">
            <v>Muscle</v>
          </cell>
        </row>
        <row r="6860">
          <cell r="A6860" t="str">
            <v>in storage</v>
          </cell>
          <cell r="K6860" t="str">
            <v>PCOQ</v>
          </cell>
          <cell r="AB6860" t="str">
            <v>Muscle</v>
          </cell>
        </row>
        <row r="6861">
          <cell r="A6861" t="str">
            <v>in storage</v>
          </cell>
          <cell r="K6861" t="str">
            <v>PCOQ</v>
          </cell>
          <cell r="AB6861" t="str">
            <v>Muscle</v>
          </cell>
        </row>
        <row r="6862">
          <cell r="A6862" t="str">
            <v>in storage</v>
          </cell>
          <cell r="K6862" t="str">
            <v>CMED</v>
          </cell>
          <cell r="AB6862" t="str">
            <v>Muscle</v>
          </cell>
        </row>
        <row r="6863">
          <cell r="A6863" t="str">
            <v>in storage</v>
          </cell>
          <cell r="K6863" t="str">
            <v>CMED</v>
          </cell>
          <cell r="AB6863" t="str">
            <v>Liver</v>
          </cell>
        </row>
        <row r="6864">
          <cell r="A6864" t="str">
            <v>in storage</v>
          </cell>
          <cell r="K6864" t="str">
            <v>PCOQ</v>
          </cell>
          <cell r="AB6864" t="str">
            <v>GI- large intestine</v>
          </cell>
        </row>
        <row r="6865">
          <cell r="A6865" t="str">
            <v>in storage</v>
          </cell>
          <cell r="K6865" t="str">
            <v>CMED</v>
          </cell>
          <cell r="AB6865" t="str">
            <v>Kidney</v>
          </cell>
        </row>
        <row r="6866">
          <cell r="A6866" t="str">
            <v>in storage</v>
          </cell>
          <cell r="K6866" t="str">
            <v>CMED</v>
          </cell>
          <cell r="AB6866" t="str">
            <v>Lung</v>
          </cell>
        </row>
        <row r="6867">
          <cell r="A6867" t="str">
            <v>in storage</v>
          </cell>
          <cell r="K6867" t="str">
            <v>CMED</v>
          </cell>
          <cell r="AB6867" t="str">
            <v>Kidney</v>
          </cell>
        </row>
        <row r="6868">
          <cell r="A6868" t="str">
            <v>in storage</v>
          </cell>
          <cell r="K6868" t="str">
            <v>CMED</v>
          </cell>
          <cell r="AB6868" t="str">
            <v>Spleen</v>
          </cell>
        </row>
        <row r="6869">
          <cell r="A6869" t="str">
            <v>in storage</v>
          </cell>
          <cell r="K6869" t="str">
            <v>CMED</v>
          </cell>
          <cell r="AB6869" t="str">
            <v>Skin</v>
          </cell>
        </row>
        <row r="6870">
          <cell r="A6870" t="str">
            <v>in storage</v>
          </cell>
          <cell r="K6870" t="str">
            <v>MMUR</v>
          </cell>
          <cell r="AB6870" t="str">
            <v>Muscle</v>
          </cell>
        </row>
        <row r="6871">
          <cell r="A6871" t="str">
            <v>in storage</v>
          </cell>
          <cell r="K6871" t="str">
            <v>MMUR</v>
          </cell>
          <cell r="AB6871" t="str">
            <v>Muscle</v>
          </cell>
        </row>
        <row r="6872">
          <cell r="A6872" t="str">
            <v>in storage</v>
          </cell>
          <cell r="K6872" t="str">
            <v>MMUR</v>
          </cell>
          <cell r="AB6872" t="str">
            <v>Muscle</v>
          </cell>
        </row>
        <row r="6873">
          <cell r="A6873" t="str">
            <v>in storage</v>
          </cell>
          <cell r="K6873" t="str">
            <v>MMUR</v>
          </cell>
          <cell r="AB6873" t="str">
            <v>Trachea</v>
          </cell>
        </row>
        <row r="6874">
          <cell r="A6874" t="str">
            <v>in storage</v>
          </cell>
          <cell r="K6874" t="str">
            <v>MMUR</v>
          </cell>
          <cell r="AB6874" t="str">
            <v>Liver</v>
          </cell>
        </row>
        <row r="6875">
          <cell r="A6875" t="str">
            <v>in storage</v>
          </cell>
          <cell r="K6875" t="str">
            <v>MMUR</v>
          </cell>
          <cell r="AB6875" t="str">
            <v>Liver</v>
          </cell>
        </row>
        <row r="6876">
          <cell r="A6876" t="str">
            <v>in storage</v>
          </cell>
          <cell r="K6876" t="str">
            <v>MMUR</v>
          </cell>
          <cell r="AB6876" t="str">
            <v>Liver</v>
          </cell>
        </row>
        <row r="6877">
          <cell r="A6877" t="str">
            <v>in storage</v>
          </cell>
          <cell r="K6877" t="str">
            <v>PCOQ</v>
          </cell>
          <cell r="AB6877" t="str">
            <v>GI- pyloris</v>
          </cell>
        </row>
        <row r="6878">
          <cell r="A6878" t="str">
            <v>in storage</v>
          </cell>
          <cell r="K6878" t="str">
            <v>PCOQ</v>
          </cell>
          <cell r="AB6878" t="str">
            <v>GI- small intestine</v>
          </cell>
        </row>
        <row r="6879">
          <cell r="A6879" t="str">
            <v>in storage</v>
          </cell>
          <cell r="K6879" t="str">
            <v>PCOQ</v>
          </cell>
          <cell r="AB6879" t="str">
            <v>GI Contents- stomach</v>
          </cell>
        </row>
        <row r="6880">
          <cell r="A6880" t="str">
            <v>in storage</v>
          </cell>
          <cell r="K6880" t="str">
            <v>MMUR</v>
          </cell>
          <cell r="AB6880" t="str">
            <v>Heart</v>
          </cell>
        </row>
        <row r="6881">
          <cell r="A6881" t="str">
            <v>in storage</v>
          </cell>
          <cell r="K6881" t="str">
            <v>MMUR</v>
          </cell>
          <cell r="AB6881" t="str">
            <v>Spleen</v>
          </cell>
        </row>
        <row r="6882">
          <cell r="A6882" t="str">
            <v>in storage</v>
          </cell>
          <cell r="K6882" t="str">
            <v>MMUR</v>
          </cell>
          <cell r="AB6882" t="str">
            <v>Lung</v>
          </cell>
        </row>
        <row r="6883">
          <cell r="A6883" t="str">
            <v>in storage</v>
          </cell>
          <cell r="K6883" t="str">
            <v>MMUR</v>
          </cell>
          <cell r="AB6883" t="str">
            <v>Lung</v>
          </cell>
        </row>
        <row r="6884">
          <cell r="A6884" t="str">
            <v>in storage</v>
          </cell>
          <cell r="K6884" t="str">
            <v>MMUR</v>
          </cell>
          <cell r="AB6884" t="str">
            <v>Kidney</v>
          </cell>
        </row>
        <row r="6885">
          <cell r="A6885" t="str">
            <v>in storage</v>
          </cell>
          <cell r="K6885" t="str">
            <v>MMUR</v>
          </cell>
          <cell r="AB6885" t="str">
            <v>Skin</v>
          </cell>
        </row>
        <row r="6886">
          <cell r="A6886" t="str">
            <v>in storage</v>
          </cell>
          <cell r="K6886" t="str">
            <v>MMUR</v>
          </cell>
          <cell r="AB6886" t="str">
            <v>U- bladder</v>
          </cell>
        </row>
        <row r="6887">
          <cell r="A6887" t="str">
            <v>in storage</v>
          </cell>
          <cell r="K6887" t="str">
            <v>MMUR</v>
          </cell>
          <cell r="AB6887" t="str">
            <v>Kidney</v>
          </cell>
        </row>
        <row r="6888">
          <cell r="A6888" t="str">
            <v>in storage</v>
          </cell>
          <cell r="K6888" t="str">
            <v>MMUR</v>
          </cell>
          <cell r="AB6888" t="str">
            <v>R- uterus</v>
          </cell>
        </row>
        <row r="6889">
          <cell r="A6889" t="str">
            <v>in storage</v>
          </cell>
          <cell r="K6889" t="str">
            <v>MMUR</v>
          </cell>
          <cell r="AB6889" t="str">
            <v>Muscle</v>
          </cell>
        </row>
        <row r="6890">
          <cell r="A6890" t="str">
            <v>in storage</v>
          </cell>
          <cell r="K6890" t="str">
            <v>MMUR</v>
          </cell>
          <cell r="AB6890" t="str">
            <v>Muscle</v>
          </cell>
        </row>
        <row r="6891">
          <cell r="A6891" t="str">
            <v>in storage</v>
          </cell>
          <cell r="K6891" t="str">
            <v>PCOQ</v>
          </cell>
          <cell r="AB6891" t="str">
            <v>GI- cecum</v>
          </cell>
        </row>
        <row r="6892">
          <cell r="A6892" t="str">
            <v>in storage</v>
          </cell>
          <cell r="K6892" t="str">
            <v>PCOQ</v>
          </cell>
          <cell r="AB6892" t="str">
            <v>GI- large intestine</v>
          </cell>
        </row>
        <row r="6893">
          <cell r="A6893" t="str">
            <v>gone</v>
          </cell>
          <cell r="K6893" t="str">
            <v>MMUR</v>
          </cell>
          <cell r="AB6893" t="str">
            <v>Liver</v>
          </cell>
        </row>
        <row r="6894">
          <cell r="A6894" t="str">
            <v>in storage</v>
          </cell>
          <cell r="K6894" t="str">
            <v>MMUR</v>
          </cell>
          <cell r="AB6894" t="str">
            <v>Liver</v>
          </cell>
        </row>
        <row r="6895">
          <cell r="A6895" t="str">
            <v>in storage</v>
          </cell>
          <cell r="K6895" t="str">
            <v>MMUR</v>
          </cell>
          <cell r="AB6895" t="str">
            <v>RU- accessory sex glands/ bladder</v>
          </cell>
        </row>
        <row r="6896">
          <cell r="A6896" t="str">
            <v>in storage</v>
          </cell>
          <cell r="K6896" t="str">
            <v>PCOQ</v>
          </cell>
          <cell r="AB6896" t="str">
            <v>GI- small intestine</v>
          </cell>
        </row>
        <row r="6897">
          <cell r="A6897" t="str">
            <v>in storage</v>
          </cell>
          <cell r="K6897" t="str">
            <v>PCOQ</v>
          </cell>
          <cell r="AB6897" t="str">
            <v>GI- stomach</v>
          </cell>
        </row>
        <row r="6898">
          <cell r="A6898" t="str">
            <v>in storage</v>
          </cell>
          <cell r="K6898" t="str">
            <v>MMUR</v>
          </cell>
          <cell r="AB6898" t="str">
            <v>Kidney</v>
          </cell>
        </row>
        <row r="6899">
          <cell r="A6899" t="str">
            <v>in storage</v>
          </cell>
          <cell r="K6899" t="str">
            <v>MMUR</v>
          </cell>
          <cell r="AB6899" t="str">
            <v>Kidney</v>
          </cell>
        </row>
        <row r="6900">
          <cell r="A6900" t="str">
            <v>in storage</v>
          </cell>
          <cell r="K6900" t="str">
            <v>MMUR</v>
          </cell>
          <cell r="AB6900" t="str">
            <v>Pancreas</v>
          </cell>
        </row>
        <row r="6901">
          <cell r="A6901" t="str">
            <v>in storage</v>
          </cell>
          <cell r="K6901" t="str">
            <v>MMUR</v>
          </cell>
          <cell r="AB6901" t="str">
            <v>Spleen</v>
          </cell>
        </row>
        <row r="6902">
          <cell r="A6902" t="str">
            <v>in storage</v>
          </cell>
          <cell r="K6902" t="str">
            <v>MMUR</v>
          </cell>
          <cell r="AB6902" t="str">
            <v>Heart</v>
          </cell>
        </row>
        <row r="6903">
          <cell r="A6903" t="str">
            <v>in storage</v>
          </cell>
          <cell r="K6903" t="str">
            <v>MMUR</v>
          </cell>
          <cell r="AB6903" t="str">
            <v>Skin</v>
          </cell>
        </row>
        <row r="6904">
          <cell r="A6904" t="str">
            <v>unk</v>
          </cell>
          <cell r="K6904" t="str">
            <v>MMUR</v>
          </cell>
          <cell r="AB6904" t="str">
            <v>Eye</v>
          </cell>
        </row>
        <row r="6905">
          <cell r="A6905" t="str">
            <v>in storage</v>
          </cell>
          <cell r="K6905" t="str">
            <v>MMUR</v>
          </cell>
          <cell r="AB6905" t="str">
            <v>Lung</v>
          </cell>
        </row>
        <row r="6906">
          <cell r="A6906" t="str">
            <v>in storage</v>
          </cell>
          <cell r="K6906" t="str">
            <v>MMUR</v>
          </cell>
          <cell r="AB6906" t="str">
            <v>R- teste(s)</v>
          </cell>
        </row>
        <row r="6907">
          <cell r="A6907" t="str">
            <v>in storage</v>
          </cell>
          <cell r="K6907" t="str">
            <v>MMUR</v>
          </cell>
          <cell r="AB6907" t="str">
            <v>Eye</v>
          </cell>
        </row>
        <row r="6908">
          <cell r="A6908" t="str">
            <v>in storage</v>
          </cell>
          <cell r="K6908" t="str">
            <v>EFLA</v>
          </cell>
          <cell r="AB6908" t="str">
            <v>Muscle</v>
          </cell>
        </row>
        <row r="6909">
          <cell r="A6909" t="str">
            <v>in storage</v>
          </cell>
          <cell r="K6909" t="str">
            <v>EFLA</v>
          </cell>
          <cell r="AB6909" t="str">
            <v>Muscle</v>
          </cell>
        </row>
        <row r="6910">
          <cell r="A6910" t="str">
            <v>in storage</v>
          </cell>
          <cell r="K6910" t="str">
            <v>EFLA</v>
          </cell>
          <cell r="AB6910" t="str">
            <v>Muscle</v>
          </cell>
        </row>
        <row r="6911">
          <cell r="A6911" t="str">
            <v>in storage</v>
          </cell>
          <cell r="K6911" t="str">
            <v>EFLA</v>
          </cell>
          <cell r="AB6911" t="str">
            <v>Muscle</v>
          </cell>
        </row>
        <row r="6912">
          <cell r="A6912" t="str">
            <v>in storage</v>
          </cell>
          <cell r="K6912" t="str">
            <v>EFLA</v>
          </cell>
          <cell r="AB6912" t="str">
            <v>Muscle</v>
          </cell>
        </row>
        <row r="6913">
          <cell r="A6913" t="str">
            <v>in storage</v>
          </cell>
          <cell r="K6913" t="str">
            <v>EFLA</v>
          </cell>
          <cell r="AB6913" t="str">
            <v>Muscle</v>
          </cell>
        </row>
        <row r="6914">
          <cell r="A6914" t="str">
            <v>in storage</v>
          </cell>
          <cell r="K6914" t="str">
            <v>EFLA</v>
          </cell>
          <cell r="AB6914" t="str">
            <v>Muscle</v>
          </cell>
        </row>
        <row r="6915">
          <cell r="A6915" t="str">
            <v>in storage</v>
          </cell>
          <cell r="K6915" t="str">
            <v>PCOQ</v>
          </cell>
          <cell r="AB6915" t="str">
            <v>GI Tract</v>
          </cell>
        </row>
        <row r="6916">
          <cell r="A6916" t="str">
            <v>in storage</v>
          </cell>
          <cell r="K6916" t="str">
            <v>EFLA</v>
          </cell>
          <cell r="AB6916" t="str">
            <v>Trachea</v>
          </cell>
        </row>
        <row r="6917">
          <cell r="A6917" t="str">
            <v>in storage</v>
          </cell>
          <cell r="K6917" t="str">
            <v>PCOQ</v>
          </cell>
          <cell r="AB6917" t="str">
            <v>GI- stomach</v>
          </cell>
        </row>
        <row r="6918">
          <cell r="A6918" t="str">
            <v>in storage</v>
          </cell>
          <cell r="K6918" t="str">
            <v>EFLA</v>
          </cell>
          <cell r="AB6918" t="str">
            <v>Liver</v>
          </cell>
        </row>
        <row r="6919">
          <cell r="A6919" t="str">
            <v>in storage</v>
          </cell>
          <cell r="K6919" t="str">
            <v>EFLA</v>
          </cell>
          <cell r="AB6919" t="str">
            <v>Liver</v>
          </cell>
        </row>
        <row r="6920">
          <cell r="A6920" t="str">
            <v>in storage</v>
          </cell>
          <cell r="K6920" t="str">
            <v>EFLA</v>
          </cell>
          <cell r="AB6920" t="str">
            <v>Liver</v>
          </cell>
        </row>
        <row r="6921">
          <cell r="A6921" t="str">
            <v>in storage</v>
          </cell>
          <cell r="K6921" t="str">
            <v>EFLA</v>
          </cell>
          <cell r="AB6921" t="str">
            <v>Kidney</v>
          </cell>
        </row>
        <row r="6922">
          <cell r="A6922" t="str">
            <v>in storage</v>
          </cell>
          <cell r="K6922" t="str">
            <v>EFLA</v>
          </cell>
          <cell r="AB6922" t="str">
            <v>Kidney</v>
          </cell>
        </row>
        <row r="6923">
          <cell r="A6923" t="str">
            <v>in storage</v>
          </cell>
          <cell r="K6923" t="str">
            <v>EFLA</v>
          </cell>
          <cell r="AB6923" t="str">
            <v>Heart</v>
          </cell>
        </row>
        <row r="6924">
          <cell r="A6924" t="str">
            <v>in storage</v>
          </cell>
          <cell r="K6924" t="str">
            <v>EFLA</v>
          </cell>
          <cell r="AB6924" t="str">
            <v>RU- accessory sex glands/ bladder</v>
          </cell>
        </row>
        <row r="6925">
          <cell r="A6925" t="str">
            <v>in storage</v>
          </cell>
          <cell r="K6925" t="str">
            <v>EFLA</v>
          </cell>
          <cell r="AB6925" t="str">
            <v>Liver</v>
          </cell>
        </row>
        <row r="6926">
          <cell r="A6926" t="str">
            <v>in storage</v>
          </cell>
          <cell r="K6926" t="str">
            <v>PCOQ</v>
          </cell>
          <cell r="AB6926" t="str">
            <v>GI Tract</v>
          </cell>
        </row>
        <row r="6927">
          <cell r="A6927" t="str">
            <v>in storage</v>
          </cell>
          <cell r="K6927" t="str">
            <v>PCOQ</v>
          </cell>
          <cell r="AB6927" t="str">
            <v>GI- small intestine</v>
          </cell>
        </row>
        <row r="6928">
          <cell r="A6928" t="str">
            <v>in storage</v>
          </cell>
          <cell r="K6928" t="str">
            <v>PCOQ</v>
          </cell>
          <cell r="AB6928" t="str">
            <v>GI- stomach</v>
          </cell>
        </row>
        <row r="6929">
          <cell r="A6929" t="str">
            <v>in storage</v>
          </cell>
          <cell r="K6929" t="str">
            <v>EFLA</v>
          </cell>
          <cell r="AB6929" t="str">
            <v>Lung</v>
          </cell>
        </row>
        <row r="6930">
          <cell r="A6930" t="str">
            <v>in storage</v>
          </cell>
          <cell r="K6930" t="str">
            <v>EFLA</v>
          </cell>
          <cell r="AB6930" t="str">
            <v>Heart</v>
          </cell>
        </row>
        <row r="6931">
          <cell r="A6931" t="str">
            <v>in storage</v>
          </cell>
          <cell r="K6931" t="str">
            <v>EFLA</v>
          </cell>
          <cell r="AB6931" t="str">
            <v>Spleen</v>
          </cell>
        </row>
        <row r="6932">
          <cell r="A6932" t="str">
            <v>in storage</v>
          </cell>
          <cell r="K6932" t="str">
            <v>EFLA</v>
          </cell>
          <cell r="AB6932" t="str">
            <v>Spleen</v>
          </cell>
        </row>
        <row r="6933">
          <cell r="A6933" t="str">
            <v>in storage</v>
          </cell>
          <cell r="K6933" t="str">
            <v>EFLA</v>
          </cell>
          <cell r="AB6933" t="str">
            <v>Liver</v>
          </cell>
        </row>
        <row r="6934">
          <cell r="A6934" t="str">
            <v>in storage</v>
          </cell>
          <cell r="K6934" t="str">
            <v>EFLA</v>
          </cell>
          <cell r="AB6934" t="str">
            <v>Kidney</v>
          </cell>
        </row>
        <row r="6935">
          <cell r="A6935" t="str">
            <v>in storage</v>
          </cell>
          <cell r="K6935" t="str">
            <v>EFLA</v>
          </cell>
          <cell r="AB6935" t="str">
            <v>Kidney</v>
          </cell>
        </row>
        <row r="6936">
          <cell r="A6936" t="str">
            <v>in storage</v>
          </cell>
          <cell r="K6936" t="str">
            <v>EFLA</v>
          </cell>
          <cell r="AB6936" t="str">
            <v>Spleen</v>
          </cell>
        </row>
        <row r="6937">
          <cell r="A6937" t="str">
            <v>in storage</v>
          </cell>
          <cell r="K6937" t="str">
            <v>EFLA</v>
          </cell>
          <cell r="AB6937" t="str">
            <v>Lung</v>
          </cell>
        </row>
        <row r="6938">
          <cell r="A6938" t="str">
            <v>in storage</v>
          </cell>
          <cell r="K6938" t="str">
            <v>EFLA</v>
          </cell>
          <cell r="AB6938" t="str">
            <v>Lung</v>
          </cell>
        </row>
        <row r="6939">
          <cell r="A6939" t="str">
            <v>in storage</v>
          </cell>
          <cell r="K6939" t="str">
            <v>EFLA</v>
          </cell>
          <cell r="AB6939" t="str">
            <v>Liver</v>
          </cell>
        </row>
        <row r="6940">
          <cell r="A6940" t="str">
            <v>in storage</v>
          </cell>
          <cell r="K6940" t="str">
            <v>EFLA</v>
          </cell>
          <cell r="AB6940" t="str">
            <v>Kidney</v>
          </cell>
        </row>
        <row r="6941">
          <cell r="A6941" t="str">
            <v>in storage</v>
          </cell>
          <cell r="K6941" t="str">
            <v>EFLA</v>
          </cell>
          <cell r="AB6941" t="str">
            <v>Pancreas</v>
          </cell>
        </row>
        <row r="6942">
          <cell r="A6942" t="str">
            <v>in storage</v>
          </cell>
          <cell r="K6942" t="str">
            <v>EFLA</v>
          </cell>
          <cell r="AB6942" t="str">
            <v>Spleen</v>
          </cell>
        </row>
        <row r="6943">
          <cell r="A6943" t="str">
            <v>in storage</v>
          </cell>
          <cell r="K6943" t="str">
            <v>EFLA</v>
          </cell>
          <cell r="AB6943" t="str">
            <v>Pancreas</v>
          </cell>
        </row>
        <row r="6944">
          <cell r="A6944" t="str">
            <v>in storage</v>
          </cell>
          <cell r="K6944" t="str">
            <v>EFLA</v>
          </cell>
          <cell r="AB6944" t="str">
            <v>Pancreas</v>
          </cell>
        </row>
        <row r="6945">
          <cell r="A6945" t="str">
            <v>in storage</v>
          </cell>
          <cell r="K6945" t="str">
            <v>EFLA</v>
          </cell>
          <cell r="AB6945" t="str">
            <v>Skin</v>
          </cell>
        </row>
        <row r="6946">
          <cell r="A6946" t="str">
            <v>in storage</v>
          </cell>
          <cell r="K6946" t="str">
            <v>EFLA</v>
          </cell>
          <cell r="AB6946" t="str">
            <v>Skin</v>
          </cell>
        </row>
        <row r="6947">
          <cell r="A6947" t="str">
            <v>unk</v>
          </cell>
          <cell r="K6947" t="str">
            <v>EFLA</v>
          </cell>
          <cell r="AB6947" t="str">
            <v>Heart</v>
          </cell>
        </row>
        <row r="6948">
          <cell r="A6948" t="str">
            <v>unk</v>
          </cell>
          <cell r="K6948" t="str">
            <v>EFLA</v>
          </cell>
          <cell r="AB6948" t="str">
            <v>Heart</v>
          </cell>
        </row>
        <row r="6949">
          <cell r="A6949" t="str">
            <v>in storage</v>
          </cell>
          <cell r="K6949" t="str">
            <v>EFLA</v>
          </cell>
          <cell r="AB6949" t="str">
            <v>Skin</v>
          </cell>
        </row>
        <row r="6950">
          <cell r="A6950" t="str">
            <v>in storage</v>
          </cell>
          <cell r="K6950" t="str">
            <v>EFLA</v>
          </cell>
          <cell r="AB6950" t="str">
            <v>skull cap</v>
          </cell>
        </row>
        <row r="6951">
          <cell r="A6951" t="str">
            <v>in storage</v>
          </cell>
          <cell r="K6951" t="str">
            <v>EFLA</v>
          </cell>
          <cell r="AB6951" t="str">
            <v>Soft palate</v>
          </cell>
        </row>
        <row r="6952">
          <cell r="A6952" t="str">
            <v>in storage</v>
          </cell>
          <cell r="K6952" t="str">
            <v>EFLA</v>
          </cell>
          <cell r="AB6952" t="str">
            <v>Lung</v>
          </cell>
        </row>
        <row r="6953">
          <cell r="A6953" t="str">
            <v>in storage</v>
          </cell>
          <cell r="K6953" t="str">
            <v>EFLA</v>
          </cell>
          <cell r="AB6953" t="str">
            <v>Thyroid</v>
          </cell>
        </row>
        <row r="6954">
          <cell r="A6954" t="str">
            <v>in storage</v>
          </cell>
          <cell r="K6954" t="str">
            <v>EFLA</v>
          </cell>
          <cell r="AB6954" t="str">
            <v>Adrenal gland</v>
          </cell>
        </row>
        <row r="6955">
          <cell r="A6955" t="str">
            <v>unk</v>
          </cell>
          <cell r="K6955" t="str">
            <v>EFLA</v>
          </cell>
          <cell r="AB6955" t="str">
            <v>Eye</v>
          </cell>
        </row>
        <row r="6956">
          <cell r="A6956" t="str">
            <v>in storage</v>
          </cell>
          <cell r="K6956" t="str">
            <v>EFLA</v>
          </cell>
          <cell r="AB6956" t="str">
            <v>R- teste(s)</v>
          </cell>
        </row>
        <row r="6957">
          <cell r="A6957" t="str">
            <v>in storage</v>
          </cell>
          <cell r="K6957" t="str">
            <v>EFLA</v>
          </cell>
          <cell r="AB6957" t="str">
            <v>Hair</v>
          </cell>
        </row>
        <row r="6958">
          <cell r="A6958" t="str">
            <v>in storage</v>
          </cell>
          <cell r="K6958" t="str">
            <v>PCOQ</v>
          </cell>
          <cell r="AB6958" t="str">
            <v>Muscle</v>
          </cell>
        </row>
        <row r="6959">
          <cell r="A6959" t="str">
            <v>in storage</v>
          </cell>
          <cell r="K6959" t="str">
            <v>PCOQ</v>
          </cell>
          <cell r="AB6959" t="str">
            <v>Muscle</v>
          </cell>
        </row>
        <row r="6960">
          <cell r="A6960" t="str">
            <v>in storage</v>
          </cell>
          <cell r="K6960" t="str">
            <v>PCOQ</v>
          </cell>
          <cell r="AB6960" t="str">
            <v>Muscle</v>
          </cell>
        </row>
        <row r="6961">
          <cell r="A6961" t="str">
            <v>in storage</v>
          </cell>
          <cell r="K6961" t="str">
            <v>PCOQ</v>
          </cell>
          <cell r="AB6961" t="str">
            <v>GI Contents- duodenum</v>
          </cell>
        </row>
        <row r="6962">
          <cell r="A6962" t="str">
            <v>in storage</v>
          </cell>
          <cell r="K6962" t="str">
            <v>PCOQ</v>
          </cell>
          <cell r="AB6962" t="str">
            <v>GI Contents- stomach</v>
          </cell>
        </row>
        <row r="6963">
          <cell r="A6963" t="str">
            <v>in storage</v>
          </cell>
          <cell r="K6963" t="str">
            <v>PCOQ</v>
          </cell>
          <cell r="AB6963" t="str">
            <v>GI Contents- cecum</v>
          </cell>
        </row>
        <row r="6964">
          <cell r="A6964" t="str">
            <v>in storage</v>
          </cell>
          <cell r="K6964" t="str">
            <v>PCOQ</v>
          </cell>
          <cell r="AB6964" t="str">
            <v>GI- cecum/ colon</v>
          </cell>
        </row>
        <row r="6965">
          <cell r="A6965" t="str">
            <v>in storage</v>
          </cell>
          <cell r="K6965" t="str">
            <v>PCOQ</v>
          </cell>
          <cell r="AB6965" t="str">
            <v>Liver</v>
          </cell>
        </row>
        <row r="6966">
          <cell r="A6966" t="str">
            <v>in storage</v>
          </cell>
          <cell r="K6966" t="str">
            <v>PCOQ</v>
          </cell>
          <cell r="AB6966" t="str">
            <v>Liver</v>
          </cell>
        </row>
        <row r="6967">
          <cell r="A6967" t="str">
            <v>in storage</v>
          </cell>
          <cell r="K6967" t="str">
            <v>PCOQ</v>
          </cell>
          <cell r="AB6967" t="str">
            <v>Liver</v>
          </cell>
        </row>
        <row r="6968">
          <cell r="A6968" t="str">
            <v>in storage</v>
          </cell>
          <cell r="K6968" t="str">
            <v>PCOQ</v>
          </cell>
          <cell r="AB6968" t="str">
            <v>Kidney</v>
          </cell>
        </row>
        <row r="6969">
          <cell r="A6969" t="str">
            <v>in storage</v>
          </cell>
          <cell r="K6969" t="str">
            <v>PCOQ</v>
          </cell>
          <cell r="AB6969" t="str">
            <v>Thyroid</v>
          </cell>
        </row>
        <row r="6970">
          <cell r="A6970" t="str">
            <v>in storage</v>
          </cell>
          <cell r="K6970" t="str">
            <v>PCOQ</v>
          </cell>
          <cell r="AB6970" t="str">
            <v>Adrenal gland</v>
          </cell>
        </row>
        <row r="6971">
          <cell r="A6971" t="str">
            <v>in storage</v>
          </cell>
          <cell r="K6971" t="str">
            <v>PCOQ</v>
          </cell>
          <cell r="AB6971" t="str">
            <v>Adrenal gland</v>
          </cell>
        </row>
        <row r="6972">
          <cell r="A6972" t="str">
            <v>in storage</v>
          </cell>
          <cell r="K6972" t="str">
            <v>PCOQ</v>
          </cell>
          <cell r="AB6972" t="str">
            <v>Spleen</v>
          </cell>
        </row>
        <row r="6973">
          <cell r="A6973" t="str">
            <v>in storage</v>
          </cell>
          <cell r="K6973" t="str">
            <v>PCOQ</v>
          </cell>
          <cell r="AB6973" t="str">
            <v>Spleen</v>
          </cell>
        </row>
        <row r="6974">
          <cell r="A6974" t="str">
            <v>in storage</v>
          </cell>
          <cell r="K6974" t="str">
            <v>PCOQ</v>
          </cell>
          <cell r="AB6974" t="str">
            <v>Spleen</v>
          </cell>
        </row>
        <row r="6975">
          <cell r="A6975" t="str">
            <v>in storage</v>
          </cell>
          <cell r="K6975" t="str">
            <v>PCOQ</v>
          </cell>
          <cell r="AB6975" t="str">
            <v>Kidney</v>
          </cell>
        </row>
        <row r="6976">
          <cell r="A6976" t="str">
            <v>in storage</v>
          </cell>
          <cell r="K6976" t="str">
            <v>PCOQ</v>
          </cell>
          <cell r="AB6976" t="str">
            <v>Kidney</v>
          </cell>
        </row>
        <row r="6977">
          <cell r="A6977" t="str">
            <v>in storage</v>
          </cell>
          <cell r="K6977" t="str">
            <v>PCOQ</v>
          </cell>
          <cell r="AB6977" t="str">
            <v>Kidney</v>
          </cell>
        </row>
        <row r="6978">
          <cell r="A6978" t="str">
            <v>in storage</v>
          </cell>
          <cell r="K6978" t="str">
            <v>PCOQ</v>
          </cell>
          <cell r="AB6978" t="str">
            <v>Lung</v>
          </cell>
        </row>
        <row r="6979">
          <cell r="A6979" t="str">
            <v>in storage</v>
          </cell>
          <cell r="K6979" t="str">
            <v>PCOQ</v>
          </cell>
          <cell r="AB6979" t="str">
            <v>Lung</v>
          </cell>
        </row>
        <row r="6980">
          <cell r="A6980" t="str">
            <v>in storage</v>
          </cell>
          <cell r="K6980" t="str">
            <v>PCOQ</v>
          </cell>
          <cell r="AB6980" t="str">
            <v>Lung</v>
          </cell>
        </row>
        <row r="6981">
          <cell r="A6981" t="str">
            <v>in storage</v>
          </cell>
          <cell r="K6981" t="str">
            <v>PCOQ</v>
          </cell>
          <cell r="AB6981" t="str">
            <v>Heart</v>
          </cell>
        </row>
        <row r="6982">
          <cell r="A6982" t="str">
            <v>in storage</v>
          </cell>
          <cell r="K6982" t="str">
            <v>PCOQ</v>
          </cell>
          <cell r="AB6982" t="str">
            <v>Heart</v>
          </cell>
        </row>
        <row r="6983">
          <cell r="A6983" t="str">
            <v>in storage</v>
          </cell>
          <cell r="K6983" t="str">
            <v>PCOQ</v>
          </cell>
          <cell r="AB6983" t="str">
            <v>Heart</v>
          </cell>
        </row>
        <row r="6984">
          <cell r="A6984" t="str">
            <v>in storage</v>
          </cell>
          <cell r="K6984" t="str">
            <v>PCOQ</v>
          </cell>
          <cell r="AB6984" t="str">
            <v>Liver</v>
          </cell>
        </row>
        <row r="6985">
          <cell r="A6985" t="str">
            <v>in storage</v>
          </cell>
          <cell r="K6985" t="str">
            <v>PCOQ</v>
          </cell>
          <cell r="AB6985" t="str">
            <v>Heart</v>
          </cell>
        </row>
        <row r="6986">
          <cell r="A6986" t="str">
            <v>in storage</v>
          </cell>
          <cell r="K6986" t="str">
            <v>PCOQ</v>
          </cell>
          <cell r="AB6986" t="str">
            <v>Lung</v>
          </cell>
        </row>
        <row r="6987">
          <cell r="A6987" t="str">
            <v>in storage</v>
          </cell>
          <cell r="K6987" t="str">
            <v>PCOQ</v>
          </cell>
          <cell r="AB6987" t="str">
            <v>Lung</v>
          </cell>
        </row>
        <row r="6988">
          <cell r="A6988" t="str">
            <v>in storage</v>
          </cell>
          <cell r="K6988" t="str">
            <v>PCOQ</v>
          </cell>
          <cell r="AB6988" t="str">
            <v>GI- small intestine</v>
          </cell>
        </row>
        <row r="6989">
          <cell r="A6989" t="str">
            <v>in storage</v>
          </cell>
          <cell r="K6989" t="str">
            <v>PCOQ</v>
          </cell>
          <cell r="AB6989" t="str">
            <v>Skin</v>
          </cell>
        </row>
        <row r="6990">
          <cell r="A6990" t="str">
            <v>in storage</v>
          </cell>
          <cell r="K6990" t="str">
            <v>PCOQ</v>
          </cell>
          <cell r="AB6990" t="str">
            <v>GI- stomach</v>
          </cell>
        </row>
        <row r="6991">
          <cell r="A6991" t="str">
            <v>in storage</v>
          </cell>
          <cell r="K6991" t="str">
            <v>PCOQ</v>
          </cell>
          <cell r="AB6991" t="str">
            <v>GI Contents- large intestine</v>
          </cell>
        </row>
        <row r="6992">
          <cell r="A6992" t="str">
            <v>in storage</v>
          </cell>
          <cell r="K6992" t="str">
            <v>PCOQ</v>
          </cell>
          <cell r="AB6992" t="str">
            <v>GI Contents- cecum</v>
          </cell>
        </row>
        <row r="6993">
          <cell r="A6993" t="str">
            <v>in storage</v>
          </cell>
          <cell r="K6993" t="str">
            <v>PCOQ</v>
          </cell>
          <cell r="AB6993" t="str">
            <v>GI- small intestine</v>
          </cell>
        </row>
        <row r="6994">
          <cell r="A6994" t="str">
            <v>unk</v>
          </cell>
          <cell r="K6994" t="str">
            <v>PCOQ</v>
          </cell>
          <cell r="AB6994" t="str">
            <v>Eye</v>
          </cell>
        </row>
        <row r="6995">
          <cell r="A6995" t="str">
            <v>in storage</v>
          </cell>
          <cell r="K6995" t="str">
            <v>PCOQ</v>
          </cell>
          <cell r="AB6995" t="str">
            <v>GI- large intestine</v>
          </cell>
        </row>
        <row r="6996">
          <cell r="A6996" t="str">
            <v>unk</v>
          </cell>
          <cell r="K6996" t="str">
            <v>PCOQ</v>
          </cell>
          <cell r="AB6996" t="str">
            <v>R- uterus</v>
          </cell>
        </row>
        <row r="6997">
          <cell r="A6997" t="str">
            <v>in storage</v>
          </cell>
          <cell r="K6997" t="str">
            <v>PCOQ</v>
          </cell>
          <cell r="AB6997" t="str">
            <v>GI- stomach</v>
          </cell>
        </row>
        <row r="6998">
          <cell r="A6998" t="str">
            <v>on hold</v>
          </cell>
          <cell r="K6998" t="str">
            <v>PCOQ</v>
          </cell>
          <cell r="AB6998" t="str">
            <v>R- sperm plug</v>
          </cell>
        </row>
        <row r="6999">
          <cell r="A6999" t="str">
            <v>on hold</v>
          </cell>
          <cell r="K6999" t="str">
            <v>PCOQ</v>
          </cell>
          <cell r="AB6999" t="str">
            <v>R- sperm plug</v>
          </cell>
        </row>
        <row r="7000">
          <cell r="A7000" t="str">
            <v>in storage</v>
          </cell>
          <cell r="K7000" t="str">
            <v>PCOQ</v>
          </cell>
          <cell r="AB7000" t="str">
            <v>Tail</v>
          </cell>
        </row>
        <row r="7001">
          <cell r="A7001" t="str">
            <v>in storage</v>
          </cell>
          <cell r="K7001" t="str">
            <v>ECOR</v>
          </cell>
          <cell r="AB7001" t="str">
            <v>Muscle</v>
          </cell>
        </row>
        <row r="7002">
          <cell r="A7002" t="str">
            <v>in storage</v>
          </cell>
          <cell r="K7002" t="str">
            <v>ECOR</v>
          </cell>
          <cell r="AB7002" t="str">
            <v>R- ovary</v>
          </cell>
        </row>
        <row r="7003">
          <cell r="A7003" t="str">
            <v>in storage</v>
          </cell>
          <cell r="K7003" t="str">
            <v>PCOQ</v>
          </cell>
          <cell r="AB7003" t="str">
            <v>GI Contents- large intestine</v>
          </cell>
        </row>
        <row r="7004">
          <cell r="A7004" t="str">
            <v>unk</v>
          </cell>
          <cell r="K7004" t="str">
            <v>ECOR</v>
          </cell>
          <cell r="AB7004" t="str">
            <v>Trachea</v>
          </cell>
        </row>
        <row r="7005">
          <cell r="A7005" t="str">
            <v>in storage</v>
          </cell>
          <cell r="K7005" t="str">
            <v>PCOQ</v>
          </cell>
          <cell r="AB7005" t="str">
            <v>GI- small intestine</v>
          </cell>
        </row>
        <row r="7006">
          <cell r="A7006" t="str">
            <v>in storage</v>
          </cell>
          <cell r="K7006" t="str">
            <v>ECOR</v>
          </cell>
          <cell r="AB7006" t="str">
            <v>Liver</v>
          </cell>
        </row>
        <row r="7007">
          <cell r="A7007" t="str">
            <v>in storage</v>
          </cell>
          <cell r="K7007" t="str">
            <v>ECOR</v>
          </cell>
          <cell r="AB7007" t="str">
            <v>Pancreas</v>
          </cell>
        </row>
        <row r="7008">
          <cell r="A7008" t="str">
            <v>in storage</v>
          </cell>
          <cell r="K7008" t="str">
            <v>ECOR</v>
          </cell>
          <cell r="AB7008" t="str">
            <v>Kidney</v>
          </cell>
        </row>
        <row r="7009">
          <cell r="A7009" t="str">
            <v>in storage</v>
          </cell>
          <cell r="K7009" t="str">
            <v>ECOR</v>
          </cell>
          <cell r="AB7009" t="str">
            <v>Spleen</v>
          </cell>
        </row>
        <row r="7010">
          <cell r="A7010" t="str">
            <v>in storage</v>
          </cell>
          <cell r="K7010" t="str">
            <v>ECOR</v>
          </cell>
          <cell r="AB7010" t="str">
            <v>Heart</v>
          </cell>
        </row>
        <row r="7011">
          <cell r="A7011" t="str">
            <v>in storage</v>
          </cell>
          <cell r="K7011" t="str">
            <v>ECOR</v>
          </cell>
          <cell r="AB7011" t="str">
            <v>Lung</v>
          </cell>
        </row>
        <row r="7012">
          <cell r="A7012" t="str">
            <v>in storage</v>
          </cell>
          <cell r="K7012" t="str">
            <v>ECOR</v>
          </cell>
          <cell r="AB7012" t="str">
            <v>Lung</v>
          </cell>
        </row>
        <row r="7013">
          <cell r="A7013" t="str">
            <v>in storage</v>
          </cell>
          <cell r="K7013" t="str">
            <v>ECOR</v>
          </cell>
          <cell r="AB7013" t="str">
            <v>U- bladder</v>
          </cell>
        </row>
        <row r="7014">
          <cell r="A7014" t="str">
            <v>in storage</v>
          </cell>
          <cell r="K7014" t="str">
            <v>ECOR</v>
          </cell>
          <cell r="AB7014" t="str">
            <v>Skin</v>
          </cell>
        </row>
        <row r="7015">
          <cell r="A7015" t="str">
            <v>in storage</v>
          </cell>
          <cell r="K7015" t="str">
            <v>PCOQ</v>
          </cell>
          <cell r="AB7015" t="str">
            <v>GI- small intestine</v>
          </cell>
        </row>
        <row r="7016">
          <cell r="A7016" t="str">
            <v>in storage</v>
          </cell>
          <cell r="K7016" t="str">
            <v>PCOQ</v>
          </cell>
          <cell r="AB7016" t="str">
            <v>GI Tract</v>
          </cell>
        </row>
        <row r="7017">
          <cell r="A7017" t="str">
            <v>in storage</v>
          </cell>
          <cell r="K7017" t="str">
            <v>PCOQ</v>
          </cell>
          <cell r="AB7017" t="str">
            <v>GI Contents- cecum</v>
          </cell>
        </row>
        <row r="7018">
          <cell r="A7018" t="str">
            <v>in storage</v>
          </cell>
          <cell r="K7018" t="str">
            <v>ECOR</v>
          </cell>
          <cell r="AB7018" t="str">
            <v>Adrenal gland</v>
          </cell>
        </row>
        <row r="7019">
          <cell r="A7019" t="str">
            <v>in storage</v>
          </cell>
          <cell r="K7019" t="str">
            <v>ECOR</v>
          </cell>
          <cell r="AB7019" t="str">
            <v>Adrenal gland</v>
          </cell>
        </row>
        <row r="7020">
          <cell r="A7020" t="str">
            <v>unk</v>
          </cell>
          <cell r="K7020" t="str">
            <v>ECOR</v>
          </cell>
          <cell r="AB7020" t="str">
            <v>Kidney</v>
          </cell>
        </row>
        <row r="7021">
          <cell r="A7021" t="str">
            <v>in storage</v>
          </cell>
          <cell r="K7021" t="str">
            <v>ECOR</v>
          </cell>
          <cell r="AB7021" t="str">
            <v xml:space="preserve">Fat- pericardial </v>
          </cell>
        </row>
        <row r="7022">
          <cell r="A7022" t="str">
            <v>in storage</v>
          </cell>
          <cell r="K7022" t="str">
            <v>PCOQ</v>
          </cell>
          <cell r="AB7022" t="str">
            <v>GI Tract</v>
          </cell>
        </row>
        <row r="7023">
          <cell r="A7023" t="str">
            <v>in storage</v>
          </cell>
          <cell r="K7023" t="str">
            <v>PCOQ</v>
          </cell>
          <cell r="AB7023" t="str">
            <v>Tail</v>
          </cell>
        </row>
        <row r="7024">
          <cell r="A7024" t="str">
            <v>in storage</v>
          </cell>
          <cell r="K7024" t="str">
            <v>ECOR</v>
          </cell>
          <cell r="AB7024" t="str">
            <v>Muscle</v>
          </cell>
        </row>
        <row r="7025">
          <cell r="A7025" t="str">
            <v>in storage</v>
          </cell>
          <cell r="K7025" t="str">
            <v>ECOR</v>
          </cell>
          <cell r="AB7025" t="str">
            <v>Muscle</v>
          </cell>
        </row>
        <row r="7026">
          <cell r="A7026" t="str">
            <v>in storage</v>
          </cell>
          <cell r="K7026" t="str">
            <v>ECOR</v>
          </cell>
          <cell r="AB7026" t="str">
            <v>Muscle</v>
          </cell>
        </row>
        <row r="7027">
          <cell r="A7027" t="str">
            <v>in storage</v>
          </cell>
          <cell r="K7027" t="str">
            <v>PCOQ</v>
          </cell>
          <cell r="AB7027" t="str">
            <v>GI- stomach</v>
          </cell>
        </row>
        <row r="7028">
          <cell r="A7028" t="str">
            <v>in storage</v>
          </cell>
          <cell r="K7028" t="str">
            <v>PCOQ</v>
          </cell>
          <cell r="AB7028" t="str">
            <v>GI- large intestine</v>
          </cell>
        </row>
        <row r="7029">
          <cell r="A7029" t="str">
            <v>in storage</v>
          </cell>
          <cell r="K7029" t="str">
            <v>ECOR</v>
          </cell>
          <cell r="AB7029" t="str">
            <v>Trachea</v>
          </cell>
        </row>
        <row r="7030">
          <cell r="A7030" t="str">
            <v>in storage</v>
          </cell>
          <cell r="K7030" t="str">
            <v>PCOQ</v>
          </cell>
          <cell r="AB7030" t="str">
            <v>GI- small intestine</v>
          </cell>
        </row>
        <row r="7031">
          <cell r="A7031" t="str">
            <v>in storage</v>
          </cell>
          <cell r="K7031" t="str">
            <v>ECOR</v>
          </cell>
          <cell r="AB7031" t="str">
            <v>Liver</v>
          </cell>
        </row>
        <row r="7032">
          <cell r="A7032" t="str">
            <v>in storage</v>
          </cell>
          <cell r="K7032" t="str">
            <v>ECOR</v>
          </cell>
          <cell r="AB7032" t="str">
            <v>Liver</v>
          </cell>
        </row>
        <row r="7033">
          <cell r="A7033" t="str">
            <v>in storage</v>
          </cell>
          <cell r="K7033" t="str">
            <v>ECOR</v>
          </cell>
          <cell r="AB7033" t="str">
            <v>Liver</v>
          </cell>
        </row>
        <row r="7034">
          <cell r="A7034" t="str">
            <v>in storage</v>
          </cell>
          <cell r="K7034" t="str">
            <v>ECOR</v>
          </cell>
          <cell r="AB7034" t="str">
            <v>Heart</v>
          </cell>
        </row>
        <row r="7035">
          <cell r="A7035" t="str">
            <v>in storage</v>
          </cell>
          <cell r="K7035" t="str">
            <v>ECOR</v>
          </cell>
          <cell r="AB7035" t="str">
            <v>Lung</v>
          </cell>
        </row>
        <row r="7036">
          <cell r="A7036" t="str">
            <v>in storage</v>
          </cell>
          <cell r="K7036" t="str">
            <v>ECOR</v>
          </cell>
          <cell r="AB7036" t="str">
            <v>Lung</v>
          </cell>
        </row>
        <row r="7037">
          <cell r="A7037" t="str">
            <v>in storage</v>
          </cell>
          <cell r="K7037" t="str">
            <v>ECOR</v>
          </cell>
          <cell r="AB7037" t="str">
            <v>Pancreas</v>
          </cell>
        </row>
        <row r="7038">
          <cell r="A7038" t="str">
            <v>in storage</v>
          </cell>
          <cell r="K7038" t="str">
            <v>ECOR</v>
          </cell>
          <cell r="AB7038" t="str">
            <v>Heart</v>
          </cell>
        </row>
        <row r="7039">
          <cell r="A7039" t="str">
            <v>in storage</v>
          </cell>
          <cell r="K7039" t="str">
            <v>ECOR</v>
          </cell>
          <cell r="AB7039" t="str">
            <v>Liver</v>
          </cell>
        </row>
        <row r="7040">
          <cell r="A7040" t="str">
            <v>in storage</v>
          </cell>
          <cell r="K7040" t="str">
            <v>ECOR</v>
          </cell>
          <cell r="AB7040" t="str">
            <v>Kidney</v>
          </cell>
        </row>
        <row r="7041">
          <cell r="A7041" t="str">
            <v>in storage</v>
          </cell>
          <cell r="K7041" t="str">
            <v>ECOR</v>
          </cell>
          <cell r="AB7041" t="str">
            <v>Kidney</v>
          </cell>
        </row>
        <row r="7042">
          <cell r="A7042" t="str">
            <v>in storage</v>
          </cell>
          <cell r="K7042" t="str">
            <v>ECOR</v>
          </cell>
          <cell r="AB7042" t="str">
            <v>Kidney</v>
          </cell>
        </row>
        <row r="7043">
          <cell r="A7043" t="str">
            <v>in storage</v>
          </cell>
          <cell r="K7043" t="str">
            <v>ECOR</v>
          </cell>
          <cell r="AB7043" t="str">
            <v>Kidney</v>
          </cell>
        </row>
        <row r="7044">
          <cell r="A7044" t="str">
            <v>in storage</v>
          </cell>
          <cell r="K7044" t="str">
            <v>ECOR</v>
          </cell>
          <cell r="AB7044" t="str">
            <v>Kidney</v>
          </cell>
        </row>
        <row r="7045">
          <cell r="A7045" t="str">
            <v>in storage</v>
          </cell>
          <cell r="K7045" t="str">
            <v>ECOR</v>
          </cell>
          <cell r="AB7045" t="str">
            <v>Adrenal gland</v>
          </cell>
        </row>
        <row r="7046">
          <cell r="A7046" t="str">
            <v>in storage</v>
          </cell>
          <cell r="K7046" t="str">
            <v>ECOR</v>
          </cell>
          <cell r="AB7046" t="str">
            <v>Lung</v>
          </cell>
        </row>
        <row r="7047">
          <cell r="A7047" t="str">
            <v>in storage</v>
          </cell>
          <cell r="K7047" t="str">
            <v>ECOR</v>
          </cell>
          <cell r="AB7047" t="str">
            <v>Adrenal gland</v>
          </cell>
        </row>
        <row r="7048">
          <cell r="A7048" t="str">
            <v>in storage</v>
          </cell>
          <cell r="K7048" t="str">
            <v>ECOR</v>
          </cell>
          <cell r="AB7048" t="str">
            <v>Lung</v>
          </cell>
        </row>
        <row r="7049">
          <cell r="A7049" t="str">
            <v>in storage</v>
          </cell>
          <cell r="K7049" t="str">
            <v>ECOR</v>
          </cell>
          <cell r="AB7049" t="str">
            <v>Lung</v>
          </cell>
        </row>
        <row r="7050">
          <cell r="A7050" t="str">
            <v>in storage</v>
          </cell>
          <cell r="K7050" t="str">
            <v>ECOR</v>
          </cell>
          <cell r="AB7050" t="str">
            <v>Heart</v>
          </cell>
        </row>
        <row r="7051">
          <cell r="A7051" t="str">
            <v>in storage</v>
          </cell>
          <cell r="K7051" t="str">
            <v>ECOR</v>
          </cell>
          <cell r="AB7051" t="str">
            <v>Heart</v>
          </cell>
        </row>
        <row r="7052">
          <cell r="A7052" t="str">
            <v>in storage</v>
          </cell>
          <cell r="K7052" t="str">
            <v>ECOR</v>
          </cell>
          <cell r="AB7052" t="str">
            <v>Kidney</v>
          </cell>
        </row>
        <row r="7053">
          <cell r="A7053" t="str">
            <v>in storage</v>
          </cell>
          <cell r="K7053" t="str">
            <v>ECOR</v>
          </cell>
          <cell r="AB7053" t="str">
            <v>Spleen</v>
          </cell>
        </row>
        <row r="7054">
          <cell r="A7054" t="str">
            <v>in storage</v>
          </cell>
          <cell r="K7054" t="str">
            <v>ECOR</v>
          </cell>
          <cell r="AB7054" t="str">
            <v>RU- accessory sex glands/ bladder</v>
          </cell>
        </row>
        <row r="7055">
          <cell r="A7055" t="str">
            <v>in storage</v>
          </cell>
          <cell r="K7055" t="str">
            <v>ECOR</v>
          </cell>
          <cell r="AB7055" t="str">
            <v>Skin</v>
          </cell>
        </row>
        <row r="7056">
          <cell r="A7056" t="str">
            <v>in storage</v>
          </cell>
          <cell r="K7056" t="str">
            <v>PCOQ</v>
          </cell>
          <cell r="AB7056" t="str">
            <v>GI Contents- stomach</v>
          </cell>
        </row>
        <row r="7057">
          <cell r="A7057" t="str">
            <v>in storage</v>
          </cell>
          <cell r="K7057" t="str">
            <v>PCOQ</v>
          </cell>
          <cell r="AB7057" t="str">
            <v>GI- cecum/ colon</v>
          </cell>
        </row>
        <row r="7058">
          <cell r="A7058" t="str">
            <v>in storage</v>
          </cell>
          <cell r="K7058" t="str">
            <v>PCOQ</v>
          </cell>
          <cell r="AB7058" t="str">
            <v>GI- small intestine</v>
          </cell>
        </row>
        <row r="7059">
          <cell r="A7059" t="str">
            <v>in storage</v>
          </cell>
          <cell r="K7059" t="str">
            <v>PCOQ</v>
          </cell>
          <cell r="AB7059" t="str">
            <v>GI- stomach</v>
          </cell>
        </row>
        <row r="7060">
          <cell r="A7060" t="str">
            <v>on hold</v>
          </cell>
          <cell r="K7060" t="str">
            <v>ECOR</v>
          </cell>
          <cell r="AB7060" t="str">
            <v>R- sperm plug</v>
          </cell>
        </row>
        <row r="7061">
          <cell r="A7061" t="str">
            <v>in storage</v>
          </cell>
          <cell r="K7061" t="str">
            <v>PCOQ</v>
          </cell>
          <cell r="AB7061" t="str">
            <v>Tail</v>
          </cell>
        </row>
        <row r="7062">
          <cell r="A7062" t="str">
            <v>in storage</v>
          </cell>
          <cell r="K7062" t="str">
            <v>PCOQ</v>
          </cell>
          <cell r="AB7062" t="str">
            <v>Tail</v>
          </cell>
        </row>
        <row r="7063">
          <cell r="A7063" t="str">
            <v>gone</v>
          </cell>
          <cell r="K7063" t="str">
            <v>PCOQ</v>
          </cell>
          <cell r="AB7063" t="str">
            <v>R- placenta</v>
          </cell>
        </row>
        <row r="7064">
          <cell r="A7064" t="str">
            <v>in storage</v>
          </cell>
          <cell r="K7064" t="str">
            <v>CMED</v>
          </cell>
          <cell r="AB7064" t="str">
            <v>Tail</v>
          </cell>
        </row>
        <row r="7065">
          <cell r="A7065" t="str">
            <v>in storage</v>
          </cell>
          <cell r="K7065" t="str">
            <v>MMUR</v>
          </cell>
          <cell r="AB7065" t="str">
            <v>Muscle</v>
          </cell>
        </row>
        <row r="7066">
          <cell r="A7066" t="str">
            <v>in storage</v>
          </cell>
          <cell r="K7066" t="str">
            <v>PCOQ</v>
          </cell>
          <cell r="AB7066" t="str">
            <v>Tail</v>
          </cell>
        </row>
        <row r="7067">
          <cell r="A7067" t="str">
            <v>in storage</v>
          </cell>
          <cell r="K7067" t="str">
            <v>MMUR</v>
          </cell>
          <cell r="AB7067" t="str">
            <v>R- reproductive tract</v>
          </cell>
        </row>
        <row r="7068">
          <cell r="A7068" t="str">
            <v>in storage</v>
          </cell>
          <cell r="K7068" t="str">
            <v>PCOQ</v>
          </cell>
          <cell r="AB7068" t="str">
            <v>GI Contents- cecum</v>
          </cell>
        </row>
        <row r="7069">
          <cell r="A7069" t="str">
            <v>in storage</v>
          </cell>
          <cell r="K7069" t="str">
            <v>PCOQ</v>
          </cell>
          <cell r="AB7069" t="str">
            <v>GI- large intestine</v>
          </cell>
        </row>
        <row r="7070">
          <cell r="A7070" t="str">
            <v>in storage</v>
          </cell>
          <cell r="K7070" t="str">
            <v>PCOQ</v>
          </cell>
          <cell r="AB7070" t="str">
            <v>GI- small intestine</v>
          </cell>
        </row>
        <row r="7071">
          <cell r="A7071" t="str">
            <v>in storage</v>
          </cell>
          <cell r="K7071" t="str">
            <v>PCOQ</v>
          </cell>
          <cell r="AB7071" t="str">
            <v>GI- stomach</v>
          </cell>
        </row>
        <row r="7072">
          <cell r="A7072" t="str">
            <v>in storage</v>
          </cell>
          <cell r="K7072" t="str">
            <v>MMUR</v>
          </cell>
          <cell r="AB7072" t="str">
            <v>Trachea</v>
          </cell>
        </row>
        <row r="7073">
          <cell r="A7073" t="str">
            <v>in storage</v>
          </cell>
          <cell r="K7073" t="str">
            <v>MMUR</v>
          </cell>
          <cell r="AB7073" t="str">
            <v>Liver</v>
          </cell>
        </row>
        <row r="7074">
          <cell r="A7074" t="str">
            <v>in storage</v>
          </cell>
          <cell r="K7074" t="str">
            <v>MMUR</v>
          </cell>
          <cell r="AB7074" t="str">
            <v>Liver</v>
          </cell>
        </row>
        <row r="7075">
          <cell r="A7075" t="str">
            <v>in storage</v>
          </cell>
          <cell r="K7075" t="str">
            <v>PCOQ</v>
          </cell>
          <cell r="AB7075" t="str">
            <v>GI Tract</v>
          </cell>
        </row>
        <row r="7076">
          <cell r="A7076" t="str">
            <v>in storage</v>
          </cell>
          <cell r="K7076" t="str">
            <v>MMUR</v>
          </cell>
          <cell r="AB7076" t="str">
            <v>Adrenal gland</v>
          </cell>
        </row>
        <row r="7077">
          <cell r="A7077" t="str">
            <v>in storage</v>
          </cell>
          <cell r="K7077" t="str">
            <v>MMUR</v>
          </cell>
          <cell r="AB7077" t="str">
            <v>Lung</v>
          </cell>
        </row>
        <row r="7078">
          <cell r="A7078" t="str">
            <v>in storage</v>
          </cell>
          <cell r="K7078" t="str">
            <v>MMUR</v>
          </cell>
          <cell r="AB7078" t="str">
            <v>Kidney</v>
          </cell>
        </row>
        <row r="7079">
          <cell r="A7079" t="str">
            <v>gone</v>
          </cell>
          <cell r="K7079" t="str">
            <v>MMUR</v>
          </cell>
          <cell r="AB7079" t="str">
            <v>Spleen</v>
          </cell>
        </row>
        <row r="7080">
          <cell r="A7080" t="str">
            <v>in storage</v>
          </cell>
          <cell r="K7080" t="str">
            <v>MMUR</v>
          </cell>
          <cell r="AB7080" t="str">
            <v>Pancreas</v>
          </cell>
        </row>
        <row r="7081">
          <cell r="A7081" t="str">
            <v>in storage</v>
          </cell>
          <cell r="K7081" t="str">
            <v>MMUR</v>
          </cell>
          <cell r="AB7081" t="str">
            <v>Heart</v>
          </cell>
        </row>
        <row r="7082">
          <cell r="A7082" t="str">
            <v>in storage</v>
          </cell>
          <cell r="K7082" t="str">
            <v>MMUR</v>
          </cell>
          <cell r="AB7082" t="str">
            <v>Adrenal gland</v>
          </cell>
        </row>
        <row r="7083">
          <cell r="A7083" t="str">
            <v>in storage</v>
          </cell>
          <cell r="K7083" t="str">
            <v>MMUR</v>
          </cell>
          <cell r="AB7083" t="str">
            <v>Kidney</v>
          </cell>
        </row>
        <row r="7084">
          <cell r="A7084" t="str">
            <v>in storage</v>
          </cell>
          <cell r="K7084" t="str">
            <v>MMUR</v>
          </cell>
          <cell r="AB7084" t="str">
            <v>Lung</v>
          </cell>
        </row>
        <row r="7085">
          <cell r="A7085" t="str">
            <v>in storage</v>
          </cell>
          <cell r="K7085" t="str">
            <v>MMUR</v>
          </cell>
          <cell r="AB7085" t="str">
            <v>Skin</v>
          </cell>
        </row>
        <row r="7086">
          <cell r="A7086" t="str">
            <v>on hold</v>
          </cell>
          <cell r="K7086" t="str">
            <v>VVV</v>
          </cell>
          <cell r="AB7086" t="str">
            <v>R- sperm plug</v>
          </cell>
        </row>
        <row r="7087">
          <cell r="A7087" t="str">
            <v>on hold</v>
          </cell>
          <cell r="K7087" t="str">
            <v>VVV</v>
          </cell>
          <cell r="AB7087" t="str">
            <v>R- sperm plug</v>
          </cell>
        </row>
        <row r="7088">
          <cell r="A7088" t="str">
            <v>on hold</v>
          </cell>
          <cell r="K7088" t="str">
            <v>VVV</v>
          </cell>
          <cell r="AB7088" t="str">
            <v>R- sperm plug</v>
          </cell>
        </row>
        <row r="7089">
          <cell r="A7089" t="str">
            <v>in storage</v>
          </cell>
          <cell r="K7089" t="str">
            <v>CMED</v>
          </cell>
          <cell r="AB7089" t="str">
            <v>Tail</v>
          </cell>
        </row>
        <row r="7090">
          <cell r="A7090" t="str">
            <v>in storage</v>
          </cell>
          <cell r="K7090" t="str">
            <v>MMUR</v>
          </cell>
          <cell r="AB7090" t="str">
            <v>Muscle</v>
          </cell>
        </row>
        <row r="7091">
          <cell r="A7091" t="str">
            <v>in storage</v>
          </cell>
          <cell r="K7091" t="str">
            <v>MMUR</v>
          </cell>
          <cell r="AB7091" t="str">
            <v>RU- accessory sex glands/ bladder</v>
          </cell>
        </row>
        <row r="7092">
          <cell r="A7092" t="str">
            <v>in storage</v>
          </cell>
          <cell r="K7092" t="str">
            <v>PCOQ</v>
          </cell>
          <cell r="AB7092" t="str">
            <v>GI- cecum</v>
          </cell>
        </row>
        <row r="7093">
          <cell r="A7093" t="str">
            <v>in storage</v>
          </cell>
          <cell r="K7093" t="str">
            <v>MMUR</v>
          </cell>
          <cell r="AB7093" t="str">
            <v>Liver</v>
          </cell>
        </row>
        <row r="7094">
          <cell r="A7094" t="str">
            <v>in storage</v>
          </cell>
          <cell r="K7094" t="str">
            <v>MMUR</v>
          </cell>
          <cell r="AB7094" t="str">
            <v>Skin</v>
          </cell>
        </row>
        <row r="7095">
          <cell r="A7095" t="str">
            <v>in storage</v>
          </cell>
          <cell r="K7095" t="str">
            <v>MMUR</v>
          </cell>
          <cell r="AB7095" t="str">
            <v>Heart</v>
          </cell>
        </row>
        <row r="7096">
          <cell r="A7096" t="str">
            <v>in storage</v>
          </cell>
          <cell r="K7096" t="str">
            <v>MMUR</v>
          </cell>
          <cell r="AB7096" t="str">
            <v>Spleen</v>
          </cell>
        </row>
        <row r="7097">
          <cell r="A7097" t="str">
            <v>in storage</v>
          </cell>
          <cell r="K7097" t="str">
            <v>MMUR</v>
          </cell>
          <cell r="AB7097" t="str">
            <v>Liver</v>
          </cell>
        </row>
        <row r="7098">
          <cell r="A7098" t="str">
            <v>in storage</v>
          </cell>
          <cell r="K7098" t="str">
            <v>PCOQ</v>
          </cell>
          <cell r="AB7098" t="str">
            <v>GI Contents- cecum</v>
          </cell>
        </row>
        <row r="7099">
          <cell r="A7099" t="str">
            <v>in storage</v>
          </cell>
          <cell r="K7099" t="str">
            <v>PCOQ</v>
          </cell>
          <cell r="AB7099" t="str">
            <v>GI- large intestine</v>
          </cell>
        </row>
        <row r="7100">
          <cell r="A7100" t="str">
            <v>in storage</v>
          </cell>
          <cell r="K7100" t="str">
            <v>PCOQ</v>
          </cell>
          <cell r="AB7100" t="str">
            <v>GI- small intestine</v>
          </cell>
        </row>
        <row r="7101">
          <cell r="A7101" t="str">
            <v>in storage</v>
          </cell>
          <cell r="K7101" t="str">
            <v>PCOQ</v>
          </cell>
          <cell r="AB7101" t="str">
            <v>GI- stomach</v>
          </cell>
        </row>
        <row r="7102">
          <cell r="A7102" t="str">
            <v>in storage</v>
          </cell>
          <cell r="K7102" t="str">
            <v>MMUR</v>
          </cell>
          <cell r="AB7102" t="str">
            <v>Adrenal gland</v>
          </cell>
        </row>
        <row r="7103">
          <cell r="A7103" t="str">
            <v>in storage</v>
          </cell>
          <cell r="K7103" t="str">
            <v>MMUR</v>
          </cell>
          <cell r="AB7103" t="str">
            <v>Lung</v>
          </cell>
        </row>
        <row r="7104">
          <cell r="A7104" t="str">
            <v>in storage</v>
          </cell>
          <cell r="K7104" t="str">
            <v>MMUR</v>
          </cell>
          <cell r="AB7104" t="str">
            <v>Kidney</v>
          </cell>
        </row>
        <row r="7105">
          <cell r="A7105" t="str">
            <v>in storage</v>
          </cell>
          <cell r="K7105" t="str">
            <v>MMUR</v>
          </cell>
          <cell r="AB7105" t="str">
            <v>R- teste(s)</v>
          </cell>
        </row>
        <row r="7106">
          <cell r="A7106" t="str">
            <v>in storage</v>
          </cell>
          <cell r="K7106" t="str">
            <v>MMUR</v>
          </cell>
          <cell r="AB7106" t="str">
            <v>R- teste(s)</v>
          </cell>
        </row>
        <row r="7107">
          <cell r="A7107" t="str">
            <v>in storage</v>
          </cell>
          <cell r="K7107" t="str">
            <v>PCOQ</v>
          </cell>
          <cell r="AB7107" t="str">
            <v>GI Contents- stomach</v>
          </cell>
        </row>
        <row r="7108">
          <cell r="A7108" t="str">
            <v>in storage</v>
          </cell>
          <cell r="K7108" t="str">
            <v>PCOQ</v>
          </cell>
          <cell r="AB7108" t="str">
            <v>GI Tract</v>
          </cell>
        </row>
        <row r="7109">
          <cell r="A7109" t="str">
            <v>in storage</v>
          </cell>
          <cell r="K7109" t="str">
            <v>MMUR</v>
          </cell>
          <cell r="AB7109" t="str">
            <v>Muscle</v>
          </cell>
        </row>
        <row r="7110">
          <cell r="A7110" t="str">
            <v>in storage</v>
          </cell>
          <cell r="K7110" t="str">
            <v>MMUR</v>
          </cell>
          <cell r="AB7110" t="str">
            <v>Liver</v>
          </cell>
        </row>
        <row r="7111">
          <cell r="A7111" t="str">
            <v>in storage</v>
          </cell>
          <cell r="K7111" t="str">
            <v>MMUR</v>
          </cell>
          <cell r="AB7111" t="str">
            <v>Liver</v>
          </cell>
        </row>
        <row r="7112">
          <cell r="A7112" t="str">
            <v>in storage</v>
          </cell>
          <cell r="K7112" t="str">
            <v>PCOQ</v>
          </cell>
          <cell r="AB7112" t="str">
            <v>GI- duodenum</v>
          </cell>
        </row>
        <row r="7113">
          <cell r="A7113" t="str">
            <v>in storage</v>
          </cell>
          <cell r="K7113" t="str">
            <v>PCOQ</v>
          </cell>
          <cell r="AB7113" t="str">
            <v>GI Contents- cecum</v>
          </cell>
        </row>
        <row r="7114">
          <cell r="A7114" t="str">
            <v>in storage</v>
          </cell>
          <cell r="K7114" t="str">
            <v>MMUR</v>
          </cell>
          <cell r="AB7114" t="str">
            <v>Spleen</v>
          </cell>
        </row>
        <row r="7115">
          <cell r="A7115" t="str">
            <v>in storage</v>
          </cell>
          <cell r="K7115" t="str">
            <v>MMUR</v>
          </cell>
          <cell r="AB7115" t="str">
            <v>Kidney</v>
          </cell>
        </row>
        <row r="7116">
          <cell r="A7116" t="str">
            <v>in storage</v>
          </cell>
          <cell r="K7116" t="str">
            <v>MMUR</v>
          </cell>
          <cell r="AB7116" t="str">
            <v>Kidney</v>
          </cell>
        </row>
        <row r="7117">
          <cell r="A7117" t="str">
            <v>in storage</v>
          </cell>
          <cell r="K7117" t="str">
            <v>MMUR</v>
          </cell>
          <cell r="AB7117" t="str">
            <v>Skin</v>
          </cell>
        </row>
        <row r="7118">
          <cell r="A7118" t="str">
            <v>in storage</v>
          </cell>
          <cell r="K7118" t="str">
            <v>MMUR</v>
          </cell>
          <cell r="AB7118" t="str">
            <v>Adrenal gland</v>
          </cell>
        </row>
        <row r="7119">
          <cell r="A7119" t="str">
            <v>in storage</v>
          </cell>
          <cell r="K7119" t="str">
            <v>EMON</v>
          </cell>
          <cell r="AB7119" t="str">
            <v>Muscle</v>
          </cell>
        </row>
        <row r="7120">
          <cell r="A7120" t="str">
            <v>in storage</v>
          </cell>
          <cell r="K7120" t="str">
            <v>EMON</v>
          </cell>
          <cell r="AB7120" t="str">
            <v>Muscle</v>
          </cell>
        </row>
        <row r="7121">
          <cell r="A7121" t="str">
            <v>in storage</v>
          </cell>
          <cell r="K7121" t="str">
            <v>EMON</v>
          </cell>
          <cell r="AB7121" t="str">
            <v>Muscle</v>
          </cell>
        </row>
        <row r="7122">
          <cell r="A7122" t="str">
            <v>in storage</v>
          </cell>
          <cell r="K7122" t="str">
            <v>PCOQ</v>
          </cell>
          <cell r="AB7122" t="str">
            <v>GI- cecum</v>
          </cell>
        </row>
        <row r="7123">
          <cell r="A7123" t="str">
            <v>in storage</v>
          </cell>
          <cell r="K7123" t="str">
            <v>PCOQ</v>
          </cell>
          <cell r="AB7123" t="str">
            <v>GI- esophagus</v>
          </cell>
        </row>
        <row r="7124">
          <cell r="A7124" t="str">
            <v>in storage</v>
          </cell>
          <cell r="K7124" t="str">
            <v>PCOQ</v>
          </cell>
          <cell r="AB7124" t="str">
            <v>GI- large intestine</v>
          </cell>
        </row>
        <row r="7125">
          <cell r="A7125" t="str">
            <v>in storage</v>
          </cell>
          <cell r="K7125" t="str">
            <v>PCOQ</v>
          </cell>
          <cell r="AB7125" t="str">
            <v>GI- small intestine</v>
          </cell>
        </row>
        <row r="7126">
          <cell r="A7126" t="str">
            <v>in storage</v>
          </cell>
          <cell r="K7126" t="str">
            <v>EMON</v>
          </cell>
          <cell r="AB7126" t="str">
            <v>Trachea</v>
          </cell>
        </row>
        <row r="7127">
          <cell r="A7127" t="str">
            <v>in storage</v>
          </cell>
          <cell r="K7127" t="str">
            <v>EMON</v>
          </cell>
          <cell r="AB7127" t="str">
            <v>Liver</v>
          </cell>
        </row>
        <row r="7128">
          <cell r="A7128" t="str">
            <v>in storage</v>
          </cell>
          <cell r="K7128" t="str">
            <v>EMON</v>
          </cell>
          <cell r="AB7128" t="str">
            <v>Liver</v>
          </cell>
        </row>
        <row r="7129">
          <cell r="A7129" t="str">
            <v>in storage</v>
          </cell>
          <cell r="K7129" t="str">
            <v>EMON</v>
          </cell>
          <cell r="AB7129" t="str">
            <v>Liver</v>
          </cell>
        </row>
        <row r="7130">
          <cell r="A7130" t="str">
            <v>in storage</v>
          </cell>
          <cell r="K7130" t="str">
            <v>EMON</v>
          </cell>
          <cell r="AB7130" t="str">
            <v>Kidney</v>
          </cell>
        </row>
        <row r="7131">
          <cell r="A7131" t="str">
            <v>in storage</v>
          </cell>
          <cell r="K7131" t="str">
            <v>EMON</v>
          </cell>
          <cell r="AB7131" t="str">
            <v>Lung</v>
          </cell>
        </row>
        <row r="7132">
          <cell r="A7132" t="str">
            <v>in storage</v>
          </cell>
          <cell r="K7132" t="str">
            <v>EMON</v>
          </cell>
          <cell r="AB7132" t="str">
            <v>Skin</v>
          </cell>
        </row>
        <row r="7133">
          <cell r="A7133" t="str">
            <v>in storage</v>
          </cell>
          <cell r="K7133" t="str">
            <v>EMON</v>
          </cell>
          <cell r="AB7133" t="str">
            <v>Skin</v>
          </cell>
        </row>
        <row r="7134">
          <cell r="A7134" t="str">
            <v>in storage</v>
          </cell>
          <cell r="K7134" t="str">
            <v>EMON</v>
          </cell>
          <cell r="AB7134" t="str">
            <v>Lung</v>
          </cell>
        </row>
        <row r="7135">
          <cell r="A7135" t="str">
            <v>in storage</v>
          </cell>
          <cell r="K7135" t="str">
            <v>EMON</v>
          </cell>
          <cell r="AB7135" t="str">
            <v>Lung</v>
          </cell>
        </row>
        <row r="7136">
          <cell r="A7136" t="str">
            <v>in storage</v>
          </cell>
          <cell r="K7136" t="str">
            <v>EMON</v>
          </cell>
          <cell r="AB7136" t="str">
            <v>Gallbladder/ liver</v>
          </cell>
        </row>
        <row r="7137">
          <cell r="A7137" t="str">
            <v>in storage</v>
          </cell>
          <cell r="K7137" t="str">
            <v>EMON</v>
          </cell>
          <cell r="AB7137" t="str">
            <v>Spleen</v>
          </cell>
        </row>
        <row r="7138">
          <cell r="A7138" t="str">
            <v>in storage</v>
          </cell>
          <cell r="K7138" t="str">
            <v>EMON</v>
          </cell>
          <cell r="AB7138" t="str">
            <v>Heart</v>
          </cell>
        </row>
        <row r="7139">
          <cell r="A7139" t="str">
            <v>in storage</v>
          </cell>
          <cell r="K7139" t="str">
            <v>EMON</v>
          </cell>
          <cell r="AB7139" t="str">
            <v>Thyroid</v>
          </cell>
        </row>
        <row r="7140">
          <cell r="A7140" t="str">
            <v>in storage</v>
          </cell>
          <cell r="K7140" t="str">
            <v>EMON</v>
          </cell>
          <cell r="AB7140" t="str">
            <v>Heart</v>
          </cell>
        </row>
        <row r="7141">
          <cell r="A7141" t="str">
            <v>in storage</v>
          </cell>
          <cell r="K7141" t="str">
            <v>EMON</v>
          </cell>
          <cell r="AB7141" t="str">
            <v>Liver</v>
          </cell>
        </row>
        <row r="7142">
          <cell r="A7142" t="str">
            <v>in storage</v>
          </cell>
          <cell r="K7142" t="str">
            <v>EMON</v>
          </cell>
          <cell r="AB7142" t="str">
            <v>Kidney</v>
          </cell>
        </row>
        <row r="7143">
          <cell r="A7143" t="str">
            <v>in storage</v>
          </cell>
          <cell r="K7143" t="str">
            <v>EMON</v>
          </cell>
          <cell r="AB7143" t="str">
            <v>Kidney</v>
          </cell>
        </row>
        <row r="7144">
          <cell r="A7144" t="str">
            <v>in storage</v>
          </cell>
          <cell r="K7144" t="str">
            <v>EMON</v>
          </cell>
          <cell r="AB7144" t="str">
            <v>Thyroid</v>
          </cell>
        </row>
        <row r="7145">
          <cell r="A7145" t="str">
            <v>in storage</v>
          </cell>
          <cell r="K7145" t="str">
            <v>EMON</v>
          </cell>
          <cell r="AB7145" t="str">
            <v>Lung</v>
          </cell>
        </row>
        <row r="7146">
          <cell r="A7146" t="str">
            <v>in storage</v>
          </cell>
          <cell r="K7146" t="str">
            <v>EMON</v>
          </cell>
          <cell r="AB7146" t="str">
            <v>Heart</v>
          </cell>
        </row>
        <row r="7147">
          <cell r="A7147" t="str">
            <v>in storage</v>
          </cell>
          <cell r="K7147" t="str">
            <v>EMON</v>
          </cell>
          <cell r="AB7147" t="str">
            <v>Spleen</v>
          </cell>
        </row>
        <row r="7148">
          <cell r="A7148" t="str">
            <v>in storage</v>
          </cell>
          <cell r="K7148" t="str">
            <v>EMON</v>
          </cell>
          <cell r="AB7148" t="str">
            <v>Heart</v>
          </cell>
        </row>
        <row r="7149">
          <cell r="A7149" t="str">
            <v>in storage</v>
          </cell>
          <cell r="K7149" t="str">
            <v>EMON</v>
          </cell>
          <cell r="AB7149" t="str">
            <v>Kidney</v>
          </cell>
        </row>
        <row r="7150">
          <cell r="A7150" t="str">
            <v>in storage</v>
          </cell>
          <cell r="K7150" t="str">
            <v>PCOQ</v>
          </cell>
          <cell r="AB7150" t="str">
            <v>GI- stomach</v>
          </cell>
        </row>
        <row r="7151">
          <cell r="A7151" t="str">
            <v>in storage</v>
          </cell>
          <cell r="K7151" t="str">
            <v>PCOQ</v>
          </cell>
          <cell r="AB7151" t="str">
            <v>GI- ileum</v>
          </cell>
        </row>
        <row r="7152">
          <cell r="A7152" t="str">
            <v>in storage</v>
          </cell>
          <cell r="K7152" t="str">
            <v>PCOQ</v>
          </cell>
          <cell r="AB7152" t="str">
            <v>GI Contents- colon</v>
          </cell>
        </row>
        <row r="7153">
          <cell r="A7153" t="str">
            <v>in storage</v>
          </cell>
          <cell r="K7153" t="str">
            <v>PCOQ</v>
          </cell>
          <cell r="AB7153" t="str">
            <v>GI Contents- colon</v>
          </cell>
        </row>
        <row r="7154">
          <cell r="A7154" t="str">
            <v>unk</v>
          </cell>
          <cell r="K7154" t="str">
            <v>CMED</v>
          </cell>
          <cell r="AB7154" t="str">
            <v>R- sperm plug</v>
          </cell>
        </row>
        <row r="7155">
          <cell r="A7155" t="str">
            <v>in storage</v>
          </cell>
          <cell r="K7155" t="str">
            <v>LCAT</v>
          </cell>
          <cell r="AB7155" t="str">
            <v>Muscle</v>
          </cell>
        </row>
        <row r="7156">
          <cell r="A7156" t="str">
            <v>gone</v>
          </cell>
          <cell r="K7156" t="str">
            <v>EMON</v>
          </cell>
          <cell r="AB7156" t="str">
            <v>R- amniotic sac/ placenta</v>
          </cell>
        </row>
        <row r="7157">
          <cell r="A7157" t="str">
            <v>in storage</v>
          </cell>
          <cell r="K7157" t="str">
            <v>EMON</v>
          </cell>
          <cell r="AB7157" t="str">
            <v>Lung</v>
          </cell>
        </row>
        <row r="7158">
          <cell r="A7158" t="str">
            <v>in storage</v>
          </cell>
          <cell r="K7158" t="str">
            <v>LCAT</v>
          </cell>
          <cell r="AB7158" t="str">
            <v>R- reproductive tract</v>
          </cell>
        </row>
        <row r="7159">
          <cell r="A7159" t="str">
            <v>in storage</v>
          </cell>
          <cell r="K7159" t="str">
            <v>PCOQ</v>
          </cell>
          <cell r="AB7159" t="str">
            <v>GI Contents- colon</v>
          </cell>
        </row>
        <row r="7160">
          <cell r="A7160" t="str">
            <v>in storage</v>
          </cell>
          <cell r="K7160" t="str">
            <v>LCAT</v>
          </cell>
          <cell r="AB7160" t="str">
            <v>Aorta/ Trachea</v>
          </cell>
        </row>
        <row r="7161">
          <cell r="A7161" t="str">
            <v>in storage</v>
          </cell>
          <cell r="K7161" t="str">
            <v>LCAT</v>
          </cell>
          <cell r="AB7161" t="str">
            <v>Liver</v>
          </cell>
        </row>
        <row r="7162">
          <cell r="A7162" t="str">
            <v>in storage</v>
          </cell>
          <cell r="K7162" t="str">
            <v>LCAT</v>
          </cell>
          <cell r="AB7162" t="str">
            <v>Pancreas</v>
          </cell>
        </row>
        <row r="7163">
          <cell r="A7163" t="str">
            <v>in storage</v>
          </cell>
          <cell r="K7163" t="str">
            <v>LCAT</v>
          </cell>
          <cell r="AB7163" t="str">
            <v>Spleen</v>
          </cell>
        </row>
        <row r="7164">
          <cell r="A7164" t="str">
            <v>in storage</v>
          </cell>
          <cell r="K7164" t="str">
            <v>LCAT</v>
          </cell>
          <cell r="AB7164" t="str">
            <v>Heart</v>
          </cell>
        </row>
        <row r="7165">
          <cell r="A7165" t="str">
            <v>in storage</v>
          </cell>
          <cell r="K7165" t="str">
            <v>LCAT</v>
          </cell>
          <cell r="AB7165" t="str">
            <v>U- bladder</v>
          </cell>
        </row>
        <row r="7166">
          <cell r="A7166" t="str">
            <v>in storage</v>
          </cell>
          <cell r="K7166" t="str">
            <v>LCAT</v>
          </cell>
          <cell r="AB7166" t="str">
            <v>Skin</v>
          </cell>
        </row>
        <row r="7167">
          <cell r="A7167" t="str">
            <v>in storage</v>
          </cell>
          <cell r="K7167" t="str">
            <v>PCOQ</v>
          </cell>
          <cell r="AB7167" t="str">
            <v>GI- jejunum</v>
          </cell>
        </row>
        <row r="7168">
          <cell r="A7168" t="str">
            <v>in storage</v>
          </cell>
          <cell r="K7168" t="str">
            <v>PCOQ</v>
          </cell>
          <cell r="AB7168" t="str">
            <v>GI Contents- stomach</v>
          </cell>
        </row>
        <row r="7169">
          <cell r="A7169" t="str">
            <v>in storage</v>
          </cell>
          <cell r="K7169" t="str">
            <v>PCOQ</v>
          </cell>
          <cell r="AB7169" t="str">
            <v>GI Contents- stomach</v>
          </cell>
        </row>
        <row r="7170">
          <cell r="A7170" t="str">
            <v>in storage</v>
          </cell>
          <cell r="K7170" t="str">
            <v>LCAT</v>
          </cell>
          <cell r="AB7170" t="str">
            <v>Kidney</v>
          </cell>
        </row>
        <row r="7171">
          <cell r="A7171" t="str">
            <v>in storage</v>
          </cell>
          <cell r="K7171" t="str">
            <v>LCAT</v>
          </cell>
          <cell r="AB7171" t="str">
            <v>Lung</v>
          </cell>
        </row>
        <row r="7172">
          <cell r="A7172" t="str">
            <v>in storage</v>
          </cell>
          <cell r="K7172" t="str">
            <v>LCAT</v>
          </cell>
          <cell r="AB7172" t="str">
            <v>Adrenal gland</v>
          </cell>
        </row>
        <row r="7173">
          <cell r="A7173" t="str">
            <v>in storage</v>
          </cell>
          <cell r="K7173" t="str">
            <v>PCOQ</v>
          </cell>
          <cell r="AB7173" t="str">
            <v>GI- duodenum</v>
          </cell>
        </row>
        <row r="7174">
          <cell r="A7174" t="str">
            <v>on hold</v>
          </cell>
          <cell r="K7174" t="str">
            <v>PCOQ</v>
          </cell>
          <cell r="AB7174" t="str">
            <v>R- sperm plug</v>
          </cell>
        </row>
        <row r="7175">
          <cell r="A7175" t="str">
            <v>gone</v>
          </cell>
          <cell r="K7175" t="str">
            <v>MMUR</v>
          </cell>
          <cell r="AB7175" t="str">
            <v>R- sperm plug</v>
          </cell>
        </row>
        <row r="7176">
          <cell r="A7176" t="str">
            <v>in storage</v>
          </cell>
          <cell r="K7176" t="str">
            <v>VVV</v>
          </cell>
          <cell r="AB7176" t="str">
            <v>Lung</v>
          </cell>
        </row>
        <row r="7177">
          <cell r="A7177" t="str">
            <v>on hold</v>
          </cell>
          <cell r="K7177" t="str">
            <v>MMUR</v>
          </cell>
          <cell r="AB7177" t="str">
            <v>R- sperm plug</v>
          </cell>
        </row>
        <row r="7178">
          <cell r="A7178" t="str">
            <v>in storage</v>
          </cell>
          <cell r="K7178" t="str">
            <v>PCOQ</v>
          </cell>
          <cell r="AB7178" t="str">
            <v>R- ovary</v>
          </cell>
        </row>
        <row r="7179">
          <cell r="A7179" t="str">
            <v>in storage</v>
          </cell>
          <cell r="K7179" t="str">
            <v>PCOQ</v>
          </cell>
          <cell r="AB7179" t="str">
            <v>GI- cecum</v>
          </cell>
        </row>
        <row r="7180">
          <cell r="A7180" t="str">
            <v>in storage</v>
          </cell>
          <cell r="K7180" t="str">
            <v>PCOQ</v>
          </cell>
          <cell r="AB7180" t="str">
            <v>Trachea</v>
          </cell>
        </row>
        <row r="7181">
          <cell r="A7181" t="str">
            <v>in storage</v>
          </cell>
          <cell r="K7181" t="str">
            <v>PCOQ</v>
          </cell>
          <cell r="AB7181" t="str">
            <v>Gallbladder/ liver</v>
          </cell>
        </row>
        <row r="7182">
          <cell r="A7182" t="str">
            <v>in storage</v>
          </cell>
          <cell r="K7182" t="str">
            <v>PCOQ</v>
          </cell>
          <cell r="AB7182" t="str">
            <v>Liver</v>
          </cell>
        </row>
        <row r="7183">
          <cell r="A7183" t="str">
            <v>in storage</v>
          </cell>
          <cell r="K7183" t="str">
            <v>PCOQ</v>
          </cell>
          <cell r="AB7183" t="str">
            <v>Liver</v>
          </cell>
        </row>
        <row r="7184">
          <cell r="A7184" t="str">
            <v>in storage</v>
          </cell>
          <cell r="K7184" t="str">
            <v>PCOQ</v>
          </cell>
          <cell r="AB7184" t="str">
            <v>Kidney</v>
          </cell>
        </row>
        <row r="7185">
          <cell r="A7185" t="str">
            <v>in storage</v>
          </cell>
          <cell r="K7185" t="str">
            <v>PCOQ</v>
          </cell>
          <cell r="AB7185" t="str">
            <v>Kidney</v>
          </cell>
        </row>
        <row r="7186">
          <cell r="A7186" t="str">
            <v>in storage</v>
          </cell>
          <cell r="K7186" t="str">
            <v>PCOQ</v>
          </cell>
          <cell r="AB7186" t="str">
            <v>Spleen</v>
          </cell>
        </row>
        <row r="7187">
          <cell r="A7187" t="str">
            <v>in storage</v>
          </cell>
          <cell r="K7187" t="str">
            <v>PCOQ</v>
          </cell>
          <cell r="AB7187" t="str">
            <v>Heart</v>
          </cell>
        </row>
        <row r="7188">
          <cell r="A7188" t="str">
            <v>in storage</v>
          </cell>
          <cell r="K7188" t="str">
            <v>PCOQ</v>
          </cell>
          <cell r="AB7188" t="str">
            <v>Lung</v>
          </cell>
        </row>
        <row r="7189">
          <cell r="A7189" t="str">
            <v>in storage</v>
          </cell>
          <cell r="K7189" t="str">
            <v>PCOQ</v>
          </cell>
          <cell r="AB7189" t="str">
            <v>Lung</v>
          </cell>
        </row>
        <row r="7190">
          <cell r="A7190" t="str">
            <v>in storage</v>
          </cell>
          <cell r="K7190" t="str">
            <v>PCOQ</v>
          </cell>
          <cell r="AB7190" t="str">
            <v>U- bladder</v>
          </cell>
        </row>
        <row r="7191">
          <cell r="A7191" t="str">
            <v>in storage</v>
          </cell>
          <cell r="K7191" t="str">
            <v>PCOQ</v>
          </cell>
          <cell r="AB7191" t="str">
            <v>Liver</v>
          </cell>
        </row>
        <row r="7192">
          <cell r="A7192" t="str">
            <v>in storage</v>
          </cell>
          <cell r="K7192" t="str">
            <v>PCOQ</v>
          </cell>
          <cell r="AB7192" t="str">
            <v>Pancreas</v>
          </cell>
        </row>
        <row r="7193">
          <cell r="A7193" t="str">
            <v>in storage</v>
          </cell>
          <cell r="K7193" t="str">
            <v>PCOQ</v>
          </cell>
          <cell r="AB7193" t="str">
            <v>Adrenal gland</v>
          </cell>
        </row>
        <row r="7194">
          <cell r="A7194" t="str">
            <v>in storage</v>
          </cell>
          <cell r="K7194" t="str">
            <v>PCOQ</v>
          </cell>
          <cell r="AB7194" t="str">
            <v>Adrenal gland</v>
          </cell>
        </row>
        <row r="7195">
          <cell r="A7195" t="str">
            <v>in storage</v>
          </cell>
          <cell r="K7195" t="str">
            <v>PCOQ</v>
          </cell>
          <cell r="AB7195" t="str">
            <v>Heart</v>
          </cell>
        </row>
        <row r="7196">
          <cell r="A7196" t="str">
            <v>in storage</v>
          </cell>
          <cell r="K7196" t="str">
            <v>PCOQ</v>
          </cell>
          <cell r="AB7196" t="str">
            <v>Heart</v>
          </cell>
        </row>
        <row r="7197">
          <cell r="A7197" t="str">
            <v>in storage</v>
          </cell>
          <cell r="K7197" t="str">
            <v>PCOQ</v>
          </cell>
          <cell r="AB7197" t="str">
            <v>Heart</v>
          </cell>
        </row>
        <row r="7198">
          <cell r="A7198" t="str">
            <v>in storage</v>
          </cell>
          <cell r="K7198" t="str">
            <v>PCOQ</v>
          </cell>
          <cell r="AB7198" t="str">
            <v>Kidney</v>
          </cell>
        </row>
        <row r="7199">
          <cell r="A7199" t="str">
            <v>in storage</v>
          </cell>
          <cell r="K7199" t="str">
            <v>PCOQ</v>
          </cell>
          <cell r="AB7199" t="str">
            <v>Kidney</v>
          </cell>
        </row>
        <row r="7200">
          <cell r="A7200" t="str">
            <v>in storage</v>
          </cell>
          <cell r="K7200" t="str">
            <v>PCOQ</v>
          </cell>
          <cell r="AB7200" t="str">
            <v>Kidney</v>
          </cell>
        </row>
        <row r="7201">
          <cell r="A7201" t="str">
            <v>in storage</v>
          </cell>
          <cell r="K7201" t="str">
            <v>PCOQ</v>
          </cell>
          <cell r="AB7201" t="str">
            <v>Kidney</v>
          </cell>
        </row>
        <row r="7202">
          <cell r="A7202" t="str">
            <v>in storage</v>
          </cell>
          <cell r="K7202" t="str">
            <v>PCOQ</v>
          </cell>
          <cell r="AB7202" t="str">
            <v>Kidney</v>
          </cell>
        </row>
        <row r="7203">
          <cell r="A7203" t="str">
            <v>in storage</v>
          </cell>
          <cell r="K7203" t="str">
            <v>PCOQ</v>
          </cell>
          <cell r="AB7203" t="str">
            <v>Kidney</v>
          </cell>
        </row>
        <row r="7204">
          <cell r="A7204" t="str">
            <v>in storage</v>
          </cell>
          <cell r="K7204" t="str">
            <v>PCOQ</v>
          </cell>
          <cell r="AB7204" t="str">
            <v>Lung</v>
          </cell>
        </row>
        <row r="7205">
          <cell r="A7205" t="str">
            <v>in storage</v>
          </cell>
          <cell r="K7205" t="str">
            <v>PCOQ</v>
          </cell>
          <cell r="AB7205" t="str">
            <v>Lung</v>
          </cell>
        </row>
        <row r="7206">
          <cell r="A7206" t="str">
            <v>in storage</v>
          </cell>
          <cell r="K7206" t="str">
            <v>PCOQ</v>
          </cell>
          <cell r="AB7206" t="str">
            <v>Lung</v>
          </cell>
        </row>
        <row r="7207">
          <cell r="A7207" t="str">
            <v>in storage</v>
          </cell>
          <cell r="K7207" t="str">
            <v>PCOQ</v>
          </cell>
          <cell r="AB7207" t="str">
            <v>Pancreas</v>
          </cell>
        </row>
        <row r="7208">
          <cell r="A7208" t="str">
            <v>in storage</v>
          </cell>
          <cell r="K7208" t="str">
            <v>PCOQ</v>
          </cell>
          <cell r="AB7208" t="str">
            <v>Pancreas</v>
          </cell>
        </row>
        <row r="7209">
          <cell r="A7209" t="str">
            <v>in storage</v>
          </cell>
          <cell r="K7209" t="str">
            <v>PCOQ</v>
          </cell>
          <cell r="AB7209" t="str">
            <v>pituitary gland</v>
          </cell>
        </row>
        <row r="7210">
          <cell r="A7210" t="str">
            <v>in storage</v>
          </cell>
          <cell r="K7210" t="str">
            <v>PCOQ</v>
          </cell>
          <cell r="AB7210" t="str">
            <v>Spleen</v>
          </cell>
        </row>
        <row r="7211">
          <cell r="A7211" t="str">
            <v>in storage</v>
          </cell>
          <cell r="K7211" t="str">
            <v>PCOQ</v>
          </cell>
          <cell r="AB7211" t="str">
            <v>Spleen</v>
          </cell>
        </row>
        <row r="7212">
          <cell r="A7212" t="str">
            <v>in storage</v>
          </cell>
          <cell r="K7212" t="str">
            <v>PCOQ</v>
          </cell>
          <cell r="AB7212" t="str">
            <v>Spleen</v>
          </cell>
        </row>
        <row r="7213">
          <cell r="A7213" t="str">
            <v>in storage</v>
          </cell>
          <cell r="K7213" t="str">
            <v>PCOQ</v>
          </cell>
          <cell r="AB7213" t="str">
            <v>GI- esophagus</v>
          </cell>
        </row>
        <row r="7214">
          <cell r="A7214" t="str">
            <v>in storage</v>
          </cell>
          <cell r="K7214" t="str">
            <v>PCOQ</v>
          </cell>
          <cell r="AB7214" t="str">
            <v>GI- colon</v>
          </cell>
        </row>
        <row r="7215">
          <cell r="A7215" t="str">
            <v>in storage</v>
          </cell>
          <cell r="K7215" t="str">
            <v>PCOQ</v>
          </cell>
          <cell r="AB7215" t="str">
            <v>GI- small intestine</v>
          </cell>
        </row>
        <row r="7216">
          <cell r="A7216" t="str">
            <v>unk</v>
          </cell>
          <cell r="K7216" t="str">
            <v>PCOQ</v>
          </cell>
          <cell r="AB7216" t="str">
            <v>zygomatic arch</v>
          </cell>
        </row>
        <row r="7217">
          <cell r="A7217" t="str">
            <v>in storage</v>
          </cell>
          <cell r="K7217" t="str">
            <v>PCOQ</v>
          </cell>
          <cell r="AB7217" t="str">
            <v>Thyroid</v>
          </cell>
        </row>
        <row r="7218">
          <cell r="A7218" t="str">
            <v>unk</v>
          </cell>
          <cell r="K7218" t="str">
            <v>PCOQ</v>
          </cell>
          <cell r="AB7218" t="str">
            <v>Eye</v>
          </cell>
        </row>
        <row r="7219">
          <cell r="A7219" t="str">
            <v>in storage</v>
          </cell>
          <cell r="K7219" t="str">
            <v>PCOQ</v>
          </cell>
          <cell r="AB7219" t="str">
            <v>GI- stomach</v>
          </cell>
        </row>
        <row r="7220">
          <cell r="A7220" t="str">
            <v>in storage</v>
          </cell>
          <cell r="K7220" t="str">
            <v>PCOQ</v>
          </cell>
          <cell r="AB7220" t="str">
            <v>Muscle</v>
          </cell>
        </row>
        <row r="7221">
          <cell r="A7221" t="str">
            <v>in storage</v>
          </cell>
          <cell r="K7221" t="str">
            <v>PCOQ</v>
          </cell>
          <cell r="AB7221" t="str">
            <v>Muscle</v>
          </cell>
        </row>
        <row r="7222">
          <cell r="A7222" t="str">
            <v>in storage</v>
          </cell>
          <cell r="K7222" t="str">
            <v>PCOQ</v>
          </cell>
          <cell r="AB7222" t="str">
            <v>Muscle</v>
          </cell>
        </row>
        <row r="7223">
          <cell r="A7223" t="str">
            <v>in storage</v>
          </cell>
          <cell r="K7223" t="str">
            <v>PCOQ</v>
          </cell>
          <cell r="AB7223" t="str">
            <v>GI- jejunum</v>
          </cell>
        </row>
        <row r="7224">
          <cell r="A7224" t="str">
            <v>in storage</v>
          </cell>
          <cell r="K7224" t="str">
            <v>PCOQ</v>
          </cell>
          <cell r="AB7224" t="str">
            <v>GI Contents- stomach</v>
          </cell>
        </row>
        <row r="7225">
          <cell r="A7225" t="str">
            <v>in storage</v>
          </cell>
          <cell r="K7225" t="str">
            <v>PCOQ</v>
          </cell>
          <cell r="AB7225" t="str">
            <v>GI Contents- cecum</v>
          </cell>
        </row>
        <row r="7226">
          <cell r="A7226" t="str">
            <v>in storage</v>
          </cell>
          <cell r="K7226" t="str">
            <v>PCOQ</v>
          </cell>
          <cell r="AB7226" t="str">
            <v>Liver</v>
          </cell>
        </row>
        <row r="7227">
          <cell r="A7227" t="str">
            <v>in storage</v>
          </cell>
          <cell r="K7227" t="str">
            <v>PCOQ</v>
          </cell>
          <cell r="AB7227" t="str">
            <v>Liver</v>
          </cell>
        </row>
        <row r="7228">
          <cell r="A7228" t="str">
            <v>in storage</v>
          </cell>
          <cell r="K7228" t="str">
            <v>PCOQ</v>
          </cell>
          <cell r="AB7228" t="str">
            <v>Liver</v>
          </cell>
        </row>
        <row r="7229">
          <cell r="A7229" t="str">
            <v>in storage</v>
          </cell>
          <cell r="K7229" t="str">
            <v>PCOQ</v>
          </cell>
          <cell r="AB7229" t="str">
            <v>Kidney</v>
          </cell>
        </row>
        <row r="7230">
          <cell r="A7230" t="str">
            <v>in storage</v>
          </cell>
          <cell r="K7230" t="str">
            <v>PCOQ</v>
          </cell>
          <cell r="AB7230" t="str">
            <v>Heart</v>
          </cell>
        </row>
        <row r="7231">
          <cell r="A7231" t="str">
            <v>in storage</v>
          </cell>
          <cell r="K7231" t="str">
            <v>PCOQ</v>
          </cell>
          <cell r="AB7231" t="str">
            <v>Lung</v>
          </cell>
        </row>
        <row r="7232">
          <cell r="A7232" t="str">
            <v>in storage</v>
          </cell>
          <cell r="K7232" t="str">
            <v>PCOQ</v>
          </cell>
          <cell r="AB7232" t="str">
            <v>Lung</v>
          </cell>
        </row>
        <row r="7233">
          <cell r="A7233" t="str">
            <v>in storage</v>
          </cell>
          <cell r="K7233" t="str">
            <v>PCOQ</v>
          </cell>
          <cell r="AB7233" t="str">
            <v>Skin</v>
          </cell>
        </row>
        <row r="7234">
          <cell r="A7234" t="str">
            <v>in storage</v>
          </cell>
          <cell r="K7234" t="str">
            <v>PCOQ</v>
          </cell>
          <cell r="AB7234" t="str">
            <v>Skin</v>
          </cell>
        </row>
        <row r="7235">
          <cell r="A7235" t="str">
            <v>in storage</v>
          </cell>
          <cell r="K7235" t="str">
            <v>PCOQ</v>
          </cell>
          <cell r="AB7235" t="str">
            <v>Skin</v>
          </cell>
        </row>
        <row r="7236">
          <cell r="A7236" t="str">
            <v>in storage</v>
          </cell>
          <cell r="K7236" t="str">
            <v>PCOQ</v>
          </cell>
          <cell r="AB7236" t="str">
            <v>Pancreas</v>
          </cell>
        </row>
        <row r="7237">
          <cell r="A7237" t="str">
            <v>in storage</v>
          </cell>
          <cell r="K7237" t="str">
            <v>PCOQ</v>
          </cell>
          <cell r="AB7237" t="str">
            <v>Adrenal gland</v>
          </cell>
        </row>
        <row r="7238">
          <cell r="A7238" t="str">
            <v>in storage</v>
          </cell>
          <cell r="K7238" t="str">
            <v>PCOQ</v>
          </cell>
          <cell r="AB7238" t="str">
            <v>Heart</v>
          </cell>
        </row>
        <row r="7239">
          <cell r="A7239" t="str">
            <v>in storage</v>
          </cell>
          <cell r="K7239" t="str">
            <v>PCOQ</v>
          </cell>
          <cell r="AB7239" t="str">
            <v>Heart</v>
          </cell>
        </row>
        <row r="7240">
          <cell r="A7240" t="str">
            <v>in storage</v>
          </cell>
          <cell r="K7240" t="str">
            <v>PCOQ</v>
          </cell>
          <cell r="AB7240" t="str">
            <v>Heart</v>
          </cell>
        </row>
        <row r="7241">
          <cell r="A7241" t="str">
            <v>in storage</v>
          </cell>
          <cell r="K7241" t="str">
            <v>PCOQ</v>
          </cell>
          <cell r="AB7241" t="str">
            <v>Kidney</v>
          </cell>
        </row>
        <row r="7242">
          <cell r="A7242" t="str">
            <v>in storage</v>
          </cell>
          <cell r="K7242" t="str">
            <v>PCOQ</v>
          </cell>
          <cell r="AB7242" t="str">
            <v>Kidney</v>
          </cell>
        </row>
        <row r="7243">
          <cell r="A7243" t="str">
            <v>in storage</v>
          </cell>
          <cell r="K7243" t="str">
            <v>PCOQ</v>
          </cell>
          <cell r="AB7243" t="str">
            <v>Kidney</v>
          </cell>
        </row>
        <row r="7244">
          <cell r="A7244" t="str">
            <v>in storage</v>
          </cell>
          <cell r="K7244" t="str">
            <v>PCOQ</v>
          </cell>
          <cell r="AB7244" t="str">
            <v>Liver</v>
          </cell>
        </row>
        <row r="7245">
          <cell r="A7245" t="str">
            <v>in storage</v>
          </cell>
          <cell r="K7245" t="str">
            <v>PCOQ</v>
          </cell>
          <cell r="AB7245" t="str">
            <v>Lung</v>
          </cell>
        </row>
        <row r="7246">
          <cell r="A7246" t="str">
            <v>in storage</v>
          </cell>
          <cell r="K7246" t="str">
            <v>PCOQ</v>
          </cell>
          <cell r="AB7246" t="str">
            <v>Liver</v>
          </cell>
        </row>
        <row r="7247">
          <cell r="A7247" t="str">
            <v>in storage</v>
          </cell>
          <cell r="K7247" t="str">
            <v>PCOQ</v>
          </cell>
          <cell r="AB7247" t="str">
            <v>Lung</v>
          </cell>
        </row>
        <row r="7248">
          <cell r="A7248" t="str">
            <v>in storage</v>
          </cell>
          <cell r="K7248" t="str">
            <v>PCOQ</v>
          </cell>
          <cell r="AB7248" t="str">
            <v>Lung</v>
          </cell>
        </row>
        <row r="7249">
          <cell r="A7249" t="str">
            <v>in storage</v>
          </cell>
          <cell r="K7249" t="str">
            <v>PCOQ</v>
          </cell>
          <cell r="AB7249" t="str">
            <v>Lung</v>
          </cell>
        </row>
        <row r="7250">
          <cell r="A7250" t="str">
            <v>in storage</v>
          </cell>
          <cell r="K7250" t="str">
            <v>PCOQ</v>
          </cell>
          <cell r="AB7250" t="str">
            <v>Pancreas</v>
          </cell>
        </row>
        <row r="7251">
          <cell r="A7251" t="str">
            <v>in storage</v>
          </cell>
          <cell r="K7251" t="str">
            <v>PCOQ</v>
          </cell>
          <cell r="AB7251" t="str">
            <v>Spleen</v>
          </cell>
        </row>
        <row r="7252">
          <cell r="A7252" t="str">
            <v>in storage</v>
          </cell>
          <cell r="K7252" t="str">
            <v>PCOQ</v>
          </cell>
          <cell r="AB7252" t="str">
            <v>Spleen</v>
          </cell>
        </row>
        <row r="7253">
          <cell r="A7253" t="str">
            <v>in storage</v>
          </cell>
          <cell r="K7253" t="str">
            <v>PCOQ</v>
          </cell>
          <cell r="AB7253" t="str">
            <v>Spleen</v>
          </cell>
        </row>
        <row r="7254">
          <cell r="A7254" t="str">
            <v>in storage</v>
          </cell>
          <cell r="K7254" t="str">
            <v>PCOQ</v>
          </cell>
          <cell r="AB7254" t="str">
            <v>Spleen</v>
          </cell>
        </row>
        <row r="7255">
          <cell r="A7255" t="str">
            <v>in storage</v>
          </cell>
          <cell r="K7255" t="str">
            <v>PCOQ</v>
          </cell>
          <cell r="AB7255" t="str">
            <v>Thyroid</v>
          </cell>
        </row>
        <row r="7256">
          <cell r="A7256" t="str">
            <v>in storage</v>
          </cell>
          <cell r="K7256" t="str">
            <v>PCOQ</v>
          </cell>
          <cell r="AB7256" t="str">
            <v>Gallbladder</v>
          </cell>
        </row>
        <row r="7257">
          <cell r="A7257" t="str">
            <v>in storage</v>
          </cell>
          <cell r="K7257" t="str">
            <v>PCOQ</v>
          </cell>
          <cell r="AB7257" t="str">
            <v>GI- duodenum</v>
          </cell>
        </row>
        <row r="7258">
          <cell r="A7258" t="str">
            <v>in storage</v>
          </cell>
          <cell r="K7258" t="str">
            <v>PCOQ</v>
          </cell>
          <cell r="AB7258" t="str">
            <v>GI- large intestine</v>
          </cell>
        </row>
        <row r="7259">
          <cell r="A7259" t="str">
            <v>in storage</v>
          </cell>
          <cell r="K7259" t="str">
            <v>PCOQ</v>
          </cell>
          <cell r="AB7259" t="str">
            <v>GI- stomach</v>
          </cell>
        </row>
        <row r="7260">
          <cell r="A7260" t="str">
            <v>in storage</v>
          </cell>
          <cell r="K7260" t="str">
            <v>PCOQ</v>
          </cell>
          <cell r="AB7260" t="str">
            <v>GI Contents- large intestine</v>
          </cell>
        </row>
        <row r="7261">
          <cell r="A7261" t="str">
            <v>in storage</v>
          </cell>
          <cell r="K7261" t="str">
            <v>PCOQ</v>
          </cell>
          <cell r="AB7261" t="str">
            <v>GI- jejunum</v>
          </cell>
        </row>
        <row r="7262">
          <cell r="A7262" t="str">
            <v>in storage</v>
          </cell>
          <cell r="K7262" t="str">
            <v>PCOQ</v>
          </cell>
          <cell r="AB7262" t="str">
            <v>GI Contents- stomach</v>
          </cell>
        </row>
        <row r="7263">
          <cell r="A7263" t="str">
            <v>in storage</v>
          </cell>
          <cell r="K7263" t="str">
            <v>PCOQ</v>
          </cell>
          <cell r="AB7263" t="str">
            <v>GI Contents- cecum</v>
          </cell>
        </row>
        <row r="7264">
          <cell r="A7264" t="str">
            <v>in storage</v>
          </cell>
          <cell r="K7264" t="str">
            <v>PCOQ</v>
          </cell>
          <cell r="AB7264" t="str">
            <v>GI- cecum</v>
          </cell>
        </row>
        <row r="7265">
          <cell r="A7265" t="str">
            <v>in storage</v>
          </cell>
          <cell r="K7265" t="str">
            <v>PCOQ</v>
          </cell>
          <cell r="AB7265" t="str">
            <v>GI- esophagus</v>
          </cell>
        </row>
        <row r="7266">
          <cell r="A7266" t="str">
            <v>in storage</v>
          </cell>
          <cell r="K7266" t="str">
            <v>PCOQ</v>
          </cell>
          <cell r="AB7266" t="str">
            <v>GI- large intestine</v>
          </cell>
        </row>
        <row r="7267">
          <cell r="A7267" t="str">
            <v>in storage</v>
          </cell>
          <cell r="K7267" t="str">
            <v>PCOQ</v>
          </cell>
          <cell r="AB7267" t="str">
            <v>GI- small intestine</v>
          </cell>
        </row>
        <row r="7268">
          <cell r="A7268" t="str">
            <v>in storage</v>
          </cell>
          <cell r="K7268" t="str">
            <v>PCOQ</v>
          </cell>
          <cell r="AB7268" t="str">
            <v>GI- stomach</v>
          </cell>
        </row>
        <row r="7269">
          <cell r="A7269" t="str">
            <v>in storage</v>
          </cell>
          <cell r="K7269" t="str">
            <v>PCOQ</v>
          </cell>
          <cell r="AB7269" t="str">
            <v>GI Contents- stomach</v>
          </cell>
        </row>
        <row r="7270">
          <cell r="A7270" t="str">
            <v>in storage</v>
          </cell>
          <cell r="K7270" t="str">
            <v>PCOQ</v>
          </cell>
          <cell r="AB7270" t="str">
            <v>GI- cecum</v>
          </cell>
        </row>
        <row r="7271">
          <cell r="A7271" t="str">
            <v>in storage</v>
          </cell>
          <cell r="K7271" t="str">
            <v>PCOQ</v>
          </cell>
          <cell r="AB7271" t="str">
            <v>GI- esophagus</v>
          </cell>
        </row>
        <row r="7272">
          <cell r="A7272" t="str">
            <v>in storage</v>
          </cell>
          <cell r="K7272" t="str">
            <v>VRUB</v>
          </cell>
          <cell r="AB7272" t="str">
            <v>Liver</v>
          </cell>
        </row>
        <row r="7273">
          <cell r="A7273" t="str">
            <v>in storage</v>
          </cell>
          <cell r="K7273" t="str">
            <v>VRUB</v>
          </cell>
          <cell r="AB7273" t="str">
            <v>Liver</v>
          </cell>
        </row>
        <row r="7274">
          <cell r="A7274" t="str">
            <v>in storage</v>
          </cell>
          <cell r="K7274" t="str">
            <v>VRUB</v>
          </cell>
          <cell r="AB7274" t="str">
            <v>Kidney</v>
          </cell>
        </row>
        <row r="7275">
          <cell r="A7275" t="str">
            <v>in storage</v>
          </cell>
          <cell r="K7275" t="str">
            <v>VRUB</v>
          </cell>
          <cell r="AB7275" t="str">
            <v>Kidney</v>
          </cell>
        </row>
        <row r="7276">
          <cell r="A7276" t="str">
            <v>in storage</v>
          </cell>
          <cell r="K7276" t="str">
            <v>VRUB</v>
          </cell>
          <cell r="AB7276" t="str">
            <v>Adrenal gland</v>
          </cell>
        </row>
        <row r="7277">
          <cell r="A7277" t="str">
            <v>in storage</v>
          </cell>
          <cell r="K7277" t="str">
            <v>VRUB</v>
          </cell>
          <cell r="AB7277" t="str">
            <v>Adrenal gland</v>
          </cell>
        </row>
        <row r="7278">
          <cell r="A7278" t="str">
            <v>in storage</v>
          </cell>
          <cell r="K7278" t="str">
            <v>VRUB</v>
          </cell>
          <cell r="AB7278" t="str">
            <v>Heart</v>
          </cell>
        </row>
        <row r="7279">
          <cell r="A7279" t="str">
            <v>in storage</v>
          </cell>
          <cell r="K7279" t="str">
            <v>VRUB</v>
          </cell>
          <cell r="AB7279" t="str">
            <v>Heart</v>
          </cell>
        </row>
        <row r="7280">
          <cell r="A7280" t="str">
            <v>in storage</v>
          </cell>
          <cell r="K7280" t="str">
            <v>VRUB</v>
          </cell>
          <cell r="AB7280" t="str">
            <v>Heart</v>
          </cell>
        </row>
        <row r="7281">
          <cell r="A7281" t="str">
            <v>in storage</v>
          </cell>
          <cell r="K7281" t="str">
            <v>VRUB</v>
          </cell>
          <cell r="AB7281" t="str">
            <v>Kidney</v>
          </cell>
        </row>
        <row r="7282">
          <cell r="A7282" t="str">
            <v>in storage</v>
          </cell>
          <cell r="K7282" t="str">
            <v>VRUB</v>
          </cell>
          <cell r="AB7282" t="str">
            <v>Kidney</v>
          </cell>
        </row>
        <row r="7283">
          <cell r="A7283" t="str">
            <v>in storage</v>
          </cell>
          <cell r="K7283" t="str">
            <v>VRUB</v>
          </cell>
          <cell r="AB7283" t="str">
            <v>Kidney</v>
          </cell>
        </row>
        <row r="7284">
          <cell r="A7284" t="str">
            <v>in storage</v>
          </cell>
          <cell r="K7284" t="str">
            <v>VRUB</v>
          </cell>
          <cell r="AB7284" t="str">
            <v>Kidney</v>
          </cell>
        </row>
        <row r="7285">
          <cell r="A7285" t="str">
            <v>in storage</v>
          </cell>
          <cell r="K7285" t="str">
            <v>VRUB</v>
          </cell>
          <cell r="AB7285" t="str">
            <v>Kidney</v>
          </cell>
        </row>
        <row r="7286">
          <cell r="A7286" t="str">
            <v>in storage</v>
          </cell>
          <cell r="K7286" t="str">
            <v>VRUB</v>
          </cell>
          <cell r="AB7286" t="str">
            <v>Liver</v>
          </cell>
        </row>
        <row r="7287">
          <cell r="A7287" t="str">
            <v>in storage</v>
          </cell>
          <cell r="K7287" t="str">
            <v>VRUB</v>
          </cell>
          <cell r="AB7287" t="str">
            <v>Kidney</v>
          </cell>
        </row>
        <row r="7288">
          <cell r="A7288" t="str">
            <v>in storage</v>
          </cell>
          <cell r="K7288" t="str">
            <v>VRUB</v>
          </cell>
          <cell r="AB7288" t="str">
            <v>Liver</v>
          </cell>
        </row>
        <row r="7289">
          <cell r="A7289" t="str">
            <v>in storage</v>
          </cell>
          <cell r="K7289" t="str">
            <v>VRUB</v>
          </cell>
          <cell r="AB7289" t="str">
            <v>Lung</v>
          </cell>
        </row>
        <row r="7290">
          <cell r="A7290" t="str">
            <v>in storage</v>
          </cell>
          <cell r="K7290" t="str">
            <v>VRUB</v>
          </cell>
          <cell r="AB7290" t="str">
            <v>Lung</v>
          </cell>
        </row>
        <row r="7291">
          <cell r="A7291" t="str">
            <v>in storage</v>
          </cell>
          <cell r="K7291" t="str">
            <v>VRUB</v>
          </cell>
          <cell r="AB7291" t="str">
            <v>Lung</v>
          </cell>
        </row>
        <row r="7292">
          <cell r="A7292" t="str">
            <v>in storage</v>
          </cell>
          <cell r="K7292" t="str">
            <v>VRUB</v>
          </cell>
          <cell r="AB7292" t="str">
            <v>Pancreas</v>
          </cell>
        </row>
        <row r="7293">
          <cell r="A7293" t="str">
            <v>in storage</v>
          </cell>
          <cell r="K7293" t="str">
            <v>VRUB</v>
          </cell>
          <cell r="AB7293" t="str">
            <v>Pancreas</v>
          </cell>
        </row>
        <row r="7294">
          <cell r="A7294" t="str">
            <v>in storage</v>
          </cell>
          <cell r="K7294" t="str">
            <v>VRUB</v>
          </cell>
          <cell r="AB7294" t="str">
            <v>Spleen</v>
          </cell>
        </row>
        <row r="7295">
          <cell r="A7295" t="str">
            <v>in storage</v>
          </cell>
          <cell r="K7295" t="str">
            <v>VRUB</v>
          </cell>
          <cell r="AB7295" t="str">
            <v>Spleen</v>
          </cell>
        </row>
        <row r="7296">
          <cell r="A7296" t="str">
            <v>in storage</v>
          </cell>
          <cell r="K7296" t="str">
            <v>VRUB</v>
          </cell>
          <cell r="AB7296" t="str">
            <v>Spleen</v>
          </cell>
        </row>
        <row r="7297">
          <cell r="A7297" t="str">
            <v>in storage</v>
          </cell>
          <cell r="K7297" t="str">
            <v>VRUB</v>
          </cell>
          <cell r="AB7297" t="str">
            <v>Heart</v>
          </cell>
        </row>
        <row r="7298">
          <cell r="A7298" t="str">
            <v>in storage</v>
          </cell>
          <cell r="K7298" t="str">
            <v>VRUB</v>
          </cell>
          <cell r="AB7298" t="str">
            <v>Lung</v>
          </cell>
        </row>
        <row r="7299">
          <cell r="A7299" t="str">
            <v>in storage</v>
          </cell>
          <cell r="K7299" t="str">
            <v>VRUB</v>
          </cell>
          <cell r="AB7299" t="str">
            <v>Lung</v>
          </cell>
        </row>
        <row r="7300">
          <cell r="A7300" t="str">
            <v>in storage</v>
          </cell>
          <cell r="K7300" t="str">
            <v>VRUB</v>
          </cell>
          <cell r="AB7300" t="str">
            <v>Liver- nodule</v>
          </cell>
        </row>
        <row r="7301">
          <cell r="A7301" t="str">
            <v>in storage</v>
          </cell>
          <cell r="K7301" t="str">
            <v>VRUB</v>
          </cell>
          <cell r="AB7301" t="str">
            <v>Skin</v>
          </cell>
        </row>
        <row r="7302">
          <cell r="A7302" t="str">
            <v>in storage</v>
          </cell>
          <cell r="K7302" t="str">
            <v>VRUB</v>
          </cell>
          <cell r="AB7302" t="str">
            <v>Pancreas</v>
          </cell>
        </row>
        <row r="7303">
          <cell r="A7303" t="str">
            <v>in storage</v>
          </cell>
          <cell r="K7303" t="str">
            <v>PCOQ</v>
          </cell>
          <cell r="AB7303" t="str">
            <v>GI- large intestine</v>
          </cell>
        </row>
        <row r="7304">
          <cell r="A7304" t="str">
            <v>in storage</v>
          </cell>
          <cell r="K7304" t="str">
            <v>PCOQ</v>
          </cell>
          <cell r="AB7304" t="str">
            <v>GI- small intestine</v>
          </cell>
        </row>
        <row r="7305">
          <cell r="A7305" t="str">
            <v>in storage</v>
          </cell>
          <cell r="K7305" t="str">
            <v>VRUB</v>
          </cell>
          <cell r="AB7305" t="str">
            <v>Muscle</v>
          </cell>
        </row>
        <row r="7306">
          <cell r="A7306" t="str">
            <v>on hold</v>
          </cell>
          <cell r="K7306" t="e">
            <v>#N/A</v>
          </cell>
          <cell r="AB7306" t="str">
            <v>R- sperm plug</v>
          </cell>
        </row>
        <row r="7307">
          <cell r="A7307" t="str">
            <v>in storage</v>
          </cell>
          <cell r="K7307" t="str">
            <v>ECOL</v>
          </cell>
          <cell r="AB7307" t="str">
            <v>Muscle</v>
          </cell>
        </row>
        <row r="7308">
          <cell r="A7308" t="str">
            <v>in storage</v>
          </cell>
          <cell r="K7308" t="str">
            <v>ECOL</v>
          </cell>
          <cell r="AB7308" t="str">
            <v>Muscle</v>
          </cell>
        </row>
        <row r="7309">
          <cell r="A7309" t="str">
            <v>in storage</v>
          </cell>
          <cell r="K7309" t="str">
            <v>ECOL</v>
          </cell>
          <cell r="AB7309" t="str">
            <v>Muscle</v>
          </cell>
        </row>
        <row r="7310">
          <cell r="A7310" t="str">
            <v>in storage</v>
          </cell>
          <cell r="K7310" t="str">
            <v>ECOL</v>
          </cell>
          <cell r="AB7310" t="str">
            <v>Muscle</v>
          </cell>
        </row>
        <row r="7311">
          <cell r="A7311" t="str">
            <v>unk</v>
          </cell>
          <cell r="K7311" t="str">
            <v>ECOL</v>
          </cell>
          <cell r="AB7311" t="str">
            <v>Mass- liver</v>
          </cell>
        </row>
        <row r="7312">
          <cell r="A7312" t="str">
            <v>unk</v>
          </cell>
          <cell r="K7312" t="str">
            <v>ECOL</v>
          </cell>
          <cell r="AB7312" t="str">
            <v>Mass- liver</v>
          </cell>
        </row>
        <row r="7313">
          <cell r="A7313" t="str">
            <v>unk</v>
          </cell>
          <cell r="K7313" t="str">
            <v>ECOL</v>
          </cell>
          <cell r="AB7313" t="str">
            <v>Mass- liver</v>
          </cell>
        </row>
        <row r="7314">
          <cell r="A7314" t="str">
            <v>in storage</v>
          </cell>
          <cell r="K7314" t="str">
            <v>ECOL</v>
          </cell>
          <cell r="AB7314" t="str">
            <v>RU- bladder/ reproductive tract</v>
          </cell>
        </row>
        <row r="7315">
          <cell r="A7315" t="str">
            <v>in storage</v>
          </cell>
          <cell r="K7315" t="str">
            <v>PCOQ</v>
          </cell>
          <cell r="AB7315" t="str">
            <v>GI- stomach</v>
          </cell>
        </row>
        <row r="7316">
          <cell r="A7316" t="str">
            <v>in storage</v>
          </cell>
          <cell r="K7316" t="str">
            <v>PCOQ</v>
          </cell>
          <cell r="AB7316" t="str">
            <v>GI Contents- stomach</v>
          </cell>
        </row>
        <row r="7317">
          <cell r="A7317" t="str">
            <v>in storage</v>
          </cell>
          <cell r="K7317" t="str">
            <v>PCOQ</v>
          </cell>
          <cell r="AB7317" t="str">
            <v>GI- duodenum</v>
          </cell>
        </row>
        <row r="7318">
          <cell r="A7318" t="str">
            <v>in storage</v>
          </cell>
          <cell r="K7318" t="str">
            <v>PCOQ</v>
          </cell>
          <cell r="AB7318" t="str">
            <v>GI- cecum</v>
          </cell>
        </row>
        <row r="7319">
          <cell r="A7319" t="str">
            <v>in storage</v>
          </cell>
          <cell r="K7319" t="str">
            <v>PCOQ</v>
          </cell>
          <cell r="AB7319" t="str">
            <v>GI- large intestine</v>
          </cell>
        </row>
        <row r="7320">
          <cell r="A7320" t="str">
            <v>in storage</v>
          </cell>
          <cell r="K7320" t="str">
            <v>PCOQ</v>
          </cell>
          <cell r="AB7320" t="str">
            <v>GI- small intestine</v>
          </cell>
        </row>
        <row r="7321">
          <cell r="A7321" t="str">
            <v>in storage</v>
          </cell>
          <cell r="K7321" t="str">
            <v>PCOQ</v>
          </cell>
          <cell r="AB7321" t="str">
            <v>GI- colon</v>
          </cell>
        </row>
        <row r="7322">
          <cell r="A7322" t="str">
            <v>in storage</v>
          </cell>
          <cell r="K7322" t="str">
            <v>ECOL</v>
          </cell>
          <cell r="AB7322" t="str">
            <v>Liver</v>
          </cell>
        </row>
        <row r="7323">
          <cell r="A7323" t="str">
            <v>in storage</v>
          </cell>
          <cell r="K7323" t="str">
            <v>ECOL</v>
          </cell>
          <cell r="AB7323" t="str">
            <v>Liver</v>
          </cell>
        </row>
        <row r="7324">
          <cell r="A7324" t="str">
            <v>in storage</v>
          </cell>
          <cell r="K7324" t="str">
            <v>ECOL</v>
          </cell>
          <cell r="AB7324" t="str">
            <v>Liver</v>
          </cell>
        </row>
        <row r="7325">
          <cell r="A7325" t="str">
            <v>in storage</v>
          </cell>
          <cell r="K7325" t="str">
            <v>ECOL</v>
          </cell>
          <cell r="AB7325" t="str">
            <v>Pancreas</v>
          </cell>
        </row>
        <row r="7326">
          <cell r="A7326" t="str">
            <v>in storage</v>
          </cell>
          <cell r="K7326" t="str">
            <v>ECOL</v>
          </cell>
          <cell r="AB7326" t="str">
            <v>Kidney</v>
          </cell>
        </row>
        <row r="7327">
          <cell r="A7327" t="str">
            <v>in storage</v>
          </cell>
          <cell r="K7327" t="str">
            <v>ECOL</v>
          </cell>
          <cell r="AB7327" t="str">
            <v>Heart</v>
          </cell>
        </row>
        <row r="7328">
          <cell r="A7328" t="str">
            <v>in storage</v>
          </cell>
          <cell r="K7328" t="str">
            <v>ECOL</v>
          </cell>
          <cell r="AB7328" t="str">
            <v>Lung</v>
          </cell>
        </row>
        <row r="7329">
          <cell r="A7329" t="str">
            <v>in storage</v>
          </cell>
          <cell r="K7329" t="str">
            <v>ECOL</v>
          </cell>
          <cell r="AB7329" t="str">
            <v>Lung</v>
          </cell>
        </row>
        <row r="7330">
          <cell r="A7330" t="str">
            <v>in storage</v>
          </cell>
          <cell r="K7330" t="str">
            <v>ECOL</v>
          </cell>
          <cell r="AB7330" t="str">
            <v>Hair</v>
          </cell>
        </row>
        <row r="7331">
          <cell r="A7331" t="str">
            <v>in storage</v>
          </cell>
          <cell r="K7331" t="str">
            <v>ECOL</v>
          </cell>
          <cell r="AB7331" t="str">
            <v>Skin</v>
          </cell>
        </row>
        <row r="7332">
          <cell r="A7332" t="str">
            <v>in storage</v>
          </cell>
          <cell r="K7332" t="str">
            <v>ECOL</v>
          </cell>
          <cell r="AB7332" t="str">
            <v>Skin</v>
          </cell>
        </row>
        <row r="7333">
          <cell r="A7333" t="str">
            <v>in storage</v>
          </cell>
          <cell r="K7333" t="str">
            <v>ECOL</v>
          </cell>
          <cell r="AB7333" t="str">
            <v>Liver</v>
          </cell>
        </row>
        <row r="7334">
          <cell r="A7334" t="str">
            <v>in storage</v>
          </cell>
          <cell r="K7334" t="str">
            <v>ECOL</v>
          </cell>
          <cell r="AB7334" t="str">
            <v>Adrenal gland</v>
          </cell>
        </row>
        <row r="7335">
          <cell r="A7335" t="str">
            <v>in storage</v>
          </cell>
          <cell r="K7335" t="str">
            <v>ECOL</v>
          </cell>
          <cell r="AB7335" t="str">
            <v>Adrenal gland</v>
          </cell>
        </row>
        <row r="7336">
          <cell r="A7336" t="str">
            <v>in storage</v>
          </cell>
          <cell r="K7336" t="str">
            <v>ECOL</v>
          </cell>
          <cell r="AB7336" t="str">
            <v>Heart</v>
          </cell>
        </row>
        <row r="7337">
          <cell r="A7337" t="str">
            <v>in storage</v>
          </cell>
          <cell r="K7337" t="str">
            <v>ECOL</v>
          </cell>
          <cell r="AB7337" t="str">
            <v>Heart</v>
          </cell>
        </row>
        <row r="7338">
          <cell r="A7338" t="str">
            <v>in storage</v>
          </cell>
          <cell r="K7338" t="str">
            <v>ECOL</v>
          </cell>
          <cell r="AB7338" t="str">
            <v>Heart</v>
          </cell>
        </row>
        <row r="7339">
          <cell r="A7339" t="str">
            <v>in storage</v>
          </cell>
          <cell r="K7339" t="str">
            <v>ECOL</v>
          </cell>
          <cell r="AB7339" t="str">
            <v>Kidney</v>
          </cell>
        </row>
        <row r="7340">
          <cell r="A7340" t="str">
            <v>in storage</v>
          </cell>
          <cell r="K7340" t="str">
            <v>ECOL</v>
          </cell>
          <cell r="AB7340" t="str">
            <v>Kidney</v>
          </cell>
        </row>
        <row r="7341">
          <cell r="A7341" t="str">
            <v>in storage</v>
          </cell>
          <cell r="K7341" t="str">
            <v>ECOL</v>
          </cell>
          <cell r="AB7341" t="str">
            <v>Kidney</v>
          </cell>
        </row>
        <row r="7342">
          <cell r="A7342" t="str">
            <v>unk</v>
          </cell>
          <cell r="K7342" t="str">
            <v>ECOL</v>
          </cell>
          <cell r="AB7342" t="str">
            <v>Liver</v>
          </cell>
        </row>
        <row r="7343">
          <cell r="A7343" t="str">
            <v>in storage</v>
          </cell>
          <cell r="K7343" t="str">
            <v>ECOL</v>
          </cell>
          <cell r="AB7343" t="str">
            <v>Lung</v>
          </cell>
        </row>
        <row r="7344">
          <cell r="A7344" t="str">
            <v>in storage</v>
          </cell>
          <cell r="K7344" t="str">
            <v>ECOL</v>
          </cell>
          <cell r="AB7344" t="str">
            <v>Lung</v>
          </cell>
        </row>
        <row r="7345">
          <cell r="A7345" t="str">
            <v>in storage</v>
          </cell>
          <cell r="K7345" t="str">
            <v>ECOL</v>
          </cell>
          <cell r="AB7345" t="str">
            <v>Lung</v>
          </cell>
        </row>
        <row r="7346">
          <cell r="A7346" t="str">
            <v>in storage</v>
          </cell>
          <cell r="K7346" t="str">
            <v>ECOL</v>
          </cell>
          <cell r="AB7346" t="str">
            <v>Lung</v>
          </cell>
        </row>
        <row r="7347">
          <cell r="A7347" t="str">
            <v>in storage</v>
          </cell>
          <cell r="K7347" t="str">
            <v>ECOL</v>
          </cell>
          <cell r="AB7347" t="str">
            <v>Lung</v>
          </cell>
        </row>
        <row r="7348">
          <cell r="A7348" t="str">
            <v>in storage</v>
          </cell>
          <cell r="K7348" t="str">
            <v>ECOL</v>
          </cell>
          <cell r="AB7348" t="str">
            <v>Lung</v>
          </cell>
        </row>
        <row r="7349">
          <cell r="A7349" t="str">
            <v>in storage</v>
          </cell>
          <cell r="K7349" t="str">
            <v>ECOL</v>
          </cell>
          <cell r="AB7349" t="str">
            <v>Pancreas</v>
          </cell>
        </row>
        <row r="7350">
          <cell r="A7350" t="str">
            <v>in storage</v>
          </cell>
          <cell r="K7350" t="str">
            <v>ECOL</v>
          </cell>
          <cell r="AB7350" t="str">
            <v>Pancreas</v>
          </cell>
        </row>
        <row r="7351">
          <cell r="A7351" t="str">
            <v>in storage</v>
          </cell>
          <cell r="K7351" t="str">
            <v>ECOL</v>
          </cell>
          <cell r="AB7351" t="str">
            <v>Pancreas</v>
          </cell>
        </row>
        <row r="7352">
          <cell r="A7352" t="str">
            <v>in storage</v>
          </cell>
          <cell r="K7352" t="str">
            <v>CMED</v>
          </cell>
          <cell r="AB7352" t="str">
            <v>Mass- liver</v>
          </cell>
        </row>
        <row r="7353">
          <cell r="A7353" t="str">
            <v>in storage</v>
          </cell>
          <cell r="K7353" t="str">
            <v>ECOL</v>
          </cell>
          <cell r="AB7353" t="str">
            <v>Spleen</v>
          </cell>
        </row>
        <row r="7354">
          <cell r="A7354" t="str">
            <v>unk</v>
          </cell>
          <cell r="K7354" t="str">
            <v>ECOL</v>
          </cell>
          <cell r="AB7354" t="str">
            <v>cystic debris</v>
          </cell>
        </row>
        <row r="7355">
          <cell r="A7355" t="str">
            <v>unk</v>
          </cell>
          <cell r="K7355" t="str">
            <v>ECOL</v>
          </cell>
          <cell r="AB7355" t="str">
            <v>Kidney</v>
          </cell>
        </row>
        <row r="7356">
          <cell r="A7356" t="str">
            <v>unk</v>
          </cell>
          <cell r="K7356" t="str">
            <v>ECOL</v>
          </cell>
          <cell r="AB7356" t="str">
            <v>Skin</v>
          </cell>
        </row>
        <row r="7357">
          <cell r="A7357" t="str">
            <v>in storage</v>
          </cell>
          <cell r="K7357" t="str">
            <v>ECOL</v>
          </cell>
          <cell r="AB7357" t="str">
            <v>Skin</v>
          </cell>
        </row>
        <row r="7358">
          <cell r="A7358" t="str">
            <v>in storage</v>
          </cell>
          <cell r="K7358" t="str">
            <v>PCOQ</v>
          </cell>
          <cell r="AB7358" t="str">
            <v>GI- stomach</v>
          </cell>
        </row>
        <row r="7359">
          <cell r="A7359" t="str">
            <v>in storage</v>
          </cell>
          <cell r="K7359" t="str">
            <v>PCOQ</v>
          </cell>
          <cell r="AB7359" t="str">
            <v>GI Contents- jejunum</v>
          </cell>
        </row>
        <row r="7360">
          <cell r="A7360" t="str">
            <v>in storage</v>
          </cell>
          <cell r="K7360" t="str">
            <v>PCOQ</v>
          </cell>
          <cell r="AB7360" t="str">
            <v>GI Contents- stomach</v>
          </cell>
        </row>
        <row r="7361">
          <cell r="A7361" t="str">
            <v>in storage</v>
          </cell>
          <cell r="K7361" t="str">
            <v>ECOL</v>
          </cell>
          <cell r="AB7361" t="str">
            <v>unknown tissue type</v>
          </cell>
        </row>
        <row r="7362">
          <cell r="A7362" t="str">
            <v>in storage</v>
          </cell>
          <cell r="K7362" t="str">
            <v>PCOQ</v>
          </cell>
          <cell r="AB7362" t="str">
            <v>GI- cecum</v>
          </cell>
        </row>
        <row r="7363">
          <cell r="A7363" t="str">
            <v>in storage</v>
          </cell>
          <cell r="K7363" t="str">
            <v>CMED</v>
          </cell>
          <cell r="AB7363" t="str">
            <v>Lung</v>
          </cell>
        </row>
        <row r="7364">
          <cell r="A7364" t="str">
            <v>in storage</v>
          </cell>
          <cell r="K7364" t="str">
            <v>MMUR</v>
          </cell>
          <cell r="AB7364" t="str">
            <v>Mass- abdominal</v>
          </cell>
        </row>
        <row r="7365">
          <cell r="A7365" t="str">
            <v>in storage</v>
          </cell>
          <cell r="K7365" t="str">
            <v>MMUR</v>
          </cell>
          <cell r="AB7365" t="str">
            <v>Mass- adrenal</v>
          </cell>
        </row>
        <row r="7366">
          <cell r="A7366" t="str">
            <v>in storage</v>
          </cell>
          <cell r="K7366" t="str">
            <v>MMUR</v>
          </cell>
          <cell r="AB7366" t="str">
            <v>Muscle</v>
          </cell>
        </row>
        <row r="7367">
          <cell r="A7367" t="str">
            <v>in storage</v>
          </cell>
          <cell r="K7367" t="str">
            <v>MMUR</v>
          </cell>
          <cell r="AB7367" t="str">
            <v>Skin</v>
          </cell>
        </row>
        <row r="7368">
          <cell r="A7368" t="str">
            <v>in storage</v>
          </cell>
          <cell r="K7368" t="str">
            <v>MMUR</v>
          </cell>
          <cell r="AB7368" t="str">
            <v>RU- accessory sex glands/ bladder</v>
          </cell>
        </row>
        <row r="7369">
          <cell r="A7369" t="str">
            <v>in storage</v>
          </cell>
          <cell r="K7369" t="str">
            <v>MMUR</v>
          </cell>
          <cell r="AB7369" t="str">
            <v>Heart</v>
          </cell>
        </row>
        <row r="7370">
          <cell r="A7370" t="str">
            <v>in storage</v>
          </cell>
          <cell r="K7370" t="str">
            <v>MMUR</v>
          </cell>
          <cell r="AB7370" t="str">
            <v>Kidney</v>
          </cell>
        </row>
        <row r="7371">
          <cell r="A7371" t="str">
            <v>in storage</v>
          </cell>
          <cell r="K7371" t="str">
            <v>MMUR</v>
          </cell>
          <cell r="AB7371" t="str">
            <v>Kidney</v>
          </cell>
        </row>
        <row r="7372">
          <cell r="A7372" t="str">
            <v>in storage</v>
          </cell>
          <cell r="K7372" t="str">
            <v>MMUR</v>
          </cell>
          <cell r="AB7372" t="str">
            <v>Liver</v>
          </cell>
        </row>
        <row r="7373">
          <cell r="A7373" t="str">
            <v>in storage</v>
          </cell>
          <cell r="K7373" t="str">
            <v>MMUR</v>
          </cell>
          <cell r="AB7373" t="str">
            <v>Liver</v>
          </cell>
        </row>
        <row r="7374">
          <cell r="A7374" t="str">
            <v>in storage</v>
          </cell>
          <cell r="K7374" t="str">
            <v>MMUR</v>
          </cell>
          <cell r="AB7374" t="str">
            <v>Liver</v>
          </cell>
        </row>
        <row r="7375">
          <cell r="A7375" t="str">
            <v>in storage</v>
          </cell>
          <cell r="K7375" t="str">
            <v>MMUR</v>
          </cell>
          <cell r="AB7375" t="str">
            <v>Lung</v>
          </cell>
        </row>
        <row r="7376">
          <cell r="A7376" t="str">
            <v>in storage</v>
          </cell>
          <cell r="K7376" t="str">
            <v>MMUR</v>
          </cell>
          <cell r="AB7376" t="str">
            <v>Lung</v>
          </cell>
        </row>
        <row r="7377">
          <cell r="A7377" t="str">
            <v>in storage</v>
          </cell>
          <cell r="K7377" t="str">
            <v>MMUR</v>
          </cell>
          <cell r="AB7377" t="str">
            <v>Spleen</v>
          </cell>
        </row>
        <row r="7378">
          <cell r="A7378" t="str">
            <v>in storage</v>
          </cell>
          <cell r="K7378" t="str">
            <v>MMUR</v>
          </cell>
          <cell r="AB7378" t="str">
            <v>Liver</v>
          </cell>
        </row>
        <row r="7379">
          <cell r="A7379" t="str">
            <v>in storage</v>
          </cell>
          <cell r="K7379" t="str">
            <v>PCOQ</v>
          </cell>
          <cell r="AB7379" t="str">
            <v>GI- esophagus</v>
          </cell>
        </row>
        <row r="7380">
          <cell r="A7380" t="str">
            <v>in storage</v>
          </cell>
          <cell r="K7380" t="str">
            <v>PCOQ</v>
          </cell>
          <cell r="AB7380" t="str">
            <v>GI- large intestine</v>
          </cell>
        </row>
        <row r="7381">
          <cell r="A7381" t="str">
            <v>in storage</v>
          </cell>
          <cell r="K7381" t="str">
            <v>PCOQ</v>
          </cell>
          <cell r="AB7381" t="str">
            <v>GI- small intestine</v>
          </cell>
        </row>
        <row r="7382">
          <cell r="A7382" t="str">
            <v>in storage</v>
          </cell>
          <cell r="K7382" t="str">
            <v>MMUR</v>
          </cell>
          <cell r="AB7382" t="str">
            <v>Mass- lymph node</v>
          </cell>
        </row>
        <row r="7383">
          <cell r="A7383" t="str">
            <v>in storage</v>
          </cell>
          <cell r="K7383" t="str">
            <v>PCOQ</v>
          </cell>
          <cell r="AB7383" t="str">
            <v>GI- stomach</v>
          </cell>
        </row>
        <row r="7384">
          <cell r="A7384" t="str">
            <v>in storage</v>
          </cell>
          <cell r="K7384" t="str">
            <v>MMUR</v>
          </cell>
          <cell r="AB7384" t="str">
            <v>Mass- mesenteric</v>
          </cell>
        </row>
        <row r="7385">
          <cell r="A7385" t="str">
            <v>in storage</v>
          </cell>
          <cell r="K7385" t="str">
            <v>MMUR</v>
          </cell>
          <cell r="AB7385" t="str">
            <v>Mass- sternal</v>
          </cell>
        </row>
        <row r="7386">
          <cell r="A7386" t="str">
            <v>in storage</v>
          </cell>
          <cell r="K7386" t="str">
            <v>MMUR</v>
          </cell>
          <cell r="AB7386" t="str">
            <v>Mass- ureter</v>
          </cell>
        </row>
        <row r="7387">
          <cell r="A7387" t="str">
            <v>in storage</v>
          </cell>
          <cell r="K7387" t="str">
            <v>MMUR</v>
          </cell>
          <cell r="AB7387" t="str">
            <v>Mass- ureter</v>
          </cell>
        </row>
        <row r="7388">
          <cell r="A7388" t="str">
            <v>in storage</v>
          </cell>
          <cell r="K7388" t="str">
            <v>MMUR</v>
          </cell>
          <cell r="AB7388" t="str">
            <v>Muscle</v>
          </cell>
        </row>
        <row r="7389">
          <cell r="A7389" t="str">
            <v>in storage</v>
          </cell>
          <cell r="K7389" t="str">
            <v>MMUR</v>
          </cell>
          <cell r="AB7389" t="str">
            <v>Muscle</v>
          </cell>
        </row>
        <row r="7390">
          <cell r="A7390" t="str">
            <v>in storage</v>
          </cell>
          <cell r="K7390" t="str">
            <v>MMUR</v>
          </cell>
          <cell r="AB7390" t="str">
            <v>Muscle</v>
          </cell>
        </row>
        <row r="7391">
          <cell r="A7391" t="str">
            <v>in storage</v>
          </cell>
          <cell r="K7391" t="str">
            <v>MMUR</v>
          </cell>
          <cell r="AB7391" t="str">
            <v>R- accessory sex glands</v>
          </cell>
        </row>
        <row r="7392">
          <cell r="A7392" t="str">
            <v>in storage</v>
          </cell>
          <cell r="K7392" t="str">
            <v>PCOQ</v>
          </cell>
          <cell r="AB7392" t="str">
            <v>GI Tract</v>
          </cell>
        </row>
        <row r="7393">
          <cell r="A7393" t="str">
            <v>in storage</v>
          </cell>
          <cell r="K7393" t="str">
            <v>MMUR</v>
          </cell>
          <cell r="AB7393" t="str">
            <v>Trachea</v>
          </cell>
        </row>
        <row r="7394">
          <cell r="A7394" t="str">
            <v>in storage</v>
          </cell>
          <cell r="K7394" t="str">
            <v>MMUR</v>
          </cell>
          <cell r="AB7394" t="str">
            <v>Liver</v>
          </cell>
        </row>
        <row r="7395">
          <cell r="A7395" t="str">
            <v>in storage</v>
          </cell>
          <cell r="K7395" t="str">
            <v>MMUR</v>
          </cell>
          <cell r="AB7395" t="str">
            <v>Skin</v>
          </cell>
        </row>
        <row r="7396">
          <cell r="A7396" t="str">
            <v>in storage</v>
          </cell>
          <cell r="K7396" t="str">
            <v>MMUR</v>
          </cell>
          <cell r="AB7396" t="str">
            <v>Adrenal gland</v>
          </cell>
        </row>
        <row r="7397">
          <cell r="A7397" t="str">
            <v>in storage</v>
          </cell>
          <cell r="K7397" t="str">
            <v>MMUR</v>
          </cell>
          <cell r="AB7397" t="str">
            <v>Adrenal gland</v>
          </cell>
        </row>
        <row r="7398">
          <cell r="A7398" t="str">
            <v>in storage</v>
          </cell>
          <cell r="K7398" t="str">
            <v>MMUR</v>
          </cell>
          <cell r="AB7398" t="str">
            <v>Heart</v>
          </cell>
        </row>
        <row r="7399">
          <cell r="A7399" t="str">
            <v>in storage</v>
          </cell>
          <cell r="K7399" t="str">
            <v>MMUR</v>
          </cell>
          <cell r="AB7399" t="str">
            <v>Heart</v>
          </cell>
        </row>
        <row r="7400">
          <cell r="A7400" t="str">
            <v>in storage</v>
          </cell>
          <cell r="K7400" t="str">
            <v>MMUR</v>
          </cell>
          <cell r="AB7400" t="str">
            <v>Kidney</v>
          </cell>
        </row>
        <row r="7401">
          <cell r="A7401" t="str">
            <v>in storage</v>
          </cell>
          <cell r="K7401" t="str">
            <v>MMUR</v>
          </cell>
          <cell r="AB7401" t="str">
            <v>Kidney</v>
          </cell>
        </row>
        <row r="7402">
          <cell r="A7402" t="str">
            <v>in storage</v>
          </cell>
          <cell r="K7402" t="str">
            <v>MMUR</v>
          </cell>
          <cell r="AB7402" t="str">
            <v>Kidney</v>
          </cell>
        </row>
        <row r="7403">
          <cell r="A7403" t="str">
            <v>in storage</v>
          </cell>
          <cell r="K7403" t="str">
            <v>MMUR</v>
          </cell>
          <cell r="AB7403" t="str">
            <v>Kidney</v>
          </cell>
        </row>
        <row r="7404">
          <cell r="A7404" t="str">
            <v>in storage</v>
          </cell>
          <cell r="K7404" t="str">
            <v>MMUR</v>
          </cell>
          <cell r="AB7404" t="str">
            <v>Liver</v>
          </cell>
        </row>
        <row r="7405">
          <cell r="A7405" t="str">
            <v>in storage</v>
          </cell>
          <cell r="K7405" t="str">
            <v>MMUR</v>
          </cell>
          <cell r="AB7405" t="str">
            <v>Liver</v>
          </cell>
        </row>
        <row r="7406">
          <cell r="A7406" t="str">
            <v>in storage</v>
          </cell>
          <cell r="K7406" t="str">
            <v>MMUR</v>
          </cell>
          <cell r="AB7406" t="str">
            <v>Liver</v>
          </cell>
        </row>
        <row r="7407">
          <cell r="A7407" t="str">
            <v>in storage</v>
          </cell>
          <cell r="K7407" t="str">
            <v>MMUR</v>
          </cell>
          <cell r="AB7407" t="str">
            <v>Lung</v>
          </cell>
        </row>
        <row r="7408">
          <cell r="A7408" t="str">
            <v>in storage</v>
          </cell>
          <cell r="K7408" t="str">
            <v>MMUR</v>
          </cell>
          <cell r="AB7408" t="str">
            <v>Lung</v>
          </cell>
        </row>
        <row r="7409">
          <cell r="A7409" t="str">
            <v>in storage</v>
          </cell>
          <cell r="K7409" t="str">
            <v>MMUR</v>
          </cell>
          <cell r="AB7409" t="str">
            <v>Pancreas</v>
          </cell>
        </row>
        <row r="7410">
          <cell r="A7410" t="str">
            <v>in storage</v>
          </cell>
          <cell r="K7410" t="str">
            <v>MMUR</v>
          </cell>
          <cell r="AB7410" t="str">
            <v>Spleen</v>
          </cell>
        </row>
        <row r="7411">
          <cell r="A7411" t="str">
            <v>in storage</v>
          </cell>
          <cell r="K7411" t="str">
            <v>MMUR</v>
          </cell>
          <cell r="AB7411" t="str">
            <v>Spleen</v>
          </cell>
        </row>
        <row r="7412">
          <cell r="A7412" t="str">
            <v>in storage</v>
          </cell>
          <cell r="K7412" t="str">
            <v>PCOQ</v>
          </cell>
          <cell r="AB7412" t="str">
            <v>GI- ileum</v>
          </cell>
        </row>
        <row r="7413">
          <cell r="A7413" t="str">
            <v>in storage</v>
          </cell>
          <cell r="K7413" t="str">
            <v>PCOQ</v>
          </cell>
          <cell r="AB7413" t="str">
            <v>GI- duodenum</v>
          </cell>
        </row>
        <row r="7414">
          <cell r="A7414" t="str">
            <v>in storage</v>
          </cell>
          <cell r="K7414" t="str">
            <v>PCOQ</v>
          </cell>
          <cell r="AB7414" t="str">
            <v>GI Contents- cecum</v>
          </cell>
        </row>
        <row r="7415">
          <cell r="A7415" t="str">
            <v>in storage</v>
          </cell>
          <cell r="K7415" t="str">
            <v>PCOQ</v>
          </cell>
          <cell r="AB7415" t="str">
            <v>GI- cecum</v>
          </cell>
        </row>
        <row r="7416">
          <cell r="A7416" t="str">
            <v>in storage</v>
          </cell>
          <cell r="K7416" t="str">
            <v>MMUR</v>
          </cell>
          <cell r="AB7416" t="str">
            <v>R- teste(s)</v>
          </cell>
        </row>
        <row r="7417">
          <cell r="A7417" t="str">
            <v>in storage</v>
          </cell>
          <cell r="K7417" t="str">
            <v>MMUR</v>
          </cell>
          <cell r="AB7417" t="str">
            <v>R- teste(s)</v>
          </cell>
        </row>
        <row r="7418">
          <cell r="A7418" t="str">
            <v>in storage</v>
          </cell>
          <cell r="K7418" t="str">
            <v>LCAT</v>
          </cell>
          <cell r="AB7418" t="str">
            <v>Muscle</v>
          </cell>
        </row>
        <row r="7419">
          <cell r="A7419" t="str">
            <v>unk</v>
          </cell>
          <cell r="K7419" t="str">
            <v>LCAT</v>
          </cell>
          <cell r="AB7419" t="str">
            <v>Muscle</v>
          </cell>
        </row>
        <row r="7420">
          <cell r="A7420" t="str">
            <v>in storage</v>
          </cell>
          <cell r="K7420" t="str">
            <v>LCAT</v>
          </cell>
          <cell r="AB7420" t="str">
            <v>Muscle</v>
          </cell>
        </row>
        <row r="7421">
          <cell r="A7421" t="str">
            <v>in storage</v>
          </cell>
          <cell r="K7421" t="str">
            <v>LCAT</v>
          </cell>
          <cell r="AB7421" t="str">
            <v>Muscle</v>
          </cell>
        </row>
        <row r="7422">
          <cell r="A7422" t="str">
            <v>in storage</v>
          </cell>
          <cell r="K7422" t="str">
            <v>LCAT</v>
          </cell>
          <cell r="AB7422" t="str">
            <v>Muscle</v>
          </cell>
        </row>
        <row r="7423">
          <cell r="A7423" t="str">
            <v>in storage</v>
          </cell>
          <cell r="K7423" t="str">
            <v>LCAT</v>
          </cell>
          <cell r="AB7423" t="str">
            <v>skull cap</v>
          </cell>
        </row>
        <row r="7424">
          <cell r="A7424" t="str">
            <v>in storage</v>
          </cell>
          <cell r="K7424" t="str">
            <v>LCAT</v>
          </cell>
          <cell r="AB7424" t="str">
            <v>skull cap</v>
          </cell>
        </row>
        <row r="7425">
          <cell r="A7425" t="str">
            <v>in storage</v>
          </cell>
          <cell r="K7425" t="str">
            <v>LCAT</v>
          </cell>
          <cell r="AB7425" t="str">
            <v>R- accessory sex glands</v>
          </cell>
        </row>
        <row r="7426">
          <cell r="A7426" t="str">
            <v>unk</v>
          </cell>
          <cell r="K7426" t="str">
            <v>LCAT</v>
          </cell>
          <cell r="AB7426" t="str">
            <v>R- accessory sex glands</v>
          </cell>
        </row>
        <row r="7427">
          <cell r="A7427" t="str">
            <v>unk</v>
          </cell>
          <cell r="K7427" t="str">
            <v>LCAT</v>
          </cell>
          <cell r="AB7427" t="str">
            <v>R- ejaculate</v>
          </cell>
        </row>
        <row r="7428">
          <cell r="A7428" t="str">
            <v>in storage</v>
          </cell>
          <cell r="K7428" t="str">
            <v>LCAT</v>
          </cell>
          <cell r="AB7428" t="str">
            <v>R- ejaculate</v>
          </cell>
        </row>
        <row r="7429">
          <cell r="A7429" t="str">
            <v>in storage</v>
          </cell>
          <cell r="K7429" t="str">
            <v>LCAT</v>
          </cell>
          <cell r="AB7429" t="str">
            <v>R- ejaculate</v>
          </cell>
        </row>
        <row r="7430">
          <cell r="A7430" t="str">
            <v>in storage</v>
          </cell>
          <cell r="K7430" t="str">
            <v>PCOQ</v>
          </cell>
          <cell r="AB7430" t="str">
            <v>GI- appendix</v>
          </cell>
        </row>
        <row r="7431">
          <cell r="A7431" t="str">
            <v>in storage</v>
          </cell>
          <cell r="K7431" t="str">
            <v>PCOQ</v>
          </cell>
          <cell r="AB7431" t="str">
            <v>GI- colon</v>
          </cell>
        </row>
        <row r="7432">
          <cell r="A7432" t="str">
            <v>in storage</v>
          </cell>
          <cell r="K7432" t="str">
            <v>LCAT</v>
          </cell>
          <cell r="AB7432" t="str">
            <v>Liver</v>
          </cell>
        </row>
        <row r="7433">
          <cell r="A7433" t="str">
            <v>in storage</v>
          </cell>
          <cell r="K7433" t="str">
            <v>LCAT</v>
          </cell>
          <cell r="AB7433" t="str">
            <v>Liver</v>
          </cell>
        </row>
        <row r="7434">
          <cell r="A7434" t="str">
            <v>in storage</v>
          </cell>
          <cell r="K7434" t="str">
            <v>LCAT</v>
          </cell>
          <cell r="AB7434" t="str">
            <v>Liver</v>
          </cell>
        </row>
        <row r="7435">
          <cell r="A7435" t="str">
            <v>in storage</v>
          </cell>
          <cell r="K7435" t="str">
            <v>LCAT</v>
          </cell>
          <cell r="AB7435" t="str">
            <v>Heart</v>
          </cell>
        </row>
        <row r="7436">
          <cell r="A7436" t="str">
            <v>unk</v>
          </cell>
          <cell r="K7436" t="str">
            <v>LCAT</v>
          </cell>
          <cell r="AB7436" t="str">
            <v>Heart</v>
          </cell>
        </row>
        <row r="7437">
          <cell r="A7437" t="str">
            <v>in storage</v>
          </cell>
          <cell r="K7437" t="str">
            <v>LCAT</v>
          </cell>
          <cell r="AB7437" t="str">
            <v>Lung</v>
          </cell>
        </row>
        <row r="7438">
          <cell r="A7438" t="str">
            <v>in storage</v>
          </cell>
          <cell r="K7438" t="str">
            <v>LCAT</v>
          </cell>
          <cell r="AB7438" t="str">
            <v>Lung</v>
          </cell>
        </row>
        <row r="7439">
          <cell r="A7439" t="str">
            <v>in storage</v>
          </cell>
          <cell r="K7439" t="str">
            <v>LCAT</v>
          </cell>
          <cell r="AB7439" t="str">
            <v>U- bladder</v>
          </cell>
        </row>
        <row r="7440">
          <cell r="A7440" t="str">
            <v>in storage</v>
          </cell>
          <cell r="K7440" t="str">
            <v>LCAT</v>
          </cell>
          <cell r="AB7440" t="str">
            <v>Liver</v>
          </cell>
        </row>
        <row r="7441">
          <cell r="A7441" t="str">
            <v>in storage</v>
          </cell>
          <cell r="K7441" t="str">
            <v>LCAT</v>
          </cell>
          <cell r="AB7441" t="str">
            <v>Skin</v>
          </cell>
        </row>
        <row r="7442">
          <cell r="A7442" t="str">
            <v>in storage</v>
          </cell>
          <cell r="K7442" t="str">
            <v>PCOQ</v>
          </cell>
          <cell r="AB7442" t="str">
            <v>Mass- oral</v>
          </cell>
        </row>
        <row r="7443">
          <cell r="A7443" t="str">
            <v>unk</v>
          </cell>
          <cell r="K7443" t="str">
            <v>LCAT</v>
          </cell>
          <cell r="AB7443" t="str">
            <v>U- bladder</v>
          </cell>
        </row>
        <row r="7444">
          <cell r="A7444" t="str">
            <v>in storage</v>
          </cell>
          <cell r="K7444" t="str">
            <v>LCAT</v>
          </cell>
          <cell r="AB7444" t="str">
            <v>Pancreas</v>
          </cell>
        </row>
        <row r="7445">
          <cell r="A7445" t="str">
            <v>in storage</v>
          </cell>
          <cell r="K7445" t="str">
            <v>LCAT</v>
          </cell>
          <cell r="AB7445" t="str">
            <v>Pancreas</v>
          </cell>
        </row>
        <row r="7446">
          <cell r="A7446" t="str">
            <v>in storage</v>
          </cell>
          <cell r="K7446" t="str">
            <v>LCAT</v>
          </cell>
          <cell r="AB7446" t="str">
            <v>Spleen</v>
          </cell>
        </row>
        <row r="7447">
          <cell r="A7447" t="str">
            <v>in storage</v>
          </cell>
          <cell r="K7447" t="str">
            <v>LCAT</v>
          </cell>
          <cell r="AB7447" t="str">
            <v>Adrenal gland</v>
          </cell>
        </row>
        <row r="7448">
          <cell r="A7448" t="str">
            <v>in storage</v>
          </cell>
          <cell r="K7448" t="str">
            <v>LCAT</v>
          </cell>
          <cell r="AB7448" t="str">
            <v>Adrenal gland</v>
          </cell>
        </row>
        <row r="7449">
          <cell r="A7449" t="str">
            <v>in storage</v>
          </cell>
          <cell r="K7449" t="str">
            <v>LCAT</v>
          </cell>
          <cell r="AB7449" t="str">
            <v>Heart</v>
          </cell>
        </row>
        <row r="7450">
          <cell r="A7450" t="str">
            <v>in storage</v>
          </cell>
          <cell r="K7450" t="str">
            <v>LCAT</v>
          </cell>
          <cell r="AB7450" t="str">
            <v>Heart</v>
          </cell>
        </row>
        <row r="7451">
          <cell r="A7451" t="str">
            <v>in storage</v>
          </cell>
          <cell r="K7451" t="str">
            <v>LCAT</v>
          </cell>
          <cell r="AB7451" t="str">
            <v>Heart</v>
          </cell>
        </row>
        <row r="7452">
          <cell r="A7452" t="str">
            <v>in storage</v>
          </cell>
          <cell r="K7452" t="str">
            <v>LCAT</v>
          </cell>
          <cell r="AB7452" t="str">
            <v>Kidney</v>
          </cell>
        </row>
        <row r="7453">
          <cell r="A7453" t="str">
            <v>in storage</v>
          </cell>
          <cell r="K7453" t="str">
            <v>LCAT</v>
          </cell>
          <cell r="AB7453" t="str">
            <v>Kidney</v>
          </cell>
        </row>
        <row r="7454">
          <cell r="A7454" t="str">
            <v>in storage</v>
          </cell>
          <cell r="K7454" t="str">
            <v>LCAT</v>
          </cell>
          <cell r="AB7454" t="str">
            <v>Lung</v>
          </cell>
        </row>
        <row r="7455">
          <cell r="A7455" t="str">
            <v>in storage</v>
          </cell>
          <cell r="K7455" t="str">
            <v>LCAT</v>
          </cell>
          <cell r="AB7455" t="str">
            <v>Lung</v>
          </cell>
        </row>
        <row r="7456">
          <cell r="A7456" t="str">
            <v>in storage</v>
          </cell>
          <cell r="K7456" t="str">
            <v>LCAT</v>
          </cell>
          <cell r="AB7456" t="str">
            <v>Lung</v>
          </cell>
        </row>
        <row r="7457">
          <cell r="A7457" t="str">
            <v>in storage</v>
          </cell>
          <cell r="K7457" t="str">
            <v>PCOQ</v>
          </cell>
          <cell r="AB7457" t="str">
            <v>GI- ileum/ jejunum</v>
          </cell>
        </row>
        <row r="7458">
          <cell r="A7458" t="str">
            <v>in storage</v>
          </cell>
          <cell r="K7458" t="str">
            <v>PCOQ</v>
          </cell>
          <cell r="AB7458" t="str">
            <v>GI- large intestine</v>
          </cell>
        </row>
        <row r="7459">
          <cell r="A7459" t="str">
            <v>in storage</v>
          </cell>
          <cell r="K7459" t="str">
            <v>PCOQ</v>
          </cell>
          <cell r="AB7459" t="str">
            <v>GI- stomach</v>
          </cell>
        </row>
        <row r="7460">
          <cell r="A7460" t="str">
            <v>in storage</v>
          </cell>
          <cell r="K7460" t="str">
            <v>PCOQ</v>
          </cell>
          <cell r="AB7460" t="str">
            <v>GI Contents- stomach</v>
          </cell>
        </row>
        <row r="7461">
          <cell r="A7461" t="str">
            <v>in storage</v>
          </cell>
          <cell r="K7461" t="str">
            <v>PCOQ</v>
          </cell>
          <cell r="AB7461" t="str">
            <v>GI- jejunum</v>
          </cell>
        </row>
        <row r="7462">
          <cell r="A7462" t="str">
            <v>in storage</v>
          </cell>
          <cell r="K7462" t="str">
            <v>PCOQ</v>
          </cell>
          <cell r="AB7462" t="str">
            <v>GI- cecum</v>
          </cell>
        </row>
        <row r="7463">
          <cell r="A7463" t="str">
            <v>in storage</v>
          </cell>
          <cell r="K7463" t="str">
            <v>LCAT</v>
          </cell>
          <cell r="AB7463" t="str">
            <v>Kidney</v>
          </cell>
        </row>
        <row r="7464">
          <cell r="A7464" t="str">
            <v>unk</v>
          </cell>
          <cell r="K7464" t="str">
            <v>LCAT</v>
          </cell>
          <cell r="AB7464" t="str">
            <v>Kidney</v>
          </cell>
        </row>
        <row r="7465">
          <cell r="A7465" t="str">
            <v>unk</v>
          </cell>
          <cell r="K7465" t="str">
            <v>LCAT</v>
          </cell>
          <cell r="AB7465" t="str">
            <v>Lung</v>
          </cell>
        </row>
        <row r="7466">
          <cell r="A7466" t="str">
            <v>unk</v>
          </cell>
          <cell r="K7466" t="str">
            <v>LCAT</v>
          </cell>
          <cell r="AB7466" t="str">
            <v>Lung</v>
          </cell>
        </row>
        <row r="7467">
          <cell r="A7467" t="str">
            <v>unk</v>
          </cell>
          <cell r="K7467" t="str">
            <v>LCAT</v>
          </cell>
          <cell r="AB7467" t="str">
            <v>Skin</v>
          </cell>
        </row>
        <row r="7468">
          <cell r="A7468" t="str">
            <v>unk</v>
          </cell>
          <cell r="K7468" t="str">
            <v>LCAT</v>
          </cell>
          <cell r="AB7468" t="str">
            <v>R- teste(s)</v>
          </cell>
        </row>
        <row r="7469">
          <cell r="A7469" t="str">
            <v>unk</v>
          </cell>
          <cell r="K7469" t="str">
            <v>LCAT</v>
          </cell>
          <cell r="AB7469" t="str">
            <v>R- teste(s)</v>
          </cell>
        </row>
        <row r="7470">
          <cell r="A7470" t="str">
            <v>in storage</v>
          </cell>
          <cell r="K7470" t="str">
            <v>EMON</v>
          </cell>
          <cell r="AB7470" t="str">
            <v>Muscle</v>
          </cell>
        </row>
        <row r="7471">
          <cell r="A7471" t="str">
            <v>unk</v>
          </cell>
          <cell r="K7471" t="str">
            <v>EMON</v>
          </cell>
          <cell r="AB7471" t="str">
            <v>Muscle</v>
          </cell>
        </row>
        <row r="7472">
          <cell r="A7472" t="str">
            <v>in storage</v>
          </cell>
          <cell r="K7472" t="str">
            <v>EMON</v>
          </cell>
          <cell r="AB7472" t="str">
            <v>Mass- liver</v>
          </cell>
        </row>
        <row r="7473">
          <cell r="A7473" t="str">
            <v>in storage</v>
          </cell>
          <cell r="K7473" t="str">
            <v>EMON</v>
          </cell>
          <cell r="AB7473" t="str">
            <v>Mass- liver</v>
          </cell>
        </row>
        <row r="7474">
          <cell r="A7474" t="str">
            <v>in storage</v>
          </cell>
          <cell r="K7474" t="str">
            <v>OGG</v>
          </cell>
          <cell r="AB7474" t="str">
            <v xml:space="preserve">Mass- ovarian </v>
          </cell>
        </row>
        <row r="7475">
          <cell r="A7475" t="str">
            <v>in storage</v>
          </cell>
          <cell r="K7475" t="str">
            <v>EMON</v>
          </cell>
          <cell r="AB7475" t="str">
            <v>Mass- liver</v>
          </cell>
        </row>
        <row r="7476">
          <cell r="A7476" t="str">
            <v>in storage</v>
          </cell>
          <cell r="K7476" t="str">
            <v>EMON</v>
          </cell>
          <cell r="AB7476" t="str">
            <v>R- accessory sex glands</v>
          </cell>
        </row>
        <row r="7477">
          <cell r="A7477" t="str">
            <v>in storage</v>
          </cell>
          <cell r="K7477" t="str">
            <v>PCOQ</v>
          </cell>
          <cell r="AB7477" t="str">
            <v>GI- esophagus</v>
          </cell>
        </row>
        <row r="7478">
          <cell r="A7478" t="str">
            <v>in storage</v>
          </cell>
          <cell r="K7478" t="str">
            <v>EMON</v>
          </cell>
          <cell r="AB7478" t="str">
            <v>Liver</v>
          </cell>
        </row>
        <row r="7479">
          <cell r="A7479" t="str">
            <v>in storage</v>
          </cell>
          <cell r="K7479" t="str">
            <v>EMON</v>
          </cell>
          <cell r="AB7479" t="str">
            <v>Liver</v>
          </cell>
        </row>
        <row r="7480">
          <cell r="A7480" t="str">
            <v>in storage</v>
          </cell>
          <cell r="K7480" t="str">
            <v>EMON</v>
          </cell>
          <cell r="AB7480" t="str">
            <v>Liver</v>
          </cell>
        </row>
        <row r="7481">
          <cell r="A7481" t="str">
            <v>in storage</v>
          </cell>
          <cell r="K7481" t="str">
            <v>EMON</v>
          </cell>
          <cell r="AB7481" t="str">
            <v>Kidney</v>
          </cell>
        </row>
        <row r="7482">
          <cell r="A7482" t="str">
            <v>in storage</v>
          </cell>
          <cell r="K7482" t="str">
            <v>EMON</v>
          </cell>
          <cell r="AB7482" t="str">
            <v>Lung</v>
          </cell>
        </row>
        <row r="7483">
          <cell r="A7483" t="str">
            <v>in storage</v>
          </cell>
          <cell r="K7483" t="str">
            <v>EMON</v>
          </cell>
          <cell r="AB7483" t="str">
            <v>U- bladder</v>
          </cell>
        </row>
        <row r="7484">
          <cell r="A7484" t="str">
            <v>unk</v>
          </cell>
          <cell r="K7484" t="str">
            <v>EMON</v>
          </cell>
          <cell r="AB7484" t="str">
            <v>Liver</v>
          </cell>
        </row>
        <row r="7485">
          <cell r="A7485" t="str">
            <v>in storage</v>
          </cell>
          <cell r="K7485" t="str">
            <v>EMON</v>
          </cell>
          <cell r="AB7485" t="str">
            <v>Skin</v>
          </cell>
        </row>
        <row r="7486">
          <cell r="A7486" t="str">
            <v>in storage</v>
          </cell>
          <cell r="K7486" t="str">
            <v>EMON</v>
          </cell>
          <cell r="AB7486" t="str">
            <v>Skin</v>
          </cell>
        </row>
        <row r="7487">
          <cell r="A7487" t="str">
            <v>in storage</v>
          </cell>
          <cell r="K7487" t="str">
            <v>EMON</v>
          </cell>
          <cell r="AB7487" t="str">
            <v>Skin</v>
          </cell>
        </row>
        <row r="7488">
          <cell r="A7488" t="str">
            <v>in storage</v>
          </cell>
          <cell r="K7488" t="str">
            <v>EMON</v>
          </cell>
          <cell r="AB7488" t="str">
            <v>Skin</v>
          </cell>
        </row>
        <row r="7489">
          <cell r="A7489" t="str">
            <v>in storage</v>
          </cell>
          <cell r="K7489" t="str">
            <v>EMON</v>
          </cell>
          <cell r="AB7489" t="str">
            <v>Heart</v>
          </cell>
        </row>
        <row r="7490">
          <cell r="A7490" t="str">
            <v>in storage</v>
          </cell>
          <cell r="K7490" t="str">
            <v>EMON</v>
          </cell>
          <cell r="AB7490" t="str">
            <v>Heart</v>
          </cell>
        </row>
        <row r="7491">
          <cell r="A7491" t="str">
            <v>in storage</v>
          </cell>
          <cell r="K7491" t="str">
            <v>EMON</v>
          </cell>
          <cell r="AB7491" t="str">
            <v>Heart</v>
          </cell>
        </row>
        <row r="7492">
          <cell r="A7492" t="str">
            <v>in storage</v>
          </cell>
          <cell r="K7492" t="str">
            <v>EMON</v>
          </cell>
          <cell r="AB7492" t="str">
            <v>Heart</v>
          </cell>
        </row>
        <row r="7493">
          <cell r="A7493" t="str">
            <v>in storage</v>
          </cell>
          <cell r="K7493" t="str">
            <v>EMON</v>
          </cell>
          <cell r="AB7493" t="str">
            <v>Kidney</v>
          </cell>
        </row>
        <row r="7494">
          <cell r="A7494" t="str">
            <v>in storage</v>
          </cell>
          <cell r="K7494" t="str">
            <v>EMON</v>
          </cell>
          <cell r="AB7494" t="str">
            <v>Kidney</v>
          </cell>
        </row>
        <row r="7495">
          <cell r="A7495" t="str">
            <v>in storage</v>
          </cell>
          <cell r="K7495" t="str">
            <v>EMON</v>
          </cell>
          <cell r="AB7495" t="str">
            <v>Kidney</v>
          </cell>
        </row>
        <row r="7496">
          <cell r="A7496" t="str">
            <v>in storage</v>
          </cell>
          <cell r="K7496" t="str">
            <v>EMON</v>
          </cell>
          <cell r="AB7496" t="str">
            <v>Lung</v>
          </cell>
        </row>
        <row r="7497">
          <cell r="A7497" t="str">
            <v>in storage</v>
          </cell>
          <cell r="K7497" t="str">
            <v>EMON</v>
          </cell>
          <cell r="AB7497" t="str">
            <v>Lung</v>
          </cell>
        </row>
        <row r="7498">
          <cell r="A7498" t="str">
            <v>in storage</v>
          </cell>
          <cell r="K7498" t="str">
            <v>EMON</v>
          </cell>
          <cell r="AB7498" t="str">
            <v>Pancreas</v>
          </cell>
        </row>
        <row r="7499">
          <cell r="A7499" t="str">
            <v>in storage</v>
          </cell>
          <cell r="K7499" t="str">
            <v>EMON</v>
          </cell>
          <cell r="AB7499" t="str">
            <v>Spleen</v>
          </cell>
        </row>
        <row r="7500">
          <cell r="A7500" t="str">
            <v>in storage</v>
          </cell>
          <cell r="K7500" t="str">
            <v>PCOQ</v>
          </cell>
          <cell r="AB7500" t="str">
            <v>GI- large intestine</v>
          </cell>
        </row>
        <row r="7501">
          <cell r="A7501" t="str">
            <v>in storage</v>
          </cell>
          <cell r="K7501" t="str">
            <v>PCOQ</v>
          </cell>
          <cell r="AB7501" t="str">
            <v>GI- small intestine</v>
          </cell>
        </row>
        <row r="7502">
          <cell r="A7502" t="str">
            <v>in storage</v>
          </cell>
          <cell r="K7502" t="str">
            <v>PCOQ</v>
          </cell>
          <cell r="AB7502" t="str">
            <v>GI- stomach</v>
          </cell>
        </row>
        <row r="7503">
          <cell r="A7503" t="str">
            <v>in storage</v>
          </cell>
          <cell r="K7503" t="str">
            <v>EMON</v>
          </cell>
          <cell r="AB7503" t="str">
            <v>R- teste(s)</v>
          </cell>
        </row>
        <row r="7504">
          <cell r="A7504" t="str">
            <v>in storage</v>
          </cell>
          <cell r="K7504" t="str">
            <v>EMON</v>
          </cell>
          <cell r="AB7504" t="str">
            <v>Adrenal gland</v>
          </cell>
        </row>
        <row r="7505">
          <cell r="A7505" t="str">
            <v>in storage</v>
          </cell>
          <cell r="K7505" t="str">
            <v>EMON</v>
          </cell>
          <cell r="AB7505" t="str">
            <v>Mass- sternal</v>
          </cell>
        </row>
        <row r="7506">
          <cell r="A7506" t="str">
            <v>in storage</v>
          </cell>
          <cell r="K7506" t="str">
            <v>ECOL</v>
          </cell>
          <cell r="AB7506" t="str">
            <v>Muscle</v>
          </cell>
        </row>
        <row r="7507">
          <cell r="A7507" t="str">
            <v>in storage</v>
          </cell>
          <cell r="K7507" t="str">
            <v>ECOL</v>
          </cell>
          <cell r="AB7507" t="str">
            <v>Muscle</v>
          </cell>
        </row>
        <row r="7508">
          <cell r="A7508" t="str">
            <v>in storage</v>
          </cell>
          <cell r="K7508" t="str">
            <v>ECOL</v>
          </cell>
          <cell r="AB7508" t="str">
            <v>R- reproductive tract</v>
          </cell>
        </row>
        <row r="7509">
          <cell r="A7509" t="str">
            <v>in storage</v>
          </cell>
          <cell r="K7509" t="str">
            <v>ECOL</v>
          </cell>
          <cell r="AB7509" t="str">
            <v>Liver</v>
          </cell>
        </row>
        <row r="7510">
          <cell r="A7510" t="str">
            <v>in storage</v>
          </cell>
          <cell r="K7510" t="str">
            <v>ECOL</v>
          </cell>
          <cell r="AB7510" t="str">
            <v>Liver</v>
          </cell>
        </row>
        <row r="7511">
          <cell r="A7511" t="str">
            <v>in storage</v>
          </cell>
          <cell r="K7511" t="str">
            <v>ECOL</v>
          </cell>
          <cell r="AB7511" t="str">
            <v>Liver</v>
          </cell>
        </row>
        <row r="7512">
          <cell r="A7512" t="str">
            <v>in storage</v>
          </cell>
          <cell r="K7512" t="str">
            <v>ECOL</v>
          </cell>
          <cell r="AB7512" t="str">
            <v>Heart</v>
          </cell>
        </row>
        <row r="7513">
          <cell r="A7513" t="str">
            <v>in storage</v>
          </cell>
          <cell r="K7513" t="str">
            <v>ECOL</v>
          </cell>
          <cell r="AB7513" t="str">
            <v>Heart</v>
          </cell>
        </row>
        <row r="7514">
          <cell r="A7514" t="str">
            <v>in storage</v>
          </cell>
          <cell r="K7514" t="str">
            <v>ECOL</v>
          </cell>
          <cell r="AB7514" t="str">
            <v>Heart</v>
          </cell>
        </row>
        <row r="7515">
          <cell r="A7515" t="str">
            <v>in storage</v>
          </cell>
          <cell r="K7515" t="str">
            <v>ECOL</v>
          </cell>
          <cell r="AB7515" t="str">
            <v>Kidney</v>
          </cell>
        </row>
        <row r="7516">
          <cell r="A7516" t="str">
            <v>in storage</v>
          </cell>
          <cell r="K7516" t="str">
            <v>ECOL</v>
          </cell>
          <cell r="AB7516" t="str">
            <v>Kidney</v>
          </cell>
        </row>
        <row r="7517">
          <cell r="A7517" t="str">
            <v>in storage</v>
          </cell>
          <cell r="K7517" t="str">
            <v>ECOL</v>
          </cell>
          <cell r="AB7517" t="str">
            <v>Kidney</v>
          </cell>
        </row>
        <row r="7518">
          <cell r="A7518" t="str">
            <v>in storage</v>
          </cell>
          <cell r="K7518" t="str">
            <v>ECOL</v>
          </cell>
          <cell r="AB7518" t="str">
            <v>Liver</v>
          </cell>
        </row>
        <row r="7519">
          <cell r="A7519" t="str">
            <v>in storage</v>
          </cell>
          <cell r="K7519" t="str">
            <v>ECOL</v>
          </cell>
          <cell r="AB7519" t="str">
            <v>Lung</v>
          </cell>
        </row>
        <row r="7520">
          <cell r="A7520" t="str">
            <v>in storage</v>
          </cell>
          <cell r="K7520" t="str">
            <v>ECOL</v>
          </cell>
          <cell r="AB7520" t="str">
            <v>Lung</v>
          </cell>
        </row>
        <row r="7521">
          <cell r="A7521" t="str">
            <v>in storage</v>
          </cell>
          <cell r="K7521" t="str">
            <v>ECOL</v>
          </cell>
          <cell r="AB7521" t="str">
            <v>Lung</v>
          </cell>
        </row>
        <row r="7522">
          <cell r="A7522" t="str">
            <v>in storage</v>
          </cell>
          <cell r="K7522" t="str">
            <v>ECOL</v>
          </cell>
          <cell r="AB7522" t="str">
            <v>Pancreas</v>
          </cell>
        </row>
        <row r="7523">
          <cell r="A7523" t="str">
            <v>in storage</v>
          </cell>
          <cell r="K7523" t="str">
            <v>ECOL</v>
          </cell>
          <cell r="AB7523" t="str">
            <v>Pancreas</v>
          </cell>
        </row>
        <row r="7524">
          <cell r="A7524" t="str">
            <v>in storage</v>
          </cell>
          <cell r="K7524" t="str">
            <v>ECOL</v>
          </cell>
          <cell r="AB7524" t="str">
            <v>Spleen</v>
          </cell>
        </row>
        <row r="7525">
          <cell r="A7525" t="str">
            <v>in storage</v>
          </cell>
          <cell r="K7525" t="str">
            <v>ECOL</v>
          </cell>
          <cell r="AB7525" t="str">
            <v>Thyroid</v>
          </cell>
        </row>
        <row r="7526">
          <cell r="A7526" t="str">
            <v>in storage</v>
          </cell>
          <cell r="K7526" t="str">
            <v>PCOQ</v>
          </cell>
          <cell r="AB7526" t="str">
            <v>GI Contents- stomach</v>
          </cell>
        </row>
        <row r="7527">
          <cell r="A7527" t="str">
            <v>unk</v>
          </cell>
          <cell r="K7527" t="str">
            <v>PCOQ</v>
          </cell>
          <cell r="AB7527" t="str">
            <v>GI Contents- cecum</v>
          </cell>
        </row>
        <row r="7528">
          <cell r="A7528" t="str">
            <v>unk</v>
          </cell>
          <cell r="K7528" t="str">
            <v>PCOQ</v>
          </cell>
          <cell r="AB7528" t="str">
            <v>GI Contents- cecum</v>
          </cell>
        </row>
        <row r="7529">
          <cell r="A7529" t="str">
            <v>unk</v>
          </cell>
          <cell r="K7529" t="str">
            <v>ECOL</v>
          </cell>
          <cell r="AB7529" t="str">
            <v>Heart</v>
          </cell>
        </row>
        <row r="7530">
          <cell r="A7530" t="str">
            <v>unk</v>
          </cell>
          <cell r="K7530" t="str">
            <v>ECOL</v>
          </cell>
          <cell r="AB7530" t="str">
            <v>Kidney</v>
          </cell>
        </row>
        <row r="7531">
          <cell r="A7531" t="str">
            <v>in storage</v>
          </cell>
          <cell r="K7531" t="str">
            <v>ECOL</v>
          </cell>
          <cell r="AB7531" t="str">
            <v>Lung</v>
          </cell>
        </row>
        <row r="7532">
          <cell r="A7532" t="str">
            <v>in storage</v>
          </cell>
          <cell r="K7532" t="str">
            <v>ECOL</v>
          </cell>
          <cell r="AB7532" t="str">
            <v>Lung</v>
          </cell>
        </row>
        <row r="7533">
          <cell r="A7533" t="str">
            <v>in storage</v>
          </cell>
          <cell r="K7533" t="str">
            <v>ECOL</v>
          </cell>
          <cell r="AB7533" t="str">
            <v>Skin</v>
          </cell>
        </row>
        <row r="7534">
          <cell r="A7534" t="str">
            <v>in storage</v>
          </cell>
          <cell r="K7534" t="str">
            <v>PCOQ</v>
          </cell>
          <cell r="AB7534" t="str">
            <v>Gallbladder/ liver</v>
          </cell>
        </row>
        <row r="7535">
          <cell r="A7535" t="str">
            <v>in storage</v>
          </cell>
          <cell r="K7535" t="str">
            <v>PCOQ</v>
          </cell>
          <cell r="AB7535" t="str">
            <v>Kidney</v>
          </cell>
        </row>
        <row r="7536">
          <cell r="A7536" t="str">
            <v>in storage</v>
          </cell>
          <cell r="K7536" t="str">
            <v>PCOQ</v>
          </cell>
          <cell r="AB7536" t="str">
            <v>Kidney</v>
          </cell>
        </row>
        <row r="7537">
          <cell r="A7537" t="str">
            <v>in storage</v>
          </cell>
          <cell r="K7537" t="str">
            <v>PCOQ</v>
          </cell>
          <cell r="AB7537" t="str">
            <v>Spleen</v>
          </cell>
        </row>
        <row r="7538">
          <cell r="A7538" t="str">
            <v>unk</v>
          </cell>
          <cell r="K7538" t="str">
            <v>PCOQ</v>
          </cell>
          <cell r="AB7538" t="str">
            <v>GI Contents- small intestine</v>
          </cell>
        </row>
        <row r="7539">
          <cell r="A7539" t="str">
            <v>in storage</v>
          </cell>
          <cell r="K7539" t="str">
            <v>PCOQ</v>
          </cell>
          <cell r="AB7539" t="str">
            <v>GI Contents- appendix</v>
          </cell>
        </row>
        <row r="7540">
          <cell r="A7540" t="str">
            <v>in storage</v>
          </cell>
          <cell r="K7540" t="str">
            <v>PCOQ</v>
          </cell>
          <cell r="AB7540" t="str">
            <v>GI Contents- colon</v>
          </cell>
        </row>
        <row r="7541">
          <cell r="A7541" t="str">
            <v>in storage</v>
          </cell>
          <cell r="K7541" t="str">
            <v>PCOQ</v>
          </cell>
          <cell r="AB7541" t="str">
            <v>Lung</v>
          </cell>
        </row>
        <row r="7542">
          <cell r="A7542" t="str">
            <v>in storage</v>
          </cell>
          <cell r="K7542" t="str">
            <v>PCOQ</v>
          </cell>
          <cell r="AB7542" t="str">
            <v>R- "afterbirth"</v>
          </cell>
        </row>
        <row r="7543">
          <cell r="A7543" t="str">
            <v>in storage</v>
          </cell>
          <cell r="K7543" t="str">
            <v>PCOQ</v>
          </cell>
          <cell r="AB7543" t="str">
            <v>R- allantoic sac</v>
          </cell>
        </row>
        <row r="7544">
          <cell r="A7544" t="str">
            <v>in storage</v>
          </cell>
          <cell r="K7544" t="str">
            <v>PCOQ</v>
          </cell>
          <cell r="AB7544" t="str">
            <v>Trachea</v>
          </cell>
        </row>
        <row r="7545">
          <cell r="A7545" t="str">
            <v>in storage</v>
          </cell>
          <cell r="K7545" t="str">
            <v>PCOQ</v>
          </cell>
          <cell r="AB7545" t="str">
            <v>Liver</v>
          </cell>
        </row>
        <row r="7546">
          <cell r="A7546" t="str">
            <v>in storage</v>
          </cell>
          <cell r="K7546" t="str">
            <v>PCOQ</v>
          </cell>
          <cell r="AB7546" t="str">
            <v>U- bladder</v>
          </cell>
        </row>
        <row r="7547">
          <cell r="A7547" t="str">
            <v>in storage</v>
          </cell>
          <cell r="K7547" t="str">
            <v>PCOQ</v>
          </cell>
          <cell r="AB7547" t="str">
            <v>GI- large intestine</v>
          </cell>
        </row>
        <row r="7548">
          <cell r="A7548" t="str">
            <v>unk</v>
          </cell>
          <cell r="K7548" t="str">
            <v>PCOQ</v>
          </cell>
          <cell r="AB7548" t="str">
            <v>Heart</v>
          </cell>
        </row>
        <row r="7549">
          <cell r="A7549" t="str">
            <v>unk</v>
          </cell>
          <cell r="K7549" t="str">
            <v>PCOQ</v>
          </cell>
          <cell r="AB7549" t="str">
            <v>Kidney</v>
          </cell>
        </row>
        <row r="7550">
          <cell r="A7550" t="str">
            <v>unk</v>
          </cell>
          <cell r="K7550" t="str">
            <v>PCOQ</v>
          </cell>
          <cell r="AB7550" t="str">
            <v>Kidney</v>
          </cell>
        </row>
        <row r="7551">
          <cell r="A7551" t="str">
            <v>in storage</v>
          </cell>
          <cell r="K7551" t="str">
            <v>PCOQ</v>
          </cell>
          <cell r="AB7551" t="str">
            <v>Lung</v>
          </cell>
        </row>
        <row r="7552">
          <cell r="A7552" t="str">
            <v>in storage</v>
          </cell>
          <cell r="K7552" t="str">
            <v>PCOQ</v>
          </cell>
          <cell r="AB7552" t="str">
            <v>Lung</v>
          </cell>
        </row>
        <row r="7553">
          <cell r="A7553" t="str">
            <v>in storage</v>
          </cell>
          <cell r="K7553" t="str">
            <v>PCOQ</v>
          </cell>
          <cell r="AB7553" t="str">
            <v>Spleen</v>
          </cell>
        </row>
        <row r="7554">
          <cell r="A7554" t="str">
            <v>in storage</v>
          </cell>
          <cell r="K7554" t="str">
            <v>PCOQ</v>
          </cell>
          <cell r="AB7554" t="str">
            <v>Thymus</v>
          </cell>
        </row>
        <row r="7555">
          <cell r="A7555" t="str">
            <v>in storage</v>
          </cell>
          <cell r="K7555" t="str">
            <v>PCOQ</v>
          </cell>
          <cell r="AB7555" t="str">
            <v>R- uterus</v>
          </cell>
        </row>
        <row r="7556">
          <cell r="A7556" t="str">
            <v>in storage</v>
          </cell>
          <cell r="K7556" t="str">
            <v>PCOQ</v>
          </cell>
          <cell r="AB7556" t="str">
            <v>Adrenal gland</v>
          </cell>
        </row>
        <row r="7557">
          <cell r="A7557" t="str">
            <v>in storage</v>
          </cell>
          <cell r="K7557" t="str">
            <v>MMUR</v>
          </cell>
          <cell r="AB7557" t="str">
            <v>Muscle</v>
          </cell>
        </row>
        <row r="7558">
          <cell r="A7558" t="str">
            <v>gone</v>
          </cell>
          <cell r="K7558" t="str">
            <v>MMUR</v>
          </cell>
          <cell r="AB7558" t="str">
            <v>Lung</v>
          </cell>
        </row>
        <row r="7559">
          <cell r="A7559" t="str">
            <v>gone</v>
          </cell>
          <cell r="K7559" t="str">
            <v>MMUR</v>
          </cell>
          <cell r="AB7559" t="str">
            <v>Lung</v>
          </cell>
        </row>
        <row r="7560">
          <cell r="A7560" t="str">
            <v>in storage</v>
          </cell>
          <cell r="K7560" t="str">
            <v>MMUR</v>
          </cell>
          <cell r="AB7560" t="str">
            <v>RU- accessory sex glands/ bladder</v>
          </cell>
        </row>
        <row r="7561">
          <cell r="A7561" t="str">
            <v>in storage</v>
          </cell>
          <cell r="K7561" t="str">
            <v>PCOQ</v>
          </cell>
          <cell r="AB7561" t="str">
            <v>GI- small intestine</v>
          </cell>
        </row>
        <row r="7562">
          <cell r="A7562" t="str">
            <v>unk</v>
          </cell>
          <cell r="K7562" t="str">
            <v>MMUR</v>
          </cell>
          <cell r="AB7562" t="str">
            <v>Heart</v>
          </cell>
        </row>
        <row r="7563">
          <cell r="A7563" t="str">
            <v>unk</v>
          </cell>
          <cell r="K7563" t="str">
            <v>MMUR</v>
          </cell>
          <cell r="AB7563" t="str">
            <v>Kidney</v>
          </cell>
        </row>
        <row r="7564">
          <cell r="A7564" t="str">
            <v>unk</v>
          </cell>
          <cell r="K7564" t="str">
            <v>MMUR</v>
          </cell>
          <cell r="AB7564" t="str">
            <v>Kidney</v>
          </cell>
        </row>
        <row r="7565">
          <cell r="A7565" t="str">
            <v>in storage</v>
          </cell>
          <cell r="K7565" t="str">
            <v>MMUR</v>
          </cell>
          <cell r="AB7565" t="str">
            <v>Liver</v>
          </cell>
        </row>
        <row r="7566">
          <cell r="A7566" t="str">
            <v>unk</v>
          </cell>
          <cell r="K7566" t="str">
            <v>MMUR</v>
          </cell>
          <cell r="AB7566" t="str">
            <v>Pancreas</v>
          </cell>
        </row>
        <row r="7567">
          <cell r="A7567" t="str">
            <v>in storage</v>
          </cell>
          <cell r="K7567" t="str">
            <v>MMUR</v>
          </cell>
          <cell r="AB7567" t="str">
            <v>Skin</v>
          </cell>
        </row>
        <row r="7568">
          <cell r="A7568" t="str">
            <v>unk</v>
          </cell>
          <cell r="K7568" t="str">
            <v>MMUR</v>
          </cell>
          <cell r="AB7568" t="str">
            <v>Spleen</v>
          </cell>
        </row>
        <row r="7569">
          <cell r="A7569" t="str">
            <v>in storage</v>
          </cell>
          <cell r="K7569" t="str">
            <v>MMUR</v>
          </cell>
          <cell r="AB7569" t="str">
            <v>Adrenal gland</v>
          </cell>
        </row>
        <row r="7570">
          <cell r="A7570" t="str">
            <v>in storage</v>
          </cell>
          <cell r="K7570" t="str">
            <v>MMUR</v>
          </cell>
          <cell r="AB7570" t="str">
            <v>R- teste(s)</v>
          </cell>
        </row>
        <row r="7571">
          <cell r="A7571" t="str">
            <v>in storage</v>
          </cell>
          <cell r="K7571" t="str">
            <v>MMUR</v>
          </cell>
          <cell r="AB7571" t="str">
            <v>R- teste(s)</v>
          </cell>
        </row>
        <row r="7572">
          <cell r="A7572" t="str">
            <v>in storage</v>
          </cell>
          <cell r="K7572" t="str">
            <v>LCAT</v>
          </cell>
          <cell r="AB7572" t="str">
            <v>Muscle</v>
          </cell>
        </row>
        <row r="7573">
          <cell r="A7573" t="str">
            <v>in storage</v>
          </cell>
          <cell r="K7573" t="str">
            <v>PCOQ</v>
          </cell>
          <cell r="AB7573" t="str">
            <v>GI- stomach</v>
          </cell>
        </row>
        <row r="7574">
          <cell r="A7574" t="str">
            <v>in storage</v>
          </cell>
          <cell r="K7574" t="str">
            <v>LCAT</v>
          </cell>
          <cell r="AB7574" t="str">
            <v>Tongue/ Trachea</v>
          </cell>
        </row>
        <row r="7575">
          <cell r="A7575" t="str">
            <v>in storage</v>
          </cell>
          <cell r="K7575" t="str">
            <v>LCAT</v>
          </cell>
          <cell r="AB7575" t="str">
            <v>Liver</v>
          </cell>
        </row>
        <row r="7576">
          <cell r="A7576" t="str">
            <v>unk</v>
          </cell>
          <cell r="K7576" t="str">
            <v>LCAT</v>
          </cell>
          <cell r="AB7576" t="str">
            <v>Kidney</v>
          </cell>
        </row>
        <row r="7577">
          <cell r="A7577" t="str">
            <v>unk</v>
          </cell>
          <cell r="K7577" t="str">
            <v>LCAT</v>
          </cell>
          <cell r="AB7577" t="str">
            <v>Kidney</v>
          </cell>
        </row>
        <row r="7578">
          <cell r="A7578" t="str">
            <v>unk</v>
          </cell>
          <cell r="K7578" t="str">
            <v>LCAT</v>
          </cell>
          <cell r="AB7578" t="str">
            <v>Heart</v>
          </cell>
        </row>
        <row r="7579">
          <cell r="A7579" t="str">
            <v>in storage</v>
          </cell>
          <cell r="K7579" t="str">
            <v>LCAT</v>
          </cell>
          <cell r="AB7579" t="str">
            <v>Adrenal gland</v>
          </cell>
        </row>
        <row r="7580">
          <cell r="A7580" t="str">
            <v>in storage</v>
          </cell>
          <cell r="K7580" t="str">
            <v>LCAT</v>
          </cell>
          <cell r="AB7580" t="str">
            <v>Adrenal gland</v>
          </cell>
        </row>
        <row r="7581">
          <cell r="A7581" t="str">
            <v>in storage</v>
          </cell>
          <cell r="K7581" t="str">
            <v>LCAT</v>
          </cell>
          <cell r="AB7581" t="str">
            <v>U- bladder</v>
          </cell>
        </row>
        <row r="7582">
          <cell r="A7582" t="str">
            <v>in storage</v>
          </cell>
          <cell r="K7582" t="str">
            <v>LCAT</v>
          </cell>
          <cell r="AB7582" t="str">
            <v>Gallbladder</v>
          </cell>
        </row>
        <row r="7583">
          <cell r="A7583" t="str">
            <v>in storage</v>
          </cell>
          <cell r="K7583" t="str">
            <v>PCOQ</v>
          </cell>
          <cell r="AB7583" t="str">
            <v>GI Contents- stomach</v>
          </cell>
        </row>
        <row r="7584">
          <cell r="A7584" t="str">
            <v>in storage</v>
          </cell>
          <cell r="K7584" t="str">
            <v>PCOQ</v>
          </cell>
          <cell r="AB7584" t="str">
            <v>GI Contents- stomach</v>
          </cell>
        </row>
        <row r="7585">
          <cell r="A7585" t="str">
            <v>in storage</v>
          </cell>
          <cell r="K7585" t="str">
            <v>PCOQ</v>
          </cell>
          <cell r="AB7585" t="str">
            <v>GI Contents- stomach</v>
          </cell>
        </row>
        <row r="7586">
          <cell r="A7586" t="str">
            <v>in storage</v>
          </cell>
          <cell r="K7586" t="str">
            <v>LCAT</v>
          </cell>
          <cell r="AB7586" t="str">
            <v>Lung</v>
          </cell>
        </row>
        <row r="7587">
          <cell r="A7587" t="str">
            <v>in storage</v>
          </cell>
          <cell r="K7587" t="str">
            <v>LCAT</v>
          </cell>
          <cell r="AB7587" t="str">
            <v>Lung</v>
          </cell>
        </row>
        <row r="7588">
          <cell r="A7588" t="str">
            <v>in storage</v>
          </cell>
          <cell r="K7588" t="str">
            <v>LCAT</v>
          </cell>
          <cell r="AB7588" t="str">
            <v>Liver- nodule</v>
          </cell>
        </row>
        <row r="7589">
          <cell r="A7589" t="str">
            <v>in storage</v>
          </cell>
          <cell r="K7589" t="str">
            <v>LCAT</v>
          </cell>
          <cell r="AB7589" t="str">
            <v>Skin</v>
          </cell>
        </row>
        <row r="7590">
          <cell r="A7590" t="str">
            <v>in storage</v>
          </cell>
          <cell r="K7590" t="str">
            <v>LCAT</v>
          </cell>
          <cell r="AB7590" t="str">
            <v>Spleen</v>
          </cell>
        </row>
        <row r="7591">
          <cell r="A7591" t="str">
            <v>in storage</v>
          </cell>
          <cell r="K7591" t="str">
            <v>LCAT</v>
          </cell>
          <cell r="AB7591" t="str">
            <v>Mass- abdominal</v>
          </cell>
        </row>
        <row r="7592">
          <cell r="A7592" t="str">
            <v>in storage</v>
          </cell>
          <cell r="K7592" t="str">
            <v>LCAT</v>
          </cell>
          <cell r="AB7592" t="str">
            <v>Mass- abdominal</v>
          </cell>
        </row>
        <row r="7593">
          <cell r="A7593" t="str">
            <v>in storage</v>
          </cell>
          <cell r="K7593" t="str">
            <v>LCAT</v>
          </cell>
          <cell r="AB7593" t="str">
            <v>Muscle</v>
          </cell>
        </row>
        <row r="7594">
          <cell r="A7594" t="str">
            <v>in storage</v>
          </cell>
          <cell r="K7594" t="str">
            <v>PCOQ</v>
          </cell>
          <cell r="AB7594" t="str">
            <v>GI Contents- stomach</v>
          </cell>
        </row>
        <row r="7595">
          <cell r="A7595" t="str">
            <v>in storage</v>
          </cell>
          <cell r="K7595" t="str">
            <v>LCAT</v>
          </cell>
          <cell r="AB7595" t="str">
            <v>Lymph node- mesenteric</v>
          </cell>
        </row>
        <row r="7596">
          <cell r="A7596" t="str">
            <v>in storage</v>
          </cell>
          <cell r="K7596" t="str">
            <v>LCAT</v>
          </cell>
          <cell r="AB7596" t="str">
            <v>Liver</v>
          </cell>
        </row>
        <row r="7597">
          <cell r="A7597" t="str">
            <v>in storage</v>
          </cell>
          <cell r="K7597" t="str">
            <v>LCAT</v>
          </cell>
          <cell r="AB7597" t="str">
            <v>Kidney</v>
          </cell>
        </row>
        <row r="7598">
          <cell r="A7598" t="str">
            <v>unk</v>
          </cell>
          <cell r="K7598" t="str">
            <v>LCAT</v>
          </cell>
          <cell r="AB7598" t="str">
            <v>Heart</v>
          </cell>
        </row>
        <row r="7599">
          <cell r="A7599" t="str">
            <v>in storage</v>
          </cell>
          <cell r="K7599" t="str">
            <v>LCAT</v>
          </cell>
          <cell r="AB7599" t="str">
            <v>Kidney</v>
          </cell>
        </row>
        <row r="7600">
          <cell r="A7600" t="str">
            <v>in storage</v>
          </cell>
          <cell r="K7600" t="str">
            <v>LCAT</v>
          </cell>
          <cell r="AB7600" t="str">
            <v>Gallbladder</v>
          </cell>
        </row>
        <row r="7601">
          <cell r="A7601" t="str">
            <v>in storage</v>
          </cell>
          <cell r="K7601" t="str">
            <v>PCOQ</v>
          </cell>
          <cell r="AB7601" t="str">
            <v>GI- stomach</v>
          </cell>
        </row>
        <row r="7602">
          <cell r="A7602" t="str">
            <v>in storage</v>
          </cell>
          <cell r="K7602" t="str">
            <v>PCOQ</v>
          </cell>
          <cell r="AB7602" t="str">
            <v>GI- large intestine</v>
          </cell>
        </row>
        <row r="7603">
          <cell r="A7603" t="str">
            <v>in storage</v>
          </cell>
          <cell r="K7603" t="str">
            <v>PCOQ</v>
          </cell>
          <cell r="AB7603" t="str">
            <v>GI- small intestine</v>
          </cell>
        </row>
        <row r="7604">
          <cell r="A7604" t="str">
            <v>in storage</v>
          </cell>
          <cell r="K7604" t="str">
            <v>LCAT</v>
          </cell>
          <cell r="AB7604" t="str">
            <v>Lung</v>
          </cell>
        </row>
        <row r="7605">
          <cell r="A7605" t="str">
            <v>in storage</v>
          </cell>
          <cell r="K7605" t="str">
            <v>LCAT</v>
          </cell>
          <cell r="AB7605" t="str">
            <v>Lung</v>
          </cell>
        </row>
        <row r="7606">
          <cell r="A7606" t="str">
            <v>in storage</v>
          </cell>
          <cell r="K7606" t="str">
            <v>LCAT</v>
          </cell>
          <cell r="AB7606" t="str">
            <v>Skin</v>
          </cell>
        </row>
        <row r="7607">
          <cell r="A7607" t="str">
            <v>in storage</v>
          </cell>
          <cell r="K7607" t="str">
            <v>LCAT</v>
          </cell>
          <cell r="AB7607" t="str">
            <v>Spleen</v>
          </cell>
        </row>
        <row r="7608">
          <cell r="A7608" t="str">
            <v>in storage</v>
          </cell>
          <cell r="K7608" t="str">
            <v>PCOQ</v>
          </cell>
          <cell r="AB7608" t="str">
            <v>GI Tract</v>
          </cell>
        </row>
        <row r="7609">
          <cell r="A7609" t="str">
            <v>in storage</v>
          </cell>
          <cell r="K7609" t="str">
            <v>PCOQ</v>
          </cell>
          <cell r="AB7609" t="str">
            <v>GI- cecum</v>
          </cell>
        </row>
        <row r="7610">
          <cell r="A7610" t="str">
            <v>gone</v>
          </cell>
          <cell r="K7610" t="str">
            <v>HGG</v>
          </cell>
          <cell r="AB7610" t="str">
            <v>Muscle</v>
          </cell>
        </row>
        <row r="7611">
          <cell r="A7611" t="str">
            <v>in storage</v>
          </cell>
          <cell r="K7611" t="str">
            <v>HGG</v>
          </cell>
          <cell r="AB7611" t="str">
            <v>Muscle</v>
          </cell>
        </row>
        <row r="7612">
          <cell r="A7612" t="str">
            <v>in storage</v>
          </cell>
          <cell r="K7612" t="str">
            <v>HGG</v>
          </cell>
          <cell r="AB7612" t="str">
            <v>R- sperm plug</v>
          </cell>
        </row>
        <row r="7613">
          <cell r="A7613" t="str">
            <v>in storage</v>
          </cell>
          <cell r="K7613" t="str">
            <v>PCOQ</v>
          </cell>
          <cell r="AB7613" t="str">
            <v>GI- esophagus</v>
          </cell>
        </row>
        <row r="7614">
          <cell r="A7614" t="str">
            <v>in storage</v>
          </cell>
          <cell r="K7614" t="str">
            <v>PCOQ</v>
          </cell>
          <cell r="AB7614" t="str">
            <v>GI- large intestine</v>
          </cell>
        </row>
        <row r="7615">
          <cell r="A7615" t="str">
            <v>in storage</v>
          </cell>
          <cell r="K7615" t="str">
            <v>HGG</v>
          </cell>
          <cell r="AB7615" t="str">
            <v>Trachea</v>
          </cell>
        </row>
        <row r="7616">
          <cell r="A7616" t="str">
            <v>gone</v>
          </cell>
          <cell r="K7616" t="str">
            <v>HGG</v>
          </cell>
          <cell r="AB7616" t="str">
            <v>R- teste(s)</v>
          </cell>
        </row>
        <row r="7617">
          <cell r="A7617" t="str">
            <v>in storage</v>
          </cell>
          <cell r="K7617" t="str">
            <v>HGG</v>
          </cell>
          <cell r="AB7617" t="str">
            <v>R- teste(s)</v>
          </cell>
        </row>
        <row r="7618">
          <cell r="A7618" t="str">
            <v>in storage</v>
          </cell>
          <cell r="K7618" t="str">
            <v>HGG</v>
          </cell>
          <cell r="AB7618" t="str">
            <v>R- teste(s)</v>
          </cell>
        </row>
        <row r="7619">
          <cell r="A7619" t="str">
            <v>gone</v>
          </cell>
          <cell r="K7619" t="str">
            <v>HGG</v>
          </cell>
          <cell r="AB7619" t="str">
            <v>Liver</v>
          </cell>
        </row>
        <row r="7620">
          <cell r="A7620" t="str">
            <v>in storage</v>
          </cell>
          <cell r="K7620" t="str">
            <v>HGG</v>
          </cell>
          <cell r="AB7620" t="str">
            <v>Liver</v>
          </cell>
        </row>
        <row r="7621">
          <cell r="A7621" t="str">
            <v>gone</v>
          </cell>
          <cell r="K7621" t="str">
            <v>HGG</v>
          </cell>
          <cell r="AB7621" t="str">
            <v>Heart</v>
          </cell>
        </row>
        <row r="7622">
          <cell r="A7622" t="str">
            <v>unk</v>
          </cell>
          <cell r="K7622" t="str">
            <v>HGG</v>
          </cell>
          <cell r="AB7622" t="str">
            <v>Heart</v>
          </cell>
        </row>
        <row r="7623">
          <cell r="A7623" t="str">
            <v>gone</v>
          </cell>
          <cell r="K7623" t="str">
            <v>HGG</v>
          </cell>
          <cell r="AB7623" t="str">
            <v>Kidney</v>
          </cell>
        </row>
        <row r="7624">
          <cell r="A7624" t="str">
            <v>gone</v>
          </cell>
          <cell r="K7624" t="str">
            <v>HGG</v>
          </cell>
          <cell r="AB7624" t="str">
            <v>spinal cord</v>
          </cell>
        </row>
        <row r="7625">
          <cell r="A7625" t="str">
            <v>in storage</v>
          </cell>
          <cell r="K7625" t="str">
            <v>HGG</v>
          </cell>
          <cell r="AB7625" t="str">
            <v>Adrenal gland</v>
          </cell>
        </row>
        <row r="7626">
          <cell r="A7626" t="str">
            <v>in storage</v>
          </cell>
          <cell r="K7626" t="str">
            <v>HGG</v>
          </cell>
          <cell r="AB7626" t="str">
            <v>Adrenal gland</v>
          </cell>
        </row>
        <row r="7627">
          <cell r="A7627" t="str">
            <v>in storage</v>
          </cell>
          <cell r="K7627" t="str">
            <v>HGG</v>
          </cell>
          <cell r="AB7627" t="str">
            <v>RU- accessory sex glands/ bladder</v>
          </cell>
        </row>
        <row r="7628">
          <cell r="A7628" t="str">
            <v>in storage</v>
          </cell>
          <cell r="K7628" t="str">
            <v>PCOQ</v>
          </cell>
          <cell r="AB7628" t="str">
            <v>GI- small intestine</v>
          </cell>
        </row>
        <row r="7629">
          <cell r="A7629" t="str">
            <v>in storage</v>
          </cell>
          <cell r="K7629" t="str">
            <v>PCOQ</v>
          </cell>
          <cell r="AB7629" t="str">
            <v>GI- stomach</v>
          </cell>
        </row>
        <row r="7630">
          <cell r="A7630" t="str">
            <v>in storage</v>
          </cell>
          <cell r="K7630" t="str">
            <v>PCOQ</v>
          </cell>
          <cell r="AB7630" t="str">
            <v>GI- colon</v>
          </cell>
        </row>
        <row r="7631">
          <cell r="A7631" t="str">
            <v>unk</v>
          </cell>
          <cell r="K7631" t="str">
            <v>HGG</v>
          </cell>
          <cell r="AB7631" t="str">
            <v>Kidney</v>
          </cell>
        </row>
        <row r="7632">
          <cell r="A7632" t="str">
            <v>unk</v>
          </cell>
          <cell r="K7632" t="str">
            <v>HGG</v>
          </cell>
          <cell r="AB7632" t="str">
            <v>Kidney</v>
          </cell>
        </row>
        <row r="7633">
          <cell r="A7633" t="str">
            <v>in storage</v>
          </cell>
          <cell r="K7633" t="str">
            <v>HGG</v>
          </cell>
          <cell r="AB7633" t="str">
            <v>Lung</v>
          </cell>
        </row>
        <row r="7634">
          <cell r="A7634" t="str">
            <v>in storage</v>
          </cell>
          <cell r="K7634" t="str">
            <v>HGG</v>
          </cell>
          <cell r="AB7634" t="str">
            <v>Lung</v>
          </cell>
        </row>
        <row r="7635">
          <cell r="A7635" t="str">
            <v>unk</v>
          </cell>
          <cell r="K7635" t="str">
            <v>HGG</v>
          </cell>
          <cell r="AB7635" t="str">
            <v>Pancreas</v>
          </cell>
        </row>
        <row r="7636">
          <cell r="A7636" t="str">
            <v>unk</v>
          </cell>
          <cell r="K7636" t="str">
            <v>HGG</v>
          </cell>
          <cell r="AB7636" t="str">
            <v>Skin</v>
          </cell>
        </row>
        <row r="7637">
          <cell r="A7637" t="str">
            <v>in storage</v>
          </cell>
          <cell r="K7637" t="str">
            <v>HGG</v>
          </cell>
          <cell r="AB7637" t="str">
            <v>spinal cord</v>
          </cell>
        </row>
        <row r="7638">
          <cell r="A7638" t="str">
            <v>in storage</v>
          </cell>
          <cell r="K7638" t="str">
            <v>HGG</v>
          </cell>
          <cell r="AB7638" t="str">
            <v>Spleen</v>
          </cell>
        </row>
        <row r="7639">
          <cell r="A7639" t="str">
            <v>in storage</v>
          </cell>
          <cell r="K7639" t="str">
            <v>ERUB</v>
          </cell>
          <cell r="AB7639" t="str">
            <v>Muscle</v>
          </cell>
        </row>
        <row r="7640">
          <cell r="A7640" t="str">
            <v>in storage</v>
          </cell>
          <cell r="K7640" t="str">
            <v>ERUB</v>
          </cell>
          <cell r="AB7640" t="str">
            <v>Mass- liver</v>
          </cell>
        </row>
        <row r="7641">
          <cell r="A7641" t="str">
            <v>in storage</v>
          </cell>
          <cell r="K7641" t="str">
            <v>ERUB</v>
          </cell>
          <cell r="AB7641" t="str">
            <v>R- ovary</v>
          </cell>
        </row>
        <row r="7642">
          <cell r="A7642" t="str">
            <v>in storage</v>
          </cell>
          <cell r="K7642" t="str">
            <v>PCOQ</v>
          </cell>
          <cell r="AB7642" t="str">
            <v xml:space="preserve">GI- cecum </v>
          </cell>
        </row>
        <row r="7643">
          <cell r="A7643" t="str">
            <v>in storage</v>
          </cell>
          <cell r="K7643" t="str">
            <v>PCOQ</v>
          </cell>
          <cell r="AB7643" t="str">
            <v>GI- esophagus</v>
          </cell>
        </row>
        <row r="7644">
          <cell r="A7644" t="str">
            <v>in storage</v>
          </cell>
          <cell r="K7644" t="str">
            <v>PCOQ</v>
          </cell>
          <cell r="AB7644" t="str">
            <v xml:space="preserve">GI contents- cecum </v>
          </cell>
        </row>
        <row r="7645">
          <cell r="A7645" t="str">
            <v>in storage</v>
          </cell>
          <cell r="K7645" t="str">
            <v>ERUB</v>
          </cell>
          <cell r="AB7645" t="str">
            <v>Lymph node</v>
          </cell>
        </row>
        <row r="7646">
          <cell r="A7646" t="str">
            <v>in storage</v>
          </cell>
          <cell r="K7646" t="str">
            <v>ERUB</v>
          </cell>
          <cell r="AB7646" t="str">
            <v>Liver</v>
          </cell>
        </row>
        <row r="7647">
          <cell r="A7647" t="str">
            <v>in storage</v>
          </cell>
          <cell r="K7647" t="str">
            <v>ERUB</v>
          </cell>
          <cell r="AB7647" t="str">
            <v>Heart</v>
          </cell>
        </row>
        <row r="7648">
          <cell r="A7648" t="str">
            <v>in storage</v>
          </cell>
          <cell r="K7648" t="str">
            <v>ERUB</v>
          </cell>
          <cell r="AB7648" t="str">
            <v>Adrenal gland</v>
          </cell>
        </row>
        <row r="7649">
          <cell r="A7649" t="str">
            <v>in storage</v>
          </cell>
          <cell r="K7649" t="str">
            <v>PCOQ</v>
          </cell>
          <cell r="AB7649" t="str">
            <v xml:space="preserve">GI contents- cecum </v>
          </cell>
        </row>
        <row r="7650">
          <cell r="A7650" t="str">
            <v>in storage</v>
          </cell>
          <cell r="K7650" t="str">
            <v>PCOQ</v>
          </cell>
          <cell r="AB7650" t="str">
            <v>R- amniotic fluid</v>
          </cell>
        </row>
        <row r="7651">
          <cell r="A7651" t="str">
            <v>in storage</v>
          </cell>
          <cell r="K7651" t="str">
            <v>PCOQ</v>
          </cell>
          <cell r="AB7651" t="str">
            <v>Muscle</v>
          </cell>
        </row>
        <row r="7652">
          <cell r="A7652" t="str">
            <v>in storage</v>
          </cell>
          <cell r="K7652" t="str">
            <v>ERUB</v>
          </cell>
          <cell r="AB7652" t="str">
            <v>Kidney</v>
          </cell>
        </row>
        <row r="7653">
          <cell r="A7653" t="str">
            <v>in storage</v>
          </cell>
          <cell r="K7653" t="str">
            <v>ERUB</v>
          </cell>
          <cell r="AB7653" t="str">
            <v>Kidney</v>
          </cell>
        </row>
        <row r="7654">
          <cell r="A7654" t="str">
            <v>in storage</v>
          </cell>
          <cell r="K7654" t="str">
            <v>ERUB</v>
          </cell>
          <cell r="AB7654" t="str">
            <v>Lung</v>
          </cell>
        </row>
        <row r="7655">
          <cell r="A7655" t="str">
            <v>in storage</v>
          </cell>
          <cell r="K7655" t="str">
            <v>ERUB</v>
          </cell>
          <cell r="AB7655" t="str">
            <v>Lung</v>
          </cell>
        </row>
        <row r="7656">
          <cell r="A7656" t="str">
            <v>in storage</v>
          </cell>
          <cell r="K7656" t="str">
            <v>ERUB</v>
          </cell>
          <cell r="AB7656" t="str">
            <v>Pancreas</v>
          </cell>
        </row>
        <row r="7657">
          <cell r="A7657" t="str">
            <v>in storage</v>
          </cell>
          <cell r="K7657" t="str">
            <v>ERUB</v>
          </cell>
          <cell r="AB7657" t="str">
            <v>Skin</v>
          </cell>
        </row>
        <row r="7658">
          <cell r="A7658" t="str">
            <v>in storage</v>
          </cell>
          <cell r="K7658" t="str">
            <v>ERUB</v>
          </cell>
          <cell r="AB7658" t="str">
            <v>Spleen</v>
          </cell>
        </row>
        <row r="7659">
          <cell r="A7659" t="str">
            <v>in storage</v>
          </cell>
          <cell r="K7659" t="str">
            <v>PCOQ</v>
          </cell>
          <cell r="AB7659" t="str">
            <v>Muscle</v>
          </cell>
        </row>
        <row r="7660">
          <cell r="A7660" t="str">
            <v>unk</v>
          </cell>
          <cell r="K7660" t="str">
            <v>VVV</v>
          </cell>
          <cell r="AB7660" t="str">
            <v>Heart</v>
          </cell>
        </row>
        <row r="7661">
          <cell r="A7661" t="str">
            <v>in storage</v>
          </cell>
          <cell r="K7661" t="str">
            <v>VVV</v>
          </cell>
          <cell r="AB7661" t="str">
            <v>Liver</v>
          </cell>
        </row>
        <row r="7662">
          <cell r="A7662" t="str">
            <v>in storage</v>
          </cell>
          <cell r="K7662" t="str">
            <v>VVV</v>
          </cell>
          <cell r="AB7662" t="str">
            <v>Spleen</v>
          </cell>
        </row>
        <row r="7663">
          <cell r="A7663" t="str">
            <v>unk</v>
          </cell>
          <cell r="K7663" t="str">
            <v>VVV</v>
          </cell>
          <cell r="AB7663" t="str">
            <v>Kidney</v>
          </cell>
        </row>
        <row r="7664">
          <cell r="A7664" t="str">
            <v>in storage</v>
          </cell>
          <cell r="K7664" t="str">
            <v>VVV</v>
          </cell>
          <cell r="AB7664" t="str">
            <v>Lung</v>
          </cell>
        </row>
        <row r="7665">
          <cell r="A7665" t="str">
            <v>in storage</v>
          </cell>
          <cell r="K7665" t="str">
            <v>PCOQ</v>
          </cell>
          <cell r="AB7665" t="str">
            <v>Muscle</v>
          </cell>
        </row>
        <row r="7666">
          <cell r="A7666" t="str">
            <v>in storage</v>
          </cell>
          <cell r="K7666" t="str">
            <v>VVV</v>
          </cell>
          <cell r="AB7666" t="str">
            <v>Spleen</v>
          </cell>
        </row>
        <row r="7667">
          <cell r="A7667" t="str">
            <v>unk</v>
          </cell>
          <cell r="K7667" t="str">
            <v>MMUR</v>
          </cell>
          <cell r="AB7667" t="str">
            <v>Muscle</v>
          </cell>
        </row>
        <row r="7668">
          <cell r="A7668" t="str">
            <v>in storage</v>
          </cell>
          <cell r="K7668" t="str">
            <v>MMUR</v>
          </cell>
          <cell r="AB7668" t="str">
            <v>Liver</v>
          </cell>
        </row>
        <row r="7669">
          <cell r="A7669" t="str">
            <v>in storage</v>
          </cell>
          <cell r="K7669" t="str">
            <v>PCOQ</v>
          </cell>
          <cell r="AB7669" t="str">
            <v>Muscle</v>
          </cell>
        </row>
        <row r="7670">
          <cell r="A7670" t="str">
            <v>in storage</v>
          </cell>
          <cell r="K7670" t="str">
            <v>PCOQ</v>
          </cell>
          <cell r="AB7670" t="str">
            <v>Adrenal gland</v>
          </cell>
        </row>
        <row r="7671">
          <cell r="A7671" t="str">
            <v>unk</v>
          </cell>
          <cell r="K7671" t="str">
            <v>MMUR</v>
          </cell>
          <cell r="AB7671" t="str">
            <v>Kidney</v>
          </cell>
        </row>
        <row r="7672">
          <cell r="A7672" t="str">
            <v>unk</v>
          </cell>
          <cell r="K7672" t="str">
            <v>MMUR</v>
          </cell>
          <cell r="AB7672" t="str">
            <v>Kidney</v>
          </cell>
        </row>
        <row r="7673">
          <cell r="A7673" t="str">
            <v>in storage</v>
          </cell>
          <cell r="K7673" t="str">
            <v>MMUR</v>
          </cell>
          <cell r="AB7673" t="str">
            <v>Skin</v>
          </cell>
        </row>
        <row r="7674">
          <cell r="A7674" t="str">
            <v>in storage</v>
          </cell>
          <cell r="K7674" t="str">
            <v>MMUR</v>
          </cell>
          <cell r="AB7674" t="str">
            <v>Spleen</v>
          </cell>
        </row>
        <row r="7675">
          <cell r="A7675" t="str">
            <v>in storage</v>
          </cell>
          <cell r="K7675" t="str">
            <v>MMUR</v>
          </cell>
          <cell r="AB7675" t="str">
            <v>Lung</v>
          </cell>
        </row>
        <row r="7676">
          <cell r="A7676" t="str">
            <v>in storage</v>
          </cell>
          <cell r="K7676" t="str">
            <v>MMUR</v>
          </cell>
          <cell r="AB7676" t="str">
            <v>R- teste(s)</v>
          </cell>
        </row>
        <row r="7677">
          <cell r="A7677" t="str">
            <v>in storage</v>
          </cell>
          <cell r="K7677" t="str">
            <v>HGG</v>
          </cell>
          <cell r="AB7677" t="str">
            <v>Muscle</v>
          </cell>
        </row>
        <row r="7678">
          <cell r="A7678" t="str">
            <v>in storage</v>
          </cell>
          <cell r="K7678" t="str">
            <v>HGG</v>
          </cell>
          <cell r="AB7678" t="str">
            <v>Muscle</v>
          </cell>
        </row>
        <row r="7679">
          <cell r="A7679" t="str">
            <v>in storage</v>
          </cell>
          <cell r="K7679" t="str">
            <v>HGG</v>
          </cell>
          <cell r="AB7679" t="str">
            <v>Muscle</v>
          </cell>
        </row>
        <row r="7680">
          <cell r="A7680" t="str">
            <v>in storage</v>
          </cell>
          <cell r="K7680" t="str">
            <v>HGG</v>
          </cell>
          <cell r="AB7680" t="str">
            <v>Muscle</v>
          </cell>
        </row>
        <row r="7681">
          <cell r="A7681" t="str">
            <v>in storage</v>
          </cell>
          <cell r="K7681" t="str">
            <v>HGG</v>
          </cell>
          <cell r="AB7681" t="str">
            <v>Muscle</v>
          </cell>
        </row>
        <row r="7682">
          <cell r="A7682" t="str">
            <v>in storage</v>
          </cell>
          <cell r="K7682" t="str">
            <v>HGG</v>
          </cell>
          <cell r="AB7682" t="str">
            <v>R- cervix/ vagina</v>
          </cell>
        </row>
        <row r="7683">
          <cell r="A7683" t="str">
            <v>in storage</v>
          </cell>
          <cell r="K7683" t="str">
            <v>HGG</v>
          </cell>
          <cell r="AB7683" t="str">
            <v>R- ovary</v>
          </cell>
        </row>
        <row r="7684">
          <cell r="A7684" t="str">
            <v>in storage</v>
          </cell>
          <cell r="K7684" t="str">
            <v>PCOQ</v>
          </cell>
          <cell r="AB7684" t="str">
            <v>Kidney</v>
          </cell>
        </row>
        <row r="7685">
          <cell r="A7685" t="str">
            <v>in storage</v>
          </cell>
          <cell r="K7685" t="str">
            <v>PCOQ</v>
          </cell>
          <cell r="AB7685" t="str">
            <v>Kidney</v>
          </cell>
        </row>
        <row r="7686">
          <cell r="A7686" t="str">
            <v>in storage</v>
          </cell>
          <cell r="K7686" t="str">
            <v>PCOQ</v>
          </cell>
          <cell r="AB7686" t="str">
            <v>Kidney</v>
          </cell>
        </row>
        <row r="7687">
          <cell r="A7687" t="str">
            <v>in storage</v>
          </cell>
          <cell r="K7687" t="str">
            <v>PCOQ</v>
          </cell>
          <cell r="AB7687" t="str">
            <v>Kidney</v>
          </cell>
        </row>
        <row r="7688">
          <cell r="A7688" t="str">
            <v>in storage</v>
          </cell>
          <cell r="K7688" t="str">
            <v>PDIA</v>
          </cell>
          <cell r="AB7688" t="str">
            <v>GI Contents- stomach</v>
          </cell>
        </row>
        <row r="7689">
          <cell r="A7689" t="str">
            <v>in storage</v>
          </cell>
          <cell r="K7689" t="str">
            <v>HGG</v>
          </cell>
          <cell r="AB7689" t="str">
            <v>Trachea</v>
          </cell>
        </row>
        <row r="7690">
          <cell r="A7690" t="str">
            <v>in storage</v>
          </cell>
          <cell r="K7690" t="str">
            <v>HGG</v>
          </cell>
          <cell r="AB7690" t="str">
            <v>Liver</v>
          </cell>
        </row>
        <row r="7691">
          <cell r="A7691" t="str">
            <v>in storage</v>
          </cell>
          <cell r="K7691" t="str">
            <v>HGG</v>
          </cell>
          <cell r="AB7691" t="str">
            <v>Liver</v>
          </cell>
        </row>
        <row r="7692">
          <cell r="A7692" t="str">
            <v>in storage</v>
          </cell>
          <cell r="K7692" t="str">
            <v>HGG</v>
          </cell>
          <cell r="AB7692" t="str">
            <v>Liver</v>
          </cell>
        </row>
        <row r="7693">
          <cell r="A7693" t="str">
            <v>in storage</v>
          </cell>
          <cell r="K7693" t="str">
            <v>HGG</v>
          </cell>
          <cell r="AB7693" t="str">
            <v>Heart</v>
          </cell>
        </row>
        <row r="7694">
          <cell r="A7694" t="str">
            <v>in storage</v>
          </cell>
          <cell r="K7694" t="str">
            <v>HGG</v>
          </cell>
          <cell r="AB7694" t="str">
            <v>Heart</v>
          </cell>
        </row>
        <row r="7695">
          <cell r="A7695" t="str">
            <v>in storage</v>
          </cell>
          <cell r="K7695" t="str">
            <v>HGG</v>
          </cell>
          <cell r="AB7695" t="str">
            <v>Heart</v>
          </cell>
        </row>
        <row r="7696">
          <cell r="A7696" t="str">
            <v>in storage</v>
          </cell>
          <cell r="K7696" t="str">
            <v>HGG</v>
          </cell>
          <cell r="AB7696" t="str">
            <v>Heart</v>
          </cell>
        </row>
        <row r="7697">
          <cell r="A7697" t="str">
            <v>in storage</v>
          </cell>
          <cell r="K7697" t="str">
            <v>HGG</v>
          </cell>
          <cell r="AB7697" t="str">
            <v>Kidney</v>
          </cell>
        </row>
        <row r="7698">
          <cell r="A7698" t="str">
            <v>in storage</v>
          </cell>
          <cell r="K7698" t="str">
            <v>HGG</v>
          </cell>
          <cell r="AB7698" t="str">
            <v>Kidney</v>
          </cell>
        </row>
        <row r="7699">
          <cell r="A7699" t="str">
            <v>in storage</v>
          </cell>
          <cell r="K7699" t="str">
            <v>HGG</v>
          </cell>
          <cell r="AB7699" t="str">
            <v>Kidney</v>
          </cell>
        </row>
        <row r="7700">
          <cell r="A7700" t="str">
            <v>in storage</v>
          </cell>
          <cell r="K7700" t="str">
            <v>HGG</v>
          </cell>
          <cell r="AB7700" t="str">
            <v>Liver</v>
          </cell>
        </row>
        <row r="7701">
          <cell r="A7701" t="str">
            <v>in storage</v>
          </cell>
          <cell r="K7701" t="str">
            <v>HGG</v>
          </cell>
          <cell r="AB7701" t="str">
            <v>Liver</v>
          </cell>
        </row>
        <row r="7702">
          <cell r="A7702" t="str">
            <v>in storage</v>
          </cell>
          <cell r="K7702" t="str">
            <v>HGG</v>
          </cell>
          <cell r="AB7702" t="str">
            <v>Lung</v>
          </cell>
        </row>
        <row r="7703">
          <cell r="A7703" t="str">
            <v>in storage</v>
          </cell>
          <cell r="K7703" t="str">
            <v>HGG</v>
          </cell>
          <cell r="AB7703" t="str">
            <v>Lung</v>
          </cell>
        </row>
        <row r="7704">
          <cell r="A7704" t="str">
            <v>in storage</v>
          </cell>
          <cell r="K7704" t="str">
            <v>HGG</v>
          </cell>
          <cell r="AB7704" t="str">
            <v>Lung</v>
          </cell>
        </row>
        <row r="7705">
          <cell r="A7705" t="str">
            <v>in storage</v>
          </cell>
          <cell r="K7705" t="str">
            <v>HGG</v>
          </cell>
          <cell r="AB7705" t="str">
            <v>Lung</v>
          </cell>
        </row>
        <row r="7706">
          <cell r="A7706" t="str">
            <v>in storage</v>
          </cell>
          <cell r="K7706" t="str">
            <v>HGG</v>
          </cell>
          <cell r="AB7706" t="str">
            <v>Pancreas</v>
          </cell>
        </row>
        <row r="7707">
          <cell r="A7707" t="str">
            <v>in storage</v>
          </cell>
          <cell r="K7707" t="str">
            <v>HGG</v>
          </cell>
          <cell r="AB7707" t="str">
            <v>Pancreas</v>
          </cell>
        </row>
        <row r="7708">
          <cell r="A7708" t="str">
            <v>in storage</v>
          </cell>
          <cell r="K7708" t="str">
            <v>HGG</v>
          </cell>
          <cell r="AB7708" t="str">
            <v>Spleen</v>
          </cell>
        </row>
        <row r="7709">
          <cell r="A7709" t="str">
            <v>unk</v>
          </cell>
          <cell r="K7709" t="str">
            <v>HGG</v>
          </cell>
          <cell r="AB7709" t="str">
            <v>Heart</v>
          </cell>
        </row>
        <row r="7710">
          <cell r="A7710" t="str">
            <v>in storage</v>
          </cell>
          <cell r="K7710" t="str">
            <v>HGG</v>
          </cell>
          <cell r="AB7710" t="str">
            <v>Adrenal gland</v>
          </cell>
        </row>
        <row r="7711">
          <cell r="A7711" t="str">
            <v>in storage</v>
          </cell>
          <cell r="K7711" t="str">
            <v>HGG</v>
          </cell>
          <cell r="AB7711" t="str">
            <v>Adrenal gland</v>
          </cell>
        </row>
        <row r="7712">
          <cell r="A7712" t="str">
            <v>in storage</v>
          </cell>
          <cell r="K7712" t="str">
            <v>HGG</v>
          </cell>
          <cell r="AB7712" t="str">
            <v>U- bladder</v>
          </cell>
        </row>
        <row r="7713">
          <cell r="A7713" t="str">
            <v>in storage</v>
          </cell>
          <cell r="K7713" t="str">
            <v>HGG</v>
          </cell>
          <cell r="AB7713" t="str">
            <v>Fat- adrenal</v>
          </cell>
        </row>
        <row r="7714">
          <cell r="A7714" t="str">
            <v>in storage</v>
          </cell>
          <cell r="K7714" t="str">
            <v>HGG</v>
          </cell>
          <cell r="AB7714" t="str">
            <v>Fluid- abdominal effusion</v>
          </cell>
        </row>
        <row r="7715">
          <cell r="A7715" t="str">
            <v>in storage</v>
          </cell>
          <cell r="K7715" t="str">
            <v>HGG</v>
          </cell>
          <cell r="AB7715" t="str">
            <v>Fluid- abdominal effusion</v>
          </cell>
        </row>
        <row r="7716">
          <cell r="A7716" t="str">
            <v>in storage</v>
          </cell>
          <cell r="K7716" t="str">
            <v>HGG</v>
          </cell>
          <cell r="AB7716" t="str">
            <v>Fluid- abdominal effusion</v>
          </cell>
        </row>
        <row r="7717">
          <cell r="A7717" t="str">
            <v>in storage</v>
          </cell>
          <cell r="K7717" t="str">
            <v>HGG</v>
          </cell>
          <cell r="AB7717" t="str">
            <v>Fluid- abdominal effusion</v>
          </cell>
        </row>
        <row r="7718">
          <cell r="A7718" t="str">
            <v>in storage</v>
          </cell>
          <cell r="K7718" t="str">
            <v>PDIA</v>
          </cell>
          <cell r="AB7718" t="str">
            <v>GI- cecum</v>
          </cell>
        </row>
        <row r="7719">
          <cell r="A7719" t="str">
            <v>in storage</v>
          </cell>
          <cell r="K7719" t="str">
            <v>PDIA</v>
          </cell>
          <cell r="AB7719" t="str">
            <v>GI- large intestine</v>
          </cell>
        </row>
        <row r="7720">
          <cell r="A7720" t="str">
            <v>in storage</v>
          </cell>
          <cell r="K7720" t="str">
            <v>PDIA</v>
          </cell>
          <cell r="AB7720" t="str">
            <v>GI- small intestine</v>
          </cell>
        </row>
        <row r="7721">
          <cell r="A7721" t="str">
            <v>in storage</v>
          </cell>
          <cell r="K7721" t="str">
            <v>PDIA</v>
          </cell>
          <cell r="AB7721" t="str">
            <v>GI- stomach</v>
          </cell>
        </row>
        <row r="7722">
          <cell r="A7722" t="str">
            <v>in storage</v>
          </cell>
          <cell r="K7722" t="str">
            <v>PDIA</v>
          </cell>
          <cell r="AB7722" t="str">
            <v>GI Contents- stomach</v>
          </cell>
        </row>
        <row r="7723">
          <cell r="A7723" t="str">
            <v>in storage</v>
          </cell>
          <cell r="K7723" t="str">
            <v>PTAT</v>
          </cell>
          <cell r="AB7723" t="str">
            <v>GI- colon scrape</v>
          </cell>
        </row>
        <row r="7724">
          <cell r="A7724" t="str">
            <v>in storage</v>
          </cell>
          <cell r="K7724" t="str">
            <v>HGG</v>
          </cell>
          <cell r="AB7724" t="str">
            <v>Lung</v>
          </cell>
        </row>
        <row r="7725">
          <cell r="A7725" t="str">
            <v>unk</v>
          </cell>
          <cell r="K7725" t="str">
            <v>HGG</v>
          </cell>
          <cell r="AB7725" t="str">
            <v>Pancreas</v>
          </cell>
        </row>
        <row r="7726">
          <cell r="A7726" t="str">
            <v>in storage</v>
          </cell>
          <cell r="K7726" t="str">
            <v>HGG</v>
          </cell>
          <cell r="AB7726" t="str">
            <v>pericardium/ fat</v>
          </cell>
        </row>
        <row r="7727">
          <cell r="A7727" t="str">
            <v>in storage</v>
          </cell>
          <cell r="K7727" t="str">
            <v>HGG</v>
          </cell>
          <cell r="AB7727" t="str">
            <v>Skin</v>
          </cell>
        </row>
        <row r="7728">
          <cell r="A7728" t="str">
            <v>in storage</v>
          </cell>
          <cell r="K7728" t="str">
            <v>PTAT</v>
          </cell>
          <cell r="AB7728" t="str">
            <v>GI Tract</v>
          </cell>
        </row>
        <row r="7729">
          <cell r="A7729" t="str">
            <v>in storage</v>
          </cell>
          <cell r="K7729" t="str">
            <v>PTAT</v>
          </cell>
          <cell r="AB7729" t="str">
            <v>GI- colon</v>
          </cell>
        </row>
        <row r="7730">
          <cell r="A7730" t="str">
            <v>in storage</v>
          </cell>
          <cell r="K7730" t="str">
            <v>HGG</v>
          </cell>
          <cell r="AB7730" t="str">
            <v>Mass- uterine</v>
          </cell>
        </row>
        <row r="7731">
          <cell r="A7731" t="str">
            <v>in storage</v>
          </cell>
          <cell r="K7731" t="str">
            <v>HGG</v>
          </cell>
          <cell r="AB7731" t="str">
            <v>Mass- uterine</v>
          </cell>
        </row>
        <row r="7732">
          <cell r="A7732" t="str">
            <v>in storage</v>
          </cell>
          <cell r="K7732" t="str">
            <v>DMAD</v>
          </cell>
          <cell r="AB7732" t="str">
            <v>Muscle</v>
          </cell>
        </row>
        <row r="7733">
          <cell r="A7733" t="str">
            <v>in storage</v>
          </cell>
          <cell r="K7733" t="str">
            <v>DMAD</v>
          </cell>
          <cell r="AB7733" t="str">
            <v>Muscle</v>
          </cell>
        </row>
        <row r="7734">
          <cell r="A7734" t="str">
            <v>in storage</v>
          </cell>
          <cell r="K7734" t="str">
            <v>DMAD</v>
          </cell>
          <cell r="AB7734" t="str">
            <v>Muscle</v>
          </cell>
        </row>
        <row r="7735">
          <cell r="A7735" t="str">
            <v>in storage</v>
          </cell>
          <cell r="K7735" t="str">
            <v>DMAD</v>
          </cell>
          <cell r="AB7735" t="str">
            <v>Mass- sarcoma</v>
          </cell>
        </row>
        <row r="7736">
          <cell r="A7736" t="str">
            <v>in storage</v>
          </cell>
          <cell r="K7736" t="str">
            <v>DMAD</v>
          </cell>
          <cell r="AB7736" t="str">
            <v>skull cap</v>
          </cell>
        </row>
        <row r="7737">
          <cell r="A7737" t="str">
            <v>in storage</v>
          </cell>
          <cell r="K7737" t="str">
            <v>DMAD</v>
          </cell>
          <cell r="AB7737" t="str">
            <v>Lymph node- axillary</v>
          </cell>
        </row>
        <row r="7738">
          <cell r="A7738" t="str">
            <v>in storage</v>
          </cell>
          <cell r="K7738" t="str">
            <v>DMAD</v>
          </cell>
          <cell r="AB7738" t="str">
            <v>R- reproductive tract</v>
          </cell>
        </row>
        <row r="7739">
          <cell r="A7739" t="str">
            <v>in storage</v>
          </cell>
          <cell r="K7739" t="str">
            <v>PTAT</v>
          </cell>
          <cell r="AB7739" t="str">
            <v>GI Contents- duodenum</v>
          </cell>
        </row>
        <row r="7740">
          <cell r="A7740" t="str">
            <v>in storage</v>
          </cell>
          <cell r="K7740" t="str">
            <v>PTAT</v>
          </cell>
          <cell r="AB7740" t="str">
            <v>GI- cecum/ colon</v>
          </cell>
        </row>
        <row r="7741">
          <cell r="A7741" t="str">
            <v>in storage</v>
          </cell>
          <cell r="K7741" t="str">
            <v>DMAD</v>
          </cell>
          <cell r="AB7741" t="str">
            <v>Trachea</v>
          </cell>
        </row>
        <row r="7742">
          <cell r="A7742" t="str">
            <v>in storage</v>
          </cell>
          <cell r="K7742" t="str">
            <v>DMAD</v>
          </cell>
          <cell r="AB7742" t="str">
            <v>Liver</v>
          </cell>
        </row>
        <row r="7743">
          <cell r="A7743" t="str">
            <v>in storage</v>
          </cell>
          <cell r="K7743" t="str">
            <v>DMAD</v>
          </cell>
          <cell r="AB7743" t="str">
            <v>Liver</v>
          </cell>
        </row>
        <row r="7744">
          <cell r="A7744" t="str">
            <v>in storage</v>
          </cell>
          <cell r="K7744" t="str">
            <v>DMAD</v>
          </cell>
          <cell r="AB7744" t="str">
            <v>Liver</v>
          </cell>
        </row>
        <row r="7745">
          <cell r="A7745" t="str">
            <v>in storage</v>
          </cell>
          <cell r="K7745" t="str">
            <v>DMAD</v>
          </cell>
          <cell r="AB7745" t="str">
            <v>Adrenal gland</v>
          </cell>
        </row>
        <row r="7746">
          <cell r="A7746" t="str">
            <v>in storage</v>
          </cell>
          <cell r="K7746" t="str">
            <v>DMAD</v>
          </cell>
          <cell r="AB7746" t="str">
            <v>Adrenal gland</v>
          </cell>
        </row>
        <row r="7747">
          <cell r="A7747" t="str">
            <v>in storage</v>
          </cell>
          <cell r="K7747" t="str">
            <v>DMAD</v>
          </cell>
          <cell r="AB7747" t="str">
            <v>U- bladder</v>
          </cell>
        </row>
        <row r="7748">
          <cell r="A7748" t="str">
            <v>in storage</v>
          </cell>
          <cell r="K7748" t="str">
            <v>PTAT</v>
          </cell>
          <cell r="AB7748" t="str">
            <v>GI- ileum/ jejunum</v>
          </cell>
        </row>
        <row r="7749">
          <cell r="A7749" t="str">
            <v>in storage</v>
          </cell>
          <cell r="K7749" t="str">
            <v>PTAT</v>
          </cell>
          <cell r="AB7749" t="str">
            <v>GI- duodenum/ stomach</v>
          </cell>
        </row>
        <row r="7750">
          <cell r="A7750" t="str">
            <v>in storage</v>
          </cell>
          <cell r="K7750" t="str">
            <v>TSYR</v>
          </cell>
          <cell r="AB7750" t="str">
            <v>GI Tract</v>
          </cell>
        </row>
        <row r="7751">
          <cell r="A7751" t="str">
            <v>unk</v>
          </cell>
          <cell r="K7751" t="str">
            <v>DMAD</v>
          </cell>
          <cell r="AB7751" t="str">
            <v>Heart</v>
          </cell>
        </row>
        <row r="7752">
          <cell r="A7752" t="str">
            <v>in storage</v>
          </cell>
          <cell r="K7752" t="str">
            <v>DMAD</v>
          </cell>
          <cell r="AB7752" t="str">
            <v>Heart</v>
          </cell>
        </row>
        <row r="7753">
          <cell r="A7753" t="str">
            <v>in storage</v>
          </cell>
          <cell r="K7753" t="str">
            <v>DMAD</v>
          </cell>
          <cell r="AB7753" t="str">
            <v>Heart</v>
          </cell>
        </row>
        <row r="7754">
          <cell r="A7754" t="str">
            <v>in storage</v>
          </cell>
          <cell r="K7754" t="str">
            <v>DMAD</v>
          </cell>
          <cell r="AB7754" t="str">
            <v>Heart</v>
          </cell>
        </row>
        <row r="7755">
          <cell r="A7755" t="str">
            <v>in storage</v>
          </cell>
          <cell r="K7755" t="str">
            <v>DMAD</v>
          </cell>
          <cell r="AB7755" t="str">
            <v>Kidney</v>
          </cell>
        </row>
        <row r="7756">
          <cell r="A7756" t="str">
            <v>in storage</v>
          </cell>
          <cell r="K7756" t="str">
            <v>DMAD</v>
          </cell>
          <cell r="AB7756" t="str">
            <v>Kidney</v>
          </cell>
        </row>
        <row r="7757">
          <cell r="A7757" t="str">
            <v>in storage</v>
          </cell>
          <cell r="K7757" t="str">
            <v>DMAD</v>
          </cell>
          <cell r="AB7757" t="str">
            <v>Kidney</v>
          </cell>
        </row>
        <row r="7758">
          <cell r="A7758" t="str">
            <v>in storage</v>
          </cell>
          <cell r="K7758" t="str">
            <v>DMAD</v>
          </cell>
          <cell r="AB7758" t="str">
            <v>Liver</v>
          </cell>
        </row>
        <row r="7759">
          <cell r="A7759" t="str">
            <v>in storage</v>
          </cell>
          <cell r="K7759" t="str">
            <v>DMAD</v>
          </cell>
          <cell r="AB7759" t="str">
            <v>Lung</v>
          </cell>
        </row>
        <row r="7760">
          <cell r="A7760" t="str">
            <v>in storage</v>
          </cell>
          <cell r="K7760" t="str">
            <v>DMAD</v>
          </cell>
          <cell r="AB7760" t="str">
            <v>Lung</v>
          </cell>
        </row>
        <row r="7761">
          <cell r="A7761" t="str">
            <v>in storage</v>
          </cell>
          <cell r="K7761" t="str">
            <v>DMAD</v>
          </cell>
          <cell r="AB7761" t="str">
            <v>Lung</v>
          </cell>
        </row>
        <row r="7762">
          <cell r="A7762" t="str">
            <v>in storage</v>
          </cell>
          <cell r="K7762" t="str">
            <v>DMAD</v>
          </cell>
          <cell r="AB7762" t="str">
            <v>Pancreas</v>
          </cell>
        </row>
        <row r="7763">
          <cell r="A7763" t="str">
            <v>in storage</v>
          </cell>
          <cell r="K7763" t="str">
            <v>DMAD</v>
          </cell>
          <cell r="AB7763" t="str">
            <v>Skin</v>
          </cell>
        </row>
        <row r="7764">
          <cell r="A7764" t="str">
            <v>in storage</v>
          </cell>
          <cell r="K7764" t="str">
            <v>DMAD</v>
          </cell>
          <cell r="AB7764" t="str">
            <v>Skin</v>
          </cell>
        </row>
        <row r="7765">
          <cell r="A7765" t="str">
            <v>in storage</v>
          </cell>
          <cell r="K7765" t="str">
            <v>DMAD</v>
          </cell>
          <cell r="AB7765" t="str">
            <v>Spleen</v>
          </cell>
        </row>
        <row r="7766">
          <cell r="A7766" t="str">
            <v>in storage</v>
          </cell>
          <cell r="K7766" t="str">
            <v>DMAD</v>
          </cell>
          <cell r="AB7766" t="str">
            <v>Spleen</v>
          </cell>
        </row>
        <row r="7767">
          <cell r="A7767" t="str">
            <v>in storage</v>
          </cell>
          <cell r="K7767" t="str">
            <v>DMAD</v>
          </cell>
          <cell r="AB7767" t="str">
            <v>Lung</v>
          </cell>
        </row>
        <row r="7768">
          <cell r="A7768" t="str">
            <v>in storage</v>
          </cell>
          <cell r="K7768" t="str">
            <v>DMAD</v>
          </cell>
          <cell r="AB7768" t="str">
            <v>Lung</v>
          </cell>
        </row>
        <row r="7769">
          <cell r="A7769" t="str">
            <v>in storage</v>
          </cell>
          <cell r="K7769" t="str">
            <v>DMAD</v>
          </cell>
          <cell r="AB7769" t="str">
            <v>Skin</v>
          </cell>
        </row>
        <row r="7770">
          <cell r="A7770" t="str">
            <v>in storage</v>
          </cell>
          <cell r="K7770" t="str">
            <v>DMAD</v>
          </cell>
          <cell r="AB7770" t="str">
            <v>Lymph node- branchio-tracheal</v>
          </cell>
        </row>
        <row r="7771">
          <cell r="A7771" t="str">
            <v>in storage</v>
          </cell>
          <cell r="K7771" t="str">
            <v>VRUB</v>
          </cell>
          <cell r="AB7771" t="str">
            <v>GI Contents- intestinal</v>
          </cell>
        </row>
        <row r="7772">
          <cell r="A7772" t="str">
            <v>in storage</v>
          </cell>
          <cell r="K7772" t="str">
            <v>MMUR</v>
          </cell>
          <cell r="AB7772" t="str">
            <v>Muscle</v>
          </cell>
        </row>
        <row r="7773">
          <cell r="A7773" t="str">
            <v>in storage</v>
          </cell>
          <cell r="K7773" t="str">
            <v>MMUR</v>
          </cell>
          <cell r="AB7773" t="str">
            <v>Muscle</v>
          </cell>
        </row>
        <row r="7774">
          <cell r="A7774" t="str">
            <v>in storage</v>
          </cell>
          <cell r="K7774" t="str">
            <v>VRUB</v>
          </cell>
          <cell r="AB7774" t="str">
            <v>GI Contents- colon/ ileum</v>
          </cell>
        </row>
        <row r="7775">
          <cell r="A7775" t="str">
            <v>in storage</v>
          </cell>
          <cell r="K7775" t="str">
            <v>VRUB</v>
          </cell>
          <cell r="AB7775" t="str">
            <v>GI Tract</v>
          </cell>
        </row>
        <row r="7776">
          <cell r="A7776" t="str">
            <v>in storage</v>
          </cell>
          <cell r="K7776" t="str">
            <v>MMUR</v>
          </cell>
          <cell r="AB7776" t="str">
            <v>R- teste(s)</v>
          </cell>
        </row>
        <row r="7777">
          <cell r="A7777" t="str">
            <v>in storage</v>
          </cell>
          <cell r="K7777" t="str">
            <v>MMUR</v>
          </cell>
          <cell r="AB7777" t="str">
            <v>R- teste(s)</v>
          </cell>
        </row>
        <row r="7778">
          <cell r="A7778" t="str">
            <v>in storage</v>
          </cell>
          <cell r="K7778" t="str">
            <v>MMUR</v>
          </cell>
          <cell r="AB7778" t="str">
            <v>Trachea</v>
          </cell>
        </row>
        <row r="7779">
          <cell r="A7779" t="str">
            <v>in storage</v>
          </cell>
          <cell r="K7779" t="str">
            <v>MMUR</v>
          </cell>
          <cell r="AB7779" t="str">
            <v>Adrenal gland</v>
          </cell>
        </row>
        <row r="7780">
          <cell r="A7780" t="str">
            <v>in storage</v>
          </cell>
          <cell r="K7780" t="str">
            <v>MMUR</v>
          </cell>
          <cell r="AB7780" t="str">
            <v>RU- accessory sex glands/ bladder</v>
          </cell>
        </row>
        <row r="7781">
          <cell r="A7781" t="str">
            <v>in storage</v>
          </cell>
          <cell r="K7781" t="str">
            <v>MMUR</v>
          </cell>
          <cell r="AB7781" t="str">
            <v>Eye</v>
          </cell>
        </row>
        <row r="7782">
          <cell r="A7782" t="str">
            <v>in storage</v>
          </cell>
          <cell r="K7782" t="str">
            <v>VRUB</v>
          </cell>
          <cell r="AB7782" t="str">
            <v>GI- stomach</v>
          </cell>
        </row>
        <row r="7783">
          <cell r="A7783" t="str">
            <v>in storage</v>
          </cell>
          <cell r="K7783" t="str">
            <v>VRUB</v>
          </cell>
          <cell r="AB7783" t="str">
            <v>GI- large intestine</v>
          </cell>
        </row>
        <row r="7784">
          <cell r="A7784" t="str">
            <v>in storage</v>
          </cell>
          <cell r="K7784" t="str">
            <v>MMUR</v>
          </cell>
          <cell r="AB7784" t="str">
            <v>Gallbladder/ liver</v>
          </cell>
        </row>
        <row r="7785">
          <cell r="A7785" t="str">
            <v>in storage</v>
          </cell>
          <cell r="K7785" t="str">
            <v>VRUB</v>
          </cell>
          <cell r="AB7785" t="str">
            <v>GI- stomach</v>
          </cell>
        </row>
        <row r="7786">
          <cell r="A7786" t="str">
            <v>unk</v>
          </cell>
          <cell r="K7786" t="str">
            <v>MMUR</v>
          </cell>
          <cell r="AB7786" t="str">
            <v>Heart</v>
          </cell>
        </row>
        <row r="7787">
          <cell r="A7787" t="str">
            <v>unk</v>
          </cell>
          <cell r="K7787" t="str">
            <v>MMUR</v>
          </cell>
          <cell r="AB7787" t="str">
            <v>Kidney</v>
          </cell>
        </row>
        <row r="7788">
          <cell r="A7788" t="str">
            <v>in storage</v>
          </cell>
          <cell r="K7788" t="str">
            <v>MMUR</v>
          </cell>
          <cell r="AB7788" t="str">
            <v>Lung</v>
          </cell>
        </row>
        <row r="7789">
          <cell r="A7789" t="str">
            <v>unk</v>
          </cell>
          <cell r="K7789" t="str">
            <v>MMUR</v>
          </cell>
          <cell r="AB7789" t="str">
            <v>Pancreas</v>
          </cell>
        </row>
        <row r="7790">
          <cell r="A7790" t="str">
            <v>in storage</v>
          </cell>
          <cell r="K7790" t="str">
            <v>MMUR</v>
          </cell>
          <cell r="AB7790" t="str">
            <v>Skin</v>
          </cell>
        </row>
        <row r="7791">
          <cell r="A7791" t="str">
            <v>in storage</v>
          </cell>
          <cell r="K7791" t="str">
            <v>MMUR</v>
          </cell>
          <cell r="AB7791" t="str">
            <v>Spleen</v>
          </cell>
        </row>
        <row r="7792">
          <cell r="A7792" t="str">
            <v>in storage</v>
          </cell>
          <cell r="K7792" t="str">
            <v>PCOQ</v>
          </cell>
          <cell r="AB7792" t="str">
            <v>Muscle</v>
          </cell>
        </row>
        <row r="7793">
          <cell r="A7793" t="str">
            <v>in storage</v>
          </cell>
          <cell r="K7793" t="str">
            <v>PCOQ</v>
          </cell>
          <cell r="AB7793" t="str">
            <v>Muscle</v>
          </cell>
        </row>
        <row r="7794">
          <cell r="A7794" t="str">
            <v>in storage</v>
          </cell>
          <cell r="K7794" t="str">
            <v>PCOQ</v>
          </cell>
          <cell r="AB7794" t="str">
            <v>Muscle</v>
          </cell>
        </row>
        <row r="7795">
          <cell r="A7795" t="str">
            <v>in storage</v>
          </cell>
          <cell r="K7795" t="str">
            <v>PCOQ</v>
          </cell>
          <cell r="AB7795" t="str">
            <v>Muscle</v>
          </cell>
        </row>
        <row r="7796">
          <cell r="A7796" t="str">
            <v>in storage</v>
          </cell>
          <cell r="K7796" t="str">
            <v>VRUB</v>
          </cell>
          <cell r="AB7796" t="str">
            <v>GI Contents- cecum</v>
          </cell>
        </row>
        <row r="7797">
          <cell r="A7797" t="str">
            <v>in storage</v>
          </cell>
          <cell r="K7797" t="str">
            <v>VRUB</v>
          </cell>
          <cell r="AB7797" t="str">
            <v>GI- cecum</v>
          </cell>
        </row>
        <row r="7798">
          <cell r="A7798" t="str">
            <v>in storage</v>
          </cell>
          <cell r="K7798" t="str">
            <v>PCOQ</v>
          </cell>
          <cell r="AB7798" t="str">
            <v>R- teste(s)</v>
          </cell>
        </row>
        <row r="7799">
          <cell r="A7799" t="str">
            <v>in storage</v>
          </cell>
          <cell r="K7799" t="str">
            <v>PCOQ</v>
          </cell>
          <cell r="AB7799" t="str">
            <v>Trachea</v>
          </cell>
        </row>
        <row r="7800">
          <cell r="A7800" t="str">
            <v>in storage</v>
          </cell>
          <cell r="K7800" t="str">
            <v>PCOQ</v>
          </cell>
          <cell r="AB7800" t="str">
            <v>Liver</v>
          </cell>
        </row>
        <row r="7801">
          <cell r="A7801" t="str">
            <v>in storage</v>
          </cell>
          <cell r="K7801" t="str">
            <v>PCOQ</v>
          </cell>
          <cell r="AB7801" t="str">
            <v>Liver</v>
          </cell>
        </row>
        <row r="7802">
          <cell r="A7802" t="str">
            <v>in storage</v>
          </cell>
          <cell r="K7802" t="str">
            <v>PCOQ</v>
          </cell>
          <cell r="AB7802" t="str">
            <v>Liver</v>
          </cell>
        </row>
        <row r="7803">
          <cell r="A7803" t="str">
            <v>in storage</v>
          </cell>
          <cell r="K7803" t="str">
            <v>PCOQ</v>
          </cell>
          <cell r="AB7803" t="str">
            <v>Adrenal gland</v>
          </cell>
        </row>
        <row r="7804">
          <cell r="A7804" t="str">
            <v>in storage</v>
          </cell>
          <cell r="K7804" t="str">
            <v>PCOQ</v>
          </cell>
          <cell r="AB7804" t="str">
            <v>Adrenal gland</v>
          </cell>
        </row>
        <row r="7805">
          <cell r="A7805" t="str">
            <v>in storage</v>
          </cell>
          <cell r="K7805" t="str">
            <v>PCOQ</v>
          </cell>
          <cell r="AB7805" t="str">
            <v>Heart</v>
          </cell>
        </row>
        <row r="7806">
          <cell r="A7806" t="str">
            <v>in storage</v>
          </cell>
          <cell r="K7806" t="str">
            <v>PCOQ</v>
          </cell>
          <cell r="AB7806" t="str">
            <v>Heart</v>
          </cell>
        </row>
        <row r="7807">
          <cell r="A7807" t="str">
            <v>in storage</v>
          </cell>
          <cell r="K7807" t="str">
            <v>PCOQ</v>
          </cell>
          <cell r="AB7807" t="str">
            <v>Heart</v>
          </cell>
        </row>
        <row r="7808">
          <cell r="A7808" t="str">
            <v>in storage</v>
          </cell>
          <cell r="K7808" t="str">
            <v>PCOQ</v>
          </cell>
          <cell r="AB7808" t="str">
            <v>Liver</v>
          </cell>
        </row>
        <row r="7809">
          <cell r="A7809" t="str">
            <v>in storage</v>
          </cell>
          <cell r="K7809" t="str">
            <v>PCOQ</v>
          </cell>
          <cell r="AB7809" t="str">
            <v>Liver</v>
          </cell>
        </row>
        <row r="7810">
          <cell r="A7810" t="str">
            <v>in storage</v>
          </cell>
          <cell r="K7810" t="str">
            <v>PCOQ</v>
          </cell>
          <cell r="AB7810" t="str">
            <v>Lung</v>
          </cell>
        </row>
        <row r="7811">
          <cell r="A7811" t="str">
            <v>in storage</v>
          </cell>
          <cell r="K7811" t="str">
            <v>PCOQ</v>
          </cell>
          <cell r="AB7811" t="str">
            <v>Lung</v>
          </cell>
        </row>
        <row r="7812">
          <cell r="A7812" t="str">
            <v>in storage</v>
          </cell>
          <cell r="K7812" t="str">
            <v>PCOQ</v>
          </cell>
          <cell r="AB7812" t="str">
            <v>Lung</v>
          </cell>
        </row>
        <row r="7813">
          <cell r="A7813" t="str">
            <v>in storage</v>
          </cell>
          <cell r="K7813" t="str">
            <v>PCOQ</v>
          </cell>
          <cell r="AB7813" t="str">
            <v>Pancreas</v>
          </cell>
        </row>
        <row r="7814">
          <cell r="A7814" t="str">
            <v>in storage</v>
          </cell>
          <cell r="K7814" t="str">
            <v>PCOQ</v>
          </cell>
          <cell r="AB7814" t="str">
            <v>Spleen</v>
          </cell>
        </row>
        <row r="7815">
          <cell r="A7815" t="str">
            <v>in storage</v>
          </cell>
          <cell r="K7815" t="str">
            <v>PCOQ</v>
          </cell>
          <cell r="AB7815" t="str">
            <v>Spleen</v>
          </cell>
        </row>
        <row r="7816">
          <cell r="A7816" t="str">
            <v>in storage</v>
          </cell>
          <cell r="K7816" t="str">
            <v>PCOQ</v>
          </cell>
          <cell r="AB7816" t="str">
            <v>Spleen</v>
          </cell>
        </row>
        <row r="7817">
          <cell r="A7817" t="str">
            <v>in storage</v>
          </cell>
          <cell r="K7817" t="str">
            <v>PCOQ</v>
          </cell>
          <cell r="AB7817" t="str">
            <v>Kidney</v>
          </cell>
        </row>
        <row r="7818">
          <cell r="A7818" t="str">
            <v>in storage</v>
          </cell>
          <cell r="K7818" t="str">
            <v>PCOQ</v>
          </cell>
          <cell r="AB7818" t="str">
            <v>Kidney</v>
          </cell>
        </row>
        <row r="7819">
          <cell r="A7819" t="str">
            <v>in storage</v>
          </cell>
          <cell r="K7819" t="str">
            <v>PCOQ</v>
          </cell>
          <cell r="AB7819" t="str">
            <v>Kidney</v>
          </cell>
        </row>
        <row r="7820">
          <cell r="A7820" t="str">
            <v>in storage</v>
          </cell>
          <cell r="K7820" t="str">
            <v>PCOQ</v>
          </cell>
          <cell r="AB7820" t="str">
            <v>Aorta</v>
          </cell>
        </row>
        <row r="7821">
          <cell r="A7821" t="str">
            <v>in storage</v>
          </cell>
          <cell r="K7821" t="str">
            <v>PCOQ</v>
          </cell>
          <cell r="AB7821" t="str">
            <v>RU- accessory sex glands/ bladder</v>
          </cell>
        </row>
        <row r="7822">
          <cell r="A7822" t="str">
            <v>in storage</v>
          </cell>
          <cell r="K7822" t="str">
            <v>VRUB</v>
          </cell>
          <cell r="AB7822" t="str">
            <v>GI- large intestine</v>
          </cell>
        </row>
        <row r="7823">
          <cell r="A7823" t="str">
            <v>in storage</v>
          </cell>
          <cell r="K7823" t="str">
            <v>VRUB</v>
          </cell>
          <cell r="AB7823" t="str">
            <v>GI- small intestine</v>
          </cell>
        </row>
        <row r="7824">
          <cell r="A7824" t="str">
            <v>in storage</v>
          </cell>
          <cell r="K7824" t="str">
            <v>VRUB</v>
          </cell>
          <cell r="AB7824" t="str">
            <v>GI- stomach</v>
          </cell>
        </row>
        <row r="7825">
          <cell r="A7825" t="str">
            <v>unk</v>
          </cell>
          <cell r="K7825" t="str">
            <v>PCOQ</v>
          </cell>
          <cell r="AB7825" t="str">
            <v>Heart</v>
          </cell>
        </row>
        <row r="7826">
          <cell r="A7826" t="str">
            <v>unk</v>
          </cell>
          <cell r="K7826" t="str">
            <v>PCOQ</v>
          </cell>
          <cell r="AB7826" t="str">
            <v>Kidney</v>
          </cell>
        </row>
        <row r="7827">
          <cell r="A7827" t="str">
            <v>in storage</v>
          </cell>
          <cell r="K7827" t="str">
            <v>PCOQ</v>
          </cell>
          <cell r="AB7827" t="str">
            <v>Lung</v>
          </cell>
        </row>
        <row r="7828">
          <cell r="A7828" t="str">
            <v>in storage</v>
          </cell>
          <cell r="K7828" t="str">
            <v>PCOQ</v>
          </cell>
          <cell r="AB7828" t="str">
            <v>Lung</v>
          </cell>
        </row>
        <row r="7829">
          <cell r="A7829" t="str">
            <v>unk</v>
          </cell>
          <cell r="K7829" t="str">
            <v>PCOQ</v>
          </cell>
          <cell r="AB7829" t="str">
            <v>Pancreas</v>
          </cell>
        </row>
        <row r="7830">
          <cell r="A7830" t="str">
            <v>in storage</v>
          </cell>
          <cell r="K7830" t="str">
            <v>PCOQ</v>
          </cell>
          <cell r="AB7830" t="str">
            <v>Skin</v>
          </cell>
        </row>
        <row r="7831">
          <cell r="A7831" t="str">
            <v>in storage</v>
          </cell>
          <cell r="K7831" t="str">
            <v>PCOQ</v>
          </cell>
          <cell r="AB7831" t="str">
            <v>Spleen</v>
          </cell>
        </row>
        <row r="7832">
          <cell r="A7832" t="str">
            <v>in storage</v>
          </cell>
          <cell r="K7832" t="str">
            <v>DMAD</v>
          </cell>
          <cell r="AB7832" t="str">
            <v>Muscle</v>
          </cell>
        </row>
        <row r="7833">
          <cell r="A7833" t="str">
            <v>in storage</v>
          </cell>
          <cell r="K7833" t="str">
            <v>DMAD</v>
          </cell>
          <cell r="AB7833" t="str">
            <v>Muscle</v>
          </cell>
        </row>
        <row r="7834">
          <cell r="A7834" t="str">
            <v>in storage</v>
          </cell>
          <cell r="K7834" t="str">
            <v>DMAD</v>
          </cell>
          <cell r="AB7834" t="str">
            <v>Muscle</v>
          </cell>
        </row>
        <row r="7835">
          <cell r="A7835" t="str">
            <v>in storage</v>
          </cell>
          <cell r="K7835" t="str">
            <v>DMAD</v>
          </cell>
          <cell r="AB7835" t="str">
            <v>skull cap</v>
          </cell>
        </row>
        <row r="7836">
          <cell r="A7836" t="str">
            <v>in storage</v>
          </cell>
          <cell r="K7836" t="str">
            <v>DMAD</v>
          </cell>
          <cell r="AB7836" t="str">
            <v>R- ovary</v>
          </cell>
        </row>
        <row r="7837">
          <cell r="A7837" t="str">
            <v>in storage</v>
          </cell>
          <cell r="K7837" t="str">
            <v>VRUB</v>
          </cell>
          <cell r="AB7837" t="str">
            <v>GI Contents- large intestine</v>
          </cell>
        </row>
        <row r="7838">
          <cell r="A7838" t="str">
            <v>in storage</v>
          </cell>
          <cell r="K7838" t="str">
            <v>VRUB</v>
          </cell>
          <cell r="AB7838" t="str">
            <v>GI Tract</v>
          </cell>
        </row>
        <row r="7839">
          <cell r="A7839" t="str">
            <v>in storage</v>
          </cell>
          <cell r="K7839" t="str">
            <v>VRUB</v>
          </cell>
          <cell r="AB7839" t="str">
            <v>GI Tract</v>
          </cell>
        </row>
        <row r="7840">
          <cell r="A7840" t="str">
            <v>in storage</v>
          </cell>
          <cell r="K7840" t="str">
            <v>DMAD</v>
          </cell>
          <cell r="AB7840" t="str">
            <v>Trachea</v>
          </cell>
        </row>
        <row r="7841">
          <cell r="A7841" t="str">
            <v>in storage</v>
          </cell>
          <cell r="K7841" t="str">
            <v>DMAD</v>
          </cell>
          <cell r="AB7841" t="str">
            <v>Liver</v>
          </cell>
        </row>
        <row r="7842">
          <cell r="A7842" t="str">
            <v>in storage</v>
          </cell>
          <cell r="K7842" t="str">
            <v>DMAD</v>
          </cell>
          <cell r="AB7842" t="str">
            <v>Liver</v>
          </cell>
        </row>
        <row r="7843">
          <cell r="A7843" t="str">
            <v>in storage</v>
          </cell>
          <cell r="K7843" t="str">
            <v>DMAD</v>
          </cell>
          <cell r="AB7843" t="str">
            <v>Liver</v>
          </cell>
        </row>
        <row r="7844">
          <cell r="A7844" t="str">
            <v>in storage</v>
          </cell>
          <cell r="K7844" t="str">
            <v>DMAD</v>
          </cell>
          <cell r="AB7844" t="str">
            <v>Kidney</v>
          </cell>
        </row>
        <row r="7845">
          <cell r="A7845" t="str">
            <v>in storage</v>
          </cell>
          <cell r="K7845" t="str">
            <v>DMAD</v>
          </cell>
          <cell r="AB7845" t="str">
            <v>Kidney</v>
          </cell>
        </row>
        <row r="7846">
          <cell r="A7846" t="str">
            <v>in storage</v>
          </cell>
          <cell r="K7846" t="str">
            <v>DMAD</v>
          </cell>
          <cell r="AB7846" t="str">
            <v>Kidney</v>
          </cell>
        </row>
        <row r="7847">
          <cell r="A7847" t="str">
            <v>in storage</v>
          </cell>
          <cell r="K7847" t="str">
            <v>DMAD</v>
          </cell>
          <cell r="AB7847" t="str">
            <v>Spleen</v>
          </cell>
        </row>
        <row r="7848">
          <cell r="A7848" t="str">
            <v>in storage</v>
          </cell>
          <cell r="K7848" t="str">
            <v>DMAD</v>
          </cell>
          <cell r="AB7848" t="str">
            <v>U- bladder</v>
          </cell>
        </row>
        <row r="7849">
          <cell r="A7849" t="str">
            <v>in storage</v>
          </cell>
          <cell r="K7849" t="str">
            <v>DMAD</v>
          </cell>
          <cell r="AB7849" t="str">
            <v>Liver</v>
          </cell>
        </row>
        <row r="7850">
          <cell r="A7850" t="str">
            <v>in storage</v>
          </cell>
          <cell r="K7850" t="str">
            <v>DMAD</v>
          </cell>
          <cell r="AB7850" t="str">
            <v>Lung</v>
          </cell>
        </row>
        <row r="7851">
          <cell r="A7851" t="str">
            <v>unk</v>
          </cell>
          <cell r="K7851" t="str">
            <v>DMAD</v>
          </cell>
          <cell r="AB7851" t="str">
            <v>Lung</v>
          </cell>
        </row>
        <row r="7852">
          <cell r="A7852" t="str">
            <v>in storage</v>
          </cell>
          <cell r="K7852" t="str">
            <v>DMAD</v>
          </cell>
          <cell r="AB7852" t="str">
            <v>Lung</v>
          </cell>
        </row>
        <row r="7853">
          <cell r="A7853" t="str">
            <v>in storage</v>
          </cell>
          <cell r="K7853" t="str">
            <v>DMAD</v>
          </cell>
          <cell r="AB7853" t="str">
            <v>Heart</v>
          </cell>
        </row>
        <row r="7854">
          <cell r="A7854" t="str">
            <v>in storage</v>
          </cell>
          <cell r="K7854" t="str">
            <v>DMAD</v>
          </cell>
          <cell r="AB7854" t="str">
            <v>Heart</v>
          </cell>
        </row>
        <row r="7855">
          <cell r="A7855" t="str">
            <v>unk</v>
          </cell>
          <cell r="K7855" t="str">
            <v>DMAD</v>
          </cell>
          <cell r="AB7855" t="str">
            <v>Aorta</v>
          </cell>
        </row>
        <row r="7856">
          <cell r="A7856" t="str">
            <v>in storage</v>
          </cell>
          <cell r="K7856" t="str">
            <v>DMAD</v>
          </cell>
          <cell r="AB7856" t="str">
            <v>U- bladder</v>
          </cell>
        </row>
        <row r="7857">
          <cell r="A7857" t="str">
            <v>in storage</v>
          </cell>
          <cell r="K7857" t="str">
            <v>VRUB</v>
          </cell>
          <cell r="AB7857" t="str">
            <v>GI Contents- cecum</v>
          </cell>
        </row>
        <row r="7858">
          <cell r="A7858" t="str">
            <v>in storage</v>
          </cell>
          <cell r="K7858" t="str">
            <v>VRUB</v>
          </cell>
          <cell r="AB7858" t="str">
            <v>GI- large intestine</v>
          </cell>
        </row>
        <row r="7859">
          <cell r="A7859" t="str">
            <v>in storage</v>
          </cell>
          <cell r="K7859" t="str">
            <v>VRUB</v>
          </cell>
          <cell r="AB7859" t="str">
            <v>GI- small intestine/ stomach</v>
          </cell>
        </row>
        <row r="7860">
          <cell r="A7860" t="str">
            <v>unk</v>
          </cell>
          <cell r="K7860" t="str">
            <v>DMAD</v>
          </cell>
          <cell r="AB7860" t="str">
            <v>Heart</v>
          </cell>
        </row>
        <row r="7861">
          <cell r="A7861" t="str">
            <v>unk</v>
          </cell>
          <cell r="K7861" t="str">
            <v>DMAD</v>
          </cell>
          <cell r="AB7861" t="str">
            <v>Kidney</v>
          </cell>
        </row>
        <row r="7862">
          <cell r="A7862" t="str">
            <v>in storage</v>
          </cell>
          <cell r="K7862" t="str">
            <v>DMAD</v>
          </cell>
          <cell r="AB7862" t="str">
            <v>Lung</v>
          </cell>
        </row>
        <row r="7863">
          <cell r="A7863" t="str">
            <v>in storage</v>
          </cell>
          <cell r="K7863" t="str">
            <v>DMAD</v>
          </cell>
          <cell r="AB7863" t="str">
            <v>Lung</v>
          </cell>
        </row>
        <row r="7864">
          <cell r="A7864" t="str">
            <v>in storage</v>
          </cell>
          <cell r="K7864" t="str">
            <v>DMAD</v>
          </cell>
          <cell r="AB7864" t="str">
            <v>Pancreas</v>
          </cell>
        </row>
        <row r="7865">
          <cell r="A7865" t="str">
            <v>in storage</v>
          </cell>
          <cell r="K7865" t="str">
            <v>DMAD</v>
          </cell>
          <cell r="AB7865" t="str">
            <v>Skin</v>
          </cell>
        </row>
        <row r="7866">
          <cell r="A7866" t="str">
            <v>in storage</v>
          </cell>
          <cell r="K7866" t="str">
            <v>DMAD</v>
          </cell>
          <cell r="AB7866" t="str">
            <v>Spleen</v>
          </cell>
        </row>
        <row r="7867">
          <cell r="A7867" t="str">
            <v>in storage</v>
          </cell>
          <cell r="K7867" t="str">
            <v>DMAD</v>
          </cell>
          <cell r="AB7867" t="str">
            <v>R- uterus</v>
          </cell>
        </row>
        <row r="7868">
          <cell r="A7868" t="str">
            <v>in storage</v>
          </cell>
          <cell r="K7868" t="str">
            <v>DMAD</v>
          </cell>
          <cell r="AB7868" t="str">
            <v>Adrenal gland</v>
          </cell>
        </row>
        <row r="7869">
          <cell r="A7869" t="str">
            <v>in storage</v>
          </cell>
          <cell r="K7869" t="str">
            <v>DMAD</v>
          </cell>
          <cell r="AB7869" t="str">
            <v>R- vagina</v>
          </cell>
        </row>
        <row r="7870">
          <cell r="A7870" t="str">
            <v>in storage</v>
          </cell>
          <cell r="K7870" t="str">
            <v>VRUB</v>
          </cell>
          <cell r="AB7870" t="str">
            <v>GI Contents- duodenum</v>
          </cell>
        </row>
        <row r="7871">
          <cell r="A7871" t="str">
            <v>in storage</v>
          </cell>
          <cell r="K7871" t="str">
            <v>CMED</v>
          </cell>
          <cell r="AB7871" t="str">
            <v>Muscle</v>
          </cell>
        </row>
        <row r="7872">
          <cell r="A7872" t="str">
            <v>in storage</v>
          </cell>
          <cell r="K7872" t="str">
            <v>CMED</v>
          </cell>
          <cell r="AB7872" t="str">
            <v>skull cap</v>
          </cell>
        </row>
        <row r="7873">
          <cell r="A7873" t="str">
            <v>in storage</v>
          </cell>
          <cell r="K7873" t="str">
            <v>CMED</v>
          </cell>
          <cell r="AB7873" t="str">
            <v>Lymph node- axillary</v>
          </cell>
        </row>
        <row r="7874">
          <cell r="A7874" t="str">
            <v>in storage</v>
          </cell>
          <cell r="K7874" t="str">
            <v>CMED</v>
          </cell>
          <cell r="AB7874" t="str">
            <v>R- reproductive tract</v>
          </cell>
        </row>
        <row r="7875">
          <cell r="A7875" t="str">
            <v>in storage</v>
          </cell>
          <cell r="K7875" t="str">
            <v>VRUB</v>
          </cell>
          <cell r="AB7875" t="str">
            <v>GI Contents- stomach</v>
          </cell>
        </row>
        <row r="7876">
          <cell r="A7876" t="str">
            <v>in storage</v>
          </cell>
          <cell r="K7876" t="str">
            <v>VRUB</v>
          </cell>
          <cell r="AB7876" t="str">
            <v>GI Tract</v>
          </cell>
        </row>
        <row r="7877">
          <cell r="A7877" t="str">
            <v>in storage</v>
          </cell>
          <cell r="K7877" t="str">
            <v>CMED</v>
          </cell>
          <cell r="AB7877" t="str">
            <v>Trachea</v>
          </cell>
        </row>
        <row r="7878">
          <cell r="A7878" t="str">
            <v>in storage</v>
          </cell>
          <cell r="K7878" t="str">
            <v>CMED</v>
          </cell>
          <cell r="AB7878" t="str">
            <v>Liver</v>
          </cell>
        </row>
        <row r="7879">
          <cell r="A7879" t="str">
            <v>in storage</v>
          </cell>
          <cell r="K7879" t="str">
            <v>CMED</v>
          </cell>
          <cell r="AB7879" t="str">
            <v>U- bladder</v>
          </cell>
        </row>
        <row r="7880">
          <cell r="A7880" t="str">
            <v>in storage</v>
          </cell>
          <cell r="K7880" t="str">
            <v>CMED</v>
          </cell>
          <cell r="AB7880" t="str">
            <v>Eye</v>
          </cell>
        </row>
        <row r="7881">
          <cell r="A7881" t="str">
            <v>in storage</v>
          </cell>
          <cell r="K7881" t="str">
            <v>CMED</v>
          </cell>
          <cell r="AB7881" t="str">
            <v>Eye</v>
          </cell>
        </row>
        <row r="7882">
          <cell r="A7882" t="str">
            <v>in storage</v>
          </cell>
          <cell r="K7882" t="str">
            <v>VRUB</v>
          </cell>
          <cell r="AB7882" t="str">
            <v>GI Tract</v>
          </cell>
        </row>
        <row r="7883">
          <cell r="A7883" t="str">
            <v>in storage</v>
          </cell>
          <cell r="K7883" t="str">
            <v>VRUB</v>
          </cell>
          <cell r="AB7883" t="str">
            <v>GI- stomach</v>
          </cell>
        </row>
        <row r="7884">
          <cell r="A7884" t="str">
            <v>in storage</v>
          </cell>
          <cell r="K7884" t="str">
            <v>VRUB</v>
          </cell>
          <cell r="AB7884" t="str">
            <v>GI Contents- cecum</v>
          </cell>
        </row>
        <row r="7885">
          <cell r="A7885" t="str">
            <v>unk</v>
          </cell>
          <cell r="K7885" t="str">
            <v>CMED</v>
          </cell>
          <cell r="AB7885" t="str">
            <v>Heart</v>
          </cell>
        </row>
        <row r="7886">
          <cell r="A7886" t="str">
            <v>unk</v>
          </cell>
          <cell r="K7886" t="str">
            <v>CMED</v>
          </cell>
          <cell r="AB7886" t="str">
            <v>Kidney</v>
          </cell>
        </row>
        <row r="7887">
          <cell r="A7887" t="str">
            <v>unk</v>
          </cell>
          <cell r="K7887" t="str">
            <v>CMED</v>
          </cell>
          <cell r="AB7887" t="str">
            <v>Kidney</v>
          </cell>
        </row>
        <row r="7888">
          <cell r="A7888" t="str">
            <v>in storage</v>
          </cell>
          <cell r="K7888" t="str">
            <v>CMED</v>
          </cell>
          <cell r="AB7888" t="str">
            <v>Lung</v>
          </cell>
        </row>
        <row r="7889">
          <cell r="A7889" t="str">
            <v>in storage</v>
          </cell>
          <cell r="K7889" t="str">
            <v>CMED</v>
          </cell>
          <cell r="AB7889" t="str">
            <v>Lung</v>
          </cell>
        </row>
        <row r="7890">
          <cell r="A7890" t="str">
            <v>in storage</v>
          </cell>
          <cell r="K7890" t="str">
            <v>CMED</v>
          </cell>
          <cell r="AB7890" t="str">
            <v xml:space="preserve">Fat- mediastinal </v>
          </cell>
        </row>
        <row r="7891">
          <cell r="A7891" t="str">
            <v>in storage</v>
          </cell>
          <cell r="K7891" t="str">
            <v>CMED</v>
          </cell>
          <cell r="AB7891" t="str">
            <v>Fat- mesenteric</v>
          </cell>
        </row>
        <row r="7892">
          <cell r="A7892" t="str">
            <v>unk</v>
          </cell>
          <cell r="K7892" t="str">
            <v>CMED</v>
          </cell>
          <cell r="AB7892" t="str">
            <v>Fat- omental</v>
          </cell>
        </row>
        <row r="7893">
          <cell r="A7893" t="str">
            <v>in storage</v>
          </cell>
          <cell r="K7893" t="str">
            <v>CMED</v>
          </cell>
          <cell r="AB7893" t="str">
            <v>Pancreas</v>
          </cell>
        </row>
        <row r="7894">
          <cell r="A7894" t="str">
            <v>in storage</v>
          </cell>
          <cell r="K7894" t="str">
            <v>CMED</v>
          </cell>
          <cell r="AB7894" t="str">
            <v>Skin</v>
          </cell>
        </row>
        <row r="7895">
          <cell r="A7895" t="str">
            <v>in storage</v>
          </cell>
          <cell r="K7895" t="str">
            <v>CMED</v>
          </cell>
          <cell r="AB7895" t="str">
            <v>Skin</v>
          </cell>
        </row>
        <row r="7896">
          <cell r="A7896" t="str">
            <v>in storage</v>
          </cell>
          <cell r="K7896" t="str">
            <v>CMED</v>
          </cell>
          <cell r="AB7896" t="str">
            <v>Skin</v>
          </cell>
        </row>
        <row r="7897">
          <cell r="A7897" t="str">
            <v>in storage</v>
          </cell>
          <cell r="K7897" t="str">
            <v>CMED</v>
          </cell>
          <cell r="AB7897" t="str">
            <v>Skin</v>
          </cell>
        </row>
        <row r="7898">
          <cell r="A7898" t="str">
            <v>in storage</v>
          </cell>
          <cell r="K7898" t="str">
            <v>CMED</v>
          </cell>
          <cell r="AB7898" t="str">
            <v>Skin</v>
          </cell>
        </row>
        <row r="7899">
          <cell r="A7899" t="str">
            <v>in storage</v>
          </cell>
          <cell r="K7899" t="str">
            <v>CMED</v>
          </cell>
          <cell r="AB7899" t="str">
            <v>Skin</v>
          </cell>
        </row>
        <row r="7900">
          <cell r="A7900" t="str">
            <v>in storage</v>
          </cell>
          <cell r="K7900" t="str">
            <v>CMED</v>
          </cell>
          <cell r="AB7900" t="str">
            <v>Skin</v>
          </cell>
        </row>
        <row r="7901">
          <cell r="A7901" t="str">
            <v>in storage</v>
          </cell>
          <cell r="K7901" t="str">
            <v>CMED</v>
          </cell>
          <cell r="AB7901" t="str">
            <v>Skin</v>
          </cell>
        </row>
        <row r="7902">
          <cell r="A7902" t="str">
            <v>in storage</v>
          </cell>
          <cell r="K7902" t="str">
            <v>CMED</v>
          </cell>
          <cell r="AB7902" t="str">
            <v>Skin</v>
          </cell>
        </row>
        <row r="7903">
          <cell r="A7903" t="str">
            <v>in storage</v>
          </cell>
          <cell r="K7903" t="str">
            <v>CMED</v>
          </cell>
          <cell r="AB7903" t="str">
            <v>Spleen</v>
          </cell>
        </row>
        <row r="7904">
          <cell r="A7904" t="str">
            <v>in storage</v>
          </cell>
          <cell r="K7904" t="str">
            <v>MMUR</v>
          </cell>
          <cell r="AB7904" t="str">
            <v>Muscle</v>
          </cell>
        </row>
        <row r="7905">
          <cell r="A7905" t="str">
            <v>in storage</v>
          </cell>
          <cell r="K7905" t="str">
            <v>VRUB</v>
          </cell>
          <cell r="AB7905" t="str">
            <v>GI Tract</v>
          </cell>
        </row>
        <row r="7906">
          <cell r="A7906" t="str">
            <v>in storage</v>
          </cell>
          <cell r="K7906" t="str">
            <v>VRUB</v>
          </cell>
          <cell r="AB7906" t="str">
            <v>GI Contents- stomach</v>
          </cell>
        </row>
        <row r="7907">
          <cell r="A7907" t="str">
            <v>in storage</v>
          </cell>
          <cell r="K7907" t="str">
            <v>VRUB</v>
          </cell>
          <cell r="AB7907" t="str">
            <v>GI Tract</v>
          </cell>
        </row>
        <row r="7908">
          <cell r="A7908" t="str">
            <v>in storage</v>
          </cell>
          <cell r="K7908" t="str">
            <v>VRUB</v>
          </cell>
          <cell r="AB7908" t="str">
            <v>GI Tract</v>
          </cell>
        </row>
        <row r="7909">
          <cell r="A7909" t="str">
            <v>in storage</v>
          </cell>
          <cell r="K7909" t="str">
            <v>MMUR</v>
          </cell>
          <cell r="AB7909" t="str">
            <v>Liver</v>
          </cell>
        </row>
        <row r="7910">
          <cell r="A7910" t="str">
            <v>in storage</v>
          </cell>
          <cell r="K7910" t="str">
            <v>MMUR</v>
          </cell>
          <cell r="AB7910" t="str">
            <v>Adrenal gland</v>
          </cell>
        </row>
        <row r="7911">
          <cell r="A7911" t="str">
            <v>in storage</v>
          </cell>
          <cell r="K7911" t="str">
            <v>MMUR</v>
          </cell>
          <cell r="AB7911" t="str">
            <v>Adrenal gland</v>
          </cell>
        </row>
        <row r="7912">
          <cell r="A7912" t="str">
            <v>unk</v>
          </cell>
          <cell r="K7912" t="str">
            <v>MMUR</v>
          </cell>
          <cell r="AB7912" t="str">
            <v>Kidney</v>
          </cell>
        </row>
        <row r="7913">
          <cell r="A7913" t="str">
            <v>unk</v>
          </cell>
          <cell r="K7913" t="str">
            <v>MMUR</v>
          </cell>
          <cell r="AB7913" t="str">
            <v>Kidney</v>
          </cell>
        </row>
        <row r="7914">
          <cell r="A7914" t="str">
            <v>gone</v>
          </cell>
          <cell r="K7914" t="str">
            <v>MMUR</v>
          </cell>
          <cell r="AB7914" t="str">
            <v>Spleen</v>
          </cell>
        </row>
        <row r="7915">
          <cell r="A7915" t="str">
            <v>unk</v>
          </cell>
          <cell r="K7915" t="str">
            <v>MMUR</v>
          </cell>
          <cell r="AB7915" t="str">
            <v>RU- accessory sex glands/ bladder</v>
          </cell>
        </row>
        <row r="7916">
          <cell r="A7916" t="str">
            <v>in storage</v>
          </cell>
          <cell r="K7916" t="str">
            <v>MMUR</v>
          </cell>
          <cell r="AB7916" t="str">
            <v>Pancreas</v>
          </cell>
        </row>
        <row r="7917">
          <cell r="A7917" t="str">
            <v>in storage</v>
          </cell>
          <cell r="K7917" t="str">
            <v>MMUR</v>
          </cell>
          <cell r="AB7917" t="str">
            <v>Lung</v>
          </cell>
        </row>
        <row r="7918">
          <cell r="A7918" t="str">
            <v>in storage</v>
          </cell>
          <cell r="K7918" t="str">
            <v>MMUR</v>
          </cell>
          <cell r="AB7918" t="str">
            <v>Lung</v>
          </cell>
        </row>
        <row r="7919">
          <cell r="A7919" t="str">
            <v>unk</v>
          </cell>
          <cell r="K7919" t="str">
            <v>MMUR</v>
          </cell>
          <cell r="AB7919" t="str">
            <v>Heart</v>
          </cell>
        </row>
        <row r="7920">
          <cell r="A7920" t="str">
            <v>in storage</v>
          </cell>
          <cell r="K7920" t="str">
            <v>MMUR</v>
          </cell>
          <cell r="AB7920" t="str">
            <v>Skin</v>
          </cell>
        </row>
        <row r="7921">
          <cell r="A7921" t="str">
            <v>in storage</v>
          </cell>
          <cell r="K7921" t="str">
            <v>VRUB</v>
          </cell>
          <cell r="AB7921" t="str">
            <v>GI Contents- cecum</v>
          </cell>
        </row>
        <row r="7922">
          <cell r="A7922" t="str">
            <v>in storage</v>
          </cell>
          <cell r="K7922" t="str">
            <v>MMUR</v>
          </cell>
          <cell r="AB7922" t="str">
            <v>R- teste(s)</v>
          </cell>
        </row>
        <row r="7923">
          <cell r="A7923" t="str">
            <v>in storage</v>
          </cell>
          <cell r="K7923" t="str">
            <v>MMUR</v>
          </cell>
          <cell r="AB7923" t="str">
            <v>R- teste(s)</v>
          </cell>
        </row>
        <row r="7924">
          <cell r="A7924" t="str">
            <v>gone</v>
          </cell>
          <cell r="K7924" t="str">
            <v>PCOQ</v>
          </cell>
          <cell r="AB7924" t="str">
            <v>R- placenta</v>
          </cell>
        </row>
        <row r="7925">
          <cell r="A7925" t="str">
            <v>in storage</v>
          </cell>
          <cell r="K7925" t="str">
            <v>PCOQ</v>
          </cell>
          <cell r="AB7925" t="str">
            <v>Lung</v>
          </cell>
        </row>
        <row r="7926">
          <cell r="A7926" t="str">
            <v>unk</v>
          </cell>
          <cell r="K7926" t="str">
            <v>LCAT</v>
          </cell>
          <cell r="AB7926" t="str">
            <v>Digit- toe</v>
          </cell>
        </row>
        <row r="7927">
          <cell r="A7927" t="str">
            <v>in storage</v>
          </cell>
          <cell r="K7927" t="str">
            <v>PCOQ</v>
          </cell>
          <cell r="AB7927" t="str">
            <v>R- amniotic sac</v>
          </cell>
        </row>
        <row r="7928">
          <cell r="A7928" t="str">
            <v>in storage</v>
          </cell>
          <cell r="K7928" t="str">
            <v>VRUB</v>
          </cell>
          <cell r="AB7928" t="str">
            <v>GI- duodenum</v>
          </cell>
        </row>
        <row r="7929">
          <cell r="A7929" t="str">
            <v>in storage</v>
          </cell>
          <cell r="K7929" t="str">
            <v>VRUB</v>
          </cell>
          <cell r="AB7929" t="str">
            <v>GI- cecum</v>
          </cell>
        </row>
        <row r="7930">
          <cell r="A7930" t="str">
            <v>in storage</v>
          </cell>
          <cell r="K7930" t="str">
            <v>VRUB</v>
          </cell>
          <cell r="AB7930" t="str">
            <v>GI- ileum</v>
          </cell>
        </row>
        <row r="7931">
          <cell r="A7931" t="str">
            <v>in storage</v>
          </cell>
          <cell r="K7931" t="str">
            <v>VRUB</v>
          </cell>
          <cell r="AB7931" t="str">
            <v>GI Contents- large intestine</v>
          </cell>
        </row>
        <row r="7932">
          <cell r="A7932" t="str">
            <v>in storage</v>
          </cell>
          <cell r="K7932" t="str">
            <v>VRUB</v>
          </cell>
          <cell r="AB7932" t="str">
            <v>GI- large intestine</v>
          </cell>
        </row>
        <row r="7933">
          <cell r="A7933" t="str">
            <v>in storage</v>
          </cell>
          <cell r="K7933" t="str">
            <v>PCOQ</v>
          </cell>
          <cell r="AB7933" t="str">
            <v>Spleen</v>
          </cell>
        </row>
        <row r="7934">
          <cell r="A7934" t="str">
            <v>in storage</v>
          </cell>
          <cell r="K7934" t="str">
            <v>PCOQ</v>
          </cell>
          <cell r="AB7934" t="str">
            <v>Spleen</v>
          </cell>
        </row>
        <row r="7935">
          <cell r="A7935" t="str">
            <v>in storage</v>
          </cell>
          <cell r="K7935" t="str">
            <v>VVV</v>
          </cell>
          <cell r="AB7935" t="str">
            <v>R- teste(s)</v>
          </cell>
        </row>
        <row r="7936">
          <cell r="A7936" t="str">
            <v>in storage</v>
          </cell>
          <cell r="K7936" t="str">
            <v>VVV</v>
          </cell>
          <cell r="AB7936" t="str">
            <v>R- seminal vesicles and prostate gland</v>
          </cell>
        </row>
        <row r="7937">
          <cell r="A7937" t="str">
            <v>in storage</v>
          </cell>
          <cell r="K7937" t="str">
            <v>VVV</v>
          </cell>
          <cell r="AB7937" t="str">
            <v>Trachea</v>
          </cell>
        </row>
        <row r="7938">
          <cell r="A7938" t="str">
            <v>in storage</v>
          </cell>
          <cell r="K7938" t="str">
            <v>PCOQ</v>
          </cell>
          <cell r="AB7938" t="str">
            <v>Spleen</v>
          </cell>
        </row>
        <row r="7939">
          <cell r="A7939" t="str">
            <v>in storage</v>
          </cell>
          <cell r="K7939" t="str">
            <v>PCOQ</v>
          </cell>
          <cell r="AB7939" t="str">
            <v>U- bladder</v>
          </cell>
        </row>
        <row r="7940">
          <cell r="A7940" t="str">
            <v>in storage</v>
          </cell>
          <cell r="K7940" t="str">
            <v>PCOQ</v>
          </cell>
          <cell r="AB7940" t="str">
            <v>R- ovary</v>
          </cell>
        </row>
        <row r="7941">
          <cell r="A7941" t="str">
            <v>in storage</v>
          </cell>
          <cell r="K7941" t="str">
            <v>PCOQ</v>
          </cell>
          <cell r="AB7941" t="str">
            <v>Liver</v>
          </cell>
        </row>
        <row r="7942">
          <cell r="A7942" t="str">
            <v>in storage</v>
          </cell>
          <cell r="K7942" t="str">
            <v>PCOQ</v>
          </cell>
          <cell r="AB7942" t="str">
            <v>Liver</v>
          </cell>
        </row>
        <row r="7943">
          <cell r="A7943" t="str">
            <v>in storage</v>
          </cell>
          <cell r="K7943" t="str">
            <v>PCOQ</v>
          </cell>
          <cell r="AB7943" t="str">
            <v>Liver</v>
          </cell>
        </row>
        <row r="7944">
          <cell r="A7944" t="str">
            <v>in storage</v>
          </cell>
          <cell r="K7944" t="str">
            <v>PCOQ</v>
          </cell>
          <cell r="AB7944" t="str">
            <v>Liver</v>
          </cell>
        </row>
        <row r="7945">
          <cell r="A7945" t="str">
            <v>in storage</v>
          </cell>
          <cell r="K7945" t="str">
            <v>VVV</v>
          </cell>
          <cell r="AB7945" t="str">
            <v>Spleen</v>
          </cell>
        </row>
        <row r="7946">
          <cell r="A7946" t="str">
            <v>in storage</v>
          </cell>
          <cell r="K7946" t="str">
            <v>VVV</v>
          </cell>
          <cell r="AB7946" t="str">
            <v>U- bladder</v>
          </cell>
        </row>
        <row r="7947">
          <cell r="A7947" t="str">
            <v>in storage</v>
          </cell>
          <cell r="K7947" t="str">
            <v>PCOQ</v>
          </cell>
          <cell r="AB7947" t="str">
            <v>Lung</v>
          </cell>
        </row>
        <row r="7948">
          <cell r="A7948" t="str">
            <v>in storage</v>
          </cell>
          <cell r="K7948" t="str">
            <v>PCOQ</v>
          </cell>
          <cell r="AB7948" t="str">
            <v>Lung</v>
          </cell>
        </row>
        <row r="7949">
          <cell r="A7949" t="str">
            <v>in storage</v>
          </cell>
          <cell r="K7949" t="str">
            <v>VVV</v>
          </cell>
          <cell r="AB7949" t="str">
            <v>Liver</v>
          </cell>
        </row>
        <row r="7950">
          <cell r="A7950" t="str">
            <v>in storage</v>
          </cell>
          <cell r="K7950" t="str">
            <v>VVV</v>
          </cell>
          <cell r="AB7950" t="str">
            <v>Liver</v>
          </cell>
        </row>
        <row r="7951">
          <cell r="A7951" t="str">
            <v>in storage</v>
          </cell>
          <cell r="K7951" t="str">
            <v>VVV</v>
          </cell>
          <cell r="AB7951" t="str">
            <v>Pancreas</v>
          </cell>
        </row>
        <row r="7952">
          <cell r="A7952" t="str">
            <v>in storage</v>
          </cell>
          <cell r="K7952" t="str">
            <v>PCOQ</v>
          </cell>
          <cell r="AB7952" t="str">
            <v>Lung</v>
          </cell>
        </row>
        <row r="7953">
          <cell r="A7953" t="str">
            <v>in storage</v>
          </cell>
          <cell r="K7953" t="str">
            <v>PCOQ</v>
          </cell>
          <cell r="AB7953" t="str">
            <v>Lung</v>
          </cell>
        </row>
        <row r="7954">
          <cell r="A7954" t="str">
            <v>in storage</v>
          </cell>
          <cell r="K7954" t="str">
            <v>PCOQ</v>
          </cell>
          <cell r="AB7954" t="str">
            <v>Lung</v>
          </cell>
        </row>
        <row r="7955">
          <cell r="A7955" t="str">
            <v>in storage</v>
          </cell>
          <cell r="K7955" t="str">
            <v>VVV</v>
          </cell>
          <cell r="AB7955" t="str">
            <v>Lung</v>
          </cell>
        </row>
        <row r="7956">
          <cell r="A7956" t="str">
            <v>in storage</v>
          </cell>
          <cell r="K7956" t="str">
            <v>VVV</v>
          </cell>
          <cell r="AB7956" t="str">
            <v>Lung</v>
          </cell>
        </row>
        <row r="7957">
          <cell r="A7957" t="str">
            <v>in storage</v>
          </cell>
          <cell r="K7957" t="str">
            <v>PCOQ</v>
          </cell>
          <cell r="AB7957" t="str">
            <v>Heart</v>
          </cell>
        </row>
        <row r="7958">
          <cell r="A7958" t="str">
            <v>in storage</v>
          </cell>
          <cell r="K7958" t="str">
            <v>PCOQ</v>
          </cell>
          <cell r="AB7958" t="str">
            <v>Heart</v>
          </cell>
        </row>
        <row r="7959">
          <cell r="A7959" t="str">
            <v>in storage</v>
          </cell>
          <cell r="K7959" t="str">
            <v>PCOQ</v>
          </cell>
          <cell r="AB7959" t="str">
            <v>Heart</v>
          </cell>
        </row>
        <row r="7960">
          <cell r="A7960" t="str">
            <v>in storage</v>
          </cell>
          <cell r="K7960" t="str">
            <v>PCOQ</v>
          </cell>
          <cell r="AB7960" t="str">
            <v>Heart</v>
          </cell>
        </row>
        <row r="7961">
          <cell r="A7961" t="str">
            <v>in storage</v>
          </cell>
          <cell r="K7961" t="str">
            <v>PCOQ</v>
          </cell>
          <cell r="AB7961" t="str">
            <v>Thyroid</v>
          </cell>
        </row>
        <row r="7962">
          <cell r="A7962" t="str">
            <v>in storage</v>
          </cell>
          <cell r="K7962" t="str">
            <v>PCOQ</v>
          </cell>
          <cell r="AB7962" t="str">
            <v>Skin</v>
          </cell>
        </row>
        <row r="7963">
          <cell r="A7963" t="str">
            <v>in storage</v>
          </cell>
          <cell r="K7963" t="str">
            <v>PCOQ</v>
          </cell>
          <cell r="AB7963" t="str">
            <v>Trachea</v>
          </cell>
        </row>
        <row r="7964">
          <cell r="A7964" t="str">
            <v>in storage</v>
          </cell>
          <cell r="K7964" t="str">
            <v>PCOQ</v>
          </cell>
          <cell r="AB7964" t="str">
            <v>omental nodule</v>
          </cell>
        </row>
        <row r="7965">
          <cell r="A7965" t="str">
            <v>in storage</v>
          </cell>
          <cell r="K7965" t="str">
            <v>PCOQ</v>
          </cell>
          <cell r="AB7965" t="str">
            <v>pyloris</v>
          </cell>
        </row>
        <row r="7966">
          <cell r="A7966" t="str">
            <v>in storage</v>
          </cell>
          <cell r="K7966" t="str">
            <v>VVV</v>
          </cell>
          <cell r="AB7966" t="str">
            <v>Muscle</v>
          </cell>
        </row>
        <row r="7967">
          <cell r="A7967" t="str">
            <v>in storage</v>
          </cell>
          <cell r="K7967" t="str">
            <v>VRUB</v>
          </cell>
          <cell r="AB7967" t="str">
            <v>GI- stomach</v>
          </cell>
        </row>
        <row r="7968">
          <cell r="A7968" t="str">
            <v>in storage</v>
          </cell>
          <cell r="K7968" t="str">
            <v>VRUB</v>
          </cell>
          <cell r="AB7968" t="str">
            <v>GI- jejunum</v>
          </cell>
        </row>
        <row r="7969">
          <cell r="A7969" t="str">
            <v>in storage</v>
          </cell>
          <cell r="K7969" t="str">
            <v>VRUB</v>
          </cell>
          <cell r="AB7969" t="str">
            <v>GI Contents- stomach</v>
          </cell>
        </row>
        <row r="7970">
          <cell r="A7970" t="str">
            <v>in storage</v>
          </cell>
          <cell r="K7970" t="str">
            <v>VRUB</v>
          </cell>
          <cell r="AB7970" t="str">
            <v>GI Tract</v>
          </cell>
        </row>
        <row r="7971">
          <cell r="A7971" t="str">
            <v>in storage</v>
          </cell>
          <cell r="K7971" t="str">
            <v>MMUR</v>
          </cell>
          <cell r="AB7971" t="str">
            <v>Fluid- abdominal effusion</v>
          </cell>
        </row>
        <row r="7972">
          <cell r="A7972" t="str">
            <v>in storage</v>
          </cell>
          <cell r="K7972" t="str">
            <v>VRUB</v>
          </cell>
          <cell r="AB7972" t="str">
            <v>GI- esophagus</v>
          </cell>
        </row>
        <row r="7973">
          <cell r="A7973" t="str">
            <v>in storage</v>
          </cell>
          <cell r="K7973" t="str">
            <v>VVV</v>
          </cell>
          <cell r="AB7973" t="str">
            <v>R- ejaculate</v>
          </cell>
        </row>
        <row r="7974">
          <cell r="A7974" t="str">
            <v>in storage</v>
          </cell>
          <cell r="K7974" t="str">
            <v>MMUR</v>
          </cell>
          <cell r="AB7974" t="str">
            <v>Muscle</v>
          </cell>
        </row>
        <row r="7975">
          <cell r="A7975" t="str">
            <v>in storage</v>
          </cell>
          <cell r="K7975" t="str">
            <v>PCOQ</v>
          </cell>
          <cell r="AB7975" t="str">
            <v>Lymph node- mesenteric</v>
          </cell>
        </row>
        <row r="7976">
          <cell r="A7976" t="str">
            <v>in storage</v>
          </cell>
          <cell r="K7976" t="str">
            <v>MMUR</v>
          </cell>
          <cell r="AB7976" t="str">
            <v>Mass- liver</v>
          </cell>
        </row>
        <row r="7977">
          <cell r="A7977" t="str">
            <v>in storage</v>
          </cell>
          <cell r="K7977" t="str">
            <v>MMUR</v>
          </cell>
          <cell r="AB7977" t="str">
            <v>Mass- pancreatic</v>
          </cell>
        </row>
        <row r="7978">
          <cell r="A7978" t="str">
            <v>in storage</v>
          </cell>
          <cell r="K7978" t="str">
            <v>MMUR</v>
          </cell>
          <cell r="AB7978" t="str">
            <v>Mass- pancreatic</v>
          </cell>
        </row>
        <row r="7979">
          <cell r="A7979" t="str">
            <v>in storage</v>
          </cell>
          <cell r="K7979" t="str">
            <v>MMUR</v>
          </cell>
          <cell r="AB7979" t="str">
            <v>R- reproductive tract</v>
          </cell>
        </row>
        <row r="7980">
          <cell r="A7980" t="str">
            <v>in storage</v>
          </cell>
          <cell r="K7980" t="str">
            <v>MMUR</v>
          </cell>
          <cell r="AB7980" t="str">
            <v>Lymph node</v>
          </cell>
        </row>
        <row r="7981">
          <cell r="A7981" t="str">
            <v>in storage</v>
          </cell>
          <cell r="K7981" t="str">
            <v>MMUR</v>
          </cell>
          <cell r="AB7981" t="str">
            <v>Trachea</v>
          </cell>
        </row>
        <row r="7982">
          <cell r="A7982" t="str">
            <v>in storage</v>
          </cell>
          <cell r="K7982" t="str">
            <v>MMUR</v>
          </cell>
          <cell r="AB7982" t="str">
            <v>Spleen</v>
          </cell>
        </row>
        <row r="7983">
          <cell r="A7983" t="str">
            <v>in storage</v>
          </cell>
          <cell r="K7983" t="str">
            <v>MMUR</v>
          </cell>
          <cell r="AB7983" t="str">
            <v>U- bladder</v>
          </cell>
        </row>
        <row r="7984">
          <cell r="A7984" t="str">
            <v>in storage</v>
          </cell>
          <cell r="K7984" t="str">
            <v>MMUR</v>
          </cell>
          <cell r="AB7984" t="str">
            <v>Pancreas</v>
          </cell>
        </row>
        <row r="7985">
          <cell r="A7985" t="str">
            <v>in storage</v>
          </cell>
          <cell r="K7985" t="str">
            <v>MMUR</v>
          </cell>
          <cell r="AB7985" t="str">
            <v>Lung</v>
          </cell>
        </row>
        <row r="7986">
          <cell r="A7986" t="str">
            <v>in storage</v>
          </cell>
          <cell r="K7986" t="str">
            <v>MMUR</v>
          </cell>
          <cell r="AB7986" t="str">
            <v>Heart</v>
          </cell>
        </row>
        <row r="7987">
          <cell r="A7987" t="str">
            <v>in storage</v>
          </cell>
          <cell r="K7987" t="str">
            <v>MMUR</v>
          </cell>
          <cell r="AB7987" t="str">
            <v>Adrenal gland</v>
          </cell>
        </row>
        <row r="7988">
          <cell r="A7988" t="str">
            <v>in storage</v>
          </cell>
          <cell r="K7988" t="str">
            <v>MMUR</v>
          </cell>
          <cell r="AB7988" t="str">
            <v>Kidney</v>
          </cell>
        </row>
        <row r="7989">
          <cell r="A7989" t="str">
            <v>gone</v>
          </cell>
          <cell r="K7989" t="str">
            <v>LCAT</v>
          </cell>
          <cell r="AB7989" t="str">
            <v>R- amniotic sac/ placenta</v>
          </cell>
        </row>
        <row r="7990">
          <cell r="A7990" t="str">
            <v>in storage</v>
          </cell>
          <cell r="K7990" t="str">
            <v>PCOQ</v>
          </cell>
          <cell r="AB7990" t="str">
            <v>Lymph node- mesenteric</v>
          </cell>
        </row>
        <row r="7991">
          <cell r="A7991" t="str">
            <v>in storage</v>
          </cell>
          <cell r="K7991" t="str">
            <v>VRUB</v>
          </cell>
          <cell r="AB7991" t="str">
            <v>Muscle</v>
          </cell>
        </row>
        <row r="7992">
          <cell r="A7992" t="str">
            <v>in storage</v>
          </cell>
          <cell r="K7992" t="str">
            <v>VRUB</v>
          </cell>
          <cell r="AB7992" t="str">
            <v>Liver</v>
          </cell>
        </row>
        <row r="7993">
          <cell r="A7993" t="str">
            <v>in storage</v>
          </cell>
          <cell r="K7993" t="str">
            <v>VRUB</v>
          </cell>
          <cell r="AB7993" t="str">
            <v>Liver</v>
          </cell>
        </row>
        <row r="7994">
          <cell r="A7994" t="str">
            <v>in storage</v>
          </cell>
          <cell r="K7994" t="str">
            <v>VRUB</v>
          </cell>
          <cell r="AB7994" t="str">
            <v>GI Contents- cecum</v>
          </cell>
        </row>
        <row r="7995">
          <cell r="A7995" t="str">
            <v>in storage</v>
          </cell>
          <cell r="K7995" t="str">
            <v>VRUB</v>
          </cell>
          <cell r="AB7995" t="str">
            <v>GI- cecum</v>
          </cell>
        </row>
        <row r="7996">
          <cell r="A7996" t="str">
            <v>in storage</v>
          </cell>
          <cell r="K7996" t="str">
            <v>VRUB</v>
          </cell>
          <cell r="AB7996" t="str">
            <v>Adrenal gland</v>
          </cell>
        </row>
        <row r="7997">
          <cell r="A7997" t="str">
            <v>in storage</v>
          </cell>
          <cell r="K7997" t="str">
            <v>VRUB</v>
          </cell>
          <cell r="AB7997" t="str">
            <v>GI Contents- appendix</v>
          </cell>
        </row>
        <row r="7998">
          <cell r="A7998" t="str">
            <v>in storage</v>
          </cell>
          <cell r="K7998" t="str">
            <v>VRUB</v>
          </cell>
          <cell r="AB7998" t="str">
            <v>Kidney</v>
          </cell>
        </row>
        <row r="7999">
          <cell r="A7999" t="str">
            <v>in storage</v>
          </cell>
          <cell r="K7999" t="str">
            <v>VRUB</v>
          </cell>
          <cell r="AB7999" t="str">
            <v>Kidney</v>
          </cell>
        </row>
        <row r="8000">
          <cell r="A8000" t="str">
            <v>in storage</v>
          </cell>
          <cell r="K8000" t="str">
            <v>VRUB</v>
          </cell>
          <cell r="AB8000" t="str">
            <v>Kidney</v>
          </cell>
        </row>
        <row r="8001">
          <cell r="A8001" t="str">
            <v>in storage</v>
          </cell>
          <cell r="K8001" t="str">
            <v>VRUB</v>
          </cell>
          <cell r="AB8001" t="str">
            <v>Kidney</v>
          </cell>
        </row>
        <row r="8002">
          <cell r="A8002" t="str">
            <v>in storage</v>
          </cell>
          <cell r="K8002" t="str">
            <v>VRUB</v>
          </cell>
          <cell r="AB8002" t="str">
            <v>Spleen</v>
          </cell>
        </row>
        <row r="8003">
          <cell r="A8003" t="str">
            <v>in storage</v>
          </cell>
          <cell r="K8003" t="str">
            <v>VRUB</v>
          </cell>
          <cell r="AB8003" t="str">
            <v>Spleen</v>
          </cell>
        </row>
        <row r="8004">
          <cell r="A8004" t="str">
            <v>in storage</v>
          </cell>
          <cell r="K8004" t="str">
            <v>VRUB</v>
          </cell>
          <cell r="AB8004" t="str">
            <v>Lung</v>
          </cell>
        </row>
        <row r="8005">
          <cell r="A8005" t="str">
            <v>in storage</v>
          </cell>
          <cell r="K8005" t="str">
            <v>VRUB</v>
          </cell>
          <cell r="AB8005" t="str">
            <v>GI Contents- colon</v>
          </cell>
        </row>
        <row r="8006">
          <cell r="A8006" t="str">
            <v>in storage</v>
          </cell>
          <cell r="K8006" t="str">
            <v>VRUB</v>
          </cell>
          <cell r="AB8006" t="str">
            <v>GI Contents- duodenum</v>
          </cell>
        </row>
        <row r="8007">
          <cell r="A8007" t="str">
            <v>in storage</v>
          </cell>
          <cell r="K8007" t="str">
            <v>VRUB</v>
          </cell>
          <cell r="AB8007" t="str">
            <v>Lung</v>
          </cell>
        </row>
        <row r="8008">
          <cell r="A8008" t="str">
            <v>in storage</v>
          </cell>
          <cell r="K8008" t="str">
            <v>VRUB</v>
          </cell>
          <cell r="AB8008" t="str">
            <v>Lung</v>
          </cell>
        </row>
        <row r="8009">
          <cell r="A8009" t="str">
            <v>in storage</v>
          </cell>
          <cell r="K8009" t="str">
            <v>VRUB</v>
          </cell>
          <cell r="AB8009" t="str">
            <v>Lung</v>
          </cell>
        </row>
        <row r="8010">
          <cell r="A8010" t="str">
            <v>in storage</v>
          </cell>
          <cell r="K8010" t="str">
            <v>VRUB</v>
          </cell>
          <cell r="AB8010" t="str">
            <v>Skin</v>
          </cell>
        </row>
        <row r="8011">
          <cell r="A8011" t="str">
            <v>in storage</v>
          </cell>
          <cell r="K8011" t="str">
            <v>VRUB</v>
          </cell>
          <cell r="AB8011" t="str">
            <v>GI- small intestine</v>
          </cell>
        </row>
        <row r="8012">
          <cell r="A8012" t="str">
            <v>in storage</v>
          </cell>
          <cell r="K8012" t="str">
            <v>VRUB</v>
          </cell>
          <cell r="AB8012" t="str">
            <v>GI- large intestine</v>
          </cell>
        </row>
        <row r="8013">
          <cell r="A8013" t="str">
            <v>in storage</v>
          </cell>
          <cell r="K8013" t="str">
            <v>VRUB</v>
          </cell>
          <cell r="AB8013" t="str">
            <v>GI- stomach</v>
          </cell>
        </row>
        <row r="8014">
          <cell r="A8014" t="str">
            <v>in storage</v>
          </cell>
          <cell r="K8014" t="str">
            <v>VRUB</v>
          </cell>
          <cell r="AB8014" t="str">
            <v>GI Contents- jejunum/ ileum</v>
          </cell>
        </row>
        <row r="8015">
          <cell r="A8015" t="str">
            <v>in storage</v>
          </cell>
          <cell r="K8015" t="str">
            <v>EMON</v>
          </cell>
          <cell r="AB8015" t="str">
            <v>R- placenta</v>
          </cell>
        </row>
        <row r="8016">
          <cell r="A8016" t="str">
            <v>in storage</v>
          </cell>
          <cell r="K8016" t="str">
            <v>EFLA</v>
          </cell>
          <cell r="AB8016" t="str">
            <v>GI tract</v>
          </cell>
        </row>
        <row r="8017">
          <cell r="A8017" t="str">
            <v>in storage</v>
          </cell>
          <cell r="K8017" t="str">
            <v>EFLA</v>
          </cell>
          <cell r="AB8017" t="str">
            <v>Spleen</v>
          </cell>
        </row>
        <row r="8018">
          <cell r="A8018" t="str">
            <v>in storage</v>
          </cell>
          <cell r="K8018" t="str">
            <v>EFLA</v>
          </cell>
          <cell r="AB8018" t="str">
            <v>Liver</v>
          </cell>
        </row>
        <row r="8019">
          <cell r="A8019" t="str">
            <v>in storage</v>
          </cell>
          <cell r="K8019" t="str">
            <v>EFLA</v>
          </cell>
          <cell r="AB8019" t="str">
            <v>Liver</v>
          </cell>
        </row>
        <row r="8020">
          <cell r="A8020" t="str">
            <v>in storage</v>
          </cell>
          <cell r="K8020" t="str">
            <v>VRUB</v>
          </cell>
          <cell r="AB8020" t="str">
            <v>GI- large intestine</v>
          </cell>
        </row>
        <row r="8021">
          <cell r="A8021" t="str">
            <v>in storage</v>
          </cell>
          <cell r="K8021" t="str">
            <v>VRUB</v>
          </cell>
          <cell r="AB8021" t="str">
            <v>GI- small intestine</v>
          </cell>
        </row>
        <row r="8022">
          <cell r="A8022" t="str">
            <v>in storage</v>
          </cell>
          <cell r="K8022" t="str">
            <v>EFLA</v>
          </cell>
          <cell r="AB8022" t="str">
            <v>Liver</v>
          </cell>
        </row>
        <row r="8023">
          <cell r="A8023" t="str">
            <v>in storage</v>
          </cell>
          <cell r="K8023" t="str">
            <v>EFLA</v>
          </cell>
          <cell r="AB8023" t="str">
            <v>Liver</v>
          </cell>
        </row>
        <row r="8024">
          <cell r="A8024" t="str">
            <v>in storage</v>
          </cell>
          <cell r="K8024" t="str">
            <v>EFLA</v>
          </cell>
          <cell r="AB8024" t="str">
            <v>Adrenal gland</v>
          </cell>
        </row>
        <row r="8025">
          <cell r="A8025" t="str">
            <v>in storage</v>
          </cell>
          <cell r="K8025" t="str">
            <v>EFLA</v>
          </cell>
          <cell r="AB8025" t="str">
            <v>Kidney</v>
          </cell>
        </row>
        <row r="8026">
          <cell r="A8026" t="str">
            <v>in storage</v>
          </cell>
          <cell r="K8026" t="str">
            <v>EFLA</v>
          </cell>
          <cell r="AB8026" t="str">
            <v>Kidney</v>
          </cell>
        </row>
        <row r="8027">
          <cell r="A8027" t="str">
            <v>in storage</v>
          </cell>
          <cell r="K8027" t="str">
            <v>EFLA</v>
          </cell>
          <cell r="AB8027" t="str">
            <v>Kidney</v>
          </cell>
        </row>
        <row r="8028">
          <cell r="A8028" t="str">
            <v>in storage</v>
          </cell>
          <cell r="K8028" t="str">
            <v>VRUB</v>
          </cell>
          <cell r="AB8028" t="str">
            <v>GI- stomach</v>
          </cell>
        </row>
        <row r="8029">
          <cell r="A8029" t="str">
            <v>in storage</v>
          </cell>
          <cell r="K8029" t="str">
            <v>VRUB</v>
          </cell>
          <cell r="AB8029" t="str">
            <v>GI- esophagus</v>
          </cell>
        </row>
        <row r="8030">
          <cell r="A8030" t="str">
            <v>in storage</v>
          </cell>
          <cell r="K8030" t="str">
            <v>EFLA</v>
          </cell>
          <cell r="AB8030" t="str">
            <v>Kidney</v>
          </cell>
        </row>
        <row r="8031">
          <cell r="A8031" t="str">
            <v>in storage</v>
          </cell>
          <cell r="K8031" t="str">
            <v>EFLA</v>
          </cell>
          <cell r="AB8031" t="str">
            <v>U- bladder</v>
          </cell>
        </row>
        <row r="8032">
          <cell r="A8032" t="str">
            <v>in storage</v>
          </cell>
          <cell r="K8032" t="str">
            <v>EFLA</v>
          </cell>
          <cell r="AB8032" t="str">
            <v>R- teste(s)</v>
          </cell>
        </row>
        <row r="8033">
          <cell r="A8033" t="str">
            <v>in storage</v>
          </cell>
          <cell r="K8033" t="str">
            <v>EFLA</v>
          </cell>
          <cell r="AB8033" t="str">
            <v>Pancreas</v>
          </cell>
        </row>
        <row r="8034">
          <cell r="A8034" t="str">
            <v>in storage</v>
          </cell>
          <cell r="K8034" t="str">
            <v>EFLA</v>
          </cell>
          <cell r="AB8034" t="str">
            <v>Lung</v>
          </cell>
        </row>
        <row r="8035">
          <cell r="A8035" t="str">
            <v>in storage</v>
          </cell>
          <cell r="K8035" t="str">
            <v>EFLA</v>
          </cell>
          <cell r="AB8035" t="str">
            <v>Lung</v>
          </cell>
        </row>
        <row r="8036">
          <cell r="A8036" t="str">
            <v>in storage</v>
          </cell>
          <cell r="K8036" t="str">
            <v>EFLA</v>
          </cell>
          <cell r="AB8036" t="str">
            <v>Lung</v>
          </cell>
        </row>
        <row r="8037">
          <cell r="A8037" t="str">
            <v>in storage</v>
          </cell>
          <cell r="K8037" t="str">
            <v>EFLA</v>
          </cell>
          <cell r="AB8037" t="str">
            <v>Lung</v>
          </cell>
        </row>
        <row r="8038">
          <cell r="A8038" t="str">
            <v>in storage</v>
          </cell>
          <cell r="K8038" t="str">
            <v>EFLA</v>
          </cell>
          <cell r="AB8038" t="str">
            <v>Lung</v>
          </cell>
        </row>
        <row r="8039">
          <cell r="A8039" t="str">
            <v>in storage</v>
          </cell>
          <cell r="K8039" t="str">
            <v>EFLA</v>
          </cell>
          <cell r="AB8039" t="str">
            <v>Lung</v>
          </cell>
        </row>
        <row r="8040">
          <cell r="A8040" t="str">
            <v>gone</v>
          </cell>
          <cell r="K8040" t="str">
            <v>EMON</v>
          </cell>
          <cell r="AB8040" t="str">
            <v>R- amniotic sac/ placenta</v>
          </cell>
        </row>
        <row r="8041">
          <cell r="A8041" t="str">
            <v>in storage</v>
          </cell>
          <cell r="K8041" t="str">
            <v>EFLA</v>
          </cell>
          <cell r="AB8041" t="str">
            <v>Heart</v>
          </cell>
        </row>
        <row r="8042">
          <cell r="A8042" t="str">
            <v>in storage</v>
          </cell>
          <cell r="K8042" t="str">
            <v>EFLA</v>
          </cell>
          <cell r="AB8042" t="str">
            <v>Heart</v>
          </cell>
        </row>
        <row r="8043">
          <cell r="A8043" t="str">
            <v>in storage</v>
          </cell>
          <cell r="K8043" t="str">
            <v>EFLA</v>
          </cell>
          <cell r="AB8043" t="str">
            <v>Heart</v>
          </cell>
        </row>
        <row r="8044">
          <cell r="A8044" t="str">
            <v>in storage</v>
          </cell>
          <cell r="K8044" t="str">
            <v>EFLA</v>
          </cell>
          <cell r="AB8044" t="str">
            <v>Thyroid</v>
          </cell>
        </row>
        <row r="8045">
          <cell r="A8045" t="str">
            <v>in storage</v>
          </cell>
          <cell r="K8045" t="str">
            <v>EFLA</v>
          </cell>
          <cell r="AB8045" t="str">
            <v>Infection- brain</v>
          </cell>
        </row>
        <row r="8046">
          <cell r="A8046" t="str">
            <v>in storage</v>
          </cell>
          <cell r="K8046" t="str">
            <v>EFLA</v>
          </cell>
          <cell r="AB8046" t="str">
            <v>Skin</v>
          </cell>
        </row>
        <row r="8047">
          <cell r="A8047" t="str">
            <v>in storage</v>
          </cell>
          <cell r="K8047" t="str">
            <v>EFLA</v>
          </cell>
          <cell r="AB8047" t="str">
            <v>Skin</v>
          </cell>
        </row>
        <row r="8048">
          <cell r="A8048" t="str">
            <v>in storage</v>
          </cell>
          <cell r="K8048" t="str">
            <v>LCAT</v>
          </cell>
          <cell r="AB8048" t="str">
            <v>GI tract</v>
          </cell>
        </row>
        <row r="8049">
          <cell r="A8049" t="str">
            <v>in storage</v>
          </cell>
          <cell r="K8049" t="str">
            <v>LCAT</v>
          </cell>
          <cell r="AB8049" t="str">
            <v>GI- stomach</v>
          </cell>
        </row>
        <row r="8050">
          <cell r="A8050" t="str">
            <v>in storage</v>
          </cell>
          <cell r="K8050" t="str">
            <v>LCAT</v>
          </cell>
          <cell r="AB8050" t="str">
            <v>Muscle</v>
          </cell>
        </row>
        <row r="8051">
          <cell r="A8051" t="str">
            <v>in storage</v>
          </cell>
          <cell r="K8051" t="str">
            <v>LCAT</v>
          </cell>
          <cell r="AB8051" t="str">
            <v>Muscle</v>
          </cell>
        </row>
        <row r="8052">
          <cell r="A8052" t="str">
            <v>in storage</v>
          </cell>
          <cell r="K8052" t="str">
            <v>LCAT</v>
          </cell>
          <cell r="AB8052" t="str">
            <v>Muscle</v>
          </cell>
        </row>
        <row r="8053">
          <cell r="A8053" t="str">
            <v>in storage</v>
          </cell>
          <cell r="K8053" t="str">
            <v>LCAT</v>
          </cell>
          <cell r="AB8053" t="str">
            <v>Muscle</v>
          </cell>
        </row>
        <row r="8054">
          <cell r="A8054" t="str">
            <v>in storage</v>
          </cell>
          <cell r="K8054" t="str">
            <v>VRUB</v>
          </cell>
          <cell r="AB8054" t="str">
            <v>GI Contents- stomach</v>
          </cell>
        </row>
        <row r="8055">
          <cell r="A8055" t="str">
            <v>in storage</v>
          </cell>
          <cell r="K8055" t="str">
            <v>LCAT</v>
          </cell>
          <cell r="AB8055" t="str">
            <v>Spleen</v>
          </cell>
        </row>
        <row r="8056">
          <cell r="A8056" t="str">
            <v>in storage</v>
          </cell>
          <cell r="K8056" t="str">
            <v>LCAT</v>
          </cell>
          <cell r="AB8056" t="str">
            <v>Liver</v>
          </cell>
        </row>
        <row r="8057">
          <cell r="A8057" t="str">
            <v>in storage</v>
          </cell>
          <cell r="K8057" t="str">
            <v>LCAT</v>
          </cell>
          <cell r="AB8057" t="str">
            <v>Liver</v>
          </cell>
        </row>
        <row r="8058">
          <cell r="A8058" t="str">
            <v>in storage</v>
          </cell>
          <cell r="K8058" t="str">
            <v>LCAT</v>
          </cell>
          <cell r="AB8058" t="str">
            <v>Liver</v>
          </cell>
        </row>
        <row r="8059">
          <cell r="A8059" t="str">
            <v>in storage</v>
          </cell>
          <cell r="K8059" t="str">
            <v>LCAT</v>
          </cell>
          <cell r="AB8059" t="str">
            <v>Adrenal gland</v>
          </cell>
        </row>
        <row r="8060">
          <cell r="A8060" t="str">
            <v>in storage</v>
          </cell>
          <cell r="K8060" t="str">
            <v>VRUB</v>
          </cell>
          <cell r="AB8060" t="str">
            <v>GI- duodenum</v>
          </cell>
        </row>
        <row r="8061">
          <cell r="A8061" t="str">
            <v>in storage</v>
          </cell>
          <cell r="K8061" t="str">
            <v>VRUB</v>
          </cell>
          <cell r="AB8061" t="str">
            <v>GI Contents- cecum</v>
          </cell>
        </row>
        <row r="8062">
          <cell r="A8062" t="str">
            <v>gone</v>
          </cell>
          <cell r="K8062" t="str">
            <v>MMUR</v>
          </cell>
          <cell r="AB8062" t="str">
            <v>Gallbladder/ liver</v>
          </cell>
        </row>
        <row r="8063">
          <cell r="A8063" t="str">
            <v>gone</v>
          </cell>
          <cell r="K8063" t="str">
            <v>MMUR</v>
          </cell>
          <cell r="AB8063" t="str">
            <v>Spleen</v>
          </cell>
        </row>
        <row r="8064">
          <cell r="A8064" t="str">
            <v>in storage</v>
          </cell>
          <cell r="K8064" t="str">
            <v>LCAT</v>
          </cell>
          <cell r="AB8064" t="str">
            <v>Kidney</v>
          </cell>
        </row>
        <row r="8065">
          <cell r="A8065" t="str">
            <v>in storage</v>
          </cell>
          <cell r="K8065" t="str">
            <v>LCAT</v>
          </cell>
          <cell r="AB8065" t="str">
            <v>Kidney</v>
          </cell>
        </row>
        <row r="8066">
          <cell r="A8066" t="str">
            <v>in storage</v>
          </cell>
          <cell r="K8066" t="str">
            <v>LCAT</v>
          </cell>
          <cell r="AB8066" t="str">
            <v>Kidney</v>
          </cell>
        </row>
        <row r="8067">
          <cell r="A8067" t="str">
            <v>in storage</v>
          </cell>
          <cell r="K8067" t="str">
            <v>LCAT</v>
          </cell>
          <cell r="AB8067" t="str">
            <v>Kidney</v>
          </cell>
        </row>
        <row r="8068">
          <cell r="A8068" t="str">
            <v>in storage</v>
          </cell>
          <cell r="K8068" t="str">
            <v>LCAT</v>
          </cell>
          <cell r="AB8068" t="str">
            <v>Kidney</v>
          </cell>
        </row>
        <row r="8069">
          <cell r="A8069" t="str">
            <v>in storage</v>
          </cell>
          <cell r="K8069" t="str">
            <v>LCAT</v>
          </cell>
          <cell r="AB8069" t="str">
            <v>U- bladder</v>
          </cell>
        </row>
        <row r="8070">
          <cell r="A8070" t="str">
            <v>in storage</v>
          </cell>
          <cell r="K8070" t="str">
            <v>LCAT</v>
          </cell>
          <cell r="AB8070" t="str">
            <v>Pancreas</v>
          </cell>
        </row>
        <row r="8071">
          <cell r="A8071" t="str">
            <v>in storage</v>
          </cell>
          <cell r="K8071" t="str">
            <v>VRUB</v>
          </cell>
          <cell r="AB8071" t="str">
            <v>GI- cecum</v>
          </cell>
        </row>
        <row r="8072">
          <cell r="A8072" t="str">
            <v>in storage</v>
          </cell>
          <cell r="K8072" t="str">
            <v>LCAT</v>
          </cell>
          <cell r="AB8072" t="str">
            <v>Pancreas</v>
          </cell>
        </row>
        <row r="8073">
          <cell r="A8073" t="str">
            <v>in storage</v>
          </cell>
          <cell r="K8073" t="str">
            <v>LCAT</v>
          </cell>
          <cell r="AB8073" t="str">
            <v>Pancreas</v>
          </cell>
        </row>
        <row r="8074">
          <cell r="A8074" t="str">
            <v>in storage</v>
          </cell>
          <cell r="K8074" t="str">
            <v>LCAT</v>
          </cell>
          <cell r="AB8074" t="str">
            <v>Pancreas</v>
          </cell>
        </row>
        <row r="8075">
          <cell r="A8075" t="str">
            <v>in storage</v>
          </cell>
          <cell r="K8075" t="str">
            <v>LCAT</v>
          </cell>
          <cell r="AB8075" t="str">
            <v>Lung</v>
          </cell>
        </row>
        <row r="8076">
          <cell r="A8076" t="str">
            <v>in storage</v>
          </cell>
          <cell r="K8076" t="str">
            <v>LCAT</v>
          </cell>
          <cell r="AB8076" t="str">
            <v>Lung</v>
          </cell>
        </row>
        <row r="8077">
          <cell r="A8077" t="str">
            <v>in storage</v>
          </cell>
          <cell r="K8077" t="str">
            <v>LCAT</v>
          </cell>
          <cell r="AB8077" t="str">
            <v>Lung</v>
          </cell>
        </row>
        <row r="8078">
          <cell r="A8078" t="str">
            <v>in storage</v>
          </cell>
          <cell r="K8078" t="str">
            <v>LCAT</v>
          </cell>
          <cell r="AB8078" t="str">
            <v>Lung</v>
          </cell>
        </row>
        <row r="8079">
          <cell r="A8079" t="str">
            <v>in storage</v>
          </cell>
          <cell r="K8079" t="str">
            <v>VRUB</v>
          </cell>
          <cell r="AB8079" t="str">
            <v>GI- cecum</v>
          </cell>
        </row>
        <row r="8080">
          <cell r="A8080" t="str">
            <v>in storage</v>
          </cell>
          <cell r="K8080" t="str">
            <v>LCAT</v>
          </cell>
          <cell r="AB8080" t="str">
            <v>Lung</v>
          </cell>
        </row>
        <row r="8081">
          <cell r="A8081" t="str">
            <v>in storage</v>
          </cell>
          <cell r="K8081" t="str">
            <v>LCAT</v>
          </cell>
          <cell r="AB8081" t="str">
            <v>Lung</v>
          </cell>
        </row>
        <row r="8082">
          <cell r="A8082" t="str">
            <v>in storage</v>
          </cell>
          <cell r="K8082" t="str">
            <v>LCAT</v>
          </cell>
          <cell r="AB8082" t="str">
            <v>Heart</v>
          </cell>
        </row>
        <row r="8083">
          <cell r="A8083" t="str">
            <v>in storage</v>
          </cell>
          <cell r="K8083" t="str">
            <v>LCAT</v>
          </cell>
          <cell r="AB8083" t="str">
            <v>Heart</v>
          </cell>
        </row>
        <row r="8084">
          <cell r="A8084" t="str">
            <v>in storage</v>
          </cell>
          <cell r="K8084" t="str">
            <v>LCAT</v>
          </cell>
          <cell r="AB8084" t="str">
            <v>Heart</v>
          </cell>
        </row>
        <row r="8085">
          <cell r="A8085" t="str">
            <v>in storage</v>
          </cell>
          <cell r="K8085" t="str">
            <v>LCAT</v>
          </cell>
          <cell r="AB8085" t="str">
            <v>Heart</v>
          </cell>
        </row>
        <row r="8086">
          <cell r="A8086" t="str">
            <v>in storage</v>
          </cell>
          <cell r="K8086" t="str">
            <v>LCAT</v>
          </cell>
          <cell r="AB8086" t="str">
            <v>Thyroid</v>
          </cell>
        </row>
        <row r="8087">
          <cell r="A8087" t="str">
            <v>in storage</v>
          </cell>
          <cell r="K8087" t="str">
            <v>LCAT</v>
          </cell>
          <cell r="AB8087" t="str">
            <v>Trachea</v>
          </cell>
        </row>
        <row r="8088">
          <cell r="A8088" t="str">
            <v>in storage</v>
          </cell>
          <cell r="K8088" t="str">
            <v>LCAT</v>
          </cell>
          <cell r="AB8088" t="str">
            <v>Fat- mesenteric</v>
          </cell>
        </row>
        <row r="8089">
          <cell r="A8089" t="str">
            <v>in storage</v>
          </cell>
          <cell r="K8089" t="str">
            <v>LCAT</v>
          </cell>
          <cell r="AB8089" t="str">
            <v>Skin</v>
          </cell>
        </row>
        <row r="8090">
          <cell r="A8090" t="str">
            <v>in storage</v>
          </cell>
          <cell r="K8090" t="str">
            <v>GMOH</v>
          </cell>
          <cell r="AB8090" t="str">
            <v>Tail</v>
          </cell>
        </row>
        <row r="8091">
          <cell r="A8091" t="str">
            <v>in storage</v>
          </cell>
          <cell r="K8091" t="str">
            <v>CMED</v>
          </cell>
          <cell r="AB8091" t="str">
            <v>Tooth</v>
          </cell>
        </row>
        <row r="8092">
          <cell r="A8092" t="str">
            <v>in storage</v>
          </cell>
          <cell r="K8092" t="str">
            <v>GMOH</v>
          </cell>
          <cell r="AB8092" t="str">
            <v>Tooth</v>
          </cell>
        </row>
        <row r="8093">
          <cell r="A8093" t="str">
            <v>in storage</v>
          </cell>
          <cell r="K8093" t="str">
            <v>PCOQ</v>
          </cell>
          <cell r="AB8093" t="str">
            <v>GI Tract</v>
          </cell>
        </row>
        <row r="8094">
          <cell r="A8094" t="str">
            <v>in storage</v>
          </cell>
          <cell r="K8094" t="str">
            <v>PCOQ</v>
          </cell>
          <cell r="AB8094" t="str">
            <v>Muscle</v>
          </cell>
        </row>
        <row r="8095">
          <cell r="A8095" t="str">
            <v>in storage</v>
          </cell>
          <cell r="K8095" t="str">
            <v>PCOQ</v>
          </cell>
          <cell r="AB8095" t="str">
            <v>Muscle</v>
          </cell>
        </row>
        <row r="8096">
          <cell r="A8096" t="str">
            <v>in storage</v>
          </cell>
          <cell r="K8096" t="str">
            <v>PCOQ</v>
          </cell>
          <cell r="AB8096" t="str">
            <v>Spleen</v>
          </cell>
        </row>
        <row r="8097">
          <cell r="A8097" t="str">
            <v>in storage</v>
          </cell>
          <cell r="K8097" t="str">
            <v>VRUB</v>
          </cell>
          <cell r="AB8097" t="str">
            <v>GI Contents- appendix</v>
          </cell>
        </row>
        <row r="8098">
          <cell r="A8098" t="str">
            <v>in storage</v>
          </cell>
          <cell r="K8098" t="str">
            <v>VRUB</v>
          </cell>
          <cell r="AB8098" t="str">
            <v>GI Contents- large intestine</v>
          </cell>
        </row>
        <row r="8099">
          <cell r="A8099" t="str">
            <v>in storage</v>
          </cell>
          <cell r="K8099" t="str">
            <v>VRUB</v>
          </cell>
          <cell r="AB8099" t="str">
            <v>GI Contents- duodenum</v>
          </cell>
        </row>
        <row r="8100">
          <cell r="A8100" t="str">
            <v>in storage</v>
          </cell>
          <cell r="K8100" t="str">
            <v>PCOQ</v>
          </cell>
          <cell r="AB8100" t="str">
            <v>Liver</v>
          </cell>
        </row>
        <row r="8101">
          <cell r="A8101" t="str">
            <v>in storage</v>
          </cell>
          <cell r="K8101" t="str">
            <v>PCOQ</v>
          </cell>
          <cell r="AB8101" t="str">
            <v>Liver</v>
          </cell>
        </row>
        <row r="8102">
          <cell r="A8102" t="str">
            <v>in storage</v>
          </cell>
          <cell r="K8102" t="str">
            <v>PCOQ</v>
          </cell>
          <cell r="AB8102" t="str">
            <v>Liver</v>
          </cell>
        </row>
        <row r="8103">
          <cell r="A8103" t="str">
            <v>in storage</v>
          </cell>
          <cell r="K8103" t="str">
            <v>PCOQ</v>
          </cell>
          <cell r="AB8103" t="str">
            <v>Adrenal gland</v>
          </cell>
        </row>
        <row r="8104">
          <cell r="A8104" t="str">
            <v>in storage</v>
          </cell>
          <cell r="K8104" t="str">
            <v>PCOQ</v>
          </cell>
          <cell r="AB8104" t="str">
            <v>Kidney</v>
          </cell>
        </row>
        <row r="8105">
          <cell r="A8105" t="str">
            <v>in storage</v>
          </cell>
          <cell r="K8105" t="str">
            <v>PCOQ</v>
          </cell>
          <cell r="AB8105" t="str">
            <v>Kidney</v>
          </cell>
        </row>
        <row r="8106">
          <cell r="A8106" t="str">
            <v>in storage</v>
          </cell>
          <cell r="K8106" t="str">
            <v>PCOQ</v>
          </cell>
          <cell r="AB8106" t="str">
            <v>U- bladder</v>
          </cell>
        </row>
        <row r="8107">
          <cell r="A8107" t="str">
            <v>in storage</v>
          </cell>
          <cell r="K8107" t="str">
            <v>PCOQ</v>
          </cell>
          <cell r="AB8107" t="str">
            <v>R- teste(s)</v>
          </cell>
        </row>
        <row r="8108">
          <cell r="A8108" t="str">
            <v>in storage</v>
          </cell>
          <cell r="K8108" t="str">
            <v>PCOQ</v>
          </cell>
          <cell r="AB8108" t="str">
            <v>Gallbladder/ liver</v>
          </cell>
        </row>
        <row r="8109">
          <cell r="A8109" t="str">
            <v>in storage</v>
          </cell>
          <cell r="K8109" t="str">
            <v>PCOQ</v>
          </cell>
          <cell r="AB8109" t="str">
            <v>Lung</v>
          </cell>
        </row>
        <row r="8110">
          <cell r="A8110" t="str">
            <v>in storage</v>
          </cell>
          <cell r="K8110" t="str">
            <v>PCOQ</v>
          </cell>
          <cell r="AB8110" t="str">
            <v>Lung</v>
          </cell>
        </row>
        <row r="8111">
          <cell r="A8111" t="str">
            <v>in storage</v>
          </cell>
          <cell r="K8111" t="str">
            <v>PCOQ</v>
          </cell>
          <cell r="AB8111" t="str">
            <v>Lung</v>
          </cell>
        </row>
        <row r="8112">
          <cell r="A8112" t="str">
            <v>in storage</v>
          </cell>
          <cell r="K8112" t="str">
            <v>PCOQ</v>
          </cell>
          <cell r="AB8112" t="str">
            <v>Lung</v>
          </cell>
        </row>
        <row r="8113">
          <cell r="A8113" t="str">
            <v>in storage</v>
          </cell>
          <cell r="K8113" t="str">
            <v>PCOQ</v>
          </cell>
          <cell r="AB8113" t="str">
            <v>Lung</v>
          </cell>
        </row>
        <row r="8114">
          <cell r="A8114" t="str">
            <v>in storage</v>
          </cell>
          <cell r="K8114" t="str">
            <v>PCOQ</v>
          </cell>
          <cell r="AB8114" t="str">
            <v>Lung</v>
          </cell>
        </row>
        <row r="8115">
          <cell r="A8115" t="str">
            <v>in storage</v>
          </cell>
          <cell r="K8115" t="str">
            <v>PCOQ</v>
          </cell>
          <cell r="AB8115" t="str">
            <v>Lung</v>
          </cell>
        </row>
        <row r="8116">
          <cell r="A8116" t="str">
            <v>in storage</v>
          </cell>
          <cell r="K8116" t="str">
            <v>PCOQ</v>
          </cell>
          <cell r="AB8116" t="str">
            <v>Heart</v>
          </cell>
        </row>
        <row r="8117">
          <cell r="A8117" t="str">
            <v>in storage</v>
          </cell>
          <cell r="K8117" t="str">
            <v>PCOQ</v>
          </cell>
          <cell r="AB8117" t="str">
            <v>Heart</v>
          </cell>
        </row>
        <row r="8118">
          <cell r="A8118" t="str">
            <v>in storage</v>
          </cell>
          <cell r="K8118" t="str">
            <v>PCOQ</v>
          </cell>
          <cell r="AB8118" t="str">
            <v>Heart</v>
          </cell>
        </row>
        <row r="8119">
          <cell r="A8119" t="str">
            <v>in storage</v>
          </cell>
          <cell r="K8119" t="str">
            <v>PCOQ</v>
          </cell>
          <cell r="AB8119" t="str">
            <v>Thyroid</v>
          </cell>
        </row>
        <row r="8120">
          <cell r="A8120" t="str">
            <v>in storage</v>
          </cell>
          <cell r="K8120" t="str">
            <v>PCOQ</v>
          </cell>
          <cell r="AB8120" t="str">
            <v>Skin</v>
          </cell>
        </row>
        <row r="8121">
          <cell r="A8121" t="str">
            <v>in storage</v>
          </cell>
          <cell r="K8121" t="str">
            <v>PCOQ</v>
          </cell>
          <cell r="AB8121" t="str">
            <v>Skin</v>
          </cell>
        </row>
        <row r="8122">
          <cell r="A8122" t="str">
            <v>in storage</v>
          </cell>
          <cell r="K8122" t="str">
            <v>PCOQ</v>
          </cell>
          <cell r="AB8122" t="str">
            <v>Skin</v>
          </cell>
        </row>
        <row r="8123">
          <cell r="A8123" t="str">
            <v>in storage</v>
          </cell>
          <cell r="K8123" t="str">
            <v>PCOQ</v>
          </cell>
          <cell r="AB8123" t="str">
            <v>Skin</v>
          </cell>
        </row>
        <row r="8124">
          <cell r="A8124" t="str">
            <v>in storage</v>
          </cell>
          <cell r="K8124" t="str">
            <v>PCOQ</v>
          </cell>
          <cell r="AB8124" t="str">
            <v>GI Tract</v>
          </cell>
        </row>
        <row r="8125">
          <cell r="A8125" t="str">
            <v>in storage</v>
          </cell>
          <cell r="K8125" t="str">
            <v>PCOQ</v>
          </cell>
          <cell r="AB8125" t="str">
            <v>Lung</v>
          </cell>
        </row>
        <row r="8126">
          <cell r="A8126" t="str">
            <v>in storage</v>
          </cell>
          <cell r="K8126" t="str">
            <v>PCOQ</v>
          </cell>
          <cell r="AB8126" t="str">
            <v>Lung</v>
          </cell>
        </row>
        <row r="8127">
          <cell r="A8127" t="str">
            <v>in storage</v>
          </cell>
          <cell r="K8127" t="str">
            <v>PCOQ</v>
          </cell>
          <cell r="AB8127" t="str">
            <v>Kidney</v>
          </cell>
        </row>
        <row r="8128">
          <cell r="A8128" t="str">
            <v>in storage</v>
          </cell>
          <cell r="K8128" t="str">
            <v>PCOQ</v>
          </cell>
          <cell r="AB8128" t="str">
            <v>Liver</v>
          </cell>
        </row>
        <row r="8129">
          <cell r="A8129" t="str">
            <v>in storage</v>
          </cell>
          <cell r="K8129" t="str">
            <v>PCOQ</v>
          </cell>
          <cell r="AB8129" t="str">
            <v>Heart</v>
          </cell>
        </row>
        <row r="8130">
          <cell r="A8130" t="str">
            <v>in storage</v>
          </cell>
          <cell r="K8130" t="str">
            <v>PCOQ</v>
          </cell>
          <cell r="AB8130" t="str">
            <v>R- placenta/ fetus</v>
          </cell>
        </row>
        <row r="8131">
          <cell r="A8131" t="str">
            <v>in storage</v>
          </cell>
          <cell r="K8131" t="str">
            <v>CMED</v>
          </cell>
          <cell r="AB8131" t="str">
            <v>Tooth</v>
          </cell>
        </row>
        <row r="8132">
          <cell r="A8132" t="str">
            <v>in storage</v>
          </cell>
          <cell r="K8132" t="str">
            <v>PCOQ</v>
          </cell>
          <cell r="AB8132" t="str">
            <v>GI- stomach</v>
          </cell>
        </row>
        <row r="8133">
          <cell r="A8133" t="str">
            <v>in storage</v>
          </cell>
          <cell r="K8133" t="str">
            <v>PCOQ</v>
          </cell>
          <cell r="AB8133" t="str">
            <v>GI- small intestine</v>
          </cell>
        </row>
        <row r="8134">
          <cell r="A8134" t="str">
            <v>in storage</v>
          </cell>
          <cell r="K8134" t="str">
            <v>PCOQ</v>
          </cell>
          <cell r="AB8134" t="str">
            <v>GI- large intestine</v>
          </cell>
        </row>
        <row r="8135">
          <cell r="A8135" t="str">
            <v>in storage</v>
          </cell>
          <cell r="K8135" t="str">
            <v>VRUB</v>
          </cell>
          <cell r="AB8135" t="str">
            <v>GI Contents- jejunum/ ileum</v>
          </cell>
        </row>
        <row r="8136">
          <cell r="A8136" t="str">
            <v>in storage</v>
          </cell>
          <cell r="K8136" t="str">
            <v>VRUB</v>
          </cell>
          <cell r="AB8136" t="str">
            <v>GI- omentum</v>
          </cell>
        </row>
        <row r="8137">
          <cell r="A8137" t="str">
            <v>in storage</v>
          </cell>
          <cell r="K8137" t="str">
            <v>VRUB</v>
          </cell>
          <cell r="AB8137" t="str">
            <v>GI- stomach</v>
          </cell>
        </row>
        <row r="8138">
          <cell r="A8138" t="str">
            <v>in storage</v>
          </cell>
          <cell r="K8138" t="str">
            <v>VRUB</v>
          </cell>
          <cell r="AB8138" t="str">
            <v>GI Contents- stomach</v>
          </cell>
        </row>
        <row r="8139">
          <cell r="A8139" t="str">
            <v>in storage</v>
          </cell>
          <cell r="K8139" t="str">
            <v>PCOQ</v>
          </cell>
          <cell r="AB8139" t="str">
            <v>GI- cecum</v>
          </cell>
        </row>
        <row r="8140">
          <cell r="A8140" t="str">
            <v>in storage</v>
          </cell>
          <cell r="K8140" t="str">
            <v>PCOQ</v>
          </cell>
          <cell r="AB8140" t="str">
            <v>GI contents- stomach</v>
          </cell>
        </row>
        <row r="8141">
          <cell r="A8141" t="str">
            <v>in storage</v>
          </cell>
          <cell r="K8141" t="str">
            <v>PCOQ</v>
          </cell>
          <cell r="AB8141" t="str">
            <v>Mass- colon</v>
          </cell>
        </row>
        <row r="8142">
          <cell r="A8142" t="str">
            <v>in storage</v>
          </cell>
          <cell r="K8142" t="str">
            <v>PCOQ</v>
          </cell>
          <cell r="AB8142" t="str">
            <v xml:space="preserve">Mass- intestinal </v>
          </cell>
        </row>
        <row r="8143">
          <cell r="A8143" t="str">
            <v>in storage</v>
          </cell>
          <cell r="K8143" t="str">
            <v>PCOQ</v>
          </cell>
          <cell r="AB8143" t="str">
            <v>Muscle</v>
          </cell>
        </row>
        <row r="8144">
          <cell r="A8144" t="str">
            <v>in storage</v>
          </cell>
          <cell r="K8144" t="str">
            <v>PCOQ</v>
          </cell>
          <cell r="AB8144" t="str">
            <v>Muscle</v>
          </cell>
        </row>
        <row r="8145">
          <cell r="A8145" t="str">
            <v>in storage</v>
          </cell>
          <cell r="K8145" t="str">
            <v>PCOQ</v>
          </cell>
          <cell r="AB8145" t="str">
            <v>Muscle</v>
          </cell>
        </row>
        <row r="8146">
          <cell r="A8146" t="str">
            <v>in storage</v>
          </cell>
          <cell r="K8146" t="str">
            <v>PCOQ</v>
          </cell>
          <cell r="AB8146" t="str">
            <v>Muscle</v>
          </cell>
        </row>
        <row r="8147">
          <cell r="A8147" t="str">
            <v>in storage</v>
          </cell>
          <cell r="K8147" t="str">
            <v>PCOQ</v>
          </cell>
          <cell r="AB8147" t="str">
            <v>Kidney</v>
          </cell>
        </row>
        <row r="8148">
          <cell r="A8148" t="str">
            <v>in storage</v>
          </cell>
          <cell r="K8148" t="str">
            <v>PCOQ</v>
          </cell>
          <cell r="AB8148" t="str">
            <v>Kidney</v>
          </cell>
        </row>
        <row r="8149">
          <cell r="A8149" t="str">
            <v>in storage</v>
          </cell>
          <cell r="K8149" t="str">
            <v>PCOQ</v>
          </cell>
          <cell r="AB8149" t="str">
            <v>Kidney</v>
          </cell>
        </row>
        <row r="8150">
          <cell r="A8150" t="str">
            <v>in storage</v>
          </cell>
          <cell r="K8150" t="str">
            <v>PCOQ</v>
          </cell>
          <cell r="AB8150" t="str">
            <v>Kidney</v>
          </cell>
        </row>
        <row r="8151">
          <cell r="A8151" t="str">
            <v>in storage</v>
          </cell>
          <cell r="K8151" t="str">
            <v>PCOQ</v>
          </cell>
          <cell r="AB8151" t="str">
            <v>Spleen</v>
          </cell>
        </row>
        <row r="8152">
          <cell r="A8152" t="str">
            <v>in storage</v>
          </cell>
          <cell r="K8152" t="str">
            <v>PCOQ</v>
          </cell>
          <cell r="AB8152" t="str">
            <v>Spleen</v>
          </cell>
        </row>
        <row r="8153">
          <cell r="A8153" t="str">
            <v>in storage</v>
          </cell>
          <cell r="K8153" t="str">
            <v>PCOQ</v>
          </cell>
          <cell r="AB8153" t="str">
            <v>Spleen</v>
          </cell>
        </row>
        <row r="8154">
          <cell r="A8154" t="str">
            <v>in storage</v>
          </cell>
          <cell r="K8154" t="str">
            <v>PCOQ</v>
          </cell>
          <cell r="AB8154" t="str">
            <v>Spleen</v>
          </cell>
        </row>
        <row r="8155">
          <cell r="A8155" t="str">
            <v>in storage</v>
          </cell>
          <cell r="K8155" t="str">
            <v>PCOQ</v>
          </cell>
          <cell r="AB8155" t="str">
            <v>U- bladder</v>
          </cell>
        </row>
        <row r="8156">
          <cell r="A8156" t="str">
            <v>in storage</v>
          </cell>
          <cell r="K8156" t="str">
            <v>PCOQ</v>
          </cell>
          <cell r="AB8156" t="str">
            <v>R- teste(s)</v>
          </cell>
        </row>
        <row r="8157">
          <cell r="A8157" t="str">
            <v>in storage</v>
          </cell>
          <cell r="K8157" t="str">
            <v>PCOQ</v>
          </cell>
          <cell r="AB8157" t="str">
            <v>R- teste(s)</v>
          </cell>
        </row>
        <row r="8158">
          <cell r="A8158" t="str">
            <v>in storage</v>
          </cell>
          <cell r="K8158" t="str">
            <v>PCOQ</v>
          </cell>
          <cell r="AB8158" t="str">
            <v>Liver</v>
          </cell>
        </row>
        <row r="8159">
          <cell r="A8159" t="str">
            <v>in storage</v>
          </cell>
          <cell r="K8159" t="str">
            <v>PCOQ</v>
          </cell>
          <cell r="AB8159" t="str">
            <v>Liver</v>
          </cell>
        </row>
        <row r="8160">
          <cell r="A8160" t="str">
            <v>in storage</v>
          </cell>
          <cell r="K8160" t="str">
            <v>PCOQ</v>
          </cell>
          <cell r="AB8160" t="str">
            <v>Liver</v>
          </cell>
        </row>
        <row r="8161">
          <cell r="A8161" t="str">
            <v>in storage</v>
          </cell>
          <cell r="K8161" t="str">
            <v>PCOQ</v>
          </cell>
          <cell r="AB8161" t="str">
            <v>Liver</v>
          </cell>
        </row>
        <row r="8162">
          <cell r="A8162" t="str">
            <v>in storage</v>
          </cell>
          <cell r="K8162" t="str">
            <v>PCOQ</v>
          </cell>
          <cell r="AB8162" t="str">
            <v>Liver</v>
          </cell>
        </row>
        <row r="8163">
          <cell r="A8163" t="str">
            <v>in storage</v>
          </cell>
          <cell r="K8163" t="str">
            <v>PCOQ</v>
          </cell>
          <cell r="AB8163" t="str">
            <v>Liver</v>
          </cell>
        </row>
        <row r="8164">
          <cell r="A8164" t="str">
            <v>in storage</v>
          </cell>
          <cell r="K8164" t="str">
            <v>PCOQ</v>
          </cell>
          <cell r="AB8164" t="str">
            <v>Pancreas</v>
          </cell>
        </row>
        <row r="8165">
          <cell r="A8165" t="str">
            <v>in storage</v>
          </cell>
          <cell r="K8165" t="str">
            <v>PCOQ</v>
          </cell>
          <cell r="AB8165" t="str">
            <v>Pancreas</v>
          </cell>
        </row>
        <row r="8166">
          <cell r="A8166" t="str">
            <v>in storage</v>
          </cell>
          <cell r="K8166" t="str">
            <v>PCOQ</v>
          </cell>
          <cell r="AB8166" t="str">
            <v>Pancreas</v>
          </cell>
        </row>
        <row r="8167">
          <cell r="A8167" t="str">
            <v>in storage</v>
          </cell>
          <cell r="K8167" t="str">
            <v>PCOQ</v>
          </cell>
          <cell r="AB8167" t="str">
            <v>Lung</v>
          </cell>
        </row>
        <row r="8168">
          <cell r="A8168" t="str">
            <v>in storage</v>
          </cell>
          <cell r="K8168" t="str">
            <v>PCOQ</v>
          </cell>
          <cell r="AB8168" t="str">
            <v>Lung</v>
          </cell>
        </row>
        <row r="8169">
          <cell r="A8169" t="str">
            <v>in storage</v>
          </cell>
          <cell r="K8169" t="str">
            <v>PCOQ</v>
          </cell>
          <cell r="AB8169" t="str">
            <v>Lung</v>
          </cell>
        </row>
        <row r="8170">
          <cell r="A8170" t="str">
            <v>in storage</v>
          </cell>
          <cell r="K8170" t="str">
            <v>PCOQ</v>
          </cell>
          <cell r="AB8170" t="str">
            <v>Lung</v>
          </cell>
        </row>
        <row r="8171">
          <cell r="A8171" t="str">
            <v>in storage</v>
          </cell>
          <cell r="K8171" t="str">
            <v>PCOQ</v>
          </cell>
          <cell r="AB8171" t="str">
            <v>Lung</v>
          </cell>
        </row>
        <row r="8172">
          <cell r="A8172" t="str">
            <v>in storage</v>
          </cell>
          <cell r="K8172" t="str">
            <v>PCOQ</v>
          </cell>
          <cell r="AB8172" t="str">
            <v>Heart</v>
          </cell>
        </row>
        <row r="8173">
          <cell r="A8173" t="str">
            <v>in storage</v>
          </cell>
          <cell r="K8173" t="str">
            <v>PCOQ</v>
          </cell>
          <cell r="AB8173" t="str">
            <v>Heart</v>
          </cell>
        </row>
        <row r="8174">
          <cell r="A8174" t="str">
            <v>in storage</v>
          </cell>
          <cell r="K8174" t="str">
            <v>PCOQ</v>
          </cell>
          <cell r="AB8174" t="str">
            <v>Heart</v>
          </cell>
        </row>
        <row r="8175">
          <cell r="A8175" t="str">
            <v>in storage</v>
          </cell>
          <cell r="K8175" t="str">
            <v>PCOQ</v>
          </cell>
          <cell r="AB8175" t="str">
            <v>Heart</v>
          </cell>
        </row>
        <row r="8176">
          <cell r="A8176" t="str">
            <v>in storage</v>
          </cell>
          <cell r="K8176" t="str">
            <v>PCOQ</v>
          </cell>
          <cell r="AB8176" t="str">
            <v>Thyroid</v>
          </cell>
        </row>
        <row r="8177">
          <cell r="A8177" t="str">
            <v>in storage</v>
          </cell>
          <cell r="K8177" t="str">
            <v>MMUR</v>
          </cell>
          <cell r="AB8177" t="str">
            <v>GI- stomach</v>
          </cell>
        </row>
        <row r="8178">
          <cell r="A8178" t="str">
            <v>in storage</v>
          </cell>
          <cell r="K8178" t="str">
            <v>MMUR</v>
          </cell>
          <cell r="AB8178" t="str">
            <v>GI- duodenum</v>
          </cell>
        </row>
        <row r="8179">
          <cell r="A8179" t="str">
            <v>in storage</v>
          </cell>
          <cell r="K8179" t="str">
            <v>MMUR</v>
          </cell>
          <cell r="AB8179" t="str">
            <v>GI- jejunum</v>
          </cell>
        </row>
        <row r="8180">
          <cell r="A8180" t="str">
            <v>in storage</v>
          </cell>
          <cell r="K8180" t="str">
            <v>MMUR</v>
          </cell>
          <cell r="AB8180" t="str">
            <v>GI- Ileum</v>
          </cell>
        </row>
        <row r="8181">
          <cell r="A8181" t="str">
            <v>in storage</v>
          </cell>
          <cell r="K8181" t="str">
            <v>MMUR</v>
          </cell>
          <cell r="AB8181" t="str">
            <v>GI- colon</v>
          </cell>
        </row>
        <row r="8182">
          <cell r="A8182" t="str">
            <v>in storage</v>
          </cell>
          <cell r="K8182" t="str">
            <v>MMUR</v>
          </cell>
          <cell r="AB8182" t="str">
            <v>GI- cecum</v>
          </cell>
        </row>
        <row r="8183">
          <cell r="A8183" t="str">
            <v>in storage</v>
          </cell>
          <cell r="K8183" t="str">
            <v>MMUR</v>
          </cell>
          <cell r="AB8183" t="str">
            <v>GI- esophagus</v>
          </cell>
        </row>
        <row r="8184">
          <cell r="A8184" t="str">
            <v>in storage</v>
          </cell>
          <cell r="K8184" t="str">
            <v>MMUR</v>
          </cell>
          <cell r="AB8184" t="str">
            <v>Adrenal gland</v>
          </cell>
        </row>
        <row r="8185">
          <cell r="A8185" t="str">
            <v>in storage</v>
          </cell>
          <cell r="K8185" t="str">
            <v>MMUR</v>
          </cell>
          <cell r="AB8185" t="str">
            <v>Kidney</v>
          </cell>
        </row>
        <row r="8186">
          <cell r="A8186" t="str">
            <v>in storage</v>
          </cell>
          <cell r="K8186" t="str">
            <v>MMUR</v>
          </cell>
          <cell r="AB8186" t="str">
            <v>Kidney</v>
          </cell>
        </row>
        <row r="8187">
          <cell r="A8187" t="str">
            <v>in storage</v>
          </cell>
          <cell r="K8187" t="str">
            <v>VVV</v>
          </cell>
          <cell r="AB8187" t="str">
            <v>GI Contents- cecum</v>
          </cell>
        </row>
        <row r="8188">
          <cell r="A8188" t="str">
            <v>in storage</v>
          </cell>
          <cell r="K8188" t="str">
            <v>MMUR</v>
          </cell>
          <cell r="AB8188" t="str">
            <v>Spleen</v>
          </cell>
        </row>
        <row r="8189">
          <cell r="A8189" t="str">
            <v>in storage</v>
          </cell>
          <cell r="K8189" t="str">
            <v>MMUR</v>
          </cell>
          <cell r="AB8189" t="str">
            <v>U- bladder</v>
          </cell>
        </row>
        <row r="8190">
          <cell r="A8190" t="str">
            <v>in storage</v>
          </cell>
          <cell r="K8190" t="str">
            <v>MMUR</v>
          </cell>
          <cell r="AB8190" t="str">
            <v>R- teste(s)</v>
          </cell>
        </row>
        <row r="8191">
          <cell r="A8191" t="str">
            <v>in storage</v>
          </cell>
          <cell r="K8191" t="str">
            <v>MMUR</v>
          </cell>
          <cell r="AB8191" t="str">
            <v>R- accessory sex glands</v>
          </cell>
        </row>
        <row r="8192">
          <cell r="A8192" t="str">
            <v>in storage</v>
          </cell>
          <cell r="K8192" t="str">
            <v>MMUR</v>
          </cell>
          <cell r="AB8192" t="str">
            <v>Liver</v>
          </cell>
        </row>
        <row r="8193">
          <cell r="A8193" t="str">
            <v>in storage</v>
          </cell>
          <cell r="K8193" t="str">
            <v>VVV</v>
          </cell>
          <cell r="AB8193" t="str">
            <v>GI Tract</v>
          </cell>
        </row>
        <row r="8194">
          <cell r="A8194" t="str">
            <v>in storage</v>
          </cell>
          <cell r="K8194" t="str">
            <v>VVV</v>
          </cell>
          <cell r="AB8194" t="str">
            <v>GI Contents- large intestine</v>
          </cell>
        </row>
        <row r="8195">
          <cell r="A8195" t="str">
            <v>in storage</v>
          </cell>
          <cell r="K8195" t="str">
            <v>MMUR</v>
          </cell>
          <cell r="AB8195" t="str">
            <v>Liver</v>
          </cell>
        </row>
        <row r="8196">
          <cell r="A8196" t="str">
            <v>in storage</v>
          </cell>
          <cell r="K8196" t="str">
            <v>MMUR</v>
          </cell>
          <cell r="AB8196" t="str">
            <v>Liver</v>
          </cell>
        </row>
        <row r="8197">
          <cell r="A8197" t="str">
            <v>in storage</v>
          </cell>
          <cell r="K8197" t="str">
            <v>MMUR</v>
          </cell>
          <cell r="AB8197" t="str">
            <v>Liver</v>
          </cell>
        </row>
        <row r="8198">
          <cell r="A8198" t="str">
            <v>in storage</v>
          </cell>
          <cell r="K8198" t="str">
            <v>MMUR</v>
          </cell>
          <cell r="AB8198" t="str">
            <v>Lung</v>
          </cell>
        </row>
        <row r="8199">
          <cell r="A8199" t="str">
            <v>in storage</v>
          </cell>
          <cell r="K8199" t="str">
            <v>MMUR</v>
          </cell>
          <cell r="AB8199" t="str">
            <v>Heart</v>
          </cell>
        </row>
        <row r="8200">
          <cell r="A8200" t="str">
            <v>in storage</v>
          </cell>
          <cell r="K8200" t="str">
            <v>MMUR</v>
          </cell>
          <cell r="AB8200" t="str">
            <v>Thyroid</v>
          </cell>
        </row>
        <row r="8201">
          <cell r="A8201" t="str">
            <v>in storage</v>
          </cell>
          <cell r="K8201" t="str">
            <v>MMUR</v>
          </cell>
          <cell r="AB8201" t="str">
            <v>Trachea</v>
          </cell>
        </row>
        <row r="8202">
          <cell r="A8202" t="str">
            <v>in storage</v>
          </cell>
          <cell r="K8202" t="str">
            <v>MMUR</v>
          </cell>
          <cell r="AB8202" t="str">
            <v>Skin</v>
          </cell>
        </row>
        <row r="8203">
          <cell r="A8203" t="str">
            <v>in storage</v>
          </cell>
          <cell r="K8203" t="str">
            <v>MMUR</v>
          </cell>
          <cell r="AB8203" t="str">
            <v>Mass- ileum</v>
          </cell>
        </row>
        <row r="8204">
          <cell r="A8204" t="str">
            <v>in storage</v>
          </cell>
          <cell r="K8204" t="str">
            <v>MMUR</v>
          </cell>
          <cell r="AB8204" t="str">
            <v>Bone- tail</v>
          </cell>
        </row>
        <row r="8205">
          <cell r="A8205" t="str">
            <v>in storage</v>
          </cell>
          <cell r="K8205" t="str">
            <v>MMUR</v>
          </cell>
          <cell r="AB8205" t="str">
            <v>Bone- tail</v>
          </cell>
        </row>
        <row r="8206">
          <cell r="A8206" t="str">
            <v>in storage</v>
          </cell>
          <cell r="K8206" t="str">
            <v>MMUR</v>
          </cell>
          <cell r="AB8206" t="str">
            <v>R- sperm plug</v>
          </cell>
        </row>
        <row r="8207">
          <cell r="A8207" t="str">
            <v>in storage</v>
          </cell>
          <cell r="K8207" t="str">
            <v>CMED</v>
          </cell>
          <cell r="AB8207" t="str">
            <v>Adrenal gland</v>
          </cell>
        </row>
        <row r="8208">
          <cell r="A8208" t="str">
            <v>in storage</v>
          </cell>
          <cell r="K8208" t="str">
            <v>DMAD</v>
          </cell>
          <cell r="AB8208" t="str">
            <v>Kidney</v>
          </cell>
        </row>
        <row r="8209">
          <cell r="A8209" t="str">
            <v>in storage</v>
          </cell>
          <cell r="K8209" t="str">
            <v>DMAD</v>
          </cell>
          <cell r="AB8209" t="str">
            <v>Lung</v>
          </cell>
        </row>
        <row r="8210">
          <cell r="A8210" t="str">
            <v>in storage</v>
          </cell>
          <cell r="K8210" t="str">
            <v>HGG</v>
          </cell>
          <cell r="AB8210" t="str">
            <v>Kidney</v>
          </cell>
        </row>
        <row r="8211">
          <cell r="A8211" t="str">
            <v>in storage</v>
          </cell>
          <cell r="K8211" t="str">
            <v>VVV</v>
          </cell>
          <cell r="AB8211" t="str">
            <v>GI Contents- duodenum/ ileum</v>
          </cell>
        </row>
        <row r="8212">
          <cell r="A8212" t="str">
            <v>in storage</v>
          </cell>
          <cell r="K8212" t="str">
            <v>VVV</v>
          </cell>
          <cell r="AB8212" t="str">
            <v>GI Contents- ileum</v>
          </cell>
        </row>
        <row r="8213">
          <cell r="A8213" t="str">
            <v>in storage</v>
          </cell>
          <cell r="K8213" t="str">
            <v>VVV</v>
          </cell>
          <cell r="AB8213" t="str">
            <v>GI- cecum</v>
          </cell>
        </row>
        <row r="8214">
          <cell r="A8214" t="str">
            <v>in storage</v>
          </cell>
          <cell r="K8214" t="str">
            <v>CMED</v>
          </cell>
          <cell r="AB8214" t="str">
            <v>Kidney</v>
          </cell>
        </row>
        <row r="8215">
          <cell r="A8215" t="str">
            <v>in storage</v>
          </cell>
          <cell r="K8215" t="str">
            <v>PCOQ</v>
          </cell>
          <cell r="AB8215" t="str">
            <v>Tongue</v>
          </cell>
        </row>
        <row r="8216">
          <cell r="A8216" t="str">
            <v>unk</v>
          </cell>
          <cell r="K8216" t="str">
            <v>LCAT</v>
          </cell>
          <cell r="AB8216" t="str">
            <v>R- placenta</v>
          </cell>
        </row>
        <row r="8217">
          <cell r="A8217" t="str">
            <v>in storage</v>
          </cell>
          <cell r="K8217" t="str">
            <v>ESAN</v>
          </cell>
          <cell r="AB8217" t="str">
            <v>Eye</v>
          </cell>
        </row>
        <row r="8218">
          <cell r="A8218" t="str">
            <v>in storage</v>
          </cell>
          <cell r="K8218" t="str">
            <v>GMOH</v>
          </cell>
          <cell r="AB8218" t="str">
            <v>Kidney</v>
          </cell>
        </row>
        <row r="8219">
          <cell r="A8219" t="str">
            <v>in storage</v>
          </cell>
          <cell r="K8219" t="str">
            <v>CMED</v>
          </cell>
          <cell r="AB8219" t="str">
            <v>Kidney</v>
          </cell>
        </row>
        <row r="8220">
          <cell r="A8220" t="str">
            <v>in storage</v>
          </cell>
          <cell r="K8220" t="str">
            <v>GMOH</v>
          </cell>
          <cell r="AB8220" t="str">
            <v>Heart</v>
          </cell>
        </row>
        <row r="8221">
          <cell r="A8221" t="str">
            <v>in storage</v>
          </cell>
          <cell r="K8221" t="str">
            <v>CMED</v>
          </cell>
          <cell r="AB8221" t="str">
            <v>Kidney</v>
          </cell>
        </row>
        <row r="8222">
          <cell r="A8222" t="str">
            <v>in storage</v>
          </cell>
          <cell r="K8222" t="str">
            <v>NPYG</v>
          </cell>
          <cell r="AB8222" t="str">
            <v>Pancreas</v>
          </cell>
        </row>
        <row r="8223">
          <cell r="A8223" t="str">
            <v>in storage</v>
          </cell>
          <cell r="K8223" t="str">
            <v>LCAT</v>
          </cell>
          <cell r="AB8223" t="str">
            <v>Hair</v>
          </cell>
        </row>
        <row r="8224">
          <cell r="A8224" t="str">
            <v>in storage</v>
          </cell>
          <cell r="K8224" t="str">
            <v>LCAT</v>
          </cell>
          <cell r="AB8224" t="str">
            <v>Eye</v>
          </cell>
        </row>
        <row r="8225">
          <cell r="A8225" t="str">
            <v>in storage</v>
          </cell>
          <cell r="K8225" t="str">
            <v>CMED</v>
          </cell>
          <cell r="AB8225" t="str">
            <v>Spleen</v>
          </cell>
        </row>
        <row r="8226">
          <cell r="A8226" t="str">
            <v>in storage</v>
          </cell>
          <cell r="K8226" t="str">
            <v>CMED</v>
          </cell>
          <cell r="AB8226" t="str">
            <v>Spleen</v>
          </cell>
        </row>
        <row r="8227">
          <cell r="A8227" t="str">
            <v>in storage</v>
          </cell>
          <cell r="K8227" t="str">
            <v>CMED</v>
          </cell>
          <cell r="AB8227" t="str">
            <v>U- bladder</v>
          </cell>
        </row>
        <row r="8228">
          <cell r="A8228" t="str">
            <v>in storage</v>
          </cell>
          <cell r="K8228" t="str">
            <v>MZAZ</v>
          </cell>
          <cell r="AB8228" t="str">
            <v>Heart</v>
          </cell>
        </row>
        <row r="8229">
          <cell r="A8229" t="str">
            <v>in storage</v>
          </cell>
          <cell r="K8229" t="str">
            <v>CMED</v>
          </cell>
          <cell r="AB8229" t="str">
            <v>R- uterus</v>
          </cell>
        </row>
        <row r="8230">
          <cell r="A8230" t="str">
            <v>in storage</v>
          </cell>
          <cell r="K8230" t="str">
            <v>LCAT</v>
          </cell>
          <cell r="AB8230" t="str">
            <v>Lung</v>
          </cell>
        </row>
        <row r="8231">
          <cell r="A8231" t="str">
            <v>in storage</v>
          </cell>
          <cell r="K8231" t="str">
            <v>CMED</v>
          </cell>
          <cell r="AB8231" t="str">
            <v>R- ovary</v>
          </cell>
        </row>
        <row r="8232">
          <cell r="A8232" t="str">
            <v>in storage</v>
          </cell>
          <cell r="K8232" t="str">
            <v>VVV</v>
          </cell>
          <cell r="AB8232" t="str">
            <v>Thyroid</v>
          </cell>
        </row>
        <row r="8233">
          <cell r="A8233" t="str">
            <v>in storage</v>
          </cell>
          <cell r="K8233" t="str">
            <v>EMAC</v>
          </cell>
          <cell r="AB8233" t="str">
            <v>Thyroid</v>
          </cell>
        </row>
        <row r="8234">
          <cell r="A8234" t="str">
            <v>in storage</v>
          </cell>
          <cell r="K8234" t="str">
            <v>PCOQ</v>
          </cell>
          <cell r="AB8234" t="str">
            <v>R- uterus/ fetus</v>
          </cell>
        </row>
        <row r="8235">
          <cell r="A8235" t="str">
            <v>in storage</v>
          </cell>
          <cell r="K8235" t="str">
            <v>DMAD</v>
          </cell>
          <cell r="AB8235" t="str">
            <v>Hair</v>
          </cell>
        </row>
        <row r="8236">
          <cell r="A8236" t="str">
            <v>in storage</v>
          </cell>
          <cell r="K8236" t="str">
            <v>DMAD</v>
          </cell>
          <cell r="AB8236" t="str">
            <v>Hair</v>
          </cell>
        </row>
        <row r="8237">
          <cell r="A8237" t="str">
            <v>in storage</v>
          </cell>
          <cell r="K8237" t="e">
            <v>#N/A</v>
          </cell>
          <cell r="AB8237" t="str">
            <v>Kidney</v>
          </cell>
        </row>
        <row r="8238">
          <cell r="A8238" t="str">
            <v>in storage</v>
          </cell>
          <cell r="K8238" t="str">
            <v>ERUB</v>
          </cell>
          <cell r="AB8238" t="str">
            <v>Trachea</v>
          </cell>
        </row>
        <row r="8239">
          <cell r="A8239" t="str">
            <v>in storage</v>
          </cell>
          <cell r="K8239" t="str">
            <v>DMAD</v>
          </cell>
          <cell r="AB8239" t="str">
            <v>Diaphragm</v>
          </cell>
        </row>
        <row r="8240">
          <cell r="A8240" t="str">
            <v>in storage</v>
          </cell>
          <cell r="K8240" t="str">
            <v>VVV</v>
          </cell>
          <cell r="AB8240" t="str">
            <v>GI Contents- large intestine</v>
          </cell>
        </row>
        <row r="8241">
          <cell r="A8241" t="str">
            <v>in storage</v>
          </cell>
          <cell r="K8241" t="str">
            <v>VVV</v>
          </cell>
          <cell r="AB8241" t="str">
            <v>GI Tract</v>
          </cell>
        </row>
        <row r="8242">
          <cell r="A8242" t="str">
            <v>in storage</v>
          </cell>
          <cell r="K8242" t="str">
            <v>CMED</v>
          </cell>
          <cell r="AB8242" t="str">
            <v>Liver</v>
          </cell>
        </row>
        <row r="8243">
          <cell r="A8243" t="str">
            <v>in storage</v>
          </cell>
          <cell r="K8243" t="str">
            <v>PCOQ</v>
          </cell>
          <cell r="AB8243" t="str">
            <v>R- placenta</v>
          </cell>
        </row>
        <row r="8244">
          <cell r="A8244" t="str">
            <v>in storage</v>
          </cell>
          <cell r="K8244" t="str">
            <v>CMED</v>
          </cell>
          <cell r="AB8244" t="str">
            <v>Liver</v>
          </cell>
        </row>
        <row r="8245">
          <cell r="A8245" t="str">
            <v>in storage</v>
          </cell>
          <cell r="K8245" t="str">
            <v>CMED</v>
          </cell>
          <cell r="AB8245" t="str">
            <v>Diaphragm/ Pancreas</v>
          </cell>
        </row>
        <row r="8246">
          <cell r="A8246" t="str">
            <v>in storage</v>
          </cell>
          <cell r="K8246" t="str">
            <v>CMED</v>
          </cell>
          <cell r="AB8246" t="str">
            <v>Liver</v>
          </cell>
        </row>
        <row r="8247">
          <cell r="A8247" t="str">
            <v>in storage</v>
          </cell>
          <cell r="K8247" t="str">
            <v>NPYG</v>
          </cell>
          <cell r="AB8247" t="str">
            <v>Tongue</v>
          </cell>
        </row>
        <row r="8248">
          <cell r="A8248" t="str">
            <v>in storage</v>
          </cell>
          <cell r="K8248" t="str">
            <v>EMON</v>
          </cell>
          <cell r="AB8248" t="str">
            <v>Eye</v>
          </cell>
        </row>
        <row r="8249">
          <cell r="A8249" t="str">
            <v>in storage</v>
          </cell>
          <cell r="K8249" t="str">
            <v>VRUB</v>
          </cell>
          <cell r="AB8249" t="str">
            <v>Eye</v>
          </cell>
        </row>
        <row r="8250">
          <cell r="A8250" t="str">
            <v>in storage</v>
          </cell>
          <cell r="K8250" t="str">
            <v>CMED</v>
          </cell>
          <cell r="AB8250" t="str">
            <v>Liver</v>
          </cell>
        </row>
        <row r="8251">
          <cell r="A8251" t="str">
            <v>in storage</v>
          </cell>
          <cell r="K8251" t="str">
            <v>VRUB</v>
          </cell>
          <cell r="AB8251" t="str">
            <v>Eye</v>
          </cell>
        </row>
        <row r="8252">
          <cell r="A8252" t="str">
            <v>in storage</v>
          </cell>
          <cell r="K8252" t="str">
            <v>EUL</v>
          </cell>
          <cell r="AB8252" t="str">
            <v>Trachea</v>
          </cell>
        </row>
        <row r="8253">
          <cell r="A8253" t="str">
            <v>in storage</v>
          </cell>
          <cell r="K8253" t="str">
            <v>PTAT</v>
          </cell>
          <cell r="AB8253" t="str">
            <v>Kidney</v>
          </cell>
        </row>
        <row r="8254">
          <cell r="A8254" t="str">
            <v>in storage</v>
          </cell>
          <cell r="K8254" t="str">
            <v>CMED</v>
          </cell>
          <cell r="AB8254" t="str">
            <v>Lung</v>
          </cell>
        </row>
        <row r="8255">
          <cell r="A8255" t="str">
            <v>in storage</v>
          </cell>
          <cell r="K8255" t="str">
            <v>NCOU</v>
          </cell>
          <cell r="AB8255" t="str">
            <v>Tongue</v>
          </cell>
        </row>
        <row r="8256">
          <cell r="A8256" t="str">
            <v>in storage</v>
          </cell>
          <cell r="K8256" t="str">
            <v>NCOU</v>
          </cell>
          <cell r="AB8256" t="str">
            <v>Kidney</v>
          </cell>
        </row>
        <row r="8257">
          <cell r="A8257" t="str">
            <v>in storage</v>
          </cell>
          <cell r="K8257" t="str">
            <v>CMED</v>
          </cell>
          <cell r="AB8257" t="str">
            <v>Pancreas</v>
          </cell>
        </row>
        <row r="8258">
          <cell r="A8258" t="str">
            <v>in storage</v>
          </cell>
          <cell r="K8258" t="str">
            <v>NCOU</v>
          </cell>
          <cell r="AB8258" t="str">
            <v>Heart</v>
          </cell>
        </row>
        <row r="8259">
          <cell r="A8259" t="str">
            <v>in storage</v>
          </cell>
          <cell r="K8259" t="str">
            <v>CMED</v>
          </cell>
          <cell r="AB8259" t="str">
            <v>GI- esophagus/ stomach</v>
          </cell>
        </row>
        <row r="8260">
          <cell r="A8260" t="str">
            <v>in storage</v>
          </cell>
          <cell r="K8260" t="str">
            <v>CMED</v>
          </cell>
          <cell r="AB8260" t="str">
            <v>GI- large intestine/ small intestine</v>
          </cell>
        </row>
        <row r="8261">
          <cell r="A8261" t="str">
            <v>in storage</v>
          </cell>
          <cell r="K8261" t="str">
            <v>VVV</v>
          </cell>
          <cell r="AB8261" t="str">
            <v>GI- large intestine</v>
          </cell>
        </row>
        <row r="8262">
          <cell r="A8262" t="str">
            <v>unk</v>
          </cell>
          <cell r="K8262" t="str">
            <v>unknown</v>
          </cell>
          <cell r="AB8262" t="str">
            <v>unknown tissue type</v>
          </cell>
        </row>
        <row r="8263">
          <cell r="A8263" t="str">
            <v>in storage</v>
          </cell>
          <cell r="K8263" t="str">
            <v>GMOH</v>
          </cell>
          <cell r="AB8263" t="str">
            <v>Heart</v>
          </cell>
        </row>
        <row r="8264">
          <cell r="A8264" t="str">
            <v>in storage</v>
          </cell>
          <cell r="K8264" t="str">
            <v>EFLA</v>
          </cell>
          <cell r="AB8264" t="str">
            <v>bile duct</v>
          </cell>
        </row>
        <row r="8265">
          <cell r="A8265" t="str">
            <v>in storage</v>
          </cell>
          <cell r="K8265" t="str">
            <v>CMED</v>
          </cell>
          <cell r="AB8265" t="str">
            <v>Kidney</v>
          </cell>
        </row>
        <row r="8266">
          <cell r="A8266" t="str">
            <v>in storage</v>
          </cell>
          <cell r="K8266" t="str">
            <v>VVV</v>
          </cell>
          <cell r="AB8266" t="str">
            <v>GI- stomach</v>
          </cell>
        </row>
        <row r="8267">
          <cell r="A8267" t="str">
            <v>in storage</v>
          </cell>
          <cell r="K8267" t="str">
            <v>VVV</v>
          </cell>
          <cell r="AB8267" t="str">
            <v>GI Tract</v>
          </cell>
        </row>
        <row r="8268">
          <cell r="A8268" t="str">
            <v>in storage</v>
          </cell>
          <cell r="K8268" t="str">
            <v>VVV</v>
          </cell>
          <cell r="AB8268" t="str">
            <v>GI Tract</v>
          </cell>
        </row>
        <row r="8269">
          <cell r="A8269" t="str">
            <v>in storage</v>
          </cell>
          <cell r="K8269" t="str">
            <v>CMED</v>
          </cell>
          <cell r="AB8269" t="str">
            <v>Lung</v>
          </cell>
        </row>
        <row r="8270">
          <cell r="A8270" t="str">
            <v>in storage</v>
          </cell>
          <cell r="K8270" t="str">
            <v>CMED</v>
          </cell>
          <cell r="AB8270" t="str">
            <v>Lung</v>
          </cell>
        </row>
        <row r="8271">
          <cell r="A8271" t="str">
            <v>in storage</v>
          </cell>
          <cell r="K8271" t="str">
            <v>CMED</v>
          </cell>
          <cell r="AB8271" t="str">
            <v>Heart</v>
          </cell>
        </row>
        <row r="8272">
          <cell r="A8272" t="str">
            <v>in storage</v>
          </cell>
          <cell r="K8272" t="str">
            <v>CMED</v>
          </cell>
          <cell r="AB8272" t="str">
            <v>Heart</v>
          </cell>
        </row>
        <row r="8273">
          <cell r="A8273" t="str">
            <v>in storage</v>
          </cell>
          <cell r="K8273" t="str">
            <v>CMED</v>
          </cell>
          <cell r="AB8273" t="str">
            <v>Trachea</v>
          </cell>
        </row>
        <row r="8274">
          <cell r="A8274" t="str">
            <v>in storage</v>
          </cell>
          <cell r="K8274" t="str">
            <v>CMED</v>
          </cell>
          <cell r="AB8274" t="str">
            <v>Skin</v>
          </cell>
        </row>
        <row r="8275">
          <cell r="A8275" t="str">
            <v>in storage</v>
          </cell>
          <cell r="K8275" t="str">
            <v>CMED</v>
          </cell>
          <cell r="AB8275" t="str">
            <v>Muscle</v>
          </cell>
        </row>
        <row r="8276">
          <cell r="A8276" t="str">
            <v>in storage</v>
          </cell>
          <cell r="K8276" t="str">
            <v>CMED</v>
          </cell>
          <cell r="AB8276" t="str">
            <v>Muscle</v>
          </cell>
        </row>
        <row r="8277">
          <cell r="A8277" t="str">
            <v>in storage</v>
          </cell>
          <cell r="K8277" t="str">
            <v>CMED</v>
          </cell>
          <cell r="AB8277" t="str">
            <v>Muscle</v>
          </cell>
        </row>
        <row r="8278">
          <cell r="A8278" t="str">
            <v>in storage</v>
          </cell>
          <cell r="K8278" t="str">
            <v>CMED</v>
          </cell>
          <cell r="AB8278" t="str">
            <v>Tooth</v>
          </cell>
        </row>
        <row r="8279">
          <cell r="A8279" t="str">
            <v>in storage</v>
          </cell>
          <cell r="K8279" t="str">
            <v>VVV</v>
          </cell>
          <cell r="AB8279" t="str">
            <v>GI Contents- cecum</v>
          </cell>
        </row>
        <row r="8280">
          <cell r="A8280" t="str">
            <v>in storage</v>
          </cell>
          <cell r="K8280" t="str">
            <v>CMED</v>
          </cell>
          <cell r="AB8280" t="str">
            <v>Muscle</v>
          </cell>
        </row>
        <row r="8281">
          <cell r="A8281" t="str">
            <v>in storage</v>
          </cell>
          <cell r="K8281" t="str">
            <v>CMED</v>
          </cell>
          <cell r="AB8281" t="str">
            <v>Muscle</v>
          </cell>
        </row>
        <row r="8282">
          <cell r="A8282" t="str">
            <v>in storage</v>
          </cell>
          <cell r="K8282" t="str">
            <v>CMED</v>
          </cell>
          <cell r="AB8282" t="str">
            <v>Muscle</v>
          </cell>
        </row>
        <row r="8283">
          <cell r="A8283" t="str">
            <v>in storage</v>
          </cell>
          <cell r="K8283" t="str">
            <v>CMED</v>
          </cell>
          <cell r="AB8283" t="str">
            <v>Muscle</v>
          </cell>
        </row>
        <row r="8284">
          <cell r="A8284" t="str">
            <v>in storage</v>
          </cell>
          <cell r="K8284" t="str">
            <v>MMUR</v>
          </cell>
          <cell r="AB8284" t="str">
            <v>GI tract</v>
          </cell>
        </row>
        <row r="8285">
          <cell r="A8285" t="str">
            <v>in storage</v>
          </cell>
          <cell r="K8285" t="str">
            <v>MMUR</v>
          </cell>
          <cell r="AB8285" t="str">
            <v>Muscle</v>
          </cell>
        </row>
        <row r="8286">
          <cell r="A8286" t="str">
            <v>in storage</v>
          </cell>
          <cell r="K8286" t="str">
            <v>MMUR</v>
          </cell>
          <cell r="AB8286" t="str">
            <v>Muscle</v>
          </cell>
        </row>
        <row r="8287">
          <cell r="A8287" t="str">
            <v>in storage</v>
          </cell>
          <cell r="K8287" t="str">
            <v>MMUR</v>
          </cell>
          <cell r="AB8287" t="str">
            <v>Spleen</v>
          </cell>
        </row>
        <row r="8288">
          <cell r="A8288" t="str">
            <v>in storage</v>
          </cell>
          <cell r="K8288" t="str">
            <v>MMUR</v>
          </cell>
          <cell r="AB8288" t="str">
            <v>Liver</v>
          </cell>
        </row>
        <row r="8289">
          <cell r="A8289" t="str">
            <v>in storage</v>
          </cell>
          <cell r="K8289" t="str">
            <v>MMUR</v>
          </cell>
          <cell r="AB8289" t="str">
            <v>Liver</v>
          </cell>
        </row>
        <row r="8290">
          <cell r="A8290" t="str">
            <v>in storage</v>
          </cell>
          <cell r="K8290" t="str">
            <v>MMUR</v>
          </cell>
          <cell r="AB8290" t="str">
            <v>Liver</v>
          </cell>
        </row>
        <row r="8291">
          <cell r="A8291" t="str">
            <v>in storage</v>
          </cell>
          <cell r="K8291" t="str">
            <v>MMUR</v>
          </cell>
          <cell r="AB8291" t="str">
            <v>Liver</v>
          </cell>
        </row>
        <row r="8292">
          <cell r="A8292" t="str">
            <v>in storage</v>
          </cell>
          <cell r="K8292" t="str">
            <v>MMUR</v>
          </cell>
          <cell r="AB8292" t="str">
            <v>Liver</v>
          </cell>
        </row>
        <row r="8293">
          <cell r="A8293" t="str">
            <v>in storage</v>
          </cell>
          <cell r="K8293" t="str">
            <v>MMUR</v>
          </cell>
          <cell r="AB8293" t="str">
            <v>Kidney</v>
          </cell>
        </row>
        <row r="8294">
          <cell r="A8294" t="str">
            <v>in storage</v>
          </cell>
          <cell r="K8294" t="str">
            <v>MMUR</v>
          </cell>
          <cell r="AB8294" t="str">
            <v>Kidney</v>
          </cell>
        </row>
        <row r="8295">
          <cell r="A8295" t="str">
            <v>in storage</v>
          </cell>
          <cell r="K8295" t="str">
            <v>MMUR</v>
          </cell>
          <cell r="AB8295" t="str">
            <v>R- teste(s)</v>
          </cell>
        </row>
        <row r="8296">
          <cell r="A8296" t="str">
            <v>in storage</v>
          </cell>
          <cell r="K8296" t="str">
            <v>MMUR</v>
          </cell>
          <cell r="AB8296" t="str">
            <v>R- accessory sex glands</v>
          </cell>
        </row>
        <row r="8297">
          <cell r="A8297" t="str">
            <v>in storage</v>
          </cell>
          <cell r="K8297" t="str">
            <v>MMUR</v>
          </cell>
          <cell r="AB8297" t="str">
            <v>Pancreas</v>
          </cell>
        </row>
        <row r="8298">
          <cell r="A8298" t="str">
            <v>in storage</v>
          </cell>
          <cell r="K8298" t="str">
            <v>MMUR</v>
          </cell>
          <cell r="AB8298" t="str">
            <v>Lung</v>
          </cell>
        </row>
        <row r="8299">
          <cell r="A8299" t="str">
            <v>in storage</v>
          </cell>
          <cell r="K8299" t="str">
            <v>VVV</v>
          </cell>
          <cell r="AB8299" t="str">
            <v>GI- cecum</v>
          </cell>
        </row>
        <row r="8300">
          <cell r="A8300" t="str">
            <v>in storage</v>
          </cell>
          <cell r="K8300" t="str">
            <v>VVV</v>
          </cell>
          <cell r="AB8300" t="str">
            <v>GI Contents- large intestine</v>
          </cell>
        </row>
        <row r="8301">
          <cell r="A8301" t="str">
            <v>in storage</v>
          </cell>
          <cell r="K8301" t="str">
            <v>MMUR</v>
          </cell>
          <cell r="AB8301" t="str">
            <v>Skin</v>
          </cell>
        </row>
        <row r="8302">
          <cell r="A8302" t="str">
            <v>in storage</v>
          </cell>
          <cell r="K8302" t="str">
            <v>CMED</v>
          </cell>
          <cell r="AB8302" t="str">
            <v>Tooth</v>
          </cell>
        </row>
        <row r="8303">
          <cell r="A8303" t="str">
            <v>in storage</v>
          </cell>
          <cell r="K8303" t="str">
            <v>EFLA</v>
          </cell>
          <cell r="AB8303" t="str">
            <v xml:space="preserve">GI- cecum </v>
          </cell>
        </row>
        <row r="8304">
          <cell r="A8304" t="str">
            <v>in storage</v>
          </cell>
          <cell r="K8304" t="str">
            <v>EFLA</v>
          </cell>
          <cell r="AB8304" t="str">
            <v>GI- large intestine</v>
          </cell>
        </row>
        <row r="8305">
          <cell r="A8305" t="str">
            <v>in storage</v>
          </cell>
          <cell r="K8305" t="str">
            <v>EFLA</v>
          </cell>
          <cell r="AB8305" t="str">
            <v>GI- small intestine</v>
          </cell>
        </row>
        <row r="8306">
          <cell r="A8306" t="str">
            <v>in storage</v>
          </cell>
          <cell r="K8306" t="str">
            <v>EFLA</v>
          </cell>
          <cell r="AB8306" t="str">
            <v>GI- stomach</v>
          </cell>
        </row>
        <row r="8307">
          <cell r="A8307" t="str">
            <v>in storage</v>
          </cell>
          <cell r="K8307" t="str">
            <v>EFLA</v>
          </cell>
          <cell r="AB8307" t="str">
            <v>Muscle</v>
          </cell>
        </row>
        <row r="8308">
          <cell r="A8308" t="str">
            <v>in storage</v>
          </cell>
          <cell r="K8308" t="str">
            <v>EFLA</v>
          </cell>
          <cell r="AB8308" t="str">
            <v>R- teste(s)</v>
          </cell>
        </row>
        <row r="8309">
          <cell r="A8309" t="str">
            <v>in storage</v>
          </cell>
          <cell r="K8309" t="str">
            <v>EFLA</v>
          </cell>
          <cell r="AB8309" t="str">
            <v>Liver</v>
          </cell>
        </row>
        <row r="8310">
          <cell r="A8310" t="str">
            <v>in storage</v>
          </cell>
          <cell r="K8310" t="str">
            <v>EFLA</v>
          </cell>
          <cell r="AB8310" t="str">
            <v>Liver</v>
          </cell>
        </row>
        <row r="8311">
          <cell r="A8311" t="str">
            <v>in storage</v>
          </cell>
          <cell r="K8311" t="str">
            <v>EFLA</v>
          </cell>
          <cell r="AB8311" t="str">
            <v>Kidney</v>
          </cell>
        </row>
        <row r="8312">
          <cell r="A8312" t="str">
            <v>in storage</v>
          </cell>
          <cell r="K8312" t="str">
            <v>EFLA</v>
          </cell>
          <cell r="AB8312" t="str">
            <v>Kidney</v>
          </cell>
        </row>
        <row r="8313">
          <cell r="A8313" t="str">
            <v>in storage</v>
          </cell>
          <cell r="K8313" t="str">
            <v>EFLA</v>
          </cell>
          <cell r="AB8313" t="str">
            <v>Spleen</v>
          </cell>
        </row>
        <row r="8314">
          <cell r="A8314" t="str">
            <v>in storage</v>
          </cell>
          <cell r="K8314" t="str">
            <v>EFLA</v>
          </cell>
          <cell r="AB8314" t="str">
            <v>Pancreas</v>
          </cell>
        </row>
        <row r="8315">
          <cell r="A8315" t="str">
            <v>gone</v>
          </cell>
          <cell r="K8315" t="str">
            <v>LCAT</v>
          </cell>
          <cell r="AB8315" t="str">
            <v>Liver</v>
          </cell>
        </row>
        <row r="8316">
          <cell r="A8316" t="str">
            <v>gone</v>
          </cell>
          <cell r="K8316" t="str">
            <v>LCAT</v>
          </cell>
          <cell r="AB8316" t="str">
            <v>Spleen</v>
          </cell>
        </row>
        <row r="8317">
          <cell r="A8317" t="str">
            <v>in storage</v>
          </cell>
          <cell r="K8317" t="str">
            <v>EFLA</v>
          </cell>
          <cell r="AB8317" t="str">
            <v>Heart</v>
          </cell>
        </row>
        <row r="8318">
          <cell r="A8318" t="str">
            <v>in storage</v>
          </cell>
          <cell r="K8318" t="str">
            <v>EFLA</v>
          </cell>
          <cell r="AB8318" t="str">
            <v>Skin</v>
          </cell>
        </row>
        <row r="8319">
          <cell r="A8319" t="str">
            <v>in storage</v>
          </cell>
          <cell r="K8319" t="str">
            <v>EFLA</v>
          </cell>
          <cell r="AB8319" t="str">
            <v>Thymus</v>
          </cell>
        </row>
        <row r="8320">
          <cell r="A8320" t="str">
            <v>in storage</v>
          </cell>
          <cell r="K8320" t="str">
            <v>EFLA</v>
          </cell>
          <cell r="AB8320" t="str">
            <v>Lung</v>
          </cell>
        </row>
        <row r="8321">
          <cell r="A8321" t="str">
            <v>in storage</v>
          </cell>
          <cell r="K8321" t="str">
            <v>EFLA</v>
          </cell>
          <cell r="AB8321" t="str">
            <v>Lung</v>
          </cell>
        </row>
        <row r="8322">
          <cell r="A8322" t="str">
            <v>in storage</v>
          </cell>
          <cell r="K8322" t="str">
            <v>ECOR</v>
          </cell>
          <cell r="AB8322" t="str">
            <v>Digit- toe</v>
          </cell>
        </row>
        <row r="8323">
          <cell r="A8323" t="str">
            <v>in storage</v>
          </cell>
          <cell r="K8323" t="str">
            <v>PCOQ</v>
          </cell>
          <cell r="AB8323" t="str">
            <v>R- placenta</v>
          </cell>
        </row>
        <row r="8324">
          <cell r="A8324" t="str">
            <v>in storage</v>
          </cell>
          <cell r="K8324" t="str">
            <v>VRUB</v>
          </cell>
          <cell r="AB8324" t="str">
            <v>Muscle</v>
          </cell>
        </row>
        <row r="8325">
          <cell r="A8325" t="str">
            <v>in storage</v>
          </cell>
          <cell r="K8325" t="str">
            <v>VRUB</v>
          </cell>
          <cell r="AB8325" t="str">
            <v>Muscle</v>
          </cell>
        </row>
        <row r="8326">
          <cell r="A8326" t="str">
            <v>in storage</v>
          </cell>
          <cell r="K8326" t="str">
            <v>VRUB</v>
          </cell>
          <cell r="AB8326" t="str">
            <v>Muscle</v>
          </cell>
        </row>
        <row r="8327">
          <cell r="A8327" t="str">
            <v>in storage</v>
          </cell>
          <cell r="K8327" t="str">
            <v>VRUB</v>
          </cell>
          <cell r="AB8327" t="str">
            <v>R- accessory sex glands</v>
          </cell>
        </row>
        <row r="8328">
          <cell r="A8328" t="str">
            <v>in storage</v>
          </cell>
          <cell r="K8328" t="str">
            <v>VRUB</v>
          </cell>
          <cell r="AB8328" t="str">
            <v>R- teste(s)</v>
          </cell>
        </row>
        <row r="8329">
          <cell r="A8329" t="str">
            <v>in storage</v>
          </cell>
          <cell r="K8329" t="str">
            <v>VRUB</v>
          </cell>
          <cell r="AB8329" t="str">
            <v>R- teste(s)</v>
          </cell>
        </row>
        <row r="8330">
          <cell r="A8330" t="str">
            <v>in storage</v>
          </cell>
          <cell r="K8330" t="str">
            <v>VRUB</v>
          </cell>
          <cell r="AB8330" t="str">
            <v>Adrenal gland</v>
          </cell>
        </row>
        <row r="8331">
          <cell r="A8331" t="str">
            <v>in storage</v>
          </cell>
          <cell r="K8331" t="str">
            <v>VRUB</v>
          </cell>
          <cell r="AB8331" t="str">
            <v>Adrenal gland</v>
          </cell>
        </row>
        <row r="8332">
          <cell r="A8332" t="str">
            <v>in storage</v>
          </cell>
          <cell r="K8332" t="str">
            <v>VRUB</v>
          </cell>
          <cell r="AB8332" t="str">
            <v>Kidney</v>
          </cell>
        </row>
        <row r="8333">
          <cell r="A8333" t="str">
            <v>in storage</v>
          </cell>
          <cell r="K8333" t="str">
            <v>VRUB</v>
          </cell>
          <cell r="AB8333" t="str">
            <v>Kidney</v>
          </cell>
        </row>
        <row r="8334">
          <cell r="A8334" t="str">
            <v>in storage</v>
          </cell>
          <cell r="K8334" t="str">
            <v>VVV</v>
          </cell>
          <cell r="AB8334" t="str">
            <v>GI- large intestine</v>
          </cell>
        </row>
        <row r="8335">
          <cell r="A8335" t="str">
            <v>in storage</v>
          </cell>
          <cell r="K8335" t="str">
            <v>VVV</v>
          </cell>
          <cell r="AB8335" t="str">
            <v>GI- small intestine</v>
          </cell>
        </row>
        <row r="8336">
          <cell r="A8336" t="str">
            <v>in storage</v>
          </cell>
          <cell r="K8336" t="str">
            <v>VVV</v>
          </cell>
          <cell r="AB8336" t="str">
            <v>GI- stomach</v>
          </cell>
        </row>
        <row r="8337">
          <cell r="A8337" t="str">
            <v>in storage</v>
          </cell>
          <cell r="K8337" t="str">
            <v>VVV</v>
          </cell>
          <cell r="AB8337" t="str">
            <v>GI Contents- intestinal</v>
          </cell>
        </row>
        <row r="8338">
          <cell r="A8338" t="str">
            <v>in storage</v>
          </cell>
          <cell r="K8338" t="str">
            <v>VVV</v>
          </cell>
          <cell r="AB8338" t="str">
            <v>GI Contents- cecum</v>
          </cell>
        </row>
        <row r="8339">
          <cell r="A8339" t="str">
            <v>in storage</v>
          </cell>
          <cell r="K8339" t="str">
            <v>VRUB</v>
          </cell>
          <cell r="AB8339" t="str">
            <v>Kidney</v>
          </cell>
        </row>
        <row r="8340">
          <cell r="A8340" t="str">
            <v>in storage</v>
          </cell>
          <cell r="K8340" t="str">
            <v>VRUB</v>
          </cell>
          <cell r="AB8340" t="str">
            <v>Kidney</v>
          </cell>
        </row>
        <row r="8341">
          <cell r="A8341" t="str">
            <v>in storage</v>
          </cell>
          <cell r="K8341" t="str">
            <v>VRUB</v>
          </cell>
          <cell r="AB8341" t="str">
            <v>Kidney</v>
          </cell>
        </row>
        <row r="8342">
          <cell r="A8342" t="str">
            <v>in storage</v>
          </cell>
          <cell r="K8342" t="str">
            <v>VRUB</v>
          </cell>
          <cell r="AB8342" t="str">
            <v>Spleen</v>
          </cell>
        </row>
        <row r="8343">
          <cell r="A8343" t="str">
            <v>in storage</v>
          </cell>
          <cell r="K8343" t="str">
            <v>VRUB</v>
          </cell>
          <cell r="AB8343" t="str">
            <v>U- bladder</v>
          </cell>
        </row>
        <row r="8344">
          <cell r="A8344" t="str">
            <v>in storage</v>
          </cell>
          <cell r="K8344" t="str">
            <v>VRUB</v>
          </cell>
          <cell r="AB8344" t="str">
            <v>Liver</v>
          </cell>
        </row>
        <row r="8345">
          <cell r="A8345" t="str">
            <v>in storage</v>
          </cell>
          <cell r="K8345" t="str">
            <v>VRUB</v>
          </cell>
          <cell r="AB8345" t="str">
            <v>Trachea</v>
          </cell>
        </row>
        <row r="8346">
          <cell r="A8346" t="str">
            <v>in storage</v>
          </cell>
          <cell r="K8346" t="str">
            <v>VRUB</v>
          </cell>
          <cell r="AB8346" t="str">
            <v>Liver</v>
          </cell>
        </row>
        <row r="8347">
          <cell r="A8347" t="str">
            <v>in storage</v>
          </cell>
          <cell r="K8347" t="str">
            <v>VRUB</v>
          </cell>
          <cell r="AB8347" t="str">
            <v>Liver</v>
          </cell>
        </row>
        <row r="8348">
          <cell r="A8348" t="str">
            <v>in storage</v>
          </cell>
          <cell r="K8348" t="str">
            <v>VRUB</v>
          </cell>
          <cell r="AB8348" t="str">
            <v>Liver</v>
          </cell>
        </row>
        <row r="8349">
          <cell r="A8349" t="str">
            <v>in storage</v>
          </cell>
          <cell r="K8349" t="str">
            <v>VRUB</v>
          </cell>
          <cell r="AB8349" t="str">
            <v>Pancreas</v>
          </cell>
        </row>
        <row r="8350">
          <cell r="A8350" t="str">
            <v>in storage</v>
          </cell>
          <cell r="K8350" t="str">
            <v>VRUB</v>
          </cell>
          <cell r="AB8350" t="str">
            <v>Pancreas</v>
          </cell>
        </row>
        <row r="8351">
          <cell r="A8351" t="str">
            <v>in storage</v>
          </cell>
          <cell r="K8351" t="str">
            <v>VRUB</v>
          </cell>
          <cell r="AB8351" t="str">
            <v>Lung</v>
          </cell>
        </row>
        <row r="8352">
          <cell r="A8352" t="str">
            <v>in storage</v>
          </cell>
          <cell r="K8352" t="str">
            <v>VRUB</v>
          </cell>
          <cell r="AB8352" t="str">
            <v>Lung</v>
          </cell>
        </row>
        <row r="8353">
          <cell r="A8353" t="str">
            <v>in storage</v>
          </cell>
          <cell r="K8353" t="str">
            <v>VRUB</v>
          </cell>
          <cell r="AB8353" t="str">
            <v>Lung</v>
          </cell>
        </row>
        <row r="8354">
          <cell r="A8354" t="str">
            <v>in storage</v>
          </cell>
          <cell r="K8354" t="str">
            <v>VRUB</v>
          </cell>
          <cell r="AB8354" t="str">
            <v>Lung</v>
          </cell>
        </row>
        <row r="8355">
          <cell r="A8355" t="str">
            <v>in storage</v>
          </cell>
          <cell r="K8355" t="str">
            <v>VRUB</v>
          </cell>
          <cell r="AB8355" t="str">
            <v>Lung</v>
          </cell>
        </row>
        <row r="8356">
          <cell r="A8356" t="str">
            <v>in storage</v>
          </cell>
          <cell r="K8356" t="str">
            <v>VRUB</v>
          </cell>
          <cell r="AB8356" t="str">
            <v>Heart</v>
          </cell>
        </row>
        <row r="8357">
          <cell r="A8357" t="str">
            <v>in storage</v>
          </cell>
          <cell r="K8357" t="str">
            <v>VRUB</v>
          </cell>
          <cell r="AB8357" t="str">
            <v>Heart</v>
          </cell>
        </row>
        <row r="8358">
          <cell r="A8358" t="str">
            <v>in storage</v>
          </cell>
          <cell r="K8358" t="str">
            <v>VVV</v>
          </cell>
          <cell r="AB8358" t="str">
            <v>GI Tract</v>
          </cell>
        </row>
        <row r="8359">
          <cell r="A8359" t="str">
            <v>in storage</v>
          </cell>
          <cell r="K8359" t="str">
            <v>VRUB</v>
          </cell>
          <cell r="AB8359" t="str">
            <v>Heart</v>
          </cell>
        </row>
        <row r="8360">
          <cell r="A8360" t="str">
            <v>in storage</v>
          </cell>
          <cell r="K8360" t="str">
            <v>VRUB</v>
          </cell>
          <cell r="AB8360" t="str">
            <v>Heart</v>
          </cell>
        </row>
        <row r="8361">
          <cell r="A8361" t="str">
            <v>in storage</v>
          </cell>
          <cell r="K8361" t="str">
            <v>VRUB</v>
          </cell>
          <cell r="AB8361" t="str">
            <v>Thyroid</v>
          </cell>
        </row>
        <row r="8362">
          <cell r="A8362" t="str">
            <v>in storage</v>
          </cell>
          <cell r="K8362" t="str">
            <v>VRUB</v>
          </cell>
          <cell r="AB8362" t="str">
            <v>Thyroid</v>
          </cell>
        </row>
        <row r="8363">
          <cell r="A8363" t="str">
            <v>in storage</v>
          </cell>
          <cell r="K8363" t="str">
            <v>VRUB</v>
          </cell>
          <cell r="AB8363" t="str">
            <v>Skin</v>
          </cell>
        </row>
        <row r="8364">
          <cell r="A8364" t="str">
            <v>in storage</v>
          </cell>
          <cell r="K8364" t="str">
            <v>VRUB</v>
          </cell>
          <cell r="AB8364" t="str">
            <v>Fluid- abdominal effusion</v>
          </cell>
        </row>
        <row r="8365">
          <cell r="A8365" t="str">
            <v>in storage</v>
          </cell>
          <cell r="K8365" t="str">
            <v>VRUB</v>
          </cell>
          <cell r="AB8365" t="str">
            <v>Fluid- abdominal effusion</v>
          </cell>
        </row>
        <row r="8366">
          <cell r="A8366" t="str">
            <v>in storage</v>
          </cell>
          <cell r="K8366" t="str">
            <v>VRUB</v>
          </cell>
          <cell r="AB8366" t="str">
            <v>Fluid- abdominal effusion</v>
          </cell>
        </row>
        <row r="8367">
          <cell r="A8367" t="str">
            <v>in storage</v>
          </cell>
          <cell r="K8367" t="str">
            <v>VRUB</v>
          </cell>
          <cell r="AB8367" t="str">
            <v>GI- cecum</v>
          </cell>
        </row>
        <row r="8368">
          <cell r="A8368" t="str">
            <v>in storage</v>
          </cell>
          <cell r="K8368" t="str">
            <v>VRUB</v>
          </cell>
          <cell r="AB8368" t="str">
            <v>GI- stomach</v>
          </cell>
        </row>
        <row r="8369">
          <cell r="A8369" t="str">
            <v>in storage</v>
          </cell>
          <cell r="K8369" t="str">
            <v>VRUB</v>
          </cell>
          <cell r="AB8369" t="str">
            <v>GI- small intestine</v>
          </cell>
        </row>
        <row r="8370">
          <cell r="A8370" t="str">
            <v>in storage</v>
          </cell>
          <cell r="K8370" t="str">
            <v>VRUB</v>
          </cell>
          <cell r="AB8370" t="str">
            <v>GI- large intestine</v>
          </cell>
        </row>
        <row r="8371">
          <cell r="A8371" t="str">
            <v>in storage</v>
          </cell>
          <cell r="K8371" t="str">
            <v>MMUR</v>
          </cell>
          <cell r="AB8371" t="str">
            <v xml:space="preserve">GI- cecum </v>
          </cell>
        </row>
        <row r="8372">
          <cell r="A8372" t="str">
            <v>in storage</v>
          </cell>
          <cell r="K8372" t="str">
            <v>MMUR</v>
          </cell>
          <cell r="AB8372" t="str">
            <v>GI- large intestine</v>
          </cell>
        </row>
        <row r="8373">
          <cell r="A8373" t="str">
            <v>in storage</v>
          </cell>
          <cell r="K8373" t="str">
            <v>MMUR</v>
          </cell>
          <cell r="AB8373" t="str">
            <v>GI- small intestine</v>
          </cell>
        </row>
        <row r="8374">
          <cell r="A8374" t="str">
            <v>in storage</v>
          </cell>
          <cell r="K8374" t="str">
            <v>MMUR</v>
          </cell>
          <cell r="AB8374" t="str">
            <v>GI- omentum</v>
          </cell>
        </row>
        <row r="8375">
          <cell r="A8375" t="str">
            <v>in storage</v>
          </cell>
          <cell r="K8375" t="str">
            <v>MMUR</v>
          </cell>
          <cell r="AB8375" t="str">
            <v>GI- stomach</v>
          </cell>
        </row>
        <row r="8376">
          <cell r="A8376" t="str">
            <v>in storage</v>
          </cell>
          <cell r="K8376" t="str">
            <v>MMUR</v>
          </cell>
          <cell r="AB8376" t="str">
            <v>Muscle</v>
          </cell>
        </row>
        <row r="8377">
          <cell r="A8377" t="str">
            <v>in storage</v>
          </cell>
          <cell r="K8377" t="str">
            <v>MMUR</v>
          </cell>
          <cell r="AB8377" t="str">
            <v>Muscle</v>
          </cell>
        </row>
        <row r="8378">
          <cell r="A8378" t="str">
            <v>in storage</v>
          </cell>
          <cell r="K8378" t="str">
            <v>MMUR</v>
          </cell>
          <cell r="AB8378" t="str">
            <v>RU- accessory sex glands/ bladder</v>
          </cell>
        </row>
        <row r="8379">
          <cell r="A8379" t="str">
            <v>in storage</v>
          </cell>
          <cell r="K8379" t="str">
            <v>MMUR</v>
          </cell>
          <cell r="AB8379" t="str">
            <v>Liver</v>
          </cell>
        </row>
        <row r="8380">
          <cell r="A8380" t="str">
            <v>in storage</v>
          </cell>
          <cell r="K8380" t="str">
            <v>MMUR</v>
          </cell>
          <cell r="AB8380" t="str">
            <v>Kidney</v>
          </cell>
        </row>
        <row r="8381">
          <cell r="A8381" t="str">
            <v>in storage</v>
          </cell>
          <cell r="K8381" t="str">
            <v>MMUR</v>
          </cell>
          <cell r="AB8381" t="str">
            <v>Kidney</v>
          </cell>
        </row>
        <row r="8382">
          <cell r="A8382" t="str">
            <v>in storage</v>
          </cell>
          <cell r="K8382" t="str">
            <v>MMUR</v>
          </cell>
          <cell r="AB8382" t="str">
            <v>Liver</v>
          </cell>
        </row>
        <row r="8383">
          <cell r="A8383" t="str">
            <v>in storage</v>
          </cell>
          <cell r="K8383" t="str">
            <v>MMUR</v>
          </cell>
          <cell r="AB8383" t="str">
            <v>Liver</v>
          </cell>
        </row>
        <row r="8384">
          <cell r="A8384" t="str">
            <v>in storage</v>
          </cell>
          <cell r="K8384" t="str">
            <v>MMUR</v>
          </cell>
          <cell r="AB8384" t="str">
            <v>Heart</v>
          </cell>
        </row>
        <row r="8385">
          <cell r="A8385" t="str">
            <v>in storage</v>
          </cell>
          <cell r="K8385" t="str">
            <v>MMUR</v>
          </cell>
          <cell r="AB8385" t="str">
            <v>Skin</v>
          </cell>
        </row>
        <row r="8386">
          <cell r="A8386" t="str">
            <v>in storage</v>
          </cell>
          <cell r="K8386" t="str">
            <v>MMUR</v>
          </cell>
          <cell r="AB8386" t="str">
            <v>R- teste(s)</v>
          </cell>
        </row>
        <row r="8387">
          <cell r="A8387" t="str">
            <v>in storage</v>
          </cell>
          <cell r="K8387" t="str">
            <v>ECOR</v>
          </cell>
          <cell r="AB8387" t="str">
            <v>Digit- toe</v>
          </cell>
        </row>
        <row r="8388">
          <cell r="A8388" t="str">
            <v>in storage</v>
          </cell>
          <cell r="K8388" t="str">
            <v>PCOQ</v>
          </cell>
          <cell r="AB8388" t="str">
            <v>Tail</v>
          </cell>
        </row>
        <row r="8389">
          <cell r="A8389" t="str">
            <v>in storage</v>
          </cell>
          <cell r="K8389" t="str">
            <v>ECOR</v>
          </cell>
          <cell r="AB8389" t="str">
            <v>Tooth</v>
          </cell>
        </row>
        <row r="8390">
          <cell r="A8390" t="str">
            <v>in storage</v>
          </cell>
          <cell r="K8390" t="str">
            <v>MMUR</v>
          </cell>
          <cell r="AB8390" t="str">
            <v>GI Tract</v>
          </cell>
        </row>
        <row r="8391">
          <cell r="A8391" t="str">
            <v>in storage</v>
          </cell>
          <cell r="K8391" t="str">
            <v>MMUR</v>
          </cell>
          <cell r="AB8391" t="str">
            <v>Kidney</v>
          </cell>
        </row>
        <row r="8392">
          <cell r="A8392" t="str">
            <v>in storage</v>
          </cell>
          <cell r="K8392" t="str">
            <v>VVV</v>
          </cell>
          <cell r="AB8392" t="str">
            <v>GI Contents- small intestine</v>
          </cell>
        </row>
        <row r="8393">
          <cell r="A8393" t="str">
            <v>in storage</v>
          </cell>
          <cell r="K8393" t="str">
            <v>VVV</v>
          </cell>
          <cell r="AB8393" t="str">
            <v>GI Contents- large intestine</v>
          </cell>
        </row>
        <row r="8394">
          <cell r="A8394" t="str">
            <v>in storage</v>
          </cell>
          <cell r="K8394" t="str">
            <v>MMUR</v>
          </cell>
          <cell r="AB8394" t="str">
            <v>Adrenal gland/ kidney</v>
          </cell>
        </row>
        <row r="8395">
          <cell r="A8395" t="str">
            <v>in storage</v>
          </cell>
          <cell r="K8395" t="str">
            <v>MMUR</v>
          </cell>
          <cell r="AB8395" t="str">
            <v>Spleen</v>
          </cell>
        </row>
        <row r="8396">
          <cell r="A8396" t="str">
            <v>in storage</v>
          </cell>
          <cell r="K8396" t="str">
            <v>MMUR</v>
          </cell>
          <cell r="AB8396" t="str">
            <v>R- teste(s)</v>
          </cell>
        </row>
        <row r="8397">
          <cell r="A8397" t="str">
            <v>in storage</v>
          </cell>
          <cell r="K8397" t="str">
            <v>MMUR</v>
          </cell>
          <cell r="AB8397" t="str">
            <v>Liver</v>
          </cell>
        </row>
        <row r="8398">
          <cell r="A8398" t="str">
            <v>in storage</v>
          </cell>
          <cell r="K8398" t="str">
            <v>MMUR</v>
          </cell>
          <cell r="AB8398" t="str">
            <v>Liver</v>
          </cell>
        </row>
        <row r="8399">
          <cell r="A8399" t="str">
            <v>in storage</v>
          </cell>
          <cell r="K8399" t="str">
            <v>MMUR</v>
          </cell>
          <cell r="AB8399" t="str">
            <v>Liver</v>
          </cell>
        </row>
        <row r="8400">
          <cell r="A8400" t="str">
            <v>in storage</v>
          </cell>
          <cell r="K8400" t="str">
            <v>MMUR</v>
          </cell>
          <cell r="AB8400" t="str">
            <v>Liver</v>
          </cell>
        </row>
        <row r="8401">
          <cell r="A8401" t="str">
            <v>in storage</v>
          </cell>
          <cell r="K8401" t="str">
            <v>VRUB</v>
          </cell>
          <cell r="AB8401" t="str">
            <v>Liver</v>
          </cell>
        </row>
        <row r="8402">
          <cell r="A8402" t="str">
            <v>in storage</v>
          </cell>
          <cell r="K8402" t="str">
            <v>DMAD</v>
          </cell>
          <cell r="AB8402" t="str">
            <v>Liver</v>
          </cell>
        </row>
        <row r="8403">
          <cell r="A8403" t="str">
            <v>in storage</v>
          </cell>
          <cell r="K8403" t="str">
            <v>MZAZ</v>
          </cell>
          <cell r="AB8403" t="str">
            <v>Liver</v>
          </cell>
        </row>
        <row r="8404">
          <cell r="A8404" t="str">
            <v>in storage</v>
          </cell>
          <cell r="K8404" t="str">
            <v>MMUR</v>
          </cell>
          <cell r="AB8404" t="str">
            <v>Gallbladder</v>
          </cell>
        </row>
        <row r="8405">
          <cell r="A8405" t="str">
            <v>in storage</v>
          </cell>
          <cell r="K8405" t="str">
            <v>MMUR</v>
          </cell>
          <cell r="AB8405" t="str">
            <v>Pancreas</v>
          </cell>
        </row>
        <row r="8406">
          <cell r="A8406" t="str">
            <v>in storage</v>
          </cell>
          <cell r="K8406" t="str">
            <v>MMUR</v>
          </cell>
          <cell r="AB8406" t="str">
            <v>Heart</v>
          </cell>
        </row>
        <row r="8407">
          <cell r="A8407" t="str">
            <v>in storage</v>
          </cell>
          <cell r="K8407" t="str">
            <v>MMUR</v>
          </cell>
          <cell r="AB8407" t="str">
            <v>Thyroid</v>
          </cell>
        </row>
        <row r="8408">
          <cell r="A8408" t="str">
            <v>in storage</v>
          </cell>
          <cell r="K8408" t="str">
            <v>MMUR</v>
          </cell>
          <cell r="AB8408" t="str">
            <v>Skin</v>
          </cell>
        </row>
        <row r="8409">
          <cell r="A8409" t="str">
            <v>in storage</v>
          </cell>
          <cell r="K8409" t="str">
            <v>MMUR</v>
          </cell>
          <cell r="AB8409" t="str">
            <v>Muscle</v>
          </cell>
        </row>
        <row r="8410">
          <cell r="A8410" t="str">
            <v>in storage</v>
          </cell>
          <cell r="K8410" t="str">
            <v>MMUR</v>
          </cell>
          <cell r="AB8410" t="str">
            <v>Lymph node- axillary</v>
          </cell>
        </row>
        <row r="8411">
          <cell r="A8411" t="str">
            <v>in storage</v>
          </cell>
          <cell r="K8411" t="str">
            <v>MMUR</v>
          </cell>
          <cell r="AB8411" t="str">
            <v>Skin</v>
          </cell>
        </row>
        <row r="8412">
          <cell r="A8412" t="str">
            <v>in storage</v>
          </cell>
          <cell r="K8412" t="str">
            <v>CMED</v>
          </cell>
          <cell r="AB8412" t="str">
            <v>GI- stomach</v>
          </cell>
        </row>
        <row r="8413">
          <cell r="A8413" t="str">
            <v>unk</v>
          </cell>
          <cell r="K8413" t="str">
            <v>PCOQ</v>
          </cell>
          <cell r="AB8413" t="str">
            <v>R- placenta</v>
          </cell>
        </row>
        <row r="8414">
          <cell r="A8414" t="str">
            <v>in storage</v>
          </cell>
          <cell r="K8414" t="str">
            <v>CMED</v>
          </cell>
          <cell r="AB8414" t="str">
            <v>GI- stomach</v>
          </cell>
        </row>
        <row r="8415">
          <cell r="A8415" t="str">
            <v>in storage</v>
          </cell>
          <cell r="K8415" t="str">
            <v>CMED</v>
          </cell>
          <cell r="AB8415" t="str">
            <v>GI- stomach</v>
          </cell>
        </row>
        <row r="8416">
          <cell r="A8416" t="str">
            <v>in storage</v>
          </cell>
          <cell r="K8416" t="str">
            <v>CMED</v>
          </cell>
          <cell r="AB8416" t="str">
            <v>GI- large intestine/ small intestine</v>
          </cell>
        </row>
        <row r="8417">
          <cell r="A8417" t="str">
            <v>in storage</v>
          </cell>
          <cell r="K8417" t="str">
            <v>CMED</v>
          </cell>
          <cell r="AB8417" t="str">
            <v>GI- esophagus</v>
          </cell>
        </row>
        <row r="8418">
          <cell r="A8418" t="str">
            <v>in storage</v>
          </cell>
          <cell r="K8418" t="str">
            <v>CMED</v>
          </cell>
          <cell r="AB8418" t="str">
            <v>Tooth</v>
          </cell>
        </row>
        <row r="8419">
          <cell r="A8419" t="str">
            <v>in storage</v>
          </cell>
          <cell r="K8419" t="str">
            <v>CMED</v>
          </cell>
          <cell r="AB8419" t="str">
            <v>Adrenal gland</v>
          </cell>
        </row>
        <row r="8420">
          <cell r="A8420" t="str">
            <v>in storage</v>
          </cell>
          <cell r="K8420" t="str">
            <v>CMED</v>
          </cell>
          <cell r="AB8420" t="str">
            <v>Kidney</v>
          </cell>
        </row>
        <row r="8421">
          <cell r="A8421" t="str">
            <v>in storage</v>
          </cell>
          <cell r="K8421" t="str">
            <v>CMED</v>
          </cell>
          <cell r="AB8421" t="str">
            <v>Kidney</v>
          </cell>
        </row>
        <row r="8422">
          <cell r="A8422" t="str">
            <v>in storage</v>
          </cell>
          <cell r="K8422" t="str">
            <v>CMED</v>
          </cell>
          <cell r="AB8422" t="str">
            <v>Kidney</v>
          </cell>
        </row>
        <row r="8423">
          <cell r="A8423" t="str">
            <v>in storage</v>
          </cell>
          <cell r="K8423" t="str">
            <v>CMED</v>
          </cell>
          <cell r="AB8423" t="str">
            <v>Spleen</v>
          </cell>
        </row>
        <row r="8424">
          <cell r="A8424" t="str">
            <v>in storage</v>
          </cell>
          <cell r="K8424" t="str">
            <v>GMOH</v>
          </cell>
          <cell r="AB8424" t="str">
            <v>Spleen</v>
          </cell>
        </row>
        <row r="8425">
          <cell r="A8425" t="str">
            <v>in storage</v>
          </cell>
          <cell r="K8425" t="str">
            <v>MZAZ</v>
          </cell>
          <cell r="AB8425" t="str">
            <v>Liver</v>
          </cell>
        </row>
        <row r="8426">
          <cell r="A8426" t="str">
            <v>in storage</v>
          </cell>
          <cell r="K8426" t="str">
            <v>MZAZ</v>
          </cell>
          <cell r="AB8426" t="str">
            <v>Spleen</v>
          </cell>
        </row>
        <row r="8427">
          <cell r="A8427" t="str">
            <v>in storage</v>
          </cell>
          <cell r="K8427" t="str">
            <v>MZAZ</v>
          </cell>
          <cell r="AB8427" t="str">
            <v>Liver</v>
          </cell>
        </row>
        <row r="8428">
          <cell r="A8428" t="str">
            <v>in storage</v>
          </cell>
          <cell r="K8428" t="str">
            <v>LTAR</v>
          </cell>
          <cell r="AB8428" t="str">
            <v>Spleen</v>
          </cell>
        </row>
        <row r="8429">
          <cell r="A8429" t="str">
            <v>in storage</v>
          </cell>
          <cell r="K8429" t="str">
            <v>CMED</v>
          </cell>
          <cell r="AB8429" t="str">
            <v>U- bladder</v>
          </cell>
        </row>
        <row r="8430">
          <cell r="A8430" t="str">
            <v>in storage</v>
          </cell>
          <cell r="K8430" t="str">
            <v>CMED</v>
          </cell>
          <cell r="AB8430" t="str">
            <v>R- ovary/ uterus</v>
          </cell>
        </row>
        <row r="8431">
          <cell r="A8431" t="str">
            <v>in storage</v>
          </cell>
          <cell r="K8431" t="str">
            <v>VVV</v>
          </cell>
          <cell r="AB8431" t="str">
            <v>GI Contents- stomach</v>
          </cell>
        </row>
        <row r="8432">
          <cell r="A8432" t="str">
            <v>in storage</v>
          </cell>
          <cell r="K8432" t="str">
            <v>CMED</v>
          </cell>
          <cell r="AB8432" t="str">
            <v>Liver</v>
          </cell>
        </row>
        <row r="8433">
          <cell r="A8433" t="str">
            <v>in storage</v>
          </cell>
          <cell r="K8433" t="str">
            <v>CMED</v>
          </cell>
          <cell r="AB8433" t="str">
            <v>Liver</v>
          </cell>
        </row>
        <row r="8434">
          <cell r="A8434" t="str">
            <v>in storage</v>
          </cell>
          <cell r="K8434" t="str">
            <v>CMED</v>
          </cell>
          <cell r="AB8434" t="str">
            <v>Liver</v>
          </cell>
        </row>
        <row r="8435">
          <cell r="A8435" t="str">
            <v>in storage</v>
          </cell>
          <cell r="K8435" t="str">
            <v>CMED</v>
          </cell>
          <cell r="AB8435" t="str">
            <v>Liver</v>
          </cell>
        </row>
        <row r="8436">
          <cell r="A8436" t="str">
            <v>in storage</v>
          </cell>
          <cell r="K8436" t="str">
            <v>CMED</v>
          </cell>
          <cell r="AB8436" t="str">
            <v>Mass- gallbladder</v>
          </cell>
        </row>
        <row r="8437">
          <cell r="A8437" t="str">
            <v>in storage</v>
          </cell>
          <cell r="K8437" t="str">
            <v>CMED</v>
          </cell>
          <cell r="AB8437" t="str">
            <v>Pancreas</v>
          </cell>
        </row>
        <row r="8438">
          <cell r="A8438" t="str">
            <v>in storage</v>
          </cell>
          <cell r="K8438" t="str">
            <v>CMED</v>
          </cell>
          <cell r="AB8438" t="str">
            <v>Pancreas</v>
          </cell>
        </row>
        <row r="8439">
          <cell r="A8439" t="str">
            <v>in storage</v>
          </cell>
          <cell r="K8439" t="str">
            <v>GMOH</v>
          </cell>
          <cell r="AB8439" t="str">
            <v>Spleen</v>
          </cell>
        </row>
        <row r="8440">
          <cell r="A8440" t="str">
            <v>in storage</v>
          </cell>
          <cell r="K8440" t="str">
            <v>CMED</v>
          </cell>
          <cell r="AB8440" t="str">
            <v>Lung</v>
          </cell>
        </row>
        <row r="8441">
          <cell r="A8441" t="str">
            <v>in storage</v>
          </cell>
          <cell r="K8441" t="str">
            <v>CMED</v>
          </cell>
          <cell r="AB8441" t="str">
            <v>Lung</v>
          </cell>
        </row>
        <row r="8442">
          <cell r="A8442" t="str">
            <v>in storage</v>
          </cell>
          <cell r="K8442" t="str">
            <v>NCOU</v>
          </cell>
          <cell r="AB8442" t="str">
            <v>Spleen</v>
          </cell>
        </row>
        <row r="8443">
          <cell r="A8443" t="str">
            <v>in storage</v>
          </cell>
          <cell r="K8443" t="str">
            <v>NCOU</v>
          </cell>
          <cell r="AB8443" t="str">
            <v>Liver</v>
          </cell>
        </row>
        <row r="8444">
          <cell r="A8444" t="str">
            <v>in storage</v>
          </cell>
          <cell r="K8444" t="str">
            <v>NCOU</v>
          </cell>
          <cell r="AB8444" t="str">
            <v>Liver</v>
          </cell>
        </row>
        <row r="8445">
          <cell r="A8445" t="str">
            <v>in storage</v>
          </cell>
          <cell r="K8445" t="str">
            <v>NCOU</v>
          </cell>
          <cell r="AB8445" t="str">
            <v>Liver</v>
          </cell>
        </row>
        <row r="8446">
          <cell r="A8446" t="str">
            <v>in storage</v>
          </cell>
          <cell r="K8446" t="str">
            <v>CMED</v>
          </cell>
          <cell r="AB8446" t="str">
            <v>Heart</v>
          </cell>
        </row>
        <row r="8447">
          <cell r="A8447" t="str">
            <v>in storage</v>
          </cell>
          <cell r="K8447" t="str">
            <v>CMED</v>
          </cell>
          <cell r="AB8447" t="str">
            <v>Thyroid</v>
          </cell>
        </row>
        <row r="8448">
          <cell r="A8448" t="str">
            <v>in storage</v>
          </cell>
          <cell r="K8448" t="str">
            <v>CMED</v>
          </cell>
          <cell r="AB8448" t="str">
            <v>Trachea</v>
          </cell>
        </row>
        <row r="8449">
          <cell r="A8449" t="str">
            <v>in storage</v>
          </cell>
          <cell r="K8449" t="str">
            <v>CMED</v>
          </cell>
          <cell r="AB8449" t="str">
            <v>Skin</v>
          </cell>
        </row>
        <row r="8450">
          <cell r="A8450" t="str">
            <v>in storage</v>
          </cell>
          <cell r="K8450" t="str">
            <v>CMED</v>
          </cell>
          <cell r="AB8450" t="str">
            <v>Skin</v>
          </cell>
        </row>
        <row r="8451">
          <cell r="A8451" t="str">
            <v>in storage</v>
          </cell>
          <cell r="K8451" t="str">
            <v>CMED</v>
          </cell>
          <cell r="AB8451" t="str">
            <v>Salivary gland</v>
          </cell>
        </row>
        <row r="8452">
          <cell r="A8452" t="str">
            <v>in storage</v>
          </cell>
          <cell r="K8452" t="str">
            <v>EFLA</v>
          </cell>
          <cell r="AB8452" t="str">
            <v>GI- stomach</v>
          </cell>
        </row>
        <row r="8453">
          <cell r="A8453" t="str">
            <v>in storage</v>
          </cell>
          <cell r="K8453" t="str">
            <v>EFLA</v>
          </cell>
          <cell r="AB8453" t="str">
            <v>GI- stomach</v>
          </cell>
        </row>
        <row r="8454">
          <cell r="A8454" t="str">
            <v>in storage</v>
          </cell>
          <cell r="K8454" t="str">
            <v>EFLA</v>
          </cell>
          <cell r="AB8454" t="str">
            <v>GI- stomach</v>
          </cell>
        </row>
        <row r="8455">
          <cell r="A8455" t="str">
            <v>in storage</v>
          </cell>
          <cell r="K8455" t="str">
            <v>EFLA</v>
          </cell>
          <cell r="AB8455" t="str">
            <v>GI- stomach</v>
          </cell>
        </row>
        <row r="8456">
          <cell r="A8456" t="str">
            <v>in storage</v>
          </cell>
          <cell r="K8456" t="str">
            <v>EFLA</v>
          </cell>
          <cell r="AB8456" t="str">
            <v>GI- small intestine</v>
          </cell>
        </row>
        <row r="8457">
          <cell r="A8457" t="str">
            <v>in storage</v>
          </cell>
          <cell r="K8457" t="str">
            <v>EFLA</v>
          </cell>
          <cell r="AB8457" t="str">
            <v>GI- large intestine</v>
          </cell>
        </row>
        <row r="8458">
          <cell r="A8458" t="str">
            <v>in storage</v>
          </cell>
          <cell r="K8458" t="str">
            <v>EFLA</v>
          </cell>
          <cell r="AB8458" t="str">
            <v>Muscle</v>
          </cell>
        </row>
        <row r="8459">
          <cell r="A8459" t="str">
            <v>in storage</v>
          </cell>
          <cell r="K8459" t="str">
            <v>EFLA</v>
          </cell>
          <cell r="AB8459" t="str">
            <v>Mass- liver</v>
          </cell>
        </row>
        <row r="8460">
          <cell r="A8460" t="str">
            <v>in storage</v>
          </cell>
          <cell r="K8460" t="str">
            <v>EFLA</v>
          </cell>
          <cell r="AB8460" t="str">
            <v>Mass- liver</v>
          </cell>
        </row>
        <row r="8461">
          <cell r="A8461" t="str">
            <v>in storage</v>
          </cell>
          <cell r="K8461" t="str">
            <v>EFLA</v>
          </cell>
          <cell r="AB8461" t="str">
            <v>Adrenal gland</v>
          </cell>
        </row>
        <row r="8462">
          <cell r="A8462" t="str">
            <v>in storage</v>
          </cell>
          <cell r="K8462" t="str">
            <v>EFLA</v>
          </cell>
          <cell r="AB8462" t="str">
            <v>Kidney</v>
          </cell>
        </row>
        <row r="8463">
          <cell r="A8463" t="str">
            <v>in storage</v>
          </cell>
          <cell r="K8463" t="str">
            <v>EFLA</v>
          </cell>
          <cell r="AB8463" t="str">
            <v>Kidney</v>
          </cell>
        </row>
        <row r="8464">
          <cell r="A8464" t="str">
            <v>in storage</v>
          </cell>
          <cell r="K8464" t="str">
            <v>EFLA</v>
          </cell>
          <cell r="AB8464" t="str">
            <v>Kidney</v>
          </cell>
        </row>
        <row r="8465">
          <cell r="A8465" t="str">
            <v>in storage</v>
          </cell>
          <cell r="K8465" t="str">
            <v>EFLA</v>
          </cell>
          <cell r="AB8465" t="str">
            <v>Kidney</v>
          </cell>
        </row>
        <row r="8466">
          <cell r="A8466" t="str">
            <v>in storage</v>
          </cell>
          <cell r="K8466" t="str">
            <v>EFLA</v>
          </cell>
          <cell r="AB8466" t="str">
            <v>Kidney</v>
          </cell>
        </row>
        <row r="8467">
          <cell r="A8467" t="str">
            <v>in storage</v>
          </cell>
          <cell r="K8467" t="str">
            <v>EFLA</v>
          </cell>
          <cell r="AB8467" t="str">
            <v>Spleen</v>
          </cell>
        </row>
        <row r="8468">
          <cell r="A8468" t="str">
            <v>in storage</v>
          </cell>
          <cell r="K8468" t="str">
            <v>EFLA</v>
          </cell>
          <cell r="AB8468" t="str">
            <v>Spleen</v>
          </cell>
        </row>
        <row r="8469">
          <cell r="A8469" t="str">
            <v>in storage</v>
          </cell>
          <cell r="K8469" t="str">
            <v>EFLA</v>
          </cell>
          <cell r="AB8469" t="str">
            <v>R- teste(s)</v>
          </cell>
        </row>
        <row r="8470">
          <cell r="A8470" t="str">
            <v>in storage</v>
          </cell>
          <cell r="K8470" t="str">
            <v>EFLA</v>
          </cell>
          <cell r="AB8470" t="str">
            <v>Liver</v>
          </cell>
        </row>
        <row r="8471">
          <cell r="A8471" t="str">
            <v>in storage</v>
          </cell>
          <cell r="K8471" t="str">
            <v>EFLA</v>
          </cell>
          <cell r="AB8471" t="str">
            <v>Liver</v>
          </cell>
        </row>
        <row r="8472">
          <cell r="A8472" t="str">
            <v>in storage</v>
          </cell>
          <cell r="K8472" t="str">
            <v>EFLA</v>
          </cell>
          <cell r="AB8472" t="str">
            <v>Liver</v>
          </cell>
        </row>
        <row r="8473">
          <cell r="A8473" t="str">
            <v>in storage</v>
          </cell>
          <cell r="K8473" t="str">
            <v>EFLA</v>
          </cell>
          <cell r="AB8473" t="str">
            <v>Liver</v>
          </cell>
        </row>
        <row r="8474">
          <cell r="A8474" t="str">
            <v>in storage</v>
          </cell>
          <cell r="K8474" t="str">
            <v>EFLA</v>
          </cell>
          <cell r="AB8474" t="str">
            <v>Pancreas</v>
          </cell>
        </row>
        <row r="8475">
          <cell r="A8475" t="str">
            <v>in storage</v>
          </cell>
          <cell r="K8475" t="str">
            <v>EFLA</v>
          </cell>
          <cell r="AB8475" t="str">
            <v>Fluid- abdominal effusion</v>
          </cell>
        </row>
        <row r="8476">
          <cell r="A8476" t="str">
            <v>in storage</v>
          </cell>
          <cell r="K8476" t="str">
            <v>EFLA</v>
          </cell>
          <cell r="AB8476" t="str">
            <v>Fluid- abdominal effusion</v>
          </cell>
        </row>
        <row r="8477">
          <cell r="A8477" t="str">
            <v>in storage</v>
          </cell>
          <cell r="K8477" t="str">
            <v>EFLA</v>
          </cell>
          <cell r="AB8477" t="str">
            <v>Lung</v>
          </cell>
        </row>
        <row r="8478">
          <cell r="A8478" t="str">
            <v>in storage</v>
          </cell>
          <cell r="K8478" t="str">
            <v>EFLA</v>
          </cell>
          <cell r="AB8478" t="str">
            <v>Lung</v>
          </cell>
        </row>
        <row r="8479">
          <cell r="A8479" t="str">
            <v>in storage</v>
          </cell>
          <cell r="K8479" t="str">
            <v>EFLA</v>
          </cell>
          <cell r="AB8479" t="str">
            <v>Lung</v>
          </cell>
        </row>
        <row r="8480">
          <cell r="A8480" t="str">
            <v>in storage</v>
          </cell>
          <cell r="K8480" t="str">
            <v>EFLA</v>
          </cell>
          <cell r="AB8480" t="str">
            <v>Lung</v>
          </cell>
        </row>
        <row r="8481">
          <cell r="A8481" t="str">
            <v>in storage</v>
          </cell>
          <cell r="K8481" t="str">
            <v>VVV</v>
          </cell>
          <cell r="AB8481" t="str">
            <v>GI Tract</v>
          </cell>
        </row>
        <row r="8482">
          <cell r="A8482" t="str">
            <v>in storage</v>
          </cell>
          <cell r="K8482" t="str">
            <v>EFLA</v>
          </cell>
          <cell r="AB8482" t="str">
            <v>Lung</v>
          </cell>
        </row>
        <row r="8483">
          <cell r="A8483" t="str">
            <v>in storage</v>
          </cell>
          <cell r="K8483" t="str">
            <v>EFLA</v>
          </cell>
          <cell r="AB8483" t="str">
            <v>Heart</v>
          </cell>
        </row>
        <row r="8484">
          <cell r="A8484" t="str">
            <v>in storage</v>
          </cell>
          <cell r="K8484" t="str">
            <v>EFLA</v>
          </cell>
          <cell r="AB8484" t="str">
            <v>Heart</v>
          </cell>
        </row>
        <row r="8485">
          <cell r="A8485" t="str">
            <v>in storage</v>
          </cell>
          <cell r="K8485" t="str">
            <v>EFLA</v>
          </cell>
          <cell r="AB8485" t="str">
            <v>Thyroid</v>
          </cell>
        </row>
        <row r="8486">
          <cell r="A8486" t="str">
            <v>in storage</v>
          </cell>
          <cell r="K8486" t="str">
            <v>EFLA</v>
          </cell>
          <cell r="AB8486" t="str">
            <v>Skin</v>
          </cell>
        </row>
        <row r="8487">
          <cell r="A8487" t="str">
            <v>in storage</v>
          </cell>
          <cell r="K8487" t="str">
            <v>EFLA</v>
          </cell>
          <cell r="AB8487" t="str">
            <v>Skin</v>
          </cell>
        </row>
        <row r="8488">
          <cell r="A8488" t="str">
            <v>in storage</v>
          </cell>
          <cell r="K8488" t="str">
            <v>EFLA</v>
          </cell>
          <cell r="AB8488" t="str">
            <v>Skin</v>
          </cell>
        </row>
        <row r="8489">
          <cell r="A8489" t="str">
            <v>in storage</v>
          </cell>
          <cell r="K8489" t="str">
            <v>LCAT</v>
          </cell>
          <cell r="AB8489" t="str">
            <v>R- sperm plug</v>
          </cell>
        </row>
        <row r="8490">
          <cell r="A8490" t="str">
            <v>in storage</v>
          </cell>
          <cell r="K8490" t="str">
            <v>EFLA</v>
          </cell>
          <cell r="AB8490" t="str">
            <v>Skin</v>
          </cell>
        </row>
        <row r="8491">
          <cell r="A8491" t="str">
            <v>in storage</v>
          </cell>
          <cell r="K8491" t="str">
            <v>VVV</v>
          </cell>
          <cell r="AB8491" t="str">
            <v>Adrenal gland</v>
          </cell>
        </row>
        <row r="8492">
          <cell r="A8492" t="str">
            <v>in storage</v>
          </cell>
          <cell r="K8492" t="str">
            <v>VVV</v>
          </cell>
          <cell r="AB8492" t="str">
            <v>Kidney</v>
          </cell>
        </row>
        <row r="8493">
          <cell r="A8493" t="str">
            <v>in storage</v>
          </cell>
          <cell r="K8493" t="str">
            <v>VVV</v>
          </cell>
          <cell r="AB8493" t="str">
            <v>Liver</v>
          </cell>
        </row>
        <row r="8494">
          <cell r="A8494" t="str">
            <v>in storage</v>
          </cell>
          <cell r="K8494" t="str">
            <v>VVV</v>
          </cell>
          <cell r="AB8494" t="str">
            <v>Kidney</v>
          </cell>
        </row>
        <row r="8495">
          <cell r="A8495" t="str">
            <v>in storage</v>
          </cell>
          <cell r="K8495" t="str">
            <v>PCOQ</v>
          </cell>
          <cell r="AB8495" t="str">
            <v>bile</v>
          </cell>
        </row>
        <row r="8496">
          <cell r="A8496" t="str">
            <v>in storage</v>
          </cell>
          <cell r="K8496" t="str">
            <v>PCOQ</v>
          </cell>
          <cell r="AB8496" t="str">
            <v>bile</v>
          </cell>
        </row>
        <row r="8497">
          <cell r="A8497" t="str">
            <v>in storage</v>
          </cell>
          <cell r="K8497" t="str">
            <v>PCOQ</v>
          </cell>
          <cell r="AB8497" t="str">
            <v>bile</v>
          </cell>
        </row>
        <row r="8498">
          <cell r="A8498" t="str">
            <v>in storage</v>
          </cell>
          <cell r="K8498" t="str">
            <v>PCOQ</v>
          </cell>
          <cell r="AB8498" t="str">
            <v>bile</v>
          </cell>
        </row>
        <row r="8499">
          <cell r="A8499" t="str">
            <v>in storage</v>
          </cell>
          <cell r="K8499" t="str">
            <v>VVV</v>
          </cell>
          <cell r="AB8499" t="str">
            <v>Kidney</v>
          </cell>
        </row>
        <row r="8500">
          <cell r="A8500" t="str">
            <v>in storage</v>
          </cell>
          <cell r="K8500" t="str">
            <v>VVV</v>
          </cell>
          <cell r="AB8500" t="str">
            <v>Kidney</v>
          </cell>
        </row>
        <row r="8501">
          <cell r="A8501" t="str">
            <v>in storage</v>
          </cell>
          <cell r="K8501" t="str">
            <v>VVV</v>
          </cell>
          <cell r="AB8501" t="str">
            <v>Spleen</v>
          </cell>
        </row>
        <row r="8502">
          <cell r="A8502" t="str">
            <v>in storage</v>
          </cell>
          <cell r="K8502" t="str">
            <v>VVV</v>
          </cell>
          <cell r="AB8502" t="str">
            <v>Spleen</v>
          </cell>
        </row>
        <row r="8503">
          <cell r="A8503" t="str">
            <v>in storage</v>
          </cell>
          <cell r="K8503" t="str">
            <v>VVV</v>
          </cell>
          <cell r="AB8503" t="str">
            <v>Spleen</v>
          </cell>
        </row>
        <row r="8504">
          <cell r="A8504" t="str">
            <v>in storage</v>
          </cell>
          <cell r="K8504" t="str">
            <v>VVV</v>
          </cell>
          <cell r="AB8504" t="str">
            <v>Liver</v>
          </cell>
        </row>
        <row r="8505">
          <cell r="A8505" t="str">
            <v>in storage</v>
          </cell>
          <cell r="K8505" t="str">
            <v>VVV</v>
          </cell>
          <cell r="AB8505" t="str">
            <v>Liver</v>
          </cell>
        </row>
        <row r="8506">
          <cell r="A8506" t="str">
            <v>in storage</v>
          </cell>
          <cell r="K8506" t="str">
            <v>VVV</v>
          </cell>
          <cell r="AB8506" t="str">
            <v>Lung</v>
          </cell>
        </row>
        <row r="8507">
          <cell r="A8507" t="str">
            <v>in storage</v>
          </cell>
          <cell r="K8507" t="str">
            <v>VVV</v>
          </cell>
          <cell r="AB8507" t="str">
            <v>Lung</v>
          </cell>
        </row>
        <row r="8508">
          <cell r="A8508" t="str">
            <v>in storage</v>
          </cell>
          <cell r="K8508" t="str">
            <v>VVV</v>
          </cell>
          <cell r="AB8508" t="str">
            <v>Lung</v>
          </cell>
        </row>
        <row r="8509">
          <cell r="A8509" t="str">
            <v>in storage</v>
          </cell>
          <cell r="K8509" t="str">
            <v>VVV</v>
          </cell>
          <cell r="AB8509" t="str">
            <v>Heart</v>
          </cell>
        </row>
        <row r="8510">
          <cell r="A8510" t="str">
            <v>in storage</v>
          </cell>
          <cell r="K8510" t="str">
            <v>VVV</v>
          </cell>
          <cell r="AB8510" t="str">
            <v>Heart</v>
          </cell>
        </row>
        <row r="8511">
          <cell r="A8511" t="str">
            <v>in storage</v>
          </cell>
          <cell r="K8511" t="str">
            <v>VVV</v>
          </cell>
          <cell r="AB8511" t="str">
            <v>Heart</v>
          </cell>
        </row>
        <row r="8512">
          <cell r="A8512" t="str">
            <v>in storage</v>
          </cell>
          <cell r="K8512" t="str">
            <v>VVV</v>
          </cell>
          <cell r="AB8512" t="str">
            <v>Heart</v>
          </cell>
        </row>
        <row r="8513">
          <cell r="A8513" t="str">
            <v>in storage</v>
          </cell>
          <cell r="K8513" t="str">
            <v>VVV</v>
          </cell>
          <cell r="AB8513" t="str">
            <v>Skin</v>
          </cell>
        </row>
        <row r="8514">
          <cell r="A8514" t="str">
            <v>in storage</v>
          </cell>
          <cell r="K8514" t="str">
            <v>VVV</v>
          </cell>
          <cell r="AB8514" t="str">
            <v>Skin</v>
          </cell>
        </row>
        <row r="8515">
          <cell r="A8515" t="str">
            <v>in storage</v>
          </cell>
          <cell r="K8515" t="str">
            <v>VVV</v>
          </cell>
          <cell r="AB8515" t="str">
            <v>GI Contents- cecum</v>
          </cell>
        </row>
        <row r="8516">
          <cell r="A8516" t="str">
            <v>in storage</v>
          </cell>
          <cell r="K8516" t="str">
            <v>VVV</v>
          </cell>
          <cell r="AB8516" t="str">
            <v>GI- large intestine</v>
          </cell>
        </row>
        <row r="8517">
          <cell r="A8517" t="str">
            <v>in storage</v>
          </cell>
          <cell r="K8517" t="str">
            <v>VVV</v>
          </cell>
          <cell r="AB8517" t="str">
            <v>GI- small intestine</v>
          </cell>
        </row>
        <row r="8518">
          <cell r="A8518" t="str">
            <v>in storage</v>
          </cell>
          <cell r="K8518" t="str">
            <v>VVV</v>
          </cell>
          <cell r="AB8518" t="str">
            <v>GI- stomach</v>
          </cell>
        </row>
        <row r="8519">
          <cell r="A8519" t="str">
            <v>in storage</v>
          </cell>
          <cell r="K8519" t="str">
            <v>VVV</v>
          </cell>
          <cell r="AB8519" t="str">
            <v>Muscle</v>
          </cell>
        </row>
        <row r="8520">
          <cell r="A8520" t="str">
            <v>in storage</v>
          </cell>
          <cell r="K8520" t="str">
            <v>VVV</v>
          </cell>
          <cell r="AB8520" t="str">
            <v>Muscle</v>
          </cell>
        </row>
        <row r="8521">
          <cell r="A8521" t="str">
            <v>in storage</v>
          </cell>
          <cell r="K8521" t="str">
            <v>VVV</v>
          </cell>
          <cell r="AB8521" t="str">
            <v>Muscle</v>
          </cell>
        </row>
        <row r="8522">
          <cell r="A8522" t="str">
            <v>in storage</v>
          </cell>
          <cell r="K8522" t="str">
            <v>ERUF</v>
          </cell>
          <cell r="AB8522" t="str">
            <v>GI tract</v>
          </cell>
        </row>
        <row r="8523">
          <cell r="A8523" t="str">
            <v>in storage</v>
          </cell>
          <cell r="K8523" t="str">
            <v>VVV</v>
          </cell>
          <cell r="AB8523" t="str">
            <v>GI Contents- large intestine</v>
          </cell>
        </row>
        <row r="8524">
          <cell r="A8524" t="str">
            <v>in storage</v>
          </cell>
          <cell r="K8524" t="str">
            <v>ERUF</v>
          </cell>
          <cell r="AB8524" t="str">
            <v>GI- stomach</v>
          </cell>
        </row>
        <row r="8525">
          <cell r="A8525" t="str">
            <v>in storage</v>
          </cell>
          <cell r="K8525" t="str">
            <v>ERUF</v>
          </cell>
          <cell r="AB8525" t="str">
            <v>Muscle</v>
          </cell>
        </row>
        <row r="8526">
          <cell r="A8526" t="str">
            <v>in storage</v>
          </cell>
          <cell r="K8526" t="str">
            <v>ERUF</v>
          </cell>
          <cell r="AB8526" t="str">
            <v>Muscle</v>
          </cell>
        </row>
        <row r="8527">
          <cell r="A8527" t="str">
            <v>in storage</v>
          </cell>
          <cell r="K8527" t="str">
            <v>ERUF</v>
          </cell>
          <cell r="AB8527" t="str">
            <v>Muscle</v>
          </cell>
        </row>
        <row r="8528">
          <cell r="A8528" t="str">
            <v>in storage</v>
          </cell>
          <cell r="K8528" t="str">
            <v>ERUF</v>
          </cell>
          <cell r="AB8528" t="str">
            <v>Muscle</v>
          </cell>
        </row>
        <row r="8529">
          <cell r="A8529" t="str">
            <v>in storage</v>
          </cell>
          <cell r="K8529" t="str">
            <v>ERUF</v>
          </cell>
          <cell r="AB8529" t="str">
            <v>Muscle</v>
          </cell>
        </row>
        <row r="8530">
          <cell r="A8530" t="str">
            <v>in storage</v>
          </cell>
          <cell r="K8530" t="str">
            <v>ERUF</v>
          </cell>
          <cell r="AB8530" t="str">
            <v>Spleen</v>
          </cell>
        </row>
        <row r="8531">
          <cell r="A8531" t="str">
            <v>in storage</v>
          </cell>
          <cell r="K8531" t="str">
            <v>ERUF</v>
          </cell>
          <cell r="AB8531" t="str">
            <v>Spleen</v>
          </cell>
        </row>
        <row r="8532">
          <cell r="A8532" t="str">
            <v>in storage</v>
          </cell>
          <cell r="K8532" t="str">
            <v>ERUF</v>
          </cell>
          <cell r="AB8532" t="str">
            <v>Spleen</v>
          </cell>
        </row>
        <row r="8533">
          <cell r="A8533" t="str">
            <v>in storage</v>
          </cell>
          <cell r="K8533" t="str">
            <v>ERUF</v>
          </cell>
          <cell r="AB8533" t="str">
            <v>Liver</v>
          </cell>
        </row>
        <row r="8534">
          <cell r="A8534" t="str">
            <v>in storage</v>
          </cell>
          <cell r="K8534" t="str">
            <v>ERUF</v>
          </cell>
          <cell r="AB8534" t="str">
            <v>Liver</v>
          </cell>
        </row>
        <row r="8535">
          <cell r="A8535" t="str">
            <v>in storage</v>
          </cell>
          <cell r="K8535" t="str">
            <v>ERUF</v>
          </cell>
          <cell r="AB8535" t="str">
            <v>Liver</v>
          </cell>
        </row>
        <row r="8536">
          <cell r="A8536" t="str">
            <v>in storage</v>
          </cell>
          <cell r="K8536" t="str">
            <v>ERUF</v>
          </cell>
          <cell r="AB8536" t="str">
            <v>Liver</v>
          </cell>
        </row>
        <row r="8537">
          <cell r="A8537" t="str">
            <v>in storage</v>
          </cell>
          <cell r="K8537" t="str">
            <v>ERUF</v>
          </cell>
          <cell r="AB8537" t="str">
            <v>Liver</v>
          </cell>
        </row>
        <row r="8538">
          <cell r="A8538" t="str">
            <v>in storage</v>
          </cell>
          <cell r="K8538" t="str">
            <v>ERUF</v>
          </cell>
          <cell r="AB8538" t="str">
            <v>Liver</v>
          </cell>
        </row>
        <row r="8539">
          <cell r="A8539" t="str">
            <v>in storage</v>
          </cell>
          <cell r="K8539" t="str">
            <v>VVV</v>
          </cell>
          <cell r="AB8539" t="str">
            <v>GI Tract</v>
          </cell>
        </row>
        <row r="8540">
          <cell r="A8540" t="str">
            <v>in storage</v>
          </cell>
          <cell r="K8540" t="str">
            <v>VVV</v>
          </cell>
          <cell r="AB8540" t="str">
            <v>GI Tract</v>
          </cell>
        </row>
        <row r="8541">
          <cell r="A8541" t="str">
            <v>in storage</v>
          </cell>
          <cell r="K8541" t="str">
            <v>VVV</v>
          </cell>
          <cell r="AB8541" t="str">
            <v>GI Tract</v>
          </cell>
        </row>
        <row r="8542">
          <cell r="A8542" t="str">
            <v>in storage</v>
          </cell>
          <cell r="K8542" t="str">
            <v>VVV</v>
          </cell>
          <cell r="AB8542" t="str">
            <v>GI Tract</v>
          </cell>
        </row>
        <row r="8543">
          <cell r="A8543" t="str">
            <v>in storage</v>
          </cell>
          <cell r="K8543" t="str">
            <v>VVV</v>
          </cell>
          <cell r="AB8543" t="str">
            <v>GI Tract</v>
          </cell>
        </row>
        <row r="8544">
          <cell r="A8544" t="str">
            <v>in storage</v>
          </cell>
          <cell r="K8544" t="str">
            <v>VVV</v>
          </cell>
          <cell r="AB8544" t="str">
            <v xml:space="preserve">GI- cecum </v>
          </cell>
        </row>
        <row r="8545">
          <cell r="A8545" t="str">
            <v>in storage</v>
          </cell>
          <cell r="K8545" t="str">
            <v>ERUF</v>
          </cell>
          <cell r="AB8545" t="str">
            <v>Liver</v>
          </cell>
        </row>
        <row r="8546">
          <cell r="A8546" t="str">
            <v>in storage</v>
          </cell>
          <cell r="K8546" t="str">
            <v>ERUF</v>
          </cell>
          <cell r="AB8546" t="str">
            <v>Liver</v>
          </cell>
        </row>
        <row r="8547">
          <cell r="A8547" t="str">
            <v>in storage</v>
          </cell>
          <cell r="K8547" t="str">
            <v>ERUF</v>
          </cell>
          <cell r="AB8547" t="str">
            <v>Liver</v>
          </cell>
        </row>
        <row r="8548">
          <cell r="A8548" t="str">
            <v>in storage</v>
          </cell>
          <cell r="K8548" t="str">
            <v>VVV</v>
          </cell>
          <cell r="AB8548" t="str">
            <v>GI- small intestine</v>
          </cell>
        </row>
        <row r="8549">
          <cell r="A8549" t="str">
            <v>in storage</v>
          </cell>
          <cell r="K8549" t="str">
            <v>ERUF</v>
          </cell>
          <cell r="AB8549" t="str">
            <v>Adrenal gland</v>
          </cell>
        </row>
        <row r="8550">
          <cell r="A8550" t="str">
            <v>in storage</v>
          </cell>
          <cell r="K8550" t="str">
            <v>PCOQ</v>
          </cell>
          <cell r="AB8550" t="str">
            <v>Foot</v>
          </cell>
        </row>
        <row r="8551">
          <cell r="A8551" t="str">
            <v>in storage</v>
          </cell>
          <cell r="K8551" t="str">
            <v>PCOQ</v>
          </cell>
          <cell r="AB8551" t="str">
            <v>R- amniotic fluid</v>
          </cell>
        </row>
        <row r="8552">
          <cell r="A8552" t="str">
            <v>in storage</v>
          </cell>
          <cell r="K8552" t="str">
            <v>ERUF</v>
          </cell>
          <cell r="AB8552" t="str">
            <v>Kidney</v>
          </cell>
        </row>
        <row r="8553">
          <cell r="A8553" t="str">
            <v>in storage</v>
          </cell>
          <cell r="K8553" t="str">
            <v>ERUF</v>
          </cell>
          <cell r="AB8553" t="str">
            <v>Kidney</v>
          </cell>
        </row>
        <row r="8554">
          <cell r="A8554" t="str">
            <v>in storage</v>
          </cell>
          <cell r="K8554" t="str">
            <v>ERUF</v>
          </cell>
          <cell r="AB8554" t="str">
            <v>Kidney</v>
          </cell>
        </row>
        <row r="8555">
          <cell r="A8555" t="str">
            <v>in storage</v>
          </cell>
          <cell r="K8555" t="str">
            <v>ERUF</v>
          </cell>
          <cell r="AB8555" t="str">
            <v>Kidney</v>
          </cell>
        </row>
        <row r="8556">
          <cell r="A8556" t="str">
            <v>in storage</v>
          </cell>
          <cell r="K8556" t="str">
            <v>ERUF</v>
          </cell>
          <cell r="AB8556" t="str">
            <v>Kidney</v>
          </cell>
        </row>
        <row r="8557">
          <cell r="A8557" t="str">
            <v>in storage</v>
          </cell>
          <cell r="K8557" t="str">
            <v>ERUF</v>
          </cell>
          <cell r="AB8557" t="str">
            <v>U- bladder</v>
          </cell>
        </row>
        <row r="8558">
          <cell r="A8558" t="str">
            <v>in storage</v>
          </cell>
          <cell r="K8558" t="str">
            <v>ERUF</v>
          </cell>
          <cell r="AB8558" t="str">
            <v>Pancreas</v>
          </cell>
        </row>
        <row r="8559">
          <cell r="A8559" t="str">
            <v>in storage</v>
          </cell>
          <cell r="K8559" t="str">
            <v>ERUF</v>
          </cell>
          <cell r="AB8559" t="str">
            <v>Pancreas</v>
          </cell>
        </row>
        <row r="8560">
          <cell r="A8560" t="str">
            <v>in storage</v>
          </cell>
          <cell r="K8560" t="str">
            <v>ERUF</v>
          </cell>
          <cell r="AB8560" t="str">
            <v>Pancreas</v>
          </cell>
        </row>
        <row r="8561">
          <cell r="A8561" t="str">
            <v>in storage</v>
          </cell>
          <cell r="K8561" t="str">
            <v>ERUF</v>
          </cell>
          <cell r="AB8561" t="str">
            <v>Pancreas</v>
          </cell>
        </row>
        <row r="8562">
          <cell r="A8562" t="str">
            <v>in storage</v>
          </cell>
          <cell r="K8562" t="str">
            <v>ERUF</v>
          </cell>
          <cell r="AB8562" t="str">
            <v>Lung</v>
          </cell>
        </row>
        <row r="8563">
          <cell r="A8563" t="str">
            <v>in storage</v>
          </cell>
          <cell r="K8563" t="str">
            <v>ERUF</v>
          </cell>
          <cell r="AB8563" t="str">
            <v>Lung</v>
          </cell>
        </row>
        <row r="8564">
          <cell r="A8564" t="str">
            <v>in storage</v>
          </cell>
          <cell r="K8564" t="str">
            <v>ERUF</v>
          </cell>
          <cell r="AB8564" t="str">
            <v>Lung</v>
          </cell>
        </row>
        <row r="8565">
          <cell r="A8565" t="str">
            <v>in storage</v>
          </cell>
          <cell r="K8565" t="str">
            <v>ERUF</v>
          </cell>
          <cell r="AB8565" t="str">
            <v>Lung</v>
          </cell>
        </row>
        <row r="8566">
          <cell r="A8566" t="str">
            <v>in storage</v>
          </cell>
          <cell r="K8566" t="str">
            <v>VVV</v>
          </cell>
          <cell r="AB8566" t="str">
            <v>GI- esophagus</v>
          </cell>
        </row>
        <row r="8567">
          <cell r="A8567" t="str">
            <v>in storage</v>
          </cell>
          <cell r="K8567" t="str">
            <v>ERUF</v>
          </cell>
          <cell r="AB8567" t="str">
            <v>Lung</v>
          </cell>
        </row>
        <row r="8568">
          <cell r="A8568" t="str">
            <v>in storage</v>
          </cell>
          <cell r="K8568" t="str">
            <v>ERUF</v>
          </cell>
          <cell r="AB8568" t="str">
            <v>Lung</v>
          </cell>
        </row>
        <row r="8569">
          <cell r="A8569" t="str">
            <v>in storage</v>
          </cell>
          <cell r="K8569" t="str">
            <v>ERUF</v>
          </cell>
          <cell r="AB8569" t="str">
            <v>Heart</v>
          </cell>
        </row>
        <row r="8570">
          <cell r="A8570" t="str">
            <v>in storage</v>
          </cell>
          <cell r="K8570" t="str">
            <v>ERUF</v>
          </cell>
          <cell r="AB8570" t="str">
            <v>Heart</v>
          </cell>
        </row>
        <row r="8571">
          <cell r="A8571" t="str">
            <v>in storage</v>
          </cell>
          <cell r="K8571" t="str">
            <v>ERUF</v>
          </cell>
          <cell r="AB8571" t="str">
            <v>Heart</v>
          </cell>
        </row>
        <row r="8572">
          <cell r="A8572" t="str">
            <v>in storage</v>
          </cell>
          <cell r="K8572" t="str">
            <v>ERUF</v>
          </cell>
          <cell r="AB8572" t="str">
            <v>Heart</v>
          </cell>
        </row>
        <row r="8573">
          <cell r="A8573" t="str">
            <v>in storage</v>
          </cell>
          <cell r="K8573" t="str">
            <v>ERUF</v>
          </cell>
          <cell r="AB8573" t="str">
            <v>Thyroid</v>
          </cell>
        </row>
        <row r="8574">
          <cell r="A8574" t="str">
            <v>in storage</v>
          </cell>
          <cell r="K8574" t="str">
            <v>ERUF</v>
          </cell>
          <cell r="AB8574" t="str">
            <v>Skin</v>
          </cell>
        </row>
        <row r="8575">
          <cell r="A8575" t="str">
            <v>in storage</v>
          </cell>
          <cell r="K8575" t="str">
            <v>ERUF</v>
          </cell>
          <cell r="AB8575" t="str">
            <v>Skin</v>
          </cell>
        </row>
        <row r="8576">
          <cell r="A8576" t="str">
            <v>in storage</v>
          </cell>
          <cell r="K8576" t="str">
            <v>ERUF</v>
          </cell>
          <cell r="AB8576" t="str">
            <v>Skin</v>
          </cell>
        </row>
        <row r="8577">
          <cell r="A8577" t="str">
            <v>in storage</v>
          </cell>
          <cell r="K8577" t="str">
            <v>ERUF</v>
          </cell>
          <cell r="AB8577" t="str">
            <v>Skin</v>
          </cell>
        </row>
        <row r="8578">
          <cell r="A8578" t="str">
            <v>in storage</v>
          </cell>
          <cell r="K8578" t="str">
            <v>GMOH</v>
          </cell>
          <cell r="AB8578" t="str">
            <v>GI Tract</v>
          </cell>
        </row>
        <row r="8579">
          <cell r="A8579" t="str">
            <v>in storage</v>
          </cell>
          <cell r="K8579" t="str">
            <v>GMOH</v>
          </cell>
          <cell r="AB8579" t="str">
            <v>GI contents- stomach</v>
          </cell>
        </row>
        <row r="8580">
          <cell r="A8580" t="str">
            <v>in storage</v>
          </cell>
          <cell r="K8580" t="str">
            <v>GMOH</v>
          </cell>
          <cell r="AB8580" t="str">
            <v>Kidney</v>
          </cell>
        </row>
        <row r="8581">
          <cell r="A8581" t="str">
            <v>in storage</v>
          </cell>
          <cell r="K8581" t="str">
            <v>GMOH</v>
          </cell>
          <cell r="AB8581" t="str">
            <v>Kidney</v>
          </cell>
        </row>
        <row r="8582">
          <cell r="A8582" t="str">
            <v>in storage</v>
          </cell>
          <cell r="K8582" t="str">
            <v>VVV</v>
          </cell>
          <cell r="AB8582" t="str">
            <v>GI- large intestine</v>
          </cell>
        </row>
        <row r="8583">
          <cell r="A8583" t="str">
            <v>in storage</v>
          </cell>
          <cell r="K8583" t="str">
            <v>GMOH</v>
          </cell>
          <cell r="AB8583" t="str">
            <v>Spleen</v>
          </cell>
        </row>
        <row r="8584">
          <cell r="A8584" t="str">
            <v>in storage</v>
          </cell>
          <cell r="K8584" t="str">
            <v>GMOH</v>
          </cell>
          <cell r="AB8584" t="str">
            <v>U- bladder</v>
          </cell>
        </row>
        <row r="8585">
          <cell r="A8585" t="str">
            <v>in storage</v>
          </cell>
          <cell r="K8585" t="str">
            <v>GMOH</v>
          </cell>
          <cell r="AB8585" t="str">
            <v>Liver</v>
          </cell>
        </row>
        <row r="8586">
          <cell r="A8586" t="str">
            <v>in storage</v>
          </cell>
          <cell r="K8586" t="str">
            <v>GMOH</v>
          </cell>
          <cell r="AB8586" t="str">
            <v>Liver</v>
          </cell>
        </row>
        <row r="8587">
          <cell r="A8587" t="str">
            <v>in storage</v>
          </cell>
          <cell r="K8587" t="str">
            <v>GMOH</v>
          </cell>
          <cell r="AB8587" t="str">
            <v>Liver</v>
          </cell>
        </row>
        <row r="8588">
          <cell r="A8588" t="str">
            <v>in storage</v>
          </cell>
          <cell r="K8588" t="str">
            <v>GMOH</v>
          </cell>
          <cell r="AB8588" t="str">
            <v>Liver</v>
          </cell>
        </row>
        <row r="8589">
          <cell r="A8589" t="str">
            <v>in storage</v>
          </cell>
          <cell r="K8589" t="str">
            <v>GMOH</v>
          </cell>
          <cell r="AB8589" t="str">
            <v>Pancreas</v>
          </cell>
        </row>
        <row r="8590">
          <cell r="A8590" t="str">
            <v>in storage</v>
          </cell>
          <cell r="K8590" t="str">
            <v>GMOH</v>
          </cell>
          <cell r="AB8590" t="str">
            <v>Lung</v>
          </cell>
        </row>
        <row r="8591">
          <cell r="A8591" t="str">
            <v>in storage</v>
          </cell>
          <cell r="K8591" t="str">
            <v>VVV</v>
          </cell>
          <cell r="AB8591" t="str">
            <v>GI- omentum/ stomach</v>
          </cell>
        </row>
        <row r="8592">
          <cell r="A8592" t="str">
            <v>in storage</v>
          </cell>
          <cell r="K8592" t="str">
            <v>GMOH</v>
          </cell>
          <cell r="AB8592" t="str">
            <v>Lung</v>
          </cell>
        </row>
        <row r="8593">
          <cell r="A8593" t="str">
            <v>in storage</v>
          </cell>
          <cell r="K8593" t="str">
            <v>GMOH</v>
          </cell>
          <cell r="AB8593" t="str">
            <v>Lung</v>
          </cell>
        </row>
        <row r="8594">
          <cell r="A8594" t="str">
            <v>in storage</v>
          </cell>
          <cell r="K8594" t="str">
            <v>GMOH</v>
          </cell>
          <cell r="AB8594" t="str">
            <v>Lung</v>
          </cell>
        </row>
        <row r="8595">
          <cell r="A8595" t="str">
            <v>in storage</v>
          </cell>
          <cell r="K8595" t="str">
            <v>GMOH</v>
          </cell>
          <cell r="AB8595" t="str">
            <v>Lung</v>
          </cell>
        </row>
        <row r="8596">
          <cell r="A8596" t="str">
            <v>in storage</v>
          </cell>
          <cell r="K8596" t="str">
            <v>GMOH</v>
          </cell>
          <cell r="AB8596" t="str">
            <v>Thyroid</v>
          </cell>
        </row>
        <row r="8597">
          <cell r="A8597" t="str">
            <v>in storage</v>
          </cell>
          <cell r="K8597" t="str">
            <v>GMOH</v>
          </cell>
          <cell r="AB8597" t="str">
            <v>Skin</v>
          </cell>
        </row>
        <row r="8598">
          <cell r="A8598" t="str">
            <v>in storage</v>
          </cell>
          <cell r="K8598" t="str">
            <v>GMOH</v>
          </cell>
          <cell r="AB8598" t="str">
            <v>Skin</v>
          </cell>
        </row>
        <row r="8599">
          <cell r="A8599" t="str">
            <v>in storage</v>
          </cell>
          <cell r="K8599" t="str">
            <v>GMOH</v>
          </cell>
          <cell r="AB8599" t="str">
            <v>Muscle</v>
          </cell>
        </row>
        <row r="8600">
          <cell r="A8600" t="str">
            <v>in storage</v>
          </cell>
          <cell r="K8600" t="str">
            <v>GMOH</v>
          </cell>
          <cell r="AB8600" t="str">
            <v>Muscle</v>
          </cell>
        </row>
        <row r="8601">
          <cell r="A8601" t="str">
            <v>in storage</v>
          </cell>
          <cell r="K8601" t="str">
            <v>GMOH</v>
          </cell>
          <cell r="AB8601" t="str">
            <v>Muscle</v>
          </cell>
        </row>
        <row r="8602">
          <cell r="A8602" t="str">
            <v>in storage</v>
          </cell>
          <cell r="K8602" t="str">
            <v>GMOH</v>
          </cell>
          <cell r="AB8602" t="str">
            <v>Mass- cervical</v>
          </cell>
        </row>
        <row r="8603">
          <cell r="A8603" t="str">
            <v>in storage</v>
          </cell>
          <cell r="K8603" t="str">
            <v>CMED</v>
          </cell>
          <cell r="AB8603" t="str">
            <v>Bone- mandibular</v>
          </cell>
        </row>
        <row r="8604">
          <cell r="A8604" t="str">
            <v>in storage</v>
          </cell>
          <cell r="K8604" t="str">
            <v>CMED</v>
          </cell>
          <cell r="AB8604" t="str">
            <v>Tooth</v>
          </cell>
        </row>
        <row r="8605">
          <cell r="A8605" t="str">
            <v>in storage</v>
          </cell>
          <cell r="K8605" t="str">
            <v>PDIA</v>
          </cell>
          <cell r="AB8605" t="str">
            <v>GI Contents- large intestine</v>
          </cell>
        </row>
        <row r="8606">
          <cell r="A8606" t="str">
            <v>in storage</v>
          </cell>
          <cell r="K8606" t="str">
            <v>LCAT</v>
          </cell>
          <cell r="AB8606" t="str">
            <v>Kidney</v>
          </cell>
        </row>
        <row r="8607">
          <cell r="A8607" t="str">
            <v>in storage</v>
          </cell>
          <cell r="K8607" t="str">
            <v>LCAT</v>
          </cell>
          <cell r="AB8607" t="str">
            <v>U- bladder</v>
          </cell>
        </row>
        <row r="8608">
          <cell r="A8608" t="str">
            <v>in storage</v>
          </cell>
          <cell r="K8608" t="str">
            <v>LCAT</v>
          </cell>
          <cell r="AB8608" t="str">
            <v>Skin</v>
          </cell>
        </row>
        <row r="8609">
          <cell r="A8609" t="str">
            <v>in storage</v>
          </cell>
          <cell r="K8609" t="str">
            <v>LCAT</v>
          </cell>
          <cell r="AB8609" t="str">
            <v>Lymph node- mesenteric</v>
          </cell>
        </row>
        <row r="8610">
          <cell r="A8610" t="str">
            <v>in storage</v>
          </cell>
          <cell r="K8610" t="str">
            <v>LCAT</v>
          </cell>
          <cell r="AB8610" t="str">
            <v>U- bladder</v>
          </cell>
        </row>
        <row r="8611">
          <cell r="A8611" t="str">
            <v>in storage</v>
          </cell>
          <cell r="K8611" t="str">
            <v>ECOR</v>
          </cell>
          <cell r="AB8611" t="str">
            <v>R- sperm plug</v>
          </cell>
        </row>
        <row r="8612">
          <cell r="A8612" t="str">
            <v>in storage</v>
          </cell>
          <cell r="K8612" t="str">
            <v>DMAD</v>
          </cell>
          <cell r="AB8612" t="str">
            <v>"RA" or "RN"?</v>
          </cell>
        </row>
        <row r="8613">
          <cell r="A8613" t="str">
            <v>in storage</v>
          </cell>
          <cell r="K8613" t="str">
            <v>LCAT</v>
          </cell>
          <cell r="AB8613" t="str">
            <v>Fat- omental</v>
          </cell>
        </row>
        <row r="8614">
          <cell r="A8614" t="str">
            <v>in storage</v>
          </cell>
          <cell r="K8614" t="str">
            <v>PCOQ</v>
          </cell>
          <cell r="AB8614" t="str">
            <v>R- sperm plug</v>
          </cell>
        </row>
        <row r="8615">
          <cell r="A8615" t="str">
            <v>in storage</v>
          </cell>
          <cell r="K8615" t="str">
            <v>ECOL</v>
          </cell>
          <cell r="AB8615" t="str">
            <v>R- sperm plug</v>
          </cell>
        </row>
        <row r="8616">
          <cell r="A8616" t="str">
            <v>in storage</v>
          </cell>
          <cell r="K8616" t="str">
            <v>MMUR</v>
          </cell>
          <cell r="AB8616" t="str">
            <v>Tail</v>
          </cell>
        </row>
        <row r="8617">
          <cell r="A8617" t="str">
            <v>in storage</v>
          </cell>
          <cell r="K8617" t="str">
            <v>LCAT</v>
          </cell>
          <cell r="AB8617" t="str">
            <v>Lung</v>
          </cell>
        </row>
        <row r="8618">
          <cell r="A8618" t="str">
            <v>in storage</v>
          </cell>
          <cell r="K8618" t="str">
            <v>LCAT</v>
          </cell>
          <cell r="AB8618" t="str">
            <v>Lung</v>
          </cell>
        </row>
        <row r="8619">
          <cell r="A8619" t="str">
            <v>in storage</v>
          </cell>
          <cell r="K8619" t="str">
            <v>MMUR</v>
          </cell>
          <cell r="AB8619" t="str">
            <v>GI Tract</v>
          </cell>
        </row>
        <row r="8620">
          <cell r="A8620" t="str">
            <v>in storage</v>
          </cell>
          <cell r="K8620" t="str">
            <v>MMUR</v>
          </cell>
          <cell r="AB8620" t="str">
            <v>Kidney</v>
          </cell>
        </row>
        <row r="8621">
          <cell r="A8621" t="str">
            <v>in storage</v>
          </cell>
          <cell r="K8621" t="str">
            <v>MMUR</v>
          </cell>
          <cell r="AB8621" t="str">
            <v>Spleen</v>
          </cell>
        </row>
        <row r="8622">
          <cell r="A8622" t="str">
            <v>in storage</v>
          </cell>
          <cell r="K8622" t="str">
            <v>MMUR</v>
          </cell>
          <cell r="AB8622" t="str">
            <v>U- bladder</v>
          </cell>
        </row>
        <row r="8623">
          <cell r="A8623" t="str">
            <v>in storage</v>
          </cell>
          <cell r="K8623" t="str">
            <v>MMUR</v>
          </cell>
          <cell r="AB8623" t="str">
            <v>R- reproductive tract</v>
          </cell>
        </row>
        <row r="8624">
          <cell r="A8624" t="str">
            <v>in storage</v>
          </cell>
          <cell r="K8624" t="str">
            <v>MMUR</v>
          </cell>
          <cell r="AB8624" t="str">
            <v>Liver</v>
          </cell>
        </row>
        <row r="8625">
          <cell r="A8625" t="str">
            <v>in storage</v>
          </cell>
          <cell r="K8625" t="str">
            <v>MMUR</v>
          </cell>
          <cell r="AB8625" t="str">
            <v>Liver</v>
          </cell>
        </row>
        <row r="8626">
          <cell r="A8626" t="str">
            <v>in storage</v>
          </cell>
          <cell r="K8626" t="str">
            <v>MMUR</v>
          </cell>
          <cell r="AB8626" t="str">
            <v>Liver</v>
          </cell>
        </row>
        <row r="8627">
          <cell r="A8627" t="str">
            <v>in storage</v>
          </cell>
          <cell r="K8627" t="str">
            <v>MMUR</v>
          </cell>
          <cell r="AB8627" t="str">
            <v>Liver</v>
          </cell>
        </row>
        <row r="8628">
          <cell r="A8628" t="str">
            <v>in storage</v>
          </cell>
          <cell r="K8628" t="str">
            <v>PDIA</v>
          </cell>
          <cell r="AB8628" t="str">
            <v>GI Contents- large intestine</v>
          </cell>
        </row>
        <row r="8629">
          <cell r="A8629" t="str">
            <v>in storage</v>
          </cell>
          <cell r="K8629" t="str">
            <v>MMUR</v>
          </cell>
          <cell r="AB8629" t="str">
            <v>Lung</v>
          </cell>
        </row>
        <row r="8630">
          <cell r="A8630" t="str">
            <v>in storage</v>
          </cell>
          <cell r="K8630" t="str">
            <v>MMUR</v>
          </cell>
          <cell r="AB8630" t="str">
            <v>Heart</v>
          </cell>
        </row>
        <row r="8631">
          <cell r="A8631" t="str">
            <v>in storage</v>
          </cell>
          <cell r="K8631" t="str">
            <v>MMUR</v>
          </cell>
          <cell r="AB8631" t="str">
            <v>Skin</v>
          </cell>
        </row>
        <row r="8632">
          <cell r="A8632" t="str">
            <v>in storage</v>
          </cell>
          <cell r="K8632" t="str">
            <v>MMUR</v>
          </cell>
          <cell r="AB8632" t="str">
            <v>Mass- kidney</v>
          </cell>
        </row>
        <row r="8633">
          <cell r="A8633" t="str">
            <v>in storage</v>
          </cell>
          <cell r="K8633" t="str">
            <v>MMUR</v>
          </cell>
          <cell r="AB8633" t="str">
            <v>Mass- kidney</v>
          </cell>
        </row>
        <row r="8634">
          <cell r="A8634" t="str">
            <v>in storage</v>
          </cell>
          <cell r="K8634" t="str">
            <v>LCAT</v>
          </cell>
          <cell r="AB8634" t="str">
            <v>Lung</v>
          </cell>
        </row>
        <row r="8635">
          <cell r="A8635" t="str">
            <v>in storage</v>
          </cell>
          <cell r="K8635" t="str">
            <v>MMUR</v>
          </cell>
          <cell r="AB8635" t="str">
            <v>Mass- liver</v>
          </cell>
        </row>
        <row r="8636">
          <cell r="A8636" t="str">
            <v>in storage</v>
          </cell>
          <cell r="K8636" t="str">
            <v>PCOQ</v>
          </cell>
          <cell r="AB8636" t="str">
            <v>bile</v>
          </cell>
        </row>
        <row r="8637">
          <cell r="A8637" t="str">
            <v>in storage</v>
          </cell>
          <cell r="K8637" t="str">
            <v>VRUB</v>
          </cell>
          <cell r="AB8637" t="str">
            <v>Hair</v>
          </cell>
        </row>
        <row r="8638">
          <cell r="A8638" t="str">
            <v>in storage</v>
          </cell>
          <cell r="K8638" t="str">
            <v>PCOQ</v>
          </cell>
          <cell r="AB8638" t="str">
            <v>Hair</v>
          </cell>
        </row>
        <row r="8639">
          <cell r="A8639" t="str">
            <v>in storage</v>
          </cell>
          <cell r="K8639" t="str">
            <v>EMON</v>
          </cell>
          <cell r="AB8639" t="str">
            <v>Hair</v>
          </cell>
        </row>
        <row r="8640">
          <cell r="A8640" t="str">
            <v>in storage</v>
          </cell>
          <cell r="K8640" t="str">
            <v>MMUR</v>
          </cell>
          <cell r="AB8640" t="str">
            <v>GI Tract</v>
          </cell>
        </row>
        <row r="8641">
          <cell r="A8641" t="str">
            <v>in storage</v>
          </cell>
          <cell r="K8641" t="str">
            <v>EMON</v>
          </cell>
          <cell r="AB8641" t="str">
            <v>R- placenta</v>
          </cell>
        </row>
        <row r="8642">
          <cell r="A8642" t="str">
            <v>in storage</v>
          </cell>
          <cell r="K8642" t="str">
            <v>GMOH</v>
          </cell>
          <cell r="AB8642" t="str">
            <v>Lung</v>
          </cell>
        </row>
        <row r="8643">
          <cell r="A8643" t="str">
            <v>in storage</v>
          </cell>
          <cell r="K8643" t="str">
            <v>MMUR</v>
          </cell>
          <cell r="AB8643" t="str">
            <v>Adrenal gland</v>
          </cell>
        </row>
        <row r="8644">
          <cell r="A8644" t="str">
            <v>in storage</v>
          </cell>
          <cell r="K8644" t="str">
            <v>MMUR</v>
          </cell>
          <cell r="AB8644" t="str">
            <v>Kidney</v>
          </cell>
        </row>
        <row r="8645">
          <cell r="A8645" t="str">
            <v>in storage</v>
          </cell>
          <cell r="K8645" t="str">
            <v>MMUR</v>
          </cell>
          <cell r="AB8645" t="str">
            <v>Kidney</v>
          </cell>
        </row>
        <row r="8646">
          <cell r="A8646" t="str">
            <v>in storage</v>
          </cell>
          <cell r="K8646" t="str">
            <v>MMUR</v>
          </cell>
          <cell r="AB8646" t="str">
            <v>Spleen</v>
          </cell>
        </row>
        <row r="8647">
          <cell r="A8647" t="str">
            <v>in storage</v>
          </cell>
          <cell r="K8647" t="str">
            <v>MMUR</v>
          </cell>
          <cell r="AB8647" t="str">
            <v>U- bladder</v>
          </cell>
        </row>
        <row r="8648">
          <cell r="A8648" t="str">
            <v>in storage</v>
          </cell>
          <cell r="K8648" t="str">
            <v>MMUR</v>
          </cell>
          <cell r="AB8648" t="str">
            <v>R- reproductive tract</v>
          </cell>
        </row>
        <row r="8649">
          <cell r="A8649" t="str">
            <v>in storage</v>
          </cell>
          <cell r="K8649" t="str">
            <v>MMUR</v>
          </cell>
          <cell r="AB8649" t="str">
            <v>Liver</v>
          </cell>
        </row>
        <row r="8650">
          <cell r="A8650" t="str">
            <v>in storage</v>
          </cell>
          <cell r="K8650" t="str">
            <v>MMUR</v>
          </cell>
          <cell r="AB8650" t="str">
            <v>Liver</v>
          </cell>
        </row>
        <row r="8651">
          <cell r="A8651" t="str">
            <v>in storage</v>
          </cell>
          <cell r="K8651" t="str">
            <v>MMUR</v>
          </cell>
          <cell r="AB8651" t="str">
            <v>Liver</v>
          </cell>
        </row>
        <row r="8652">
          <cell r="A8652" t="str">
            <v>in storage</v>
          </cell>
          <cell r="K8652" t="str">
            <v>MMUR</v>
          </cell>
          <cell r="AB8652" t="str">
            <v>Liver</v>
          </cell>
        </row>
        <row r="8653">
          <cell r="A8653" t="str">
            <v>in storage</v>
          </cell>
          <cell r="K8653" t="str">
            <v>MMUR</v>
          </cell>
          <cell r="AB8653" t="str">
            <v>Pancreas</v>
          </cell>
        </row>
        <row r="8654">
          <cell r="A8654" t="str">
            <v>in storage</v>
          </cell>
          <cell r="K8654" t="str">
            <v>MMUR</v>
          </cell>
          <cell r="AB8654" t="str">
            <v>Heart</v>
          </cell>
        </row>
        <row r="8655">
          <cell r="A8655" t="str">
            <v>in storage</v>
          </cell>
          <cell r="K8655" t="str">
            <v>MMUR</v>
          </cell>
          <cell r="AB8655" t="str">
            <v>Thyroid</v>
          </cell>
        </row>
        <row r="8656">
          <cell r="A8656" t="str">
            <v>in storage</v>
          </cell>
          <cell r="K8656" t="str">
            <v>MMUR</v>
          </cell>
          <cell r="AB8656" t="str">
            <v>Trachea</v>
          </cell>
        </row>
        <row r="8657">
          <cell r="A8657" t="str">
            <v>in storage</v>
          </cell>
          <cell r="K8657" t="str">
            <v>MMUR</v>
          </cell>
          <cell r="AB8657" t="str">
            <v>Skin</v>
          </cell>
        </row>
        <row r="8658">
          <cell r="A8658" t="str">
            <v>in storage</v>
          </cell>
          <cell r="K8658" t="str">
            <v>MMUR</v>
          </cell>
          <cell r="AB8658" t="str">
            <v>Skin</v>
          </cell>
        </row>
        <row r="8659">
          <cell r="A8659" t="str">
            <v>in storage</v>
          </cell>
          <cell r="K8659" t="str">
            <v>MMUR</v>
          </cell>
          <cell r="AB8659" t="str">
            <v>Fat- abdominal</v>
          </cell>
        </row>
        <row r="8660">
          <cell r="A8660" t="str">
            <v>in storage</v>
          </cell>
          <cell r="K8660" t="str">
            <v>MMUR</v>
          </cell>
          <cell r="AB8660" t="str">
            <v>Fat- abdominal</v>
          </cell>
        </row>
        <row r="8661">
          <cell r="A8661" t="str">
            <v>in storage</v>
          </cell>
          <cell r="K8661" t="str">
            <v>MMUR</v>
          </cell>
          <cell r="AB8661" t="str">
            <v>GI Tract</v>
          </cell>
        </row>
        <row r="8662">
          <cell r="A8662" t="str">
            <v>in storage</v>
          </cell>
          <cell r="K8662" t="str">
            <v>MMUR</v>
          </cell>
          <cell r="AB8662" t="str">
            <v>Tooth</v>
          </cell>
        </row>
        <row r="8663">
          <cell r="A8663" t="str">
            <v>in storage</v>
          </cell>
          <cell r="K8663" t="str">
            <v>MMUR</v>
          </cell>
          <cell r="AB8663" t="str">
            <v>Mass- mesenteric</v>
          </cell>
        </row>
        <row r="8664">
          <cell r="A8664" t="str">
            <v>in storage</v>
          </cell>
          <cell r="K8664" t="str">
            <v>MMUR</v>
          </cell>
          <cell r="AB8664" t="str">
            <v>Mass- mesenteric</v>
          </cell>
        </row>
        <row r="8665">
          <cell r="A8665" t="str">
            <v>in storage</v>
          </cell>
          <cell r="K8665" t="str">
            <v>MMUR</v>
          </cell>
          <cell r="AB8665" t="str">
            <v>Muscle</v>
          </cell>
        </row>
        <row r="8666">
          <cell r="A8666" t="str">
            <v>in storage</v>
          </cell>
          <cell r="K8666" t="str">
            <v>MMUR</v>
          </cell>
          <cell r="AB8666" t="str">
            <v>R- teste(s)</v>
          </cell>
        </row>
        <row r="8667">
          <cell r="A8667" t="str">
            <v>in storage</v>
          </cell>
          <cell r="K8667" t="str">
            <v>MMUR</v>
          </cell>
          <cell r="AB8667" t="str">
            <v>Kidney</v>
          </cell>
        </row>
        <row r="8668">
          <cell r="A8668" t="str">
            <v>in storage</v>
          </cell>
          <cell r="K8668" t="str">
            <v>MMUR</v>
          </cell>
          <cell r="AB8668" t="str">
            <v>Gallbladder/ liver</v>
          </cell>
        </row>
        <row r="8669">
          <cell r="A8669" t="str">
            <v>in storage</v>
          </cell>
          <cell r="K8669" t="str">
            <v>MMUR</v>
          </cell>
          <cell r="AB8669" t="str">
            <v>Kidney</v>
          </cell>
        </row>
        <row r="8670">
          <cell r="A8670" t="str">
            <v>in storage</v>
          </cell>
          <cell r="K8670" t="str">
            <v>MMUR</v>
          </cell>
          <cell r="AB8670" t="str">
            <v>Heart</v>
          </cell>
        </row>
        <row r="8671">
          <cell r="A8671" t="str">
            <v>in storage</v>
          </cell>
          <cell r="K8671" t="str">
            <v>CMED</v>
          </cell>
          <cell r="AB8671" t="str">
            <v>Tooth</v>
          </cell>
        </row>
        <row r="8672">
          <cell r="A8672" t="str">
            <v>in storage</v>
          </cell>
          <cell r="K8672" t="str">
            <v>EFLA</v>
          </cell>
          <cell r="AB8672" t="str">
            <v>R- placenta</v>
          </cell>
        </row>
        <row r="8673">
          <cell r="A8673" t="str">
            <v>in storage</v>
          </cell>
          <cell r="K8673" t="str">
            <v>MMUR</v>
          </cell>
          <cell r="AB8673" t="str">
            <v>Adrenal gland</v>
          </cell>
        </row>
        <row r="8674">
          <cell r="A8674" t="str">
            <v>in storage</v>
          </cell>
          <cell r="K8674" t="str">
            <v>MMUR</v>
          </cell>
          <cell r="AB8674" t="str">
            <v>Kidney</v>
          </cell>
        </row>
        <row r="8675">
          <cell r="A8675" t="str">
            <v>in storage</v>
          </cell>
          <cell r="K8675" t="str">
            <v>MMUR</v>
          </cell>
          <cell r="AB8675" t="str">
            <v>Kidney</v>
          </cell>
        </row>
        <row r="8676">
          <cell r="A8676" t="str">
            <v>in storage</v>
          </cell>
          <cell r="K8676" t="str">
            <v>MMUR</v>
          </cell>
          <cell r="AB8676" t="str">
            <v>Spleen</v>
          </cell>
        </row>
        <row r="8677">
          <cell r="A8677" t="str">
            <v>in storage</v>
          </cell>
          <cell r="K8677" t="str">
            <v>MMUR</v>
          </cell>
          <cell r="AB8677" t="str">
            <v>U- bladder</v>
          </cell>
        </row>
        <row r="8678">
          <cell r="A8678" t="str">
            <v>in storage</v>
          </cell>
          <cell r="K8678" t="str">
            <v>MMUR</v>
          </cell>
          <cell r="AB8678" t="str">
            <v>Liver</v>
          </cell>
        </row>
        <row r="8679">
          <cell r="A8679" t="str">
            <v>in storage</v>
          </cell>
          <cell r="K8679" t="str">
            <v>MMUR</v>
          </cell>
          <cell r="AB8679" t="str">
            <v>Liver</v>
          </cell>
        </row>
        <row r="8680">
          <cell r="A8680" t="str">
            <v>in storage</v>
          </cell>
          <cell r="K8680" t="str">
            <v>MMUR</v>
          </cell>
          <cell r="AB8680" t="str">
            <v>Liver</v>
          </cell>
        </row>
        <row r="8681">
          <cell r="A8681" t="str">
            <v>in storage</v>
          </cell>
          <cell r="K8681" t="str">
            <v>MMUR</v>
          </cell>
          <cell r="AB8681" t="str">
            <v>Liver</v>
          </cell>
        </row>
        <row r="8682">
          <cell r="A8682" t="str">
            <v>in storage</v>
          </cell>
          <cell r="K8682" t="str">
            <v>MMUR</v>
          </cell>
          <cell r="AB8682" t="str">
            <v>Gallbladder</v>
          </cell>
        </row>
        <row r="8683">
          <cell r="A8683" t="str">
            <v>in storage</v>
          </cell>
          <cell r="K8683" t="str">
            <v>MMUR</v>
          </cell>
          <cell r="AB8683" t="str">
            <v>Pancreas</v>
          </cell>
        </row>
        <row r="8684">
          <cell r="A8684" t="str">
            <v>in storage</v>
          </cell>
          <cell r="K8684" t="str">
            <v>MMUR</v>
          </cell>
          <cell r="AB8684" t="str">
            <v>GI Tract</v>
          </cell>
        </row>
        <row r="8685">
          <cell r="A8685" t="str">
            <v>in storage</v>
          </cell>
          <cell r="K8685" t="str">
            <v>MMUR</v>
          </cell>
          <cell r="AB8685" t="str">
            <v>Lung</v>
          </cell>
        </row>
        <row r="8686">
          <cell r="A8686" t="str">
            <v>in storage</v>
          </cell>
          <cell r="K8686" t="str">
            <v>MMUR</v>
          </cell>
          <cell r="AB8686" t="str">
            <v>Heart</v>
          </cell>
        </row>
        <row r="8687">
          <cell r="A8687" t="str">
            <v>in storage</v>
          </cell>
          <cell r="K8687" t="str">
            <v>MMUR</v>
          </cell>
          <cell r="AB8687" t="str">
            <v>Thyroid</v>
          </cell>
        </row>
        <row r="8688">
          <cell r="A8688" t="str">
            <v>in storage</v>
          </cell>
          <cell r="K8688" t="str">
            <v>MMUR</v>
          </cell>
          <cell r="AB8688" t="str">
            <v>Skin</v>
          </cell>
        </row>
        <row r="8689">
          <cell r="A8689" t="str">
            <v>in storage</v>
          </cell>
          <cell r="K8689" t="str">
            <v>MMUR</v>
          </cell>
          <cell r="AB8689" t="str">
            <v>Mass- abdominal</v>
          </cell>
        </row>
        <row r="8690">
          <cell r="A8690" t="str">
            <v>in storage</v>
          </cell>
          <cell r="K8690" t="str">
            <v>LCAT</v>
          </cell>
          <cell r="AB8690" t="str">
            <v>R- placenta</v>
          </cell>
        </row>
        <row r="8691">
          <cell r="A8691" t="str">
            <v>in storage</v>
          </cell>
          <cell r="K8691" t="str">
            <v>GMOH</v>
          </cell>
          <cell r="AB8691" t="str">
            <v>Tooth</v>
          </cell>
        </row>
        <row r="8692">
          <cell r="A8692" t="str">
            <v>in storage</v>
          </cell>
          <cell r="K8692" t="str">
            <v>MMUR</v>
          </cell>
          <cell r="AB8692" t="str">
            <v>R- sperm plug</v>
          </cell>
        </row>
        <row r="8693">
          <cell r="A8693" t="str">
            <v>in storage</v>
          </cell>
          <cell r="K8693" t="str">
            <v>LCAT</v>
          </cell>
          <cell r="AB8693" t="str">
            <v>Tooth</v>
          </cell>
        </row>
        <row r="8694">
          <cell r="A8694" t="str">
            <v>in storage</v>
          </cell>
          <cell r="K8694" t="str">
            <v>VVV</v>
          </cell>
          <cell r="AB8694" t="str">
            <v>Tooth</v>
          </cell>
        </row>
        <row r="8695">
          <cell r="A8695" t="str">
            <v>in storage</v>
          </cell>
          <cell r="K8695" t="str">
            <v>LCAT</v>
          </cell>
          <cell r="AB8695" t="str">
            <v>R- placenta</v>
          </cell>
        </row>
        <row r="8696">
          <cell r="A8696" t="str">
            <v>in storage</v>
          </cell>
          <cell r="K8696" t="str">
            <v>EMON</v>
          </cell>
          <cell r="AB8696" t="str">
            <v>R- placenta</v>
          </cell>
        </row>
        <row r="8697">
          <cell r="A8697" t="str">
            <v>in storage</v>
          </cell>
          <cell r="K8697" t="str">
            <v>MMUR</v>
          </cell>
          <cell r="AB8697" t="str">
            <v>R- sperm plug</v>
          </cell>
        </row>
        <row r="8698">
          <cell r="A8698" t="str">
            <v>in storage</v>
          </cell>
          <cell r="K8698" t="str">
            <v>PCOQ</v>
          </cell>
          <cell r="AB8698" t="str">
            <v>Tooth</v>
          </cell>
        </row>
        <row r="8699">
          <cell r="A8699" t="str">
            <v>in storage</v>
          </cell>
          <cell r="K8699" t="str">
            <v>MMUR</v>
          </cell>
          <cell r="AB8699" t="str">
            <v>Adrenal gland</v>
          </cell>
        </row>
        <row r="8700">
          <cell r="A8700" t="str">
            <v>in storage</v>
          </cell>
          <cell r="K8700" t="str">
            <v>MMUR</v>
          </cell>
          <cell r="AB8700" t="str">
            <v>Salivary gland</v>
          </cell>
        </row>
        <row r="8701">
          <cell r="A8701" t="str">
            <v>in storage</v>
          </cell>
          <cell r="K8701" t="str">
            <v>MMUR</v>
          </cell>
          <cell r="AB8701" t="str">
            <v>Thymus</v>
          </cell>
        </row>
        <row r="8702">
          <cell r="A8702" t="str">
            <v>in storage</v>
          </cell>
          <cell r="K8702" t="str">
            <v>MMUR</v>
          </cell>
          <cell r="AB8702" t="str">
            <v>Kidney</v>
          </cell>
        </row>
        <row r="8703">
          <cell r="A8703" t="str">
            <v>in storage</v>
          </cell>
          <cell r="K8703" t="str">
            <v>MMUR</v>
          </cell>
          <cell r="AB8703" t="str">
            <v>Kidney</v>
          </cell>
        </row>
        <row r="8704">
          <cell r="A8704" t="str">
            <v>in storage</v>
          </cell>
          <cell r="K8704" t="str">
            <v>MMUR</v>
          </cell>
          <cell r="AB8704" t="str">
            <v>U- bladder</v>
          </cell>
        </row>
        <row r="8705">
          <cell r="A8705" t="str">
            <v>in storage</v>
          </cell>
          <cell r="K8705" t="str">
            <v>MMUR</v>
          </cell>
          <cell r="AB8705" t="str">
            <v>Spleen</v>
          </cell>
        </row>
        <row r="8706">
          <cell r="A8706" t="str">
            <v>in storage</v>
          </cell>
          <cell r="K8706" t="str">
            <v>MMUR</v>
          </cell>
          <cell r="AB8706" t="str">
            <v>Liver</v>
          </cell>
        </row>
        <row r="8707">
          <cell r="A8707" t="str">
            <v>in storage</v>
          </cell>
          <cell r="K8707" t="str">
            <v>MMUR</v>
          </cell>
          <cell r="AB8707" t="str">
            <v>Liver</v>
          </cell>
        </row>
        <row r="8708">
          <cell r="A8708" t="str">
            <v>in storage</v>
          </cell>
          <cell r="K8708" t="str">
            <v>MMUR</v>
          </cell>
          <cell r="AB8708" t="str">
            <v>Liver</v>
          </cell>
        </row>
        <row r="8709">
          <cell r="A8709" t="str">
            <v>in storage</v>
          </cell>
          <cell r="K8709" t="str">
            <v>MMUR</v>
          </cell>
          <cell r="AB8709" t="str">
            <v>Liver</v>
          </cell>
        </row>
        <row r="8710">
          <cell r="A8710" t="str">
            <v>in storage</v>
          </cell>
          <cell r="K8710" t="str">
            <v>MMUR</v>
          </cell>
          <cell r="AB8710" t="str">
            <v>R- ovary/ uterus</v>
          </cell>
        </row>
        <row r="8711">
          <cell r="A8711" t="str">
            <v>in storage</v>
          </cell>
          <cell r="K8711" t="str">
            <v>MMUR</v>
          </cell>
          <cell r="AB8711" t="str">
            <v>GI- small intestine</v>
          </cell>
        </row>
        <row r="8712">
          <cell r="A8712" t="str">
            <v>in storage</v>
          </cell>
          <cell r="K8712" t="str">
            <v>MMUR</v>
          </cell>
          <cell r="AB8712" t="str">
            <v>GI- cecum/ colon</v>
          </cell>
        </row>
        <row r="8713">
          <cell r="A8713" t="str">
            <v>in storage</v>
          </cell>
          <cell r="K8713" t="str">
            <v>MMUR</v>
          </cell>
          <cell r="AB8713" t="str">
            <v>Aorta</v>
          </cell>
        </row>
        <row r="8714">
          <cell r="A8714" t="str">
            <v>in storage</v>
          </cell>
          <cell r="K8714" t="str">
            <v>MMUR</v>
          </cell>
          <cell r="AB8714" t="str">
            <v>Heart</v>
          </cell>
        </row>
        <row r="8715">
          <cell r="A8715" t="str">
            <v>in storage</v>
          </cell>
          <cell r="K8715" t="str">
            <v>MMUR</v>
          </cell>
          <cell r="AB8715" t="str">
            <v>R- sperm plug</v>
          </cell>
        </row>
        <row r="8716">
          <cell r="A8716" t="str">
            <v>in storage</v>
          </cell>
          <cell r="K8716" t="str">
            <v>EFLA</v>
          </cell>
          <cell r="AB8716" t="str">
            <v>Tooth</v>
          </cell>
        </row>
        <row r="8717">
          <cell r="A8717" t="str">
            <v>in storage</v>
          </cell>
          <cell r="K8717" t="str">
            <v>MMUR</v>
          </cell>
          <cell r="AB8717" t="str">
            <v>Adrenal gland</v>
          </cell>
        </row>
        <row r="8718">
          <cell r="A8718" t="str">
            <v>in storage</v>
          </cell>
          <cell r="K8718" t="str">
            <v>MMUR</v>
          </cell>
          <cell r="AB8718" t="str">
            <v>Kidney</v>
          </cell>
        </row>
        <row r="8719">
          <cell r="A8719" t="str">
            <v>in storage</v>
          </cell>
          <cell r="K8719" t="str">
            <v>MMUR</v>
          </cell>
          <cell r="AB8719" t="str">
            <v>Kidney</v>
          </cell>
        </row>
        <row r="8720">
          <cell r="A8720" t="str">
            <v>in storage</v>
          </cell>
          <cell r="K8720" t="str">
            <v>MMUR</v>
          </cell>
          <cell r="AB8720" t="str">
            <v>Spleen</v>
          </cell>
        </row>
        <row r="8721">
          <cell r="A8721" t="str">
            <v>in storage</v>
          </cell>
          <cell r="K8721" t="str">
            <v>MMUR</v>
          </cell>
          <cell r="AB8721" t="str">
            <v>R- ovary/ uterus</v>
          </cell>
        </row>
        <row r="8722">
          <cell r="A8722" t="str">
            <v>in storage</v>
          </cell>
          <cell r="K8722" t="str">
            <v>MMUR</v>
          </cell>
          <cell r="AB8722" t="str">
            <v>Liver</v>
          </cell>
        </row>
        <row r="8723">
          <cell r="A8723" t="str">
            <v>in storage</v>
          </cell>
          <cell r="K8723" t="str">
            <v>MMUR</v>
          </cell>
          <cell r="AB8723" t="str">
            <v>Liver</v>
          </cell>
        </row>
        <row r="8724">
          <cell r="A8724" t="str">
            <v>in storage</v>
          </cell>
          <cell r="K8724" t="str">
            <v>MMUR</v>
          </cell>
          <cell r="AB8724" t="str">
            <v>Gallbladder/ liver</v>
          </cell>
        </row>
        <row r="8725">
          <cell r="A8725" t="str">
            <v>in storage</v>
          </cell>
          <cell r="K8725" t="str">
            <v>MMUR</v>
          </cell>
          <cell r="AB8725" t="str">
            <v>Pancreas</v>
          </cell>
        </row>
        <row r="8726">
          <cell r="A8726" t="str">
            <v>in storage</v>
          </cell>
          <cell r="K8726" t="str">
            <v>MMUR</v>
          </cell>
          <cell r="AB8726" t="str">
            <v>GI- stomach</v>
          </cell>
        </row>
        <row r="8727">
          <cell r="A8727" t="str">
            <v>in storage</v>
          </cell>
          <cell r="K8727" t="str">
            <v>MMUR</v>
          </cell>
          <cell r="AB8727" t="str">
            <v>GI- jejunum</v>
          </cell>
        </row>
        <row r="8728">
          <cell r="A8728" t="str">
            <v>in storage</v>
          </cell>
          <cell r="K8728" t="str">
            <v>MMUR</v>
          </cell>
          <cell r="AB8728" t="str">
            <v>GI- ileum</v>
          </cell>
        </row>
        <row r="8729">
          <cell r="A8729" t="str">
            <v>in storage</v>
          </cell>
          <cell r="K8729" t="str">
            <v>MMUR</v>
          </cell>
          <cell r="AB8729" t="str">
            <v>GI- colon</v>
          </cell>
        </row>
        <row r="8730">
          <cell r="A8730" t="str">
            <v>in storage</v>
          </cell>
          <cell r="K8730" t="str">
            <v>MMUR</v>
          </cell>
          <cell r="AB8730" t="str">
            <v>GI- cecum</v>
          </cell>
        </row>
        <row r="8731">
          <cell r="A8731" t="str">
            <v>in storage</v>
          </cell>
          <cell r="K8731" t="str">
            <v>MMUR</v>
          </cell>
          <cell r="AB8731" t="str">
            <v>Heart</v>
          </cell>
        </row>
        <row r="8732">
          <cell r="A8732" t="str">
            <v>in storage</v>
          </cell>
          <cell r="K8732" t="str">
            <v>MMUR</v>
          </cell>
          <cell r="AB8732" t="str">
            <v>Thyroid</v>
          </cell>
        </row>
        <row r="8733">
          <cell r="A8733" t="str">
            <v>in storage</v>
          </cell>
          <cell r="K8733" t="str">
            <v>MMUR</v>
          </cell>
          <cell r="AB8733" t="str">
            <v>Salivary gland</v>
          </cell>
        </row>
        <row r="8734">
          <cell r="A8734" t="str">
            <v>in storage</v>
          </cell>
          <cell r="K8734" t="str">
            <v>MMUR</v>
          </cell>
          <cell r="AB8734" t="str">
            <v>Salivary gland</v>
          </cell>
        </row>
        <row r="8735">
          <cell r="A8735" t="str">
            <v>in storage</v>
          </cell>
          <cell r="K8735" t="str">
            <v>MMUR</v>
          </cell>
          <cell r="AB8735" t="str">
            <v>Thymus</v>
          </cell>
        </row>
        <row r="8736">
          <cell r="A8736" t="str">
            <v>in storage</v>
          </cell>
          <cell r="K8736" t="str">
            <v>MMUR</v>
          </cell>
          <cell r="AB8736" t="str">
            <v>Fat- brown</v>
          </cell>
        </row>
        <row r="8737">
          <cell r="A8737" t="str">
            <v>in storage</v>
          </cell>
          <cell r="K8737" t="str">
            <v>LCAT</v>
          </cell>
          <cell r="AB8737" t="str">
            <v>Tooth</v>
          </cell>
        </row>
        <row r="8738">
          <cell r="A8738" t="str">
            <v>in storage</v>
          </cell>
          <cell r="K8738" t="str">
            <v>LCAT</v>
          </cell>
          <cell r="AB8738" t="str">
            <v>Adrenal gland</v>
          </cell>
        </row>
        <row r="8739">
          <cell r="A8739" t="str">
            <v>in storage</v>
          </cell>
          <cell r="K8739" t="str">
            <v>LCAT</v>
          </cell>
          <cell r="AB8739" t="str">
            <v>Kidney</v>
          </cell>
        </row>
        <row r="8740">
          <cell r="A8740" t="str">
            <v>in storage</v>
          </cell>
          <cell r="K8740" t="str">
            <v>LCAT</v>
          </cell>
          <cell r="AB8740" t="str">
            <v>Kidney</v>
          </cell>
        </row>
        <row r="8741">
          <cell r="A8741" t="str">
            <v>in storage</v>
          </cell>
          <cell r="K8741" t="str">
            <v>LCAT</v>
          </cell>
          <cell r="AB8741" t="str">
            <v>Kidney</v>
          </cell>
        </row>
        <row r="8742">
          <cell r="A8742" t="str">
            <v>in storage</v>
          </cell>
          <cell r="K8742" t="str">
            <v>LCAT</v>
          </cell>
          <cell r="AB8742" t="str">
            <v>Kidney</v>
          </cell>
        </row>
        <row r="8743">
          <cell r="A8743" t="str">
            <v>in storage</v>
          </cell>
          <cell r="K8743" t="str">
            <v>LCAT</v>
          </cell>
          <cell r="AB8743" t="str">
            <v>Kidney</v>
          </cell>
        </row>
        <row r="8744">
          <cell r="A8744" t="str">
            <v>in storage</v>
          </cell>
          <cell r="K8744" t="str">
            <v>LCAT</v>
          </cell>
          <cell r="AB8744" t="str">
            <v>Kidney</v>
          </cell>
        </row>
        <row r="8745">
          <cell r="A8745" t="str">
            <v>in storage</v>
          </cell>
          <cell r="K8745" t="str">
            <v>LCAT</v>
          </cell>
          <cell r="AB8745" t="str">
            <v>Kidney</v>
          </cell>
        </row>
        <row r="8746">
          <cell r="A8746" t="str">
            <v>in storage</v>
          </cell>
          <cell r="K8746" t="str">
            <v>LCAT</v>
          </cell>
          <cell r="AB8746" t="str">
            <v>Kidney</v>
          </cell>
        </row>
        <row r="8747">
          <cell r="A8747" t="str">
            <v>in storage</v>
          </cell>
          <cell r="K8747" t="str">
            <v>LCAT</v>
          </cell>
          <cell r="AB8747" t="str">
            <v>Spleen</v>
          </cell>
        </row>
        <row r="8748">
          <cell r="A8748" t="str">
            <v>in storage</v>
          </cell>
          <cell r="K8748" t="str">
            <v>LCAT</v>
          </cell>
          <cell r="AB8748" t="str">
            <v>Spleen</v>
          </cell>
        </row>
        <row r="8749">
          <cell r="A8749" t="str">
            <v>in storage</v>
          </cell>
          <cell r="K8749" t="str">
            <v>LCAT</v>
          </cell>
          <cell r="AB8749" t="str">
            <v>Spleen</v>
          </cell>
        </row>
        <row r="8750">
          <cell r="A8750" t="str">
            <v>in storage</v>
          </cell>
          <cell r="K8750" t="str">
            <v>LCAT</v>
          </cell>
          <cell r="AB8750" t="str">
            <v>Spleen</v>
          </cell>
        </row>
        <row r="8751">
          <cell r="A8751" t="str">
            <v>in storage</v>
          </cell>
          <cell r="K8751" t="str">
            <v>LCAT</v>
          </cell>
          <cell r="AB8751" t="str">
            <v>U- bladder</v>
          </cell>
        </row>
        <row r="8752">
          <cell r="A8752" t="str">
            <v>in storage</v>
          </cell>
          <cell r="K8752" t="str">
            <v>LCAT</v>
          </cell>
          <cell r="AB8752" t="str">
            <v>U- bladder</v>
          </cell>
        </row>
        <row r="8753">
          <cell r="A8753" t="str">
            <v>in storage</v>
          </cell>
          <cell r="K8753" t="str">
            <v>LCAT</v>
          </cell>
          <cell r="AB8753" t="str">
            <v>Liver</v>
          </cell>
        </row>
        <row r="8754">
          <cell r="A8754" t="str">
            <v>in storage</v>
          </cell>
          <cell r="K8754" t="str">
            <v>LCAT</v>
          </cell>
          <cell r="AB8754" t="str">
            <v>Liver</v>
          </cell>
        </row>
        <row r="8755">
          <cell r="A8755" t="str">
            <v>in storage</v>
          </cell>
          <cell r="K8755" t="str">
            <v>LCAT</v>
          </cell>
          <cell r="AB8755" t="str">
            <v>Liver</v>
          </cell>
        </row>
        <row r="8756">
          <cell r="A8756" t="str">
            <v>in storage</v>
          </cell>
          <cell r="K8756" t="str">
            <v>LCAT</v>
          </cell>
          <cell r="AB8756" t="str">
            <v>Liver</v>
          </cell>
        </row>
        <row r="8757">
          <cell r="A8757" t="str">
            <v>in storage</v>
          </cell>
          <cell r="K8757" t="str">
            <v>LCAT</v>
          </cell>
          <cell r="AB8757" t="str">
            <v>Pancreas</v>
          </cell>
        </row>
        <row r="8758">
          <cell r="A8758" t="str">
            <v>in storage</v>
          </cell>
          <cell r="K8758" t="str">
            <v>LCAT</v>
          </cell>
          <cell r="AB8758" t="str">
            <v>GI tract</v>
          </cell>
        </row>
        <row r="8759">
          <cell r="A8759" t="str">
            <v>in storage</v>
          </cell>
          <cell r="K8759" t="str">
            <v>LCAT</v>
          </cell>
          <cell r="AB8759" t="str">
            <v>GI- stomach</v>
          </cell>
        </row>
        <row r="8760">
          <cell r="A8760" t="str">
            <v>in storage</v>
          </cell>
          <cell r="K8760" t="str">
            <v>LCAT</v>
          </cell>
          <cell r="AB8760" t="str">
            <v>Lung</v>
          </cell>
        </row>
        <row r="8761">
          <cell r="A8761" t="str">
            <v>in storage</v>
          </cell>
          <cell r="K8761" t="str">
            <v>LCAT</v>
          </cell>
          <cell r="AB8761" t="str">
            <v>Lung</v>
          </cell>
        </row>
        <row r="8762">
          <cell r="A8762" t="str">
            <v>in storage</v>
          </cell>
          <cell r="K8762" t="str">
            <v>LCAT</v>
          </cell>
          <cell r="AB8762" t="str">
            <v>Lung</v>
          </cell>
        </row>
        <row r="8763">
          <cell r="A8763" t="str">
            <v>in storage</v>
          </cell>
          <cell r="K8763" t="str">
            <v>LCAT</v>
          </cell>
          <cell r="AB8763" t="str">
            <v>Lung</v>
          </cell>
        </row>
        <row r="8764">
          <cell r="A8764" t="str">
            <v>in storage</v>
          </cell>
          <cell r="K8764" t="str">
            <v>LCAT</v>
          </cell>
          <cell r="AB8764" t="str">
            <v>Lung</v>
          </cell>
        </row>
        <row r="8765">
          <cell r="A8765" t="str">
            <v>in storage</v>
          </cell>
          <cell r="K8765" t="str">
            <v>LCAT</v>
          </cell>
          <cell r="AB8765" t="str">
            <v>Lung</v>
          </cell>
        </row>
        <row r="8766">
          <cell r="A8766" t="str">
            <v>in storage</v>
          </cell>
          <cell r="K8766" t="str">
            <v>LCAT</v>
          </cell>
          <cell r="AB8766" t="str">
            <v>Lung</v>
          </cell>
        </row>
        <row r="8767">
          <cell r="A8767" t="str">
            <v>in storage</v>
          </cell>
          <cell r="K8767" t="str">
            <v>LCAT</v>
          </cell>
          <cell r="AB8767" t="str">
            <v>Lung</v>
          </cell>
        </row>
        <row r="8768">
          <cell r="A8768" t="str">
            <v>in storage</v>
          </cell>
          <cell r="K8768" t="str">
            <v>LCAT</v>
          </cell>
          <cell r="AB8768" t="str">
            <v>Heart</v>
          </cell>
        </row>
        <row r="8769">
          <cell r="A8769" t="str">
            <v>in storage</v>
          </cell>
          <cell r="K8769" t="str">
            <v>LCAT</v>
          </cell>
          <cell r="AB8769" t="str">
            <v>Heart</v>
          </cell>
        </row>
        <row r="8770">
          <cell r="A8770" t="str">
            <v>in storage</v>
          </cell>
          <cell r="K8770" t="str">
            <v>LCAT</v>
          </cell>
          <cell r="AB8770" t="str">
            <v>Heart</v>
          </cell>
        </row>
        <row r="8771">
          <cell r="A8771" t="str">
            <v>in storage</v>
          </cell>
          <cell r="K8771" t="str">
            <v>LCAT</v>
          </cell>
          <cell r="AB8771" t="str">
            <v>Heart</v>
          </cell>
        </row>
        <row r="8772">
          <cell r="A8772" t="str">
            <v>in storage</v>
          </cell>
          <cell r="K8772" t="str">
            <v>LCAT</v>
          </cell>
          <cell r="AB8772" t="str">
            <v>Thyroid</v>
          </cell>
        </row>
        <row r="8773">
          <cell r="A8773" t="str">
            <v>in storage</v>
          </cell>
          <cell r="K8773" t="str">
            <v>LCAT</v>
          </cell>
          <cell r="AB8773" t="str">
            <v>Esophagus/ Trachea</v>
          </cell>
        </row>
        <row r="8774">
          <cell r="A8774" t="str">
            <v>in storage</v>
          </cell>
          <cell r="K8774" t="str">
            <v>LCAT</v>
          </cell>
          <cell r="AB8774" t="str">
            <v>Skin</v>
          </cell>
        </row>
        <row r="8775">
          <cell r="A8775" t="str">
            <v>in storage</v>
          </cell>
          <cell r="K8775" t="str">
            <v>LCAT</v>
          </cell>
          <cell r="AB8775" t="str">
            <v>Muscle</v>
          </cell>
        </row>
        <row r="8776">
          <cell r="A8776" t="str">
            <v>in storage</v>
          </cell>
          <cell r="K8776" t="str">
            <v>LCAT</v>
          </cell>
          <cell r="AB8776" t="str">
            <v>Muscle</v>
          </cell>
        </row>
        <row r="8777">
          <cell r="A8777" t="str">
            <v>in storage</v>
          </cell>
          <cell r="K8777" t="str">
            <v>LCAT</v>
          </cell>
          <cell r="AB8777" t="str">
            <v>Muscle</v>
          </cell>
        </row>
        <row r="8778">
          <cell r="A8778" t="str">
            <v>in storage</v>
          </cell>
          <cell r="K8778" t="str">
            <v>LCAT</v>
          </cell>
          <cell r="AB8778" t="str">
            <v>Muscle</v>
          </cell>
        </row>
        <row r="8779">
          <cell r="A8779" t="str">
            <v>in storage</v>
          </cell>
          <cell r="K8779" t="str">
            <v>LCAT</v>
          </cell>
          <cell r="AB8779" t="str">
            <v>Tongue</v>
          </cell>
        </row>
        <row r="8780">
          <cell r="A8780" t="str">
            <v>in storage</v>
          </cell>
          <cell r="K8780" t="str">
            <v>LCAT</v>
          </cell>
          <cell r="AB8780" t="str">
            <v>R- prostate</v>
          </cell>
        </row>
        <row r="8781">
          <cell r="A8781" t="str">
            <v>in storage</v>
          </cell>
          <cell r="K8781" t="str">
            <v>LCAT</v>
          </cell>
          <cell r="AB8781" t="str">
            <v>Muscle</v>
          </cell>
        </row>
        <row r="8782">
          <cell r="A8782" t="str">
            <v>in storage</v>
          </cell>
          <cell r="K8782" t="str">
            <v>LCAT</v>
          </cell>
          <cell r="AB8782" t="str">
            <v>Aorta</v>
          </cell>
        </row>
        <row r="8783">
          <cell r="A8783" t="str">
            <v>in storage</v>
          </cell>
          <cell r="K8783" t="str">
            <v>CMED</v>
          </cell>
          <cell r="AB8783" t="str">
            <v>Tooth</v>
          </cell>
        </row>
        <row r="8784">
          <cell r="A8784" t="str">
            <v>in storage</v>
          </cell>
          <cell r="K8784" t="str">
            <v>EMON</v>
          </cell>
          <cell r="AB8784" t="str">
            <v>Tooth</v>
          </cell>
        </row>
        <row r="8785">
          <cell r="A8785" t="str">
            <v>in storage</v>
          </cell>
          <cell r="K8785" t="str">
            <v>EFLA</v>
          </cell>
          <cell r="AB8785" t="str">
            <v>GI- colon</v>
          </cell>
        </row>
        <row r="8786">
          <cell r="A8786" t="str">
            <v>in storage</v>
          </cell>
          <cell r="K8786" t="str">
            <v>EFLA</v>
          </cell>
          <cell r="AB8786" t="str">
            <v>Adrenal gland</v>
          </cell>
        </row>
        <row r="8787">
          <cell r="A8787" t="str">
            <v>in storage</v>
          </cell>
          <cell r="K8787" t="str">
            <v>EFLA</v>
          </cell>
          <cell r="AB8787" t="str">
            <v>Kidney</v>
          </cell>
        </row>
        <row r="8788">
          <cell r="A8788" t="str">
            <v>in storage</v>
          </cell>
          <cell r="K8788" t="str">
            <v>EFLA</v>
          </cell>
          <cell r="AB8788" t="str">
            <v>Kidney</v>
          </cell>
        </row>
        <row r="8789">
          <cell r="A8789" t="str">
            <v>in storage</v>
          </cell>
          <cell r="K8789" t="str">
            <v>EFLA</v>
          </cell>
          <cell r="AB8789" t="str">
            <v>Kidney</v>
          </cell>
        </row>
        <row r="8790">
          <cell r="A8790" t="str">
            <v>in storage</v>
          </cell>
          <cell r="K8790" t="str">
            <v>EFLA</v>
          </cell>
          <cell r="AB8790" t="str">
            <v>Kidney</v>
          </cell>
        </row>
        <row r="8791">
          <cell r="A8791" t="str">
            <v>in storage</v>
          </cell>
          <cell r="K8791" t="str">
            <v>EFLA</v>
          </cell>
          <cell r="AB8791" t="str">
            <v>Kidney</v>
          </cell>
        </row>
        <row r="8792">
          <cell r="A8792" t="str">
            <v>in storage</v>
          </cell>
          <cell r="K8792" t="str">
            <v>EFLA</v>
          </cell>
          <cell r="AB8792" t="str">
            <v>Kidney</v>
          </cell>
        </row>
        <row r="8793">
          <cell r="A8793" t="str">
            <v>in storage</v>
          </cell>
          <cell r="K8793" t="str">
            <v>EFLA</v>
          </cell>
          <cell r="AB8793" t="str">
            <v>Kidney</v>
          </cell>
        </row>
        <row r="8794">
          <cell r="A8794" t="str">
            <v>in storage</v>
          </cell>
          <cell r="K8794" t="str">
            <v>EFLA</v>
          </cell>
          <cell r="AB8794" t="str">
            <v>Kidney</v>
          </cell>
        </row>
        <row r="8795">
          <cell r="A8795" t="str">
            <v>in storage</v>
          </cell>
          <cell r="K8795" t="str">
            <v>EFLA</v>
          </cell>
          <cell r="AB8795" t="str">
            <v>Spleen</v>
          </cell>
        </row>
        <row r="8796">
          <cell r="A8796" t="str">
            <v>in storage</v>
          </cell>
          <cell r="K8796" t="str">
            <v>EFLA</v>
          </cell>
          <cell r="AB8796" t="str">
            <v>Spleen</v>
          </cell>
        </row>
        <row r="8797">
          <cell r="A8797" t="str">
            <v>in storage</v>
          </cell>
          <cell r="K8797" t="str">
            <v>EFLA</v>
          </cell>
          <cell r="AB8797" t="str">
            <v>Spleen</v>
          </cell>
        </row>
        <row r="8798">
          <cell r="A8798" t="str">
            <v>in storage</v>
          </cell>
          <cell r="K8798" t="str">
            <v>EFLA</v>
          </cell>
          <cell r="AB8798" t="str">
            <v>Spleen</v>
          </cell>
        </row>
        <row r="8799">
          <cell r="A8799" t="str">
            <v>in storage</v>
          </cell>
          <cell r="K8799" t="str">
            <v>EFLA</v>
          </cell>
          <cell r="AB8799" t="str">
            <v>Spleen</v>
          </cell>
        </row>
        <row r="8800">
          <cell r="A8800" t="str">
            <v>in storage</v>
          </cell>
          <cell r="K8800" t="str">
            <v>EFLA</v>
          </cell>
          <cell r="AB8800" t="str">
            <v>Spleen</v>
          </cell>
        </row>
        <row r="8801">
          <cell r="A8801" t="str">
            <v>in storage</v>
          </cell>
          <cell r="K8801" t="str">
            <v>EFLA</v>
          </cell>
          <cell r="AB8801" t="str">
            <v>U- bladder</v>
          </cell>
        </row>
        <row r="8802">
          <cell r="A8802" t="str">
            <v>in storage</v>
          </cell>
          <cell r="K8802" t="str">
            <v>EFLA</v>
          </cell>
          <cell r="AB8802" t="str">
            <v>U- bladder</v>
          </cell>
        </row>
        <row r="8803">
          <cell r="A8803" t="str">
            <v>in storage</v>
          </cell>
          <cell r="K8803" t="str">
            <v>EFLA</v>
          </cell>
          <cell r="AB8803" t="str">
            <v>U- bladder</v>
          </cell>
        </row>
        <row r="8804">
          <cell r="A8804" t="str">
            <v>in storage</v>
          </cell>
          <cell r="K8804" t="str">
            <v>EFLA</v>
          </cell>
          <cell r="AB8804" t="str">
            <v>U- bladder</v>
          </cell>
        </row>
        <row r="8805">
          <cell r="A8805" t="str">
            <v>in storage</v>
          </cell>
          <cell r="K8805" t="str">
            <v>EFLA</v>
          </cell>
          <cell r="AB8805" t="str">
            <v>U- bladder</v>
          </cell>
        </row>
        <row r="8806">
          <cell r="A8806" t="str">
            <v>in storage</v>
          </cell>
          <cell r="K8806" t="str">
            <v>EFLA</v>
          </cell>
          <cell r="AB8806" t="str">
            <v>Liver</v>
          </cell>
        </row>
        <row r="8807">
          <cell r="A8807" t="str">
            <v>in storage</v>
          </cell>
          <cell r="K8807" t="str">
            <v>EFLA</v>
          </cell>
          <cell r="AB8807" t="str">
            <v>Liver</v>
          </cell>
        </row>
        <row r="8808">
          <cell r="A8808" t="str">
            <v>in storage</v>
          </cell>
          <cell r="K8808" t="str">
            <v>EFLA</v>
          </cell>
          <cell r="AB8808" t="str">
            <v>Liver</v>
          </cell>
        </row>
        <row r="8809">
          <cell r="A8809" t="str">
            <v>in storage</v>
          </cell>
          <cell r="K8809" t="str">
            <v>EFLA</v>
          </cell>
          <cell r="AB8809" t="str">
            <v>Liver</v>
          </cell>
        </row>
        <row r="8810">
          <cell r="A8810" t="str">
            <v>in storage</v>
          </cell>
          <cell r="K8810" t="str">
            <v>EFLA</v>
          </cell>
          <cell r="AB8810" t="str">
            <v>Liver</v>
          </cell>
        </row>
        <row r="8811">
          <cell r="A8811" t="str">
            <v>in storage</v>
          </cell>
          <cell r="K8811" t="str">
            <v>EFLA</v>
          </cell>
          <cell r="AB8811" t="str">
            <v>Liver</v>
          </cell>
        </row>
        <row r="8812">
          <cell r="A8812" t="str">
            <v>in storage</v>
          </cell>
          <cell r="K8812" t="str">
            <v>EFLA</v>
          </cell>
          <cell r="AB8812" t="str">
            <v>Liver</v>
          </cell>
        </row>
        <row r="8813">
          <cell r="A8813" t="str">
            <v>in storage</v>
          </cell>
          <cell r="K8813" t="str">
            <v>EFLA</v>
          </cell>
          <cell r="AB8813" t="str">
            <v>GI- stomach/ small intestine/ large intestine</v>
          </cell>
        </row>
        <row r="8814">
          <cell r="A8814" t="str">
            <v>in storage</v>
          </cell>
          <cell r="K8814" t="str">
            <v>EFLA</v>
          </cell>
          <cell r="AB8814" t="str">
            <v>Gallbladder</v>
          </cell>
        </row>
        <row r="8815">
          <cell r="A8815" t="str">
            <v>in storage</v>
          </cell>
          <cell r="K8815" t="str">
            <v>EFLA</v>
          </cell>
          <cell r="AB8815" t="str">
            <v>Lung</v>
          </cell>
        </row>
        <row r="8816">
          <cell r="A8816" t="str">
            <v>in storage</v>
          </cell>
          <cell r="K8816" t="str">
            <v>EFLA</v>
          </cell>
          <cell r="AB8816" t="str">
            <v>Lung</v>
          </cell>
        </row>
        <row r="8817">
          <cell r="A8817" t="str">
            <v>in storage</v>
          </cell>
          <cell r="K8817" t="str">
            <v>EFLA</v>
          </cell>
          <cell r="AB8817" t="str">
            <v>Lung</v>
          </cell>
        </row>
        <row r="8818">
          <cell r="A8818" t="str">
            <v>in storage</v>
          </cell>
          <cell r="K8818" t="str">
            <v>EFLA</v>
          </cell>
          <cell r="AB8818" t="str">
            <v>Lung</v>
          </cell>
        </row>
        <row r="8819">
          <cell r="A8819" t="str">
            <v>in storage</v>
          </cell>
          <cell r="K8819" t="str">
            <v>EFLA</v>
          </cell>
          <cell r="AB8819" t="str">
            <v>Lung</v>
          </cell>
        </row>
        <row r="8820">
          <cell r="A8820" t="str">
            <v>in storage</v>
          </cell>
          <cell r="K8820" t="str">
            <v>EFLA</v>
          </cell>
          <cell r="AB8820" t="str">
            <v>Lung</v>
          </cell>
        </row>
        <row r="8821">
          <cell r="A8821" t="str">
            <v>in storage</v>
          </cell>
          <cell r="K8821" t="str">
            <v>EFLA</v>
          </cell>
          <cell r="AB8821" t="str">
            <v>Lung</v>
          </cell>
        </row>
        <row r="8822">
          <cell r="A8822" t="str">
            <v>in storage</v>
          </cell>
          <cell r="K8822" t="str">
            <v>EFLA</v>
          </cell>
          <cell r="AB8822" t="str">
            <v>Heart</v>
          </cell>
        </row>
        <row r="8823">
          <cell r="A8823" t="str">
            <v>in storage</v>
          </cell>
          <cell r="K8823" t="str">
            <v>EFLA</v>
          </cell>
          <cell r="AB8823" t="str">
            <v>Heart</v>
          </cell>
        </row>
        <row r="8824">
          <cell r="A8824" t="str">
            <v>in storage</v>
          </cell>
          <cell r="K8824" t="str">
            <v>EFLA</v>
          </cell>
          <cell r="AB8824" t="str">
            <v>Heart/ great vessels</v>
          </cell>
        </row>
        <row r="8825">
          <cell r="A8825" t="str">
            <v>in storage</v>
          </cell>
          <cell r="K8825" t="str">
            <v>EFLA</v>
          </cell>
          <cell r="AB8825" t="str">
            <v>Thyroid</v>
          </cell>
        </row>
        <row r="8826">
          <cell r="A8826" t="str">
            <v>in storage</v>
          </cell>
          <cell r="K8826" t="str">
            <v>EFLA</v>
          </cell>
          <cell r="AB8826" t="str">
            <v>Trachea</v>
          </cell>
        </row>
        <row r="8827">
          <cell r="A8827" t="str">
            <v>in storage</v>
          </cell>
          <cell r="K8827" t="str">
            <v>EFLA</v>
          </cell>
          <cell r="AB8827" t="str">
            <v>Trachea</v>
          </cell>
        </row>
        <row r="8828">
          <cell r="A8828" t="str">
            <v>in storage</v>
          </cell>
          <cell r="K8828" t="str">
            <v>EFLA</v>
          </cell>
          <cell r="AB8828" t="str">
            <v>Skin</v>
          </cell>
        </row>
        <row r="8829">
          <cell r="A8829" t="str">
            <v>in storage</v>
          </cell>
          <cell r="K8829" t="str">
            <v>EFLA</v>
          </cell>
          <cell r="AB8829" t="str">
            <v>Skin</v>
          </cell>
        </row>
        <row r="8830">
          <cell r="A8830" t="str">
            <v>in storage</v>
          </cell>
          <cell r="K8830" t="str">
            <v>EFLA</v>
          </cell>
          <cell r="AB8830" t="str">
            <v>Mass - thoracic</v>
          </cell>
        </row>
        <row r="8831">
          <cell r="A8831" t="str">
            <v>in storage</v>
          </cell>
          <cell r="K8831" t="str">
            <v>LCAT</v>
          </cell>
          <cell r="AB8831" t="str">
            <v>Tooth</v>
          </cell>
        </row>
        <row r="8832">
          <cell r="A8832" t="str">
            <v>in storage</v>
          </cell>
          <cell r="K8832" t="str">
            <v>MMUR</v>
          </cell>
          <cell r="AB8832" t="str">
            <v>Adrenal gland</v>
          </cell>
        </row>
        <row r="8833">
          <cell r="A8833" t="str">
            <v>in storage</v>
          </cell>
          <cell r="K8833" t="str">
            <v>MMUR</v>
          </cell>
          <cell r="AB8833" t="str">
            <v>Kidney</v>
          </cell>
        </row>
        <row r="8834">
          <cell r="A8834" t="str">
            <v>in storage</v>
          </cell>
          <cell r="K8834" t="str">
            <v>MMUR</v>
          </cell>
          <cell r="AB8834" t="str">
            <v>Kidney</v>
          </cell>
        </row>
        <row r="8835">
          <cell r="A8835" t="str">
            <v>in storage</v>
          </cell>
          <cell r="K8835" t="str">
            <v>MMUR</v>
          </cell>
          <cell r="AB8835" t="str">
            <v>Spleen</v>
          </cell>
        </row>
        <row r="8836">
          <cell r="A8836" t="str">
            <v>in storage</v>
          </cell>
          <cell r="K8836" t="str">
            <v>MMUR</v>
          </cell>
          <cell r="AB8836" t="str">
            <v>U- bladder</v>
          </cell>
        </row>
        <row r="8837">
          <cell r="A8837" t="str">
            <v>in storage</v>
          </cell>
          <cell r="K8837" t="str">
            <v>MMUR</v>
          </cell>
          <cell r="AB8837" t="str">
            <v>Liver</v>
          </cell>
        </row>
        <row r="8838">
          <cell r="A8838" t="str">
            <v>in storage</v>
          </cell>
          <cell r="K8838" t="str">
            <v>MMUR</v>
          </cell>
          <cell r="AB8838" t="str">
            <v>Liver</v>
          </cell>
        </row>
        <row r="8839">
          <cell r="A8839" t="str">
            <v>in storage</v>
          </cell>
          <cell r="K8839" t="str">
            <v>MMUR</v>
          </cell>
          <cell r="AB8839" t="str">
            <v>Liver</v>
          </cell>
        </row>
        <row r="8840">
          <cell r="A8840" t="str">
            <v>in storage</v>
          </cell>
          <cell r="K8840" t="str">
            <v>MMUR</v>
          </cell>
          <cell r="AB8840" t="str">
            <v>Gallbladder/ liver</v>
          </cell>
        </row>
        <row r="8841">
          <cell r="A8841" t="str">
            <v>in storage</v>
          </cell>
          <cell r="K8841" t="str">
            <v>MMUR</v>
          </cell>
          <cell r="AB8841" t="str">
            <v>Pancreas</v>
          </cell>
        </row>
        <row r="8842">
          <cell r="A8842" t="str">
            <v>in storage</v>
          </cell>
          <cell r="K8842" t="str">
            <v>MMUR</v>
          </cell>
          <cell r="AB8842" t="str">
            <v>GI- stomach</v>
          </cell>
        </row>
        <row r="8843">
          <cell r="A8843" t="str">
            <v>in storage</v>
          </cell>
          <cell r="K8843" t="str">
            <v>MMUR</v>
          </cell>
          <cell r="AB8843" t="str">
            <v>GI- large intestine/ small intestine</v>
          </cell>
        </row>
        <row r="8844">
          <cell r="A8844" t="str">
            <v>in storage</v>
          </cell>
          <cell r="K8844" t="str">
            <v>MMUR</v>
          </cell>
          <cell r="AB8844" t="str">
            <v>Lung</v>
          </cell>
        </row>
        <row r="8845">
          <cell r="A8845" t="str">
            <v>in storage</v>
          </cell>
          <cell r="K8845" t="str">
            <v>MMUR</v>
          </cell>
          <cell r="AB8845" t="str">
            <v>Lung</v>
          </cell>
        </row>
        <row r="8846">
          <cell r="A8846" t="str">
            <v>in storage</v>
          </cell>
          <cell r="K8846" t="str">
            <v>MMUR</v>
          </cell>
          <cell r="AB8846" t="str">
            <v>Thyroid</v>
          </cell>
        </row>
        <row r="8847">
          <cell r="A8847" t="str">
            <v>in storage</v>
          </cell>
          <cell r="K8847" t="str">
            <v>MMUR</v>
          </cell>
          <cell r="AB8847" t="str">
            <v>Adrenal gland</v>
          </cell>
        </row>
        <row r="8848">
          <cell r="A8848" t="str">
            <v>in storage</v>
          </cell>
          <cell r="K8848" t="str">
            <v>MMUR</v>
          </cell>
          <cell r="AB8848" t="str">
            <v>Kidney</v>
          </cell>
        </row>
        <row r="8849">
          <cell r="A8849" t="str">
            <v>in storage</v>
          </cell>
          <cell r="K8849" t="str">
            <v>MMUR</v>
          </cell>
          <cell r="AB8849" t="str">
            <v>Kidney</v>
          </cell>
        </row>
        <row r="8850">
          <cell r="A8850" t="str">
            <v>in storage</v>
          </cell>
          <cell r="K8850" t="str">
            <v>MMUR</v>
          </cell>
          <cell r="AB8850" t="str">
            <v>Spleen</v>
          </cell>
        </row>
        <row r="8851">
          <cell r="A8851" t="str">
            <v>in storage</v>
          </cell>
          <cell r="K8851" t="str">
            <v>MMUR</v>
          </cell>
          <cell r="AB8851" t="str">
            <v>U- bladder</v>
          </cell>
        </row>
        <row r="8852">
          <cell r="A8852" t="str">
            <v>in storage</v>
          </cell>
          <cell r="K8852" t="str">
            <v>MMUR</v>
          </cell>
          <cell r="AB8852" t="str">
            <v>Liver</v>
          </cell>
        </row>
        <row r="8853">
          <cell r="A8853" t="str">
            <v>in storage</v>
          </cell>
          <cell r="K8853" t="str">
            <v>MMUR</v>
          </cell>
          <cell r="AB8853" t="str">
            <v>Liver</v>
          </cell>
        </row>
        <row r="8854">
          <cell r="A8854" t="str">
            <v>in storage</v>
          </cell>
          <cell r="K8854" t="str">
            <v>MMUR</v>
          </cell>
          <cell r="AB8854" t="str">
            <v>Liver</v>
          </cell>
        </row>
        <row r="8855">
          <cell r="A8855" t="str">
            <v>in storage</v>
          </cell>
          <cell r="K8855" t="str">
            <v>MMUR</v>
          </cell>
          <cell r="AB8855" t="str">
            <v>Liver</v>
          </cell>
        </row>
        <row r="8856">
          <cell r="A8856" t="str">
            <v>in storage</v>
          </cell>
          <cell r="K8856" t="str">
            <v>MMUR</v>
          </cell>
          <cell r="AB8856" t="str">
            <v>Gallbladder</v>
          </cell>
        </row>
        <row r="8857">
          <cell r="A8857" t="str">
            <v>in storage</v>
          </cell>
          <cell r="K8857" t="str">
            <v>MMUR</v>
          </cell>
          <cell r="AB8857" t="str">
            <v>Pancreas</v>
          </cell>
        </row>
        <row r="8858">
          <cell r="A8858" t="str">
            <v>in storage</v>
          </cell>
          <cell r="K8858" t="str">
            <v>MMUR</v>
          </cell>
          <cell r="AB8858" t="str">
            <v>GI- stomach</v>
          </cell>
        </row>
        <row r="8859">
          <cell r="A8859" t="str">
            <v>in storage</v>
          </cell>
          <cell r="K8859" t="str">
            <v>MMUR</v>
          </cell>
          <cell r="AB8859" t="str">
            <v>GI tract</v>
          </cell>
        </row>
        <row r="8860">
          <cell r="A8860" t="str">
            <v>in storage</v>
          </cell>
          <cell r="K8860" t="str">
            <v>MMUR</v>
          </cell>
          <cell r="AB8860" t="str">
            <v>Lung</v>
          </cell>
        </row>
        <row r="8861">
          <cell r="A8861" t="str">
            <v>in storage</v>
          </cell>
          <cell r="K8861" t="str">
            <v>MMUR</v>
          </cell>
          <cell r="AB8861" t="str">
            <v>Thyroid</v>
          </cell>
        </row>
        <row r="8862">
          <cell r="A8862" t="str">
            <v>in storage</v>
          </cell>
          <cell r="K8862" t="str">
            <v>MMUR</v>
          </cell>
          <cell r="AB8862" t="str">
            <v>Skin</v>
          </cell>
        </row>
        <row r="8863">
          <cell r="A8863" t="str">
            <v>in storage</v>
          </cell>
          <cell r="K8863" t="str">
            <v>PCOQ</v>
          </cell>
          <cell r="AB8863" t="str">
            <v>Tooth</v>
          </cell>
        </row>
        <row r="8864">
          <cell r="A8864" t="str">
            <v>in storage</v>
          </cell>
          <cell r="K8864" t="str">
            <v>MMUR</v>
          </cell>
          <cell r="AB8864" t="str">
            <v>Adrenal gland</v>
          </cell>
        </row>
        <row r="8865">
          <cell r="A8865" t="str">
            <v>in storage</v>
          </cell>
          <cell r="K8865" t="str">
            <v>MMUR</v>
          </cell>
          <cell r="AB8865" t="str">
            <v>Kidney</v>
          </cell>
        </row>
        <row r="8866">
          <cell r="A8866" t="str">
            <v>in storage</v>
          </cell>
          <cell r="K8866" t="str">
            <v>MMUR</v>
          </cell>
          <cell r="AB8866" t="str">
            <v>Kidney</v>
          </cell>
        </row>
        <row r="8867">
          <cell r="A8867" t="str">
            <v>in storage</v>
          </cell>
          <cell r="K8867" t="str">
            <v>MMUR</v>
          </cell>
          <cell r="AB8867" t="str">
            <v>Spleen</v>
          </cell>
        </row>
        <row r="8868">
          <cell r="A8868" t="str">
            <v>in storage</v>
          </cell>
          <cell r="K8868" t="str">
            <v>MMUR</v>
          </cell>
          <cell r="AB8868" t="str">
            <v>R- teste(s)</v>
          </cell>
        </row>
        <row r="8869">
          <cell r="A8869" t="str">
            <v>in storage</v>
          </cell>
          <cell r="K8869" t="str">
            <v>MMUR</v>
          </cell>
          <cell r="AB8869" t="str">
            <v>Liver</v>
          </cell>
        </row>
        <row r="8870">
          <cell r="A8870" t="str">
            <v>in storage</v>
          </cell>
          <cell r="K8870" t="str">
            <v>MMUR</v>
          </cell>
          <cell r="AB8870" t="str">
            <v>Liver</v>
          </cell>
        </row>
        <row r="8871">
          <cell r="A8871" t="str">
            <v>in storage</v>
          </cell>
          <cell r="K8871" t="str">
            <v>MMUR</v>
          </cell>
          <cell r="AB8871" t="str">
            <v>Liver</v>
          </cell>
        </row>
        <row r="8872">
          <cell r="A8872" t="str">
            <v>in storage</v>
          </cell>
          <cell r="K8872" t="str">
            <v>MMUR</v>
          </cell>
          <cell r="AB8872" t="str">
            <v>Liver</v>
          </cell>
        </row>
        <row r="8873">
          <cell r="A8873" t="str">
            <v>in storage</v>
          </cell>
          <cell r="K8873" t="str">
            <v>MMUR</v>
          </cell>
          <cell r="AB8873" t="str">
            <v>Liver</v>
          </cell>
        </row>
        <row r="8874">
          <cell r="A8874" t="str">
            <v>in storage</v>
          </cell>
          <cell r="K8874" t="str">
            <v>MMUR</v>
          </cell>
          <cell r="AB8874" t="str">
            <v>Gallbladder</v>
          </cell>
        </row>
        <row r="8875">
          <cell r="A8875" t="str">
            <v>in storage</v>
          </cell>
          <cell r="K8875" t="str">
            <v>MMUR</v>
          </cell>
          <cell r="AB8875" t="str">
            <v>Pancreas</v>
          </cell>
        </row>
        <row r="8876">
          <cell r="A8876" t="str">
            <v>in storage</v>
          </cell>
          <cell r="K8876" t="str">
            <v>MMUR</v>
          </cell>
          <cell r="AB8876" t="str">
            <v>GI- esophagus/ stomach/ duodenum</v>
          </cell>
        </row>
        <row r="8877">
          <cell r="A8877" t="str">
            <v>in storage</v>
          </cell>
          <cell r="K8877" t="str">
            <v>MMUR</v>
          </cell>
          <cell r="AB8877" t="str">
            <v>Lung</v>
          </cell>
        </row>
        <row r="8878">
          <cell r="A8878" t="str">
            <v>in storage</v>
          </cell>
          <cell r="K8878" t="str">
            <v>MMUR</v>
          </cell>
          <cell r="AB8878" t="str">
            <v>Lung</v>
          </cell>
        </row>
        <row r="8879">
          <cell r="A8879" t="str">
            <v>in storage</v>
          </cell>
          <cell r="K8879" t="str">
            <v>MMUR</v>
          </cell>
          <cell r="AB8879" t="str">
            <v>Heart</v>
          </cell>
        </row>
        <row r="8880">
          <cell r="A8880" t="str">
            <v>in storage</v>
          </cell>
          <cell r="K8880" t="str">
            <v>MMUR</v>
          </cell>
          <cell r="AB8880" t="str">
            <v>Thyroid</v>
          </cell>
        </row>
        <row r="8881">
          <cell r="A8881" t="str">
            <v>in storage</v>
          </cell>
          <cell r="K8881" t="str">
            <v>MMUR</v>
          </cell>
          <cell r="AB8881" t="str">
            <v>Skin</v>
          </cell>
        </row>
        <row r="8882">
          <cell r="A8882" t="str">
            <v>in storage</v>
          </cell>
          <cell r="K8882" t="str">
            <v>MMUR</v>
          </cell>
          <cell r="AB8882" t="str">
            <v>GI- large intestine/ small intestine</v>
          </cell>
        </row>
        <row r="8883">
          <cell r="A8883" t="str">
            <v>in storage</v>
          </cell>
          <cell r="K8883" t="str">
            <v>VRUB</v>
          </cell>
          <cell r="AB8883" t="str">
            <v>Digit- finger</v>
          </cell>
        </row>
        <row r="8884">
          <cell r="A8884" t="str">
            <v>in storage</v>
          </cell>
          <cell r="K8884" t="str">
            <v>MMUR</v>
          </cell>
          <cell r="AB8884" t="str">
            <v>Kidney</v>
          </cell>
        </row>
        <row r="8885">
          <cell r="A8885" t="str">
            <v>in storage</v>
          </cell>
          <cell r="K8885" t="str">
            <v>MMUR</v>
          </cell>
          <cell r="AB8885" t="str">
            <v>Skin</v>
          </cell>
        </row>
        <row r="8886">
          <cell r="A8886" t="str">
            <v>in storage</v>
          </cell>
          <cell r="K8886" t="str">
            <v>MMUR</v>
          </cell>
          <cell r="AB8886" t="str">
            <v>Skin</v>
          </cell>
        </row>
        <row r="8887">
          <cell r="A8887" t="str">
            <v>in storage</v>
          </cell>
          <cell r="K8887" t="str">
            <v>MMUR</v>
          </cell>
          <cell r="AB8887" t="str">
            <v>R- ovary/ uterus</v>
          </cell>
        </row>
        <row r="8888">
          <cell r="A8888" t="str">
            <v>in storage</v>
          </cell>
          <cell r="K8888" t="str">
            <v>MMUR</v>
          </cell>
          <cell r="AB8888" t="str">
            <v>Liver</v>
          </cell>
        </row>
        <row r="8889">
          <cell r="A8889" t="str">
            <v>in storage</v>
          </cell>
          <cell r="K8889" t="str">
            <v>MMUR</v>
          </cell>
          <cell r="AB8889" t="str">
            <v>Liver</v>
          </cell>
        </row>
        <row r="8890">
          <cell r="A8890" t="str">
            <v>in storage</v>
          </cell>
          <cell r="K8890" t="str">
            <v>MMUR</v>
          </cell>
          <cell r="AB8890" t="str">
            <v>Liver</v>
          </cell>
        </row>
        <row r="8891">
          <cell r="A8891" t="str">
            <v>in storage</v>
          </cell>
          <cell r="K8891" t="str">
            <v>MMUR</v>
          </cell>
          <cell r="AB8891" t="str">
            <v>Liver</v>
          </cell>
        </row>
        <row r="8892">
          <cell r="A8892" t="str">
            <v>in storage</v>
          </cell>
          <cell r="K8892" t="str">
            <v>MMUR</v>
          </cell>
          <cell r="AB8892" t="str">
            <v>Liver</v>
          </cell>
        </row>
        <row r="8893">
          <cell r="A8893" t="str">
            <v>in storage</v>
          </cell>
          <cell r="K8893" t="str">
            <v>MMUR</v>
          </cell>
          <cell r="AB8893" t="str">
            <v>Liver</v>
          </cell>
        </row>
        <row r="8894">
          <cell r="A8894" t="str">
            <v>in storage</v>
          </cell>
          <cell r="K8894" t="str">
            <v>MMUR</v>
          </cell>
          <cell r="AB8894" t="str">
            <v>Liver</v>
          </cell>
        </row>
        <row r="8895">
          <cell r="A8895" t="str">
            <v>in storage</v>
          </cell>
          <cell r="K8895" t="str">
            <v>MMUR</v>
          </cell>
          <cell r="AB8895" t="str">
            <v>Liver</v>
          </cell>
        </row>
        <row r="8896">
          <cell r="A8896" t="str">
            <v>in storage</v>
          </cell>
          <cell r="K8896" t="str">
            <v>MMUR</v>
          </cell>
          <cell r="AB8896" t="str">
            <v>Thyroid</v>
          </cell>
        </row>
        <row r="8897">
          <cell r="A8897" t="str">
            <v>in storage</v>
          </cell>
          <cell r="K8897" t="str">
            <v>MMUR</v>
          </cell>
          <cell r="AB8897" t="str">
            <v>Heart</v>
          </cell>
        </row>
        <row r="8898">
          <cell r="A8898" t="str">
            <v>in storage</v>
          </cell>
          <cell r="K8898" t="str">
            <v>MMUR</v>
          </cell>
          <cell r="AB8898" t="str">
            <v>Lung</v>
          </cell>
        </row>
        <row r="8899">
          <cell r="A8899" t="str">
            <v>in storage</v>
          </cell>
          <cell r="K8899" t="str">
            <v>MMUR</v>
          </cell>
          <cell r="AB8899" t="str">
            <v>Lung</v>
          </cell>
        </row>
        <row r="8900">
          <cell r="A8900" t="str">
            <v>in storage</v>
          </cell>
          <cell r="K8900" t="str">
            <v>MMUR</v>
          </cell>
          <cell r="AB8900" t="str">
            <v>Adrenal gland</v>
          </cell>
        </row>
        <row r="8901">
          <cell r="A8901" t="str">
            <v>in storage</v>
          </cell>
          <cell r="K8901" t="str">
            <v>MMUR</v>
          </cell>
          <cell r="AB8901" t="str">
            <v>Spleen</v>
          </cell>
        </row>
        <row r="8902">
          <cell r="A8902" t="str">
            <v>in storage</v>
          </cell>
          <cell r="K8902" t="str">
            <v>MMUR</v>
          </cell>
          <cell r="AB8902" t="str">
            <v>Gallbladder</v>
          </cell>
        </row>
        <row r="8903">
          <cell r="A8903" t="str">
            <v>in storage</v>
          </cell>
          <cell r="K8903" t="str">
            <v>MMUR</v>
          </cell>
          <cell r="AB8903" t="str">
            <v>GI- stomach</v>
          </cell>
        </row>
        <row r="8904">
          <cell r="A8904" t="str">
            <v>in storage</v>
          </cell>
          <cell r="K8904" t="str">
            <v>MMUR</v>
          </cell>
          <cell r="AB8904" t="str">
            <v>GI- stomach</v>
          </cell>
        </row>
        <row r="8905">
          <cell r="A8905" t="str">
            <v>in storage</v>
          </cell>
          <cell r="K8905" t="str">
            <v>MMUR</v>
          </cell>
          <cell r="AB8905" t="str">
            <v>GI Tract</v>
          </cell>
        </row>
        <row r="8906">
          <cell r="A8906" t="str">
            <v>in storage</v>
          </cell>
          <cell r="K8906" t="str">
            <v>MMUR</v>
          </cell>
          <cell r="AB8906" t="str">
            <v>U- bladder</v>
          </cell>
        </row>
        <row r="8907">
          <cell r="A8907" t="str">
            <v>in storage</v>
          </cell>
          <cell r="K8907" t="str">
            <v>MMUR</v>
          </cell>
          <cell r="AB8907" t="str">
            <v>Peritoneal effusion</v>
          </cell>
        </row>
        <row r="8908">
          <cell r="A8908" t="str">
            <v>in storage</v>
          </cell>
          <cell r="K8908" t="str">
            <v>MMUR</v>
          </cell>
          <cell r="AB8908" t="str">
            <v>Peritoneal effusion</v>
          </cell>
        </row>
        <row r="8909">
          <cell r="A8909" t="str">
            <v>in storage</v>
          </cell>
          <cell r="K8909" t="str">
            <v>MMUR</v>
          </cell>
          <cell r="AB8909" t="str">
            <v>Fluid- pleural</v>
          </cell>
        </row>
        <row r="8910">
          <cell r="A8910" t="str">
            <v>in storage</v>
          </cell>
          <cell r="K8910" t="str">
            <v>MMUR</v>
          </cell>
          <cell r="AB8910" t="str">
            <v>Fluid- pleural</v>
          </cell>
        </row>
        <row r="8911">
          <cell r="A8911" t="str">
            <v>in storage</v>
          </cell>
          <cell r="K8911" t="str">
            <v>MMUR</v>
          </cell>
          <cell r="AB8911" t="str">
            <v>Kidney</v>
          </cell>
        </row>
        <row r="8912">
          <cell r="A8912" t="str">
            <v>in storage</v>
          </cell>
          <cell r="K8912" t="str">
            <v>MMUR</v>
          </cell>
          <cell r="AB8912" t="str">
            <v>Kidney</v>
          </cell>
        </row>
        <row r="8913">
          <cell r="A8913" t="str">
            <v>in storage</v>
          </cell>
          <cell r="K8913" t="str">
            <v>MMUR</v>
          </cell>
          <cell r="AB8913" t="str">
            <v>Spleen</v>
          </cell>
        </row>
        <row r="8914">
          <cell r="A8914" t="str">
            <v>in storage</v>
          </cell>
          <cell r="K8914" t="str">
            <v>MMUR</v>
          </cell>
          <cell r="AB8914" t="str">
            <v>Liver</v>
          </cell>
        </row>
        <row r="8915">
          <cell r="A8915" t="str">
            <v>in storage</v>
          </cell>
          <cell r="K8915" t="str">
            <v>MMUR</v>
          </cell>
          <cell r="AB8915" t="str">
            <v>Liver</v>
          </cell>
        </row>
        <row r="8916">
          <cell r="A8916" t="str">
            <v>in storage</v>
          </cell>
          <cell r="K8916" t="str">
            <v>MMUR</v>
          </cell>
          <cell r="AB8916" t="str">
            <v>Liver</v>
          </cell>
        </row>
        <row r="8917">
          <cell r="A8917" t="str">
            <v>in storage</v>
          </cell>
          <cell r="K8917" t="str">
            <v>MMUR</v>
          </cell>
          <cell r="AB8917" t="str">
            <v>Gallbladder/ liver</v>
          </cell>
        </row>
        <row r="8918">
          <cell r="A8918" t="str">
            <v>in storage</v>
          </cell>
          <cell r="K8918" t="str">
            <v>MMUR</v>
          </cell>
          <cell r="AB8918" t="str">
            <v>Mass- liver</v>
          </cell>
        </row>
        <row r="8919">
          <cell r="A8919" t="str">
            <v>in storage</v>
          </cell>
          <cell r="K8919" t="str">
            <v>MMUR</v>
          </cell>
          <cell r="AB8919" t="str">
            <v>Mass- liver</v>
          </cell>
        </row>
        <row r="8920">
          <cell r="A8920" t="str">
            <v>in storage</v>
          </cell>
          <cell r="K8920" t="str">
            <v>MMUR</v>
          </cell>
          <cell r="AB8920" t="str">
            <v>GI- duodenum/ jejunem</v>
          </cell>
        </row>
        <row r="8921">
          <cell r="A8921" t="str">
            <v>in storage</v>
          </cell>
          <cell r="K8921" t="str">
            <v>MMUR</v>
          </cell>
          <cell r="AB8921" t="str">
            <v>GI- stomach</v>
          </cell>
        </row>
        <row r="8922">
          <cell r="A8922" t="str">
            <v>in storage</v>
          </cell>
          <cell r="K8922" t="str">
            <v>MMUR</v>
          </cell>
          <cell r="AB8922" t="str">
            <v>GI- ileum</v>
          </cell>
        </row>
        <row r="8923">
          <cell r="A8923" t="str">
            <v>in storage</v>
          </cell>
          <cell r="K8923" t="str">
            <v>MMUR</v>
          </cell>
          <cell r="AB8923" t="str">
            <v>Lung</v>
          </cell>
        </row>
        <row r="8924">
          <cell r="A8924" t="str">
            <v>in storage</v>
          </cell>
          <cell r="K8924" t="str">
            <v>MMUR</v>
          </cell>
          <cell r="AB8924" t="str">
            <v>Lung</v>
          </cell>
        </row>
        <row r="8925">
          <cell r="A8925" t="str">
            <v>in storage</v>
          </cell>
          <cell r="K8925" t="str">
            <v>MMUR</v>
          </cell>
          <cell r="AB8925" t="str">
            <v>GI- colon</v>
          </cell>
        </row>
        <row r="8926">
          <cell r="A8926" t="str">
            <v>in storage</v>
          </cell>
          <cell r="K8926" t="str">
            <v>MMUR</v>
          </cell>
          <cell r="AB8926" t="str">
            <v>GI- cecum</v>
          </cell>
        </row>
        <row r="8927">
          <cell r="A8927" t="str">
            <v>in storage</v>
          </cell>
          <cell r="K8927" t="str">
            <v>MMUR</v>
          </cell>
          <cell r="AB8927" t="str">
            <v>Heart</v>
          </cell>
        </row>
        <row r="8928">
          <cell r="A8928" t="str">
            <v>in storage</v>
          </cell>
          <cell r="K8928" t="str">
            <v>MMUR</v>
          </cell>
          <cell r="AB8928" t="str">
            <v>Thyroid</v>
          </cell>
        </row>
        <row r="8929">
          <cell r="A8929" t="str">
            <v>in storage</v>
          </cell>
          <cell r="K8929" t="str">
            <v>MMUR</v>
          </cell>
          <cell r="AB8929" t="str">
            <v>Salivary gland</v>
          </cell>
        </row>
        <row r="8930">
          <cell r="A8930" t="str">
            <v>in storage</v>
          </cell>
          <cell r="K8930" t="str">
            <v>MMUR</v>
          </cell>
          <cell r="AB8930" t="str">
            <v>Fat- brown</v>
          </cell>
        </row>
        <row r="8931">
          <cell r="A8931" t="str">
            <v>in storage</v>
          </cell>
          <cell r="K8931" t="str">
            <v>MMUR</v>
          </cell>
          <cell r="AB8931" t="str">
            <v>bladder</v>
          </cell>
        </row>
        <row r="8932">
          <cell r="A8932" t="str">
            <v>in storage</v>
          </cell>
          <cell r="K8932" t="str">
            <v>MMUR</v>
          </cell>
          <cell r="AB8932" t="str">
            <v>Fat- brown</v>
          </cell>
        </row>
        <row r="8933">
          <cell r="A8933" t="str">
            <v>in storage</v>
          </cell>
          <cell r="K8933" t="str">
            <v>MMUR</v>
          </cell>
          <cell r="AB8933" t="str">
            <v>Fat- abdominal</v>
          </cell>
        </row>
        <row r="8934">
          <cell r="A8934" t="str">
            <v>in storage</v>
          </cell>
          <cell r="K8934" t="str">
            <v>MMUR</v>
          </cell>
          <cell r="AB8934" t="str">
            <v>Tooth</v>
          </cell>
        </row>
        <row r="8935">
          <cell r="A8935" t="str">
            <v>in storage</v>
          </cell>
          <cell r="K8935" t="str">
            <v>MMUR</v>
          </cell>
          <cell r="AB8935" t="str">
            <v>Kidney</v>
          </cell>
        </row>
        <row r="8936">
          <cell r="A8936" t="str">
            <v>in storage</v>
          </cell>
          <cell r="K8936" t="str">
            <v>MMUR</v>
          </cell>
          <cell r="AB8936" t="str">
            <v>Kidney</v>
          </cell>
        </row>
        <row r="8937">
          <cell r="A8937" t="str">
            <v>in storage</v>
          </cell>
          <cell r="K8937" t="str">
            <v>MMUR</v>
          </cell>
          <cell r="AB8937" t="str">
            <v>Spleen</v>
          </cell>
        </row>
        <row r="8938">
          <cell r="A8938" t="str">
            <v>in storage</v>
          </cell>
          <cell r="K8938" t="str">
            <v>MMUR</v>
          </cell>
          <cell r="AB8938" t="str">
            <v>U- bladder</v>
          </cell>
        </row>
        <row r="8939">
          <cell r="A8939" t="str">
            <v>in storage</v>
          </cell>
          <cell r="K8939" t="str">
            <v>MMUR</v>
          </cell>
          <cell r="AB8939" t="str">
            <v>Liver</v>
          </cell>
        </row>
        <row r="8940">
          <cell r="A8940" t="str">
            <v>in storage</v>
          </cell>
          <cell r="K8940" t="str">
            <v>MMUR</v>
          </cell>
          <cell r="AB8940" t="str">
            <v>Liver</v>
          </cell>
        </row>
        <row r="8941">
          <cell r="A8941" t="str">
            <v>in storage</v>
          </cell>
          <cell r="K8941" t="str">
            <v>MMUR</v>
          </cell>
          <cell r="AB8941" t="str">
            <v>Liver</v>
          </cell>
        </row>
        <row r="8942">
          <cell r="A8942" t="str">
            <v>in storage</v>
          </cell>
          <cell r="K8942" t="str">
            <v>MMUR</v>
          </cell>
          <cell r="AB8942" t="str">
            <v>Liver</v>
          </cell>
        </row>
        <row r="8943">
          <cell r="A8943" t="str">
            <v>in storage</v>
          </cell>
          <cell r="K8943" t="str">
            <v>MMUR</v>
          </cell>
          <cell r="AB8943" t="str">
            <v>Gallbladder</v>
          </cell>
        </row>
        <row r="8944">
          <cell r="A8944" t="str">
            <v>in storage</v>
          </cell>
          <cell r="K8944" t="str">
            <v>MMUR</v>
          </cell>
          <cell r="AB8944" t="str">
            <v>GI- duodenum/ stomach</v>
          </cell>
        </row>
        <row r="8945">
          <cell r="A8945" t="str">
            <v>in storage</v>
          </cell>
          <cell r="K8945" t="str">
            <v>MMUR</v>
          </cell>
          <cell r="AB8945" t="str">
            <v>Pancreas</v>
          </cell>
        </row>
        <row r="8946">
          <cell r="A8946" t="str">
            <v>in storage</v>
          </cell>
          <cell r="K8946" t="str">
            <v>MMUR</v>
          </cell>
          <cell r="AB8946" t="str">
            <v>GI- large intestine/ small intestine</v>
          </cell>
        </row>
        <row r="8947">
          <cell r="A8947" t="str">
            <v>in storage</v>
          </cell>
          <cell r="K8947" t="str">
            <v>MMUR</v>
          </cell>
          <cell r="AB8947" t="str">
            <v>Lung</v>
          </cell>
        </row>
        <row r="8948">
          <cell r="A8948" t="str">
            <v>in storage</v>
          </cell>
          <cell r="K8948" t="str">
            <v>MMUR</v>
          </cell>
          <cell r="AB8948" t="str">
            <v>Lung</v>
          </cell>
        </row>
        <row r="8949">
          <cell r="A8949" t="str">
            <v>in storage</v>
          </cell>
          <cell r="K8949" t="str">
            <v>MMUR</v>
          </cell>
          <cell r="AB8949" t="str">
            <v>Thyroid</v>
          </cell>
        </row>
        <row r="8950">
          <cell r="A8950" t="str">
            <v>in storage</v>
          </cell>
          <cell r="K8950" t="str">
            <v>MMUR</v>
          </cell>
          <cell r="AB8950" t="str">
            <v>Adrenal gland</v>
          </cell>
        </row>
        <row r="8951">
          <cell r="A8951" t="str">
            <v>in storage</v>
          </cell>
          <cell r="K8951" t="str">
            <v>MMUR</v>
          </cell>
          <cell r="AB8951" t="str">
            <v>Kidney</v>
          </cell>
        </row>
        <row r="8952">
          <cell r="A8952" t="str">
            <v>in storage</v>
          </cell>
          <cell r="K8952" t="str">
            <v>MMUR</v>
          </cell>
          <cell r="AB8952" t="str">
            <v>Kidney</v>
          </cell>
        </row>
        <row r="8953">
          <cell r="A8953" t="str">
            <v>in storage</v>
          </cell>
          <cell r="K8953" t="str">
            <v>MMUR</v>
          </cell>
          <cell r="AB8953" t="str">
            <v>U- bladder</v>
          </cell>
        </row>
        <row r="8954">
          <cell r="A8954" t="str">
            <v>in storage</v>
          </cell>
          <cell r="K8954" t="str">
            <v>MMUR</v>
          </cell>
          <cell r="AB8954" t="str">
            <v>Liver</v>
          </cell>
        </row>
        <row r="8955">
          <cell r="A8955" t="str">
            <v>in storage</v>
          </cell>
          <cell r="K8955" t="str">
            <v>MMUR</v>
          </cell>
          <cell r="AB8955" t="str">
            <v>Liver</v>
          </cell>
        </row>
        <row r="8956">
          <cell r="A8956" t="str">
            <v>gone</v>
          </cell>
          <cell r="K8956" t="str">
            <v>MMUR</v>
          </cell>
          <cell r="AB8956" t="str">
            <v>Liver</v>
          </cell>
        </row>
        <row r="8957">
          <cell r="A8957" t="str">
            <v>in storage</v>
          </cell>
          <cell r="K8957" t="str">
            <v>MMUR</v>
          </cell>
          <cell r="AB8957" t="str">
            <v>Liver</v>
          </cell>
        </row>
        <row r="8958">
          <cell r="A8958" t="str">
            <v>in storage</v>
          </cell>
          <cell r="K8958" t="str">
            <v>MMUR</v>
          </cell>
          <cell r="AB8958" t="str">
            <v>Mass- gallbladder</v>
          </cell>
        </row>
        <row r="8959">
          <cell r="A8959" t="str">
            <v>in storage</v>
          </cell>
          <cell r="K8959" t="str">
            <v>MMUR</v>
          </cell>
          <cell r="AB8959" t="str">
            <v>Mass- gallbladder</v>
          </cell>
        </row>
        <row r="8960">
          <cell r="A8960" t="str">
            <v>in storage</v>
          </cell>
          <cell r="K8960" t="str">
            <v>MMUR</v>
          </cell>
          <cell r="AB8960" t="str">
            <v>Spleen</v>
          </cell>
        </row>
        <row r="8961">
          <cell r="A8961" t="str">
            <v>in storage</v>
          </cell>
          <cell r="K8961" t="str">
            <v>MMUR</v>
          </cell>
          <cell r="AB8961" t="str">
            <v>GI- stomach</v>
          </cell>
        </row>
        <row r="8962">
          <cell r="A8962" t="str">
            <v>in storage</v>
          </cell>
          <cell r="K8962" t="str">
            <v>MMUR</v>
          </cell>
          <cell r="AB8962" t="str">
            <v>GI- small intestine</v>
          </cell>
        </row>
        <row r="8963">
          <cell r="A8963" t="str">
            <v>in storage</v>
          </cell>
          <cell r="K8963" t="str">
            <v>MMUR</v>
          </cell>
          <cell r="AB8963" t="str">
            <v>Pancreas</v>
          </cell>
        </row>
        <row r="8964">
          <cell r="A8964" t="str">
            <v>in storage</v>
          </cell>
          <cell r="K8964" t="str">
            <v>MMUR</v>
          </cell>
          <cell r="AB8964" t="str">
            <v>GI- colon</v>
          </cell>
        </row>
        <row r="8965">
          <cell r="A8965" t="str">
            <v>in storage</v>
          </cell>
          <cell r="K8965" t="str">
            <v>MMUR</v>
          </cell>
          <cell r="AB8965" t="str">
            <v>GI- cecum</v>
          </cell>
        </row>
        <row r="8966">
          <cell r="A8966" t="str">
            <v>in storage</v>
          </cell>
          <cell r="K8966" t="str">
            <v>MMUR</v>
          </cell>
          <cell r="AB8966" t="str">
            <v>Lung</v>
          </cell>
        </row>
        <row r="8967">
          <cell r="A8967" t="str">
            <v>in storage</v>
          </cell>
          <cell r="K8967" t="str">
            <v>MMUR</v>
          </cell>
          <cell r="AB8967" t="str">
            <v>Lung</v>
          </cell>
        </row>
        <row r="8968">
          <cell r="A8968" t="str">
            <v>in storage</v>
          </cell>
          <cell r="K8968" t="str">
            <v>MMUR</v>
          </cell>
          <cell r="AB8968" t="str">
            <v>Heart</v>
          </cell>
        </row>
        <row r="8969">
          <cell r="A8969" t="str">
            <v>in storage</v>
          </cell>
          <cell r="K8969" t="str">
            <v>MMUR</v>
          </cell>
          <cell r="AB8969" t="str">
            <v>Thyroid</v>
          </cell>
        </row>
        <row r="8970">
          <cell r="A8970" t="str">
            <v>in storage</v>
          </cell>
          <cell r="K8970" t="str">
            <v>MMUR</v>
          </cell>
          <cell r="AB8970" t="str">
            <v>Esophagus/ Trachea</v>
          </cell>
        </row>
        <row r="8971">
          <cell r="A8971" t="str">
            <v>in storage</v>
          </cell>
          <cell r="K8971" t="str">
            <v>MMUR</v>
          </cell>
          <cell r="AB8971" t="str">
            <v>Salivary gland</v>
          </cell>
        </row>
        <row r="8972">
          <cell r="A8972" t="str">
            <v>in storage</v>
          </cell>
          <cell r="K8972" t="str">
            <v>MMUR</v>
          </cell>
          <cell r="AB8972" t="str">
            <v>Thymus</v>
          </cell>
        </row>
        <row r="8973">
          <cell r="A8973" t="str">
            <v>in storage</v>
          </cell>
          <cell r="K8973" t="str">
            <v>MMUR</v>
          </cell>
          <cell r="AB8973" t="str">
            <v>Salivary gland</v>
          </cell>
        </row>
        <row r="8974">
          <cell r="A8974" t="str">
            <v>in storage</v>
          </cell>
          <cell r="K8974" t="str">
            <v>MMUR</v>
          </cell>
          <cell r="AB8974" t="str">
            <v>Adrenal gland</v>
          </cell>
        </row>
        <row r="8975">
          <cell r="A8975" t="str">
            <v>in storage</v>
          </cell>
          <cell r="K8975" t="str">
            <v>MMUR</v>
          </cell>
          <cell r="AB8975" t="str">
            <v>Kidney</v>
          </cell>
        </row>
        <row r="8976">
          <cell r="A8976" t="str">
            <v>in storage</v>
          </cell>
          <cell r="K8976" t="str">
            <v>MMUR</v>
          </cell>
          <cell r="AB8976" t="str">
            <v>Kidney</v>
          </cell>
        </row>
        <row r="8977">
          <cell r="A8977" t="str">
            <v>in storage</v>
          </cell>
          <cell r="K8977" t="str">
            <v>MMUR</v>
          </cell>
          <cell r="AB8977" t="str">
            <v>Spleen</v>
          </cell>
        </row>
        <row r="8978">
          <cell r="A8978" t="str">
            <v>in storage</v>
          </cell>
          <cell r="K8978" t="str">
            <v>MMUR</v>
          </cell>
          <cell r="AB8978" t="str">
            <v>U- bladder</v>
          </cell>
        </row>
        <row r="8979">
          <cell r="A8979" t="str">
            <v>in storage</v>
          </cell>
          <cell r="K8979" t="str">
            <v>MMUR</v>
          </cell>
          <cell r="AB8979" t="str">
            <v>R- ovary/ uterus</v>
          </cell>
        </row>
        <row r="8980">
          <cell r="A8980" t="str">
            <v>in storage</v>
          </cell>
          <cell r="K8980" t="str">
            <v>MMUR</v>
          </cell>
          <cell r="AB8980" t="str">
            <v>Liver</v>
          </cell>
        </row>
        <row r="8981">
          <cell r="A8981" t="str">
            <v>in storage</v>
          </cell>
          <cell r="K8981" t="str">
            <v>MMUR</v>
          </cell>
          <cell r="AB8981" t="str">
            <v>Liver</v>
          </cell>
        </row>
        <row r="8982">
          <cell r="A8982" t="str">
            <v>in storage</v>
          </cell>
          <cell r="K8982" t="str">
            <v>MMUR</v>
          </cell>
          <cell r="AB8982" t="str">
            <v>Liver</v>
          </cell>
        </row>
        <row r="8983">
          <cell r="A8983" t="str">
            <v>in storage</v>
          </cell>
          <cell r="K8983" t="str">
            <v>MMUR</v>
          </cell>
          <cell r="AB8983" t="str">
            <v>Liver</v>
          </cell>
        </row>
        <row r="8984">
          <cell r="A8984" t="str">
            <v>in storage</v>
          </cell>
          <cell r="K8984" t="str">
            <v>MMUR</v>
          </cell>
          <cell r="AB8984" t="str">
            <v>Liver</v>
          </cell>
        </row>
        <row r="8985">
          <cell r="A8985" t="str">
            <v>in storage</v>
          </cell>
          <cell r="K8985" t="str">
            <v>MMUR</v>
          </cell>
          <cell r="AB8985" t="str">
            <v>Liver</v>
          </cell>
        </row>
        <row r="8986">
          <cell r="A8986" t="str">
            <v>in storage</v>
          </cell>
          <cell r="K8986" t="str">
            <v>MMUR</v>
          </cell>
          <cell r="AB8986" t="str">
            <v>Gallbladder</v>
          </cell>
        </row>
        <row r="8987">
          <cell r="A8987" t="str">
            <v>in storage</v>
          </cell>
          <cell r="K8987" t="str">
            <v>MMUR</v>
          </cell>
          <cell r="AB8987" t="str">
            <v>Pancreas</v>
          </cell>
        </row>
        <row r="8988">
          <cell r="A8988" t="str">
            <v>in storage</v>
          </cell>
          <cell r="K8988" t="str">
            <v>MMUR</v>
          </cell>
          <cell r="AB8988" t="str">
            <v>GI- stomach</v>
          </cell>
        </row>
        <row r="8989">
          <cell r="A8989" t="str">
            <v>in storage</v>
          </cell>
          <cell r="K8989" t="str">
            <v>MMUR</v>
          </cell>
          <cell r="AB8989" t="str">
            <v>GI tract</v>
          </cell>
        </row>
        <row r="8990">
          <cell r="A8990" t="str">
            <v>in storage</v>
          </cell>
          <cell r="K8990" t="str">
            <v>MMUR</v>
          </cell>
          <cell r="AB8990" t="str">
            <v>Lung</v>
          </cell>
        </row>
        <row r="8991">
          <cell r="A8991" t="str">
            <v>in storage</v>
          </cell>
          <cell r="K8991" t="str">
            <v>MMUR</v>
          </cell>
          <cell r="AB8991" t="str">
            <v>Lung</v>
          </cell>
        </row>
        <row r="8992">
          <cell r="A8992" t="str">
            <v>in storage</v>
          </cell>
          <cell r="K8992" t="str">
            <v>MMUR</v>
          </cell>
          <cell r="AB8992" t="str">
            <v>Heart</v>
          </cell>
        </row>
        <row r="8993">
          <cell r="A8993" t="str">
            <v>in storage</v>
          </cell>
          <cell r="K8993" t="str">
            <v>MMUR</v>
          </cell>
          <cell r="AB8993" t="str">
            <v>Heart</v>
          </cell>
        </row>
        <row r="8994">
          <cell r="A8994" t="str">
            <v>in storage</v>
          </cell>
          <cell r="K8994" t="str">
            <v>MMUR</v>
          </cell>
          <cell r="AB8994" t="str">
            <v>Thyroid</v>
          </cell>
        </row>
        <row r="8995">
          <cell r="A8995" t="str">
            <v>in storage</v>
          </cell>
          <cell r="K8995" t="str">
            <v>MMUR</v>
          </cell>
          <cell r="AB8995" t="str">
            <v>Skin</v>
          </cell>
        </row>
        <row r="8996">
          <cell r="A8996" t="str">
            <v>in storage</v>
          </cell>
          <cell r="K8996" t="str">
            <v>MMUR</v>
          </cell>
          <cell r="AB8996" t="str">
            <v>Muscle</v>
          </cell>
        </row>
        <row r="8997">
          <cell r="A8997" t="str">
            <v>in storage</v>
          </cell>
          <cell r="K8997" t="str">
            <v>MMUR</v>
          </cell>
          <cell r="AB8997" t="str">
            <v>Salivary gland</v>
          </cell>
        </row>
        <row r="8998">
          <cell r="A8998" t="str">
            <v>in storage</v>
          </cell>
          <cell r="K8998" t="str">
            <v>MMUR</v>
          </cell>
          <cell r="AB8998" t="str">
            <v>Diaphragm</v>
          </cell>
        </row>
        <row r="8999">
          <cell r="A8999" t="str">
            <v>in storage</v>
          </cell>
          <cell r="K8999" t="str">
            <v>ERUF</v>
          </cell>
          <cell r="AB8999" t="str">
            <v>Kidney</v>
          </cell>
        </row>
        <row r="9000">
          <cell r="A9000" t="str">
            <v>in storage</v>
          </cell>
          <cell r="K9000" t="str">
            <v>ERUF</v>
          </cell>
          <cell r="AB9000" t="str">
            <v>Kidney</v>
          </cell>
        </row>
        <row r="9001">
          <cell r="A9001" t="str">
            <v>in storage</v>
          </cell>
          <cell r="K9001" t="str">
            <v>ERUF</v>
          </cell>
          <cell r="AB9001" t="str">
            <v>Kidney</v>
          </cell>
        </row>
        <row r="9002">
          <cell r="A9002" t="str">
            <v>in storage</v>
          </cell>
          <cell r="K9002" t="str">
            <v>ERUF</v>
          </cell>
          <cell r="AB9002" t="str">
            <v>Kidney</v>
          </cell>
        </row>
        <row r="9003">
          <cell r="A9003" t="str">
            <v>in storage</v>
          </cell>
          <cell r="K9003" t="str">
            <v>ERUF</v>
          </cell>
          <cell r="AB9003" t="str">
            <v>Kidney</v>
          </cell>
        </row>
        <row r="9004">
          <cell r="A9004" t="str">
            <v>in storage</v>
          </cell>
          <cell r="K9004" t="str">
            <v>ERUF</v>
          </cell>
          <cell r="AB9004" t="str">
            <v>Spleen</v>
          </cell>
        </row>
        <row r="9005">
          <cell r="A9005" t="str">
            <v>in storage</v>
          </cell>
          <cell r="K9005" t="str">
            <v>ERUF</v>
          </cell>
          <cell r="AB9005" t="str">
            <v>Spleen</v>
          </cell>
        </row>
        <row r="9006">
          <cell r="A9006" t="str">
            <v>in storage</v>
          </cell>
          <cell r="K9006" t="str">
            <v>ERUF</v>
          </cell>
          <cell r="AB9006" t="str">
            <v>Spleen</v>
          </cell>
        </row>
        <row r="9007">
          <cell r="A9007" t="str">
            <v>in storage</v>
          </cell>
          <cell r="K9007" t="str">
            <v>ERUF</v>
          </cell>
          <cell r="AB9007" t="str">
            <v>Spleen</v>
          </cell>
        </row>
        <row r="9008">
          <cell r="A9008" t="str">
            <v>in storage</v>
          </cell>
          <cell r="K9008" t="str">
            <v>ERUF</v>
          </cell>
          <cell r="AB9008" t="str">
            <v>R- teste(s)</v>
          </cell>
        </row>
        <row r="9009">
          <cell r="A9009" t="str">
            <v>in storage</v>
          </cell>
          <cell r="K9009" t="str">
            <v>ERUF</v>
          </cell>
          <cell r="AB9009" t="str">
            <v>RU- accessory sex glands/ bladder</v>
          </cell>
        </row>
        <row r="9010">
          <cell r="A9010" t="str">
            <v>in storage</v>
          </cell>
          <cell r="K9010" t="str">
            <v>ERUF</v>
          </cell>
          <cell r="AB9010" t="str">
            <v>Liver</v>
          </cell>
        </row>
        <row r="9011">
          <cell r="A9011" t="str">
            <v>in storage</v>
          </cell>
          <cell r="K9011" t="str">
            <v>ERUF</v>
          </cell>
          <cell r="AB9011" t="str">
            <v>Liver</v>
          </cell>
        </row>
        <row r="9012">
          <cell r="A9012" t="str">
            <v>in storage</v>
          </cell>
          <cell r="K9012" t="str">
            <v>ERUF</v>
          </cell>
          <cell r="AB9012" t="str">
            <v>Liver</v>
          </cell>
        </row>
        <row r="9013">
          <cell r="A9013" t="str">
            <v>in storage</v>
          </cell>
          <cell r="K9013" t="str">
            <v>ERUF</v>
          </cell>
          <cell r="AB9013" t="str">
            <v>Liver</v>
          </cell>
        </row>
        <row r="9014">
          <cell r="A9014" t="str">
            <v>in storage</v>
          </cell>
          <cell r="K9014" t="str">
            <v>ERUF</v>
          </cell>
          <cell r="AB9014" t="str">
            <v>Liver</v>
          </cell>
        </row>
        <row r="9015">
          <cell r="A9015" t="str">
            <v>in storage</v>
          </cell>
          <cell r="K9015" t="str">
            <v>ERUF</v>
          </cell>
          <cell r="AB9015" t="str">
            <v>Liver</v>
          </cell>
        </row>
        <row r="9016">
          <cell r="A9016" t="str">
            <v>in storage</v>
          </cell>
          <cell r="K9016" t="str">
            <v>ERUF</v>
          </cell>
          <cell r="AB9016" t="str">
            <v>Pancreas</v>
          </cell>
        </row>
        <row r="9017">
          <cell r="A9017" t="str">
            <v>in storage</v>
          </cell>
          <cell r="K9017" t="str">
            <v>ERUF</v>
          </cell>
          <cell r="AB9017" t="str">
            <v>GI- large intestine</v>
          </cell>
        </row>
        <row r="9018">
          <cell r="A9018" t="str">
            <v>in storage</v>
          </cell>
          <cell r="K9018" t="str">
            <v>ERUF</v>
          </cell>
          <cell r="AB9018" t="str">
            <v>GI- colon</v>
          </cell>
        </row>
        <row r="9019">
          <cell r="A9019" t="str">
            <v>in storage</v>
          </cell>
          <cell r="K9019" t="str">
            <v>ERUF</v>
          </cell>
          <cell r="AB9019" t="str">
            <v>Lung</v>
          </cell>
        </row>
        <row r="9020">
          <cell r="A9020" t="str">
            <v>in storage</v>
          </cell>
          <cell r="K9020" t="str">
            <v>ERUF</v>
          </cell>
          <cell r="AB9020" t="str">
            <v>Lung</v>
          </cell>
        </row>
        <row r="9021">
          <cell r="A9021" t="str">
            <v>in storage</v>
          </cell>
          <cell r="K9021" t="str">
            <v>ERUF</v>
          </cell>
          <cell r="AB9021" t="str">
            <v>Lung</v>
          </cell>
        </row>
        <row r="9022">
          <cell r="A9022" t="str">
            <v>in storage</v>
          </cell>
          <cell r="K9022" t="str">
            <v>ERUF</v>
          </cell>
          <cell r="AB9022" t="str">
            <v>Lung</v>
          </cell>
        </row>
        <row r="9023">
          <cell r="A9023" t="str">
            <v>in storage</v>
          </cell>
          <cell r="K9023" t="str">
            <v>ERUF</v>
          </cell>
          <cell r="AB9023" t="str">
            <v>Heart</v>
          </cell>
        </row>
        <row r="9024">
          <cell r="A9024" t="str">
            <v>in storage</v>
          </cell>
          <cell r="K9024" t="str">
            <v>ERUF</v>
          </cell>
          <cell r="AB9024" t="str">
            <v>Thyroid</v>
          </cell>
        </row>
        <row r="9025">
          <cell r="A9025" t="str">
            <v>in storage</v>
          </cell>
          <cell r="K9025" t="str">
            <v>ERUF</v>
          </cell>
          <cell r="AB9025" t="str">
            <v>Skin</v>
          </cell>
        </row>
        <row r="9026">
          <cell r="A9026" t="str">
            <v>in storage</v>
          </cell>
          <cell r="K9026" t="str">
            <v>PCOQ</v>
          </cell>
          <cell r="AB9026" t="str">
            <v>R- placenta</v>
          </cell>
        </row>
        <row r="9027">
          <cell r="A9027" t="str">
            <v>in storage</v>
          </cell>
          <cell r="K9027" t="str">
            <v>DMAD</v>
          </cell>
          <cell r="AB9027" t="str">
            <v>Digit- finger</v>
          </cell>
        </row>
        <row r="9028">
          <cell r="A9028" t="str">
            <v>in storage</v>
          </cell>
          <cell r="K9028" t="str">
            <v>PCOQ</v>
          </cell>
          <cell r="AB9028" t="str">
            <v>R- placenta</v>
          </cell>
        </row>
        <row r="9029">
          <cell r="A9029" t="str">
            <v>in storage</v>
          </cell>
          <cell r="K9029" t="str">
            <v>PCOQ</v>
          </cell>
          <cell r="AB9029" t="str">
            <v>R- amniotic fluid</v>
          </cell>
        </row>
        <row r="9030">
          <cell r="A9030" t="str">
            <v>in storage</v>
          </cell>
          <cell r="K9030" t="str">
            <v>PCOQ</v>
          </cell>
          <cell r="AB9030" t="str">
            <v>R- amniotic fluid</v>
          </cell>
        </row>
        <row r="9031">
          <cell r="A9031" t="str">
            <v>in storage</v>
          </cell>
          <cell r="K9031" t="str">
            <v>PCOQ</v>
          </cell>
          <cell r="AB9031" t="str">
            <v>R- amniotic fluid</v>
          </cell>
        </row>
        <row r="9032">
          <cell r="A9032" t="str">
            <v>in storage</v>
          </cell>
          <cell r="K9032" t="str">
            <v>PCOQ</v>
          </cell>
          <cell r="AB9032" t="str">
            <v>Kidney</v>
          </cell>
        </row>
        <row r="9033">
          <cell r="A9033" t="str">
            <v>in storage</v>
          </cell>
          <cell r="K9033" t="str">
            <v>PCOQ</v>
          </cell>
          <cell r="AB9033" t="str">
            <v>GI- large intestine/ small intestine</v>
          </cell>
        </row>
        <row r="9034">
          <cell r="A9034" t="str">
            <v>in storage</v>
          </cell>
          <cell r="K9034" t="str">
            <v>PCOQ</v>
          </cell>
          <cell r="AB9034" t="str">
            <v>Lung</v>
          </cell>
        </row>
        <row r="9035">
          <cell r="A9035" t="str">
            <v>in storage</v>
          </cell>
          <cell r="K9035" t="str">
            <v>PCOQ</v>
          </cell>
          <cell r="AB9035" t="str">
            <v>Spleen</v>
          </cell>
        </row>
        <row r="9036">
          <cell r="A9036" t="str">
            <v>in storage</v>
          </cell>
          <cell r="K9036" t="str">
            <v>PCOQ</v>
          </cell>
          <cell r="AB9036" t="str">
            <v>Liver</v>
          </cell>
        </row>
        <row r="9037">
          <cell r="A9037" t="str">
            <v>in storage</v>
          </cell>
          <cell r="K9037" t="str">
            <v>MMUR</v>
          </cell>
          <cell r="AB9037" t="str">
            <v>Spleen</v>
          </cell>
        </row>
        <row r="9038">
          <cell r="A9038" t="str">
            <v>in storage</v>
          </cell>
          <cell r="K9038" t="str">
            <v>MMUR</v>
          </cell>
          <cell r="AB9038" t="str">
            <v>Kidney</v>
          </cell>
        </row>
        <row r="9039">
          <cell r="A9039" t="str">
            <v>in storage</v>
          </cell>
          <cell r="K9039" t="str">
            <v>MMUR</v>
          </cell>
          <cell r="AB9039" t="str">
            <v>Liver</v>
          </cell>
        </row>
        <row r="9040">
          <cell r="A9040" t="str">
            <v>in storage</v>
          </cell>
          <cell r="K9040" t="str">
            <v>MMUR</v>
          </cell>
          <cell r="AB9040" t="str">
            <v>Lung</v>
          </cell>
        </row>
        <row r="9041">
          <cell r="A9041" t="str">
            <v>in storage</v>
          </cell>
          <cell r="K9041" t="str">
            <v>GMOH</v>
          </cell>
          <cell r="AB9041" t="str">
            <v>Tail</v>
          </cell>
        </row>
        <row r="9042">
          <cell r="A9042" t="str">
            <v>in storage</v>
          </cell>
          <cell r="K9042" t="str">
            <v>ERUF</v>
          </cell>
          <cell r="AB9042" t="str">
            <v>Skin</v>
          </cell>
        </row>
        <row r="9043">
          <cell r="A9043" t="str">
            <v>in storage</v>
          </cell>
          <cell r="K9043" t="str">
            <v>ERUF</v>
          </cell>
          <cell r="AB9043" t="str">
            <v>Skin</v>
          </cell>
        </row>
        <row r="9044">
          <cell r="A9044" t="str">
            <v>in storage</v>
          </cell>
          <cell r="K9044" t="str">
            <v>ERUF</v>
          </cell>
          <cell r="AB9044" t="str">
            <v>GI- Large intestine</v>
          </cell>
        </row>
        <row r="9045">
          <cell r="A9045" t="str">
            <v>in storage</v>
          </cell>
          <cell r="K9045" t="str">
            <v>ERUF</v>
          </cell>
          <cell r="AB9045" t="str">
            <v>GI- Large intestine</v>
          </cell>
        </row>
        <row r="9046">
          <cell r="A9046" t="str">
            <v>in storage</v>
          </cell>
          <cell r="K9046" t="str">
            <v>ERUF</v>
          </cell>
          <cell r="AB9046" t="str">
            <v>Lung</v>
          </cell>
        </row>
        <row r="9047">
          <cell r="A9047" t="str">
            <v>in storage</v>
          </cell>
          <cell r="K9047" t="str">
            <v>ERUF</v>
          </cell>
          <cell r="AB9047" t="str">
            <v>Lung</v>
          </cell>
        </row>
        <row r="9048">
          <cell r="A9048" t="str">
            <v>in storage</v>
          </cell>
          <cell r="K9048" t="str">
            <v>ERUF</v>
          </cell>
          <cell r="AB9048" t="str">
            <v>Liver</v>
          </cell>
        </row>
        <row r="9049">
          <cell r="A9049" t="str">
            <v>in storage</v>
          </cell>
          <cell r="K9049" t="str">
            <v>ERUF</v>
          </cell>
          <cell r="AB9049" t="str">
            <v>Liver</v>
          </cell>
        </row>
        <row r="9050">
          <cell r="A9050" t="str">
            <v>in storage</v>
          </cell>
          <cell r="K9050" t="str">
            <v>ERUF</v>
          </cell>
          <cell r="AB9050" t="str">
            <v>Heart</v>
          </cell>
        </row>
        <row r="9051">
          <cell r="A9051" t="str">
            <v>in storage</v>
          </cell>
          <cell r="K9051" t="str">
            <v>ERUF</v>
          </cell>
          <cell r="AB9051" t="str">
            <v>Heart</v>
          </cell>
        </row>
        <row r="9052">
          <cell r="A9052" t="str">
            <v>in storage</v>
          </cell>
          <cell r="K9052" t="str">
            <v>ERUF</v>
          </cell>
          <cell r="AB9052" t="str">
            <v>Heart</v>
          </cell>
        </row>
        <row r="9053">
          <cell r="A9053" t="str">
            <v>in storage</v>
          </cell>
          <cell r="K9053" t="str">
            <v>ERUF</v>
          </cell>
          <cell r="AB9053" t="str">
            <v>Heart</v>
          </cell>
        </row>
        <row r="9054">
          <cell r="A9054" t="str">
            <v>in storage</v>
          </cell>
          <cell r="K9054" t="str">
            <v>ERUF</v>
          </cell>
          <cell r="AB9054" t="str">
            <v>Heart</v>
          </cell>
        </row>
        <row r="9055">
          <cell r="A9055" t="str">
            <v>in storage</v>
          </cell>
          <cell r="K9055" t="str">
            <v>ERUF</v>
          </cell>
          <cell r="AB9055" t="str">
            <v>Kidney</v>
          </cell>
        </row>
        <row r="9056">
          <cell r="A9056" t="str">
            <v>in storage</v>
          </cell>
          <cell r="K9056" t="str">
            <v>ERUF</v>
          </cell>
          <cell r="AB9056" t="str">
            <v>Kidney</v>
          </cell>
        </row>
        <row r="9057">
          <cell r="A9057" t="str">
            <v>in storage</v>
          </cell>
          <cell r="K9057" t="str">
            <v>ERUF</v>
          </cell>
          <cell r="AB9057" t="str">
            <v>Kidney</v>
          </cell>
        </row>
        <row r="9058">
          <cell r="A9058" t="str">
            <v>in storage</v>
          </cell>
          <cell r="K9058" t="str">
            <v>ERUF</v>
          </cell>
          <cell r="AB9058" t="str">
            <v>Kidney</v>
          </cell>
        </row>
        <row r="9059">
          <cell r="A9059" t="str">
            <v>in storage</v>
          </cell>
          <cell r="K9059" t="str">
            <v>ERUF</v>
          </cell>
          <cell r="AB9059" t="str">
            <v>Kidney</v>
          </cell>
        </row>
        <row r="9060">
          <cell r="A9060" t="str">
            <v>in storage</v>
          </cell>
          <cell r="K9060" t="str">
            <v>GMOH</v>
          </cell>
          <cell r="AB9060" t="str">
            <v>Tail</v>
          </cell>
        </row>
        <row r="9061">
          <cell r="A9061" t="str">
            <v>in storage</v>
          </cell>
          <cell r="K9061" t="str">
            <v>EFLA</v>
          </cell>
          <cell r="AB9061" t="str">
            <v>Kidney</v>
          </cell>
        </row>
        <row r="9062">
          <cell r="A9062" t="str">
            <v>in storage</v>
          </cell>
          <cell r="K9062" t="str">
            <v>EFLA</v>
          </cell>
          <cell r="AB9062" t="str">
            <v>Kidney</v>
          </cell>
        </row>
        <row r="9063">
          <cell r="A9063" t="str">
            <v>in storage</v>
          </cell>
          <cell r="K9063" t="str">
            <v>EFLA</v>
          </cell>
          <cell r="AB9063" t="str">
            <v>Kidney</v>
          </cell>
        </row>
        <row r="9064">
          <cell r="A9064" t="str">
            <v>in storage</v>
          </cell>
          <cell r="K9064" t="str">
            <v>EFLA</v>
          </cell>
          <cell r="AB9064" t="str">
            <v>Kidney</v>
          </cell>
        </row>
        <row r="9065">
          <cell r="A9065" t="str">
            <v>in storage</v>
          </cell>
          <cell r="K9065" t="str">
            <v>EFLA</v>
          </cell>
          <cell r="AB9065" t="str">
            <v>Kidney</v>
          </cell>
        </row>
        <row r="9066">
          <cell r="A9066" t="str">
            <v>in storage</v>
          </cell>
          <cell r="K9066" t="str">
            <v>EFLA</v>
          </cell>
          <cell r="AB9066" t="str">
            <v>Kidney</v>
          </cell>
        </row>
        <row r="9067">
          <cell r="A9067" t="str">
            <v>in storage</v>
          </cell>
          <cell r="K9067" t="str">
            <v>EFLA</v>
          </cell>
          <cell r="AB9067" t="str">
            <v>Kidney</v>
          </cell>
        </row>
        <row r="9068">
          <cell r="A9068" t="str">
            <v>in storage</v>
          </cell>
          <cell r="K9068" t="str">
            <v>EFLA</v>
          </cell>
          <cell r="AB9068" t="str">
            <v>Spleen</v>
          </cell>
        </row>
        <row r="9069">
          <cell r="A9069" t="str">
            <v>in storage</v>
          </cell>
          <cell r="K9069" t="str">
            <v>EFLA</v>
          </cell>
          <cell r="AB9069" t="str">
            <v>Spleen</v>
          </cell>
        </row>
        <row r="9070">
          <cell r="A9070" t="str">
            <v>in storage</v>
          </cell>
          <cell r="K9070" t="str">
            <v>EFLA</v>
          </cell>
          <cell r="AB9070" t="str">
            <v>Spleen</v>
          </cell>
        </row>
        <row r="9071">
          <cell r="A9071" t="str">
            <v>in storage</v>
          </cell>
          <cell r="K9071" t="str">
            <v>EFLA</v>
          </cell>
          <cell r="AB9071" t="str">
            <v>Spleen</v>
          </cell>
        </row>
        <row r="9072">
          <cell r="A9072" t="str">
            <v>in storage</v>
          </cell>
          <cell r="K9072" t="str">
            <v>EFLA</v>
          </cell>
          <cell r="AB9072" t="str">
            <v>Spleen</v>
          </cell>
        </row>
        <row r="9073">
          <cell r="A9073" t="str">
            <v>in storage</v>
          </cell>
          <cell r="K9073" t="str">
            <v>EFLA</v>
          </cell>
          <cell r="AB9073" t="str">
            <v>Spleen</v>
          </cell>
        </row>
        <row r="9074">
          <cell r="A9074" t="str">
            <v>in storage</v>
          </cell>
          <cell r="K9074" t="str">
            <v>EFLA</v>
          </cell>
          <cell r="AB9074" t="str">
            <v>Spleen</v>
          </cell>
        </row>
        <row r="9075">
          <cell r="A9075" t="str">
            <v>in storage</v>
          </cell>
          <cell r="K9075" t="str">
            <v>EFLA</v>
          </cell>
          <cell r="AB9075" t="str">
            <v>U- bladder</v>
          </cell>
        </row>
        <row r="9076">
          <cell r="A9076" t="str">
            <v>in storage</v>
          </cell>
          <cell r="K9076" t="str">
            <v>EFLA</v>
          </cell>
          <cell r="AB9076" t="str">
            <v>U- bladder</v>
          </cell>
        </row>
        <row r="9077">
          <cell r="A9077" t="str">
            <v>in storage</v>
          </cell>
          <cell r="K9077" t="str">
            <v>EFLA</v>
          </cell>
          <cell r="AB9077" t="str">
            <v>U- bladder</v>
          </cell>
        </row>
        <row r="9078">
          <cell r="A9078" t="str">
            <v>in storage</v>
          </cell>
          <cell r="K9078" t="str">
            <v>EFLA</v>
          </cell>
          <cell r="AB9078" t="str">
            <v>U- bladder</v>
          </cell>
        </row>
        <row r="9079">
          <cell r="A9079" t="str">
            <v>in storage</v>
          </cell>
          <cell r="K9079" t="str">
            <v>EFLA</v>
          </cell>
          <cell r="AB9079" t="str">
            <v>U- bladder</v>
          </cell>
        </row>
        <row r="9080">
          <cell r="A9080" t="str">
            <v>in storage</v>
          </cell>
          <cell r="K9080" t="str">
            <v>EFLA</v>
          </cell>
          <cell r="AB9080" t="str">
            <v>U- bladder</v>
          </cell>
        </row>
        <row r="9081">
          <cell r="A9081" t="str">
            <v>in storage</v>
          </cell>
          <cell r="K9081" t="str">
            <v>EFLA</v>
          </cell>
          <cell r="AB9081" t="str">
            <v>U- bladder</v>
          </cell>
        </row>
        <row r="9082">
          <cell r="A9082" t="str">
            <v>in storage</v>
          </cell>
          <cell r="K9082" t="str">
            <v>EFLA</v>
          </cell>
          <cell r="AB9082" t="str">
            <v>Liver</v>
          </cell>
        </row>
        <row r="9083">
          <cell r="A9083" t="str">
            <v>in storage</v>
          </cell>
          <cell r="K9083" t="str">
            <v>EFLA</v>
          </cell>
          <cell r="AB9083" t="str">
            <v>Liver</v>
          </cell>
        </row>
        <row r="9084">
          <cell r="A9084" t="str">
            <v>in storage</v>
          </cell>
          <cell r="K9084" t="str">
            <v>EFLA</v>
          </cell>
          <cell r="AB9084" t="str">
            <v>Liver</v>
          </cell>
        </row>
        <row r="9085">
          <cell r="A9085" t="str">
            <v>in storage</v>
          </cell>
          <cell r="K9085" t="str">
            <v>EFLA</v>
          </cell>
          <cell r="AB9085" t="str">
            <v>Liver</v>
          </cell>
        </row>
        <row r="9086">
          <cell r="A9086" t="str">
            <v>in storage</v>
          </cell>
          <cell r="K9086" t="str">
            <v>EFLA</v>
          </cell>
          <cell r="AB9086" t="str">
            <v>Liver</v>
          </cell>
        </row>
        <row r="9087">
          <cell r="A9087" t="str">
            <v>in storage</v>
          </cell>
          <cell r="K9087" t="str">
            <v>EFLA</v>
          </cell>
          <cell r="AB9087" t="str">
            <v>Liver</v>
          </cell>
        </row>
        <row r="9088">
          <cell r="A9088" t="str">
            <v>in storage</v>
          </cell>
          <cell r="K9088" t="str">
            <v>EFLA</v>
          </cell>
          <cell r="AB9088" t="str">
            <v>Liver</v>
          </cell>
        </row>
        <row r="9089">
          <cell r="A9089" t="str">
            <v>in storage</v>
          </cell>
          <cell r="K9089" t="str">
            <v>EFLA</v>
          </cell>
          <cell r="AB9089" t="str">
            <v>Gallbladder</v>
          </cell>
        </row>
        <row r="9090">
          <cell r="A9090" t="str">
            <v>in storage</v>
          </cell>
          <cell r="K9090" t="str">
            <v>EFLA</v>
          </cell>
          <cell r="AB9090" t="str">
            <v>Gallbladder</v>
          </cell>
        </row>
        <row r="9091">
          <cell r="A9091" t="str">
            <v>in storage</v>
          </cell>
          <cell r="K9091" t="str">
            <v>EFLA</v>
          </cell>
          <cell r="AB9091" t="str">
            <v>Pancreas</v>
          </cell>
        </row>
        <row r="9092">
          <cell r="A9092" t="str">
            <v>in storage</v>
          </cell>
          <cell r="K9092" t="str">
            <v>EFLA</v>
          </cell>
          <cell r="AB9092" t="str">
            <v>Pancreas</v>
          </cell>
        </row>
        <row r="9093">
          <cell r="A9093" t="str">
            <v>in storage</v>
          </cell>
          <cell r="K9093" t="str">
            <v>EFLA</v>
          </cell>
          <cell r="AB9093" t="str">
            <v>Pancreas</v>
          </cell>
        </row>
        <row r="9094">
          <cell r="A9094" t="str">
            <v>in storage</v>
          </cell>
          <cell r="K9094" t="str">
            <v>EFLA</v>
          </cell>
          <cell r="AB9094" t="str">
            <v>Pancreas</v>
          </cell>
        </row>
        <row r="9095">
          <cell r="A9095" t="str">
            <v>in storage</v>
          </cell>
          <cell r="K9095" t="str">
            <v>EFLA</v>
          </cell>
          <cell r="AB9095" t="str">
            <v>Pancreas</v>
          </cell>
        </row>
        <row r="9096">
          <cell r="A9096" t="str">
            <v>in storage</v>
          </cell>
          <cell r="K9096" t="str">
            <v>EFLA</v>
          </cell>
          <cell r="AB9096" t="str">
            <v>Pancreas</v>
          </cell>
        </row>
        <row r="9097">
          <cell r="A9097" t="str">
            <v>in storage</v>
          </cell>
          <cell r="K9097" t="str">
            <v>EFLA</v>
          </cell>
          <cell r="AB9097" t="str">
            <v>Pancreas</v>
          </cell>
        </row>
        <row r="9098">
          <cell r="A9098" t="str">
            <v>in storage</v>
          </cell>
          <cell r="K9098" t="str">
            <v>EFLA</v>
          </cell>
          <cell r="AB9098" t="str">
            <v>Lung</v>
          </cell>
        </row>
        <row r="9099">
          <cell r="A9099" t="str">
            <v>in storage</v>
          </cell>
          <cell r="K9099" t="str">
            <v>EFLA</v>
          </cell>
          <cell r="AB9099" t="str">
            <v>Lung</v>
          </cell>
        </row>
        <row r="9100">
          <cell r="A9100" t="str">
            <v>in storage</v>
          </cell>
          <cell r="K9100" t="str">
            <v>EFLA</v>
          </cell>
          <cell r="AB9100" t="str">
            <v>Lung</v>
          </cell>
        </row>
        <row r="9101">
          <cell r="A9101" t="str">
            <v>in storage</v>
          </cell>
          <cell r="K9101" t="str">
            <v>EFLA</v>
          </cell>
          <cell r="AB9101" t="str">
            <v>Lung</v>
          </cell>
        </row>
        <row r="9102">
          <cell r="A9102" t="str">
            <v>in storage</v>
          </cell>
          <cell r="K9102" t="str">
            <v>EFLA</v>
          </cell>
          <cell r="AB9102" t="str">
            <v>Lung</v>
          </cell>
        </row>
        <row r="9103">
          <cell r="A9103" t="str">
            <v>in storage</v>
          </cell>
          <cell r="K9103" t="str">
            <v>EFLA</v>
          </cell>
          <cell r="AB9103" t="str">
            <v>Lung</v>
          </cell>
        </row>
        <row r="9104">
          <cell r="A9104" t="str">
            <v>in storage</v>
          </cell>
          <cell r="K9104" t="str">
            <v>EFLA</v>
          </cell>
          <cell r="AB9104" t="str">
            <v>Heart</v>
          </cell>
        </row>
        <row r="9105">
          <cell r="A9105" t="str">
            <v>in storage</v>
          </cell>
          <cell r="K9105" t="str">
            <v>EFLA</v>
          </cell>
          <cell r="AB9105" t="str">
            <v>Heart</v>
          </cell>
        </row>
        <row r="9106">
          <cell r="A9106" t="str">
            <v>in storage</v>
          </cell>
          <cell r="K9106" t="str">
            <v>EFLA</v>
          </cell>
          <cell r="AB9106" t="str">
            <v>Heart</v>
          </cell>
        </row>
        <row r="9107">
          <cell r="A9107" t="str">
            <v>in storage</v>
          </cell>
          <cell r="K9107" t="str">
            <v>EFLA</v>
          </cell>
          <cell r="AB9107" t="str">
            <v>Heart</v>
          </cell>
        </row>
        <row r="9108">
          <cell r="A9108" t="str">
            <v>in storage</v>
          </cell>
          <cell r="K9108" t="str">
            <v>EFLA</v>
          </cell>
          <cell r="AB9108" t="str">
            <v>Heart</v>
          </cell>
        </row>
        <row r="9109">
          <cell r="A9109" t="str">
            <v>in storage</v>
          </cell>
          <cell r="K9109" t="str">
            <v>EFLA</v>
          </cell>
          <cell r="AB9109" t="str">
            <v>Heart</v>
          </cell>
        </row>
        <row r="9110">
          <cell r="A9110" t="str">
            <v>in storage</v>
          </cell>
          <cell r="K9110" t="str">
            <v>EFLA</v>
          </cell>
          <cell r="AB9110" t="str">
            <v>Heart</v>
          </cell>
        </row>
        <row r="9111">
          <cell r="A9111" t="str">
            <v>in storage</v>
          </cell>
          <cell r="K9111" t="str">
            <v>EFLA</v>
          </cell>
          <cell r="AB9111" t="str">
            <v>Heart</v>
          </cell>
        </row>
        <row r="9112">
          <cell r="A9112" t="str">
            <v>in storage</v>
          </cell>
          <cell r="K9112" t="str">
            <v>EFLA</v>
          </cell>
          <cell r="AB9112" t="str">
            <v>Thyroid</v>
          </cell>
        </row>
        <row r="9113">
          <cell r="A9113" t="str">
            <v>in storage</v>
          </cell>
          <cell r="K9113" t="str">
            <v>EFLA</v>
          </cell>
          <cell r="AB9113" t="str">
            <v>R- uterus</v>
          </cell>
        </row>
        <row r="9114">
          <cell r="A9114" t="str">
            <v>in storage</v>
          </cell>
          <cell r="K9114" t="str">
            <v>EFLA</v>
          </cell>
          <cell r="AB9114" t="str">
            <v>GI- stomach/ small intestine/ large intestine</v>
          </cell>
        </row>
        <row r="9115">
          <cell r="A9115" t="str">
            <v>in storage</v>
          </cell>
          <cell r="K9115" t="str">
            <v>EFLA</v>
          </cell>
          <cell r="AB9115" t="str">
            <v>Lung/ Trachea</v>
          </cell>
        </row>
        <row r="9116">
          <cell r="A9116" t="str">
            <v>in storage</v>
          </cell>
          <cell r="K9116" t="str">
            <v>EFLA</v>
          </cell>
          <cell r="AB9116" t="str">
            <v>Liver</v>
          </cell>
        </row>
        <row r="9117">
          <cell r="A9117" t="str">
            <v>in storage</v>
          </cell>
          <cell r="K9117" t="str">
            <v>EFLA</v>
          </cell>
          <cell r="AB9117" t="str">
            <v>Liver</v>
          </cell>
        </row>
        <row r="9118">
          <cell r="A9118" t="str">
            <v>in storage</v>
          </cell>
          <cell r="K9118" t="str">
            <v>EFLA</v>
          </cell>
          <cell r="AB9118" t="str">
            <v>Liver</v>
          </cell>
        </row>
        <row r="9119">
          <cell r="A9119" t="str">
            <v>in storage</v>
          </cell>
          <cell r="K9119" t="str">
            <v>EFLA</v>
          </cell>
          <cell r="AB9119" t="str">
            <v>Liver</v>
          </cell>
        </row>
        <row r="9120">
          <cell r="A9120" t="str">
            <v>in storage</v>
          </cell>
          <cell r="K9120" t="str">
            <v>EFLA</v>
          </cell>
          <cell r="AB9120" t="str">
            <v>Kidney</v>
          </cell>
        </row>
        <row r="9121">
          <cell r="A9121" t="str">
            <v>in storage</v>
          </cell>
          <cell r="K9121" t="str">
            <v>EFLA</v>
          </cell>
          <cell r="AB9121" t="str">
            <v>Kidney</v>
          </cell>
        </row>
        <row r="9122">
          <cell r="A9122" t="str">
            <v>in storage</v>
          </cell>
          <cell r="K9122" t="str">
            <v>EFLA</v>
          </cell>
          <cell r="AB9122" t="str">
            <v>Spleen</v>
          </cell>
        </row>
        <row r="9123">
          <cell r="A9123" t="str">
            <v>in storage</v>
          </cell>
          <cell r="K9123" t="str">
            <v>EFLA</v>
          </cell>
          <cell r="AB9123" t="str">
            <v>GI tract</v>
          </cell>
        </row>
        <row r="9124">
          <cell r="A9124" t="str">
            <v>in storage</v>
          </cell>
          <cell r="K9124" t="str">
            <v>EFLA</v>
          </cell>
          <cell r="AB9124" t="str">
            <v>GI- stomach</v>
          </cell>
        </row>
        <row r="9125">
          <cell r="A9125" t="str">
            <v>in storage</v>
          </cell>
          <cell r="K9125" t="str">
            <v>EFLA</v>
          </cell>
          <cell r="AB9125" t="str">
            <v>Lung</v>
          </cell>
        </row>
        <row r="9126">
          <cell r="A9126" t="str">
            <v>in storage</v>
          </cell>
          <cell r="K9126" t="str">
            <v>EFLA</v>
          </cell>
          <cell r="AB9126" t="str">
            <v>Lung</v>
          </cell>
        </row>
        <row r="9127">
          <cell r="A9127" t="str">
            <v>in storage</v>
          </cell>
          <cell r="K9127" t="str">
            <v>EFLA</v>
          </cell>
          <cell r="AB9127" t="str">
            <v>Thyroid</v>
          </cell>
        </row>
        <row r="9128">
          <cell r="A9128" t="str">
            <v>in storage</v>
          </cell>
          <cell r="K9128" t="str">
            <v>MMUR</v>
          </cell>
          <cell r="AB9128" t="str">
            <v>R- sperm plug</v>
          </cell>
        </row>
        <row r="9129">
          <cell r="A9129" t="str">
            <v>in storage</v>
          </cell>
          <cell r="K9129" t="str">
            <v>CMED</v>
          </cell>
          <cell r="AB9129" t="str">
            <v>Adrenal gland</v>
          </cell>
        </row>
        <row r="9130">
          <cell r="A9130" t="str">
            <v>in storage</v>
          </cell>
          <cell r="K9130" t="str">
            <v>CMED</v>
          </cell>
          <cell r="AB9130" t="str">
            <v>Kidney</v>
          </cell>
        </row>
        <row r="9131">
          <cell r="A9131" t="str">
            <v>in storage</v>
          </cell>
          <cell r="K9131" t="str">
            <v>CMED</v>
          </cell>
          <cell r="AB9131" t="str">
            <v>Spleen</v>
          </cell>
        </row>
        <row r="9132">
          <cell r="A9132" t="str">
            <v>in storage</v>
          </cell>
          <cell r="K9132" t="str">
            <v>CMED</v>
          </cell>
          <cell r="AB9132" t="str">
            <v>Spleen</v>
          </cell>
        </row>
        <row r="9133">
          <cell r="A9133" t="str">
            <v>in storage</v>
          </cell>
          <cell r="K9133" t="str">
            <v>CMED</v>
          </cell>
          <cell r="AB9133" t="str">
            <v>Liver</v>
          </cell>
        </row>
        <row r="9134">
          <cell r="A9134" t="str">
            <v>in storage</v>
          </cell>
          <cell r="K9134" t="str">
            <v>CMED</v>
          </cell>
          <cell r="AB9134" t="str">
            <v>Liver</v>
          </cell>
        </row>
        <row r="9135">
          <cell r="A9135" t="str">
            <v>in storage</v>
          </cell>
          <cell r="K9135" t="str">
            <v>CMED</v>
          </cell>
          <cell r="AB9135" t="str">
            <v>Liver</v>
          </cell>
        </row>
        <row r="9136">
          <cell r="A9136" t="str">
            <v>in storage</v>
          </cell>
          <cell r="K9136" t="str">
            <v>CMED</v>
          </cell>
          <cell r="AB9136" t="str">
            <v>Liver</v>
          </cell>
        </row>
        <row r="9137">
          <cell r="A9137" t="str">
            <v>in storage</v>
          </cell>
          <cell r="K9137" t="str">
            <v>CMED</v>
          </cell>
          <cell r="AB9137" t="str">
            <v>Liver</v>
          </cell>
        </row>
        <row r="9138">
          <cell r="A9138" t="str">
            <v>in storage</v>
          </cell>
          <cell r="K9138" t="str">
            <v>CMED</v>
          </cell>
          <cell r="AB9138" t="str">
            <v>Pancreas</v>
          </cell>
        </row>
        <row r="9139">
          <cell r="A9139" t="str">
            <v>in storage</v>
          </cell>
          <cell r="K9139" t="str">
            <v>CMED</v>
          </cell>
          <cell r="AB9139" t="str">
            <v>GI tract</v>
          </cell>
        </row>
        <row r="9140">
          <cell r="A9140" t="str">
            <v>in storage</v>
          </cell>
          <cell r="K9140" t="str">
            <v>CMED</v>
          </cell>
          <cell r="AB9140" t="str">
            <v>GI- stomach</v>
          </cell>
        </row>
        <row r="9141">
          <cell r="A9141" t="str">
            <v>in storage</v>
          </cell>
          <cell r="K9141" t="str">
            <v>CMED</v>
          </cell>
          <cell r="AB9141" t="str">
            <v>Heart</v>
          </cell>
        </row>
        <row r="9142">
          <cell r="A9142" t="str">
            <v>in storage</v>
          </cell>
          <cell r="K9142" t="str">
            <v>CMED</v>
          </cell>
          <cell r="AB9142" t="str">
            <v>Lung</v>
          </cell>
        </row>
        <row r="9143">
          <cell r="A9143" t="str">
            <v>in storage</v>
          </cell>
          <cell r="K9143" t="str">
            <v>CMED</v>
          </cell>
          <cell r="AB9143" t="str">
            <v>Lung</v>
          </cell>
        </row>
        <row r="9144">
          <cell r="A9144" t="str">
            <v>in storage</v>
          </cell>
          <cell r="K9144" t="str">
            <v>CMED</v>
          </cell>
          <cell r="AB9144" t="str">
            <v>Lung</v>
          </cell>
        </row>
        <row r="9145">
          <cell r="A9145" t="str">
            <v>in storage</v>
          </cell>
          <cell r="K9145" t="str">
            <v>CMED</v>
          </cell>
          <cell r="AB9145" t="str">
            <v>Lung</v>
          </cell>
        </row>
        <row r="9146">
          <cell r="A9146" t="str">
            <v>in storage</v>
          </cell>
          <cell r="K9146" t="str">
            <v>CMED</v>
          </cell>
          <cell r="AB9146" t="str">
            <v>Thyroid</v>
          </cell>
        </row>
        <row r="9147">
          <cell r="A9147" t="str">
            <v>in storage</v>
          </cell>
          <cell r="K9147" t="str">
            <v>CMED</v>
          </cell>
          <cell r="AB9147" t="str">
            <v>Spleen</v>
          </cell>
        </row>
        <row r="9148">
          <cell r="A9148" t="str">
            <v>in storage</v>
          </cell>
          <cell r="K9148" t="str">
            <v>CMED</v>
          </cell>
          <cell r="AB9148" t="str">
            <v>Spleen</v>
          </cell>
        </row>
        <row r="9149">
          <cell r="A9149" t="str">
            <v>gone</v>
          </cell>
          <cell r="K9149" t="str">
            <v>CMED</v>
          </cell>
          <cell r="AB9149" t="str">
            <v>Liver</v>
          </cell>
        </row>
        <row r="9150">
          <cell r="A9150" t="str">
            <v>in storage</v>
          </cell>
          <cell r="K9150" t="str">
            <v>CMED</v>
          </cell>
          <cell r="AB9150" t="str">
            <v>Liver</v>
          </cell>
        </row>
        <row r="9151">
          <cell r="A9151" t="str">
            <v>in storage</v>
          </cell>
          <cell r="K9151" t="str">
            <v>CMED</v>
          </cell>
          <cell r="AB9151" t="str">
            <v>Liver</v>
          </cell>
        </row>
        <row r="9152">
          <cell r="A9152" t="str">
            <v>in storage</v>
          </cell>
          <cell r="K9152" t="str">
            <v>CMED</v>
          </cell>
          <cell r="AB9152" t="str">
            <v>Liver</v>
          </cell>
        </row>
        <row r="9153">
          <cell r="A9153" t="str">
            <v>gone</v>
          </cell>
          <cell r="K9153" t="str">
            <v>CMED</v>
          </cell>
          <cell r="AB9153" t="str">
            <v>Liver</v>
          </cell>
        </row>
        <row r="9154">
          <cell r="A9154" t="str">
            <v>in storage</v>
          </cell>
          <cell r="K9154" t="str">
            <v>CMED</v>
          </cell>
          <cell r="AB9154" t="str">
            <v>GI- stomach</v>
          </cell>
        </row>
        <row r="9155">
          <cell r="A9155" t="str">
            <v>in storage</v>
          </cell>
          <cell r="K9155" t="str">
            <v>CMED</v>
          </cell>
          <cell r="AB9155" t="str">
            <v>Lung</v>
          </cell>
        </row>
        <row r="9156">
          <cell r="A9156" t="str">
            <v>in storage</v>
          </cell>
          <cell r="K9156" t="str">
            <v>CMED</v>
          </cell>
          <cell r="AB9156" t="str">
            <v>Lung</v>
          </cell>
        </row>
        <row r="9157">
          <cell r="A9157" t="str">
            <v>in storage</v>
          </cell>
          <cell r="K9157" t="str">
            <v>CMED</v>
          </cell>
          <cell r="AB9157" t="str">
            <v>Lung</v>
          </cell>
        </row>
        <row r="9158">
          <cell r="A9158" t="str">
            <v>in storage</v>
          </cell>
          <cell r="K9158" t="str">
            <v>MMUR</v>
          </cell>
          <cell r="AB9158" t="str">
            <v>Adrenal gland</v>
          </cell>
        </row>
        <row r="9159">
          <cell r="A9159" t="str">
            <v>in storage</v>
          </cell>
          <cell r="K9159" t="str">
            <v>MMUR</v>
          </cell>
          <cell r="AB9159" t="str">
            <v>Kidney</v>
          </cell>
        </row>
        <row r="9160">
          <cell r="A9160" t="str">
            <v>in storage</v>
          </cell>
          <cell r="K9160" t="str">
            <v>MMUR</v>
          </cell>
          <cell r="AB9160" t="str">
            <v>Kidney</v>
          </cell>
        </row>
        <row r="9161">
          <cell r="A9161" t="str">
            <v>in storage</v>
          </cell>
          <cell r="K9161" t="str">
            <v>MMUR</v>
          </cell>
          <cell r="AB9161" t="str">
            <v>Spleen</v>
          </cell>
        </row>
        <row r="9162">
          <cell r="A9162" t="str">
            <v>in storage</v>
          </cell>
          <cell r="K9162" t="str">
            <v>MMUR</v>
          </cell>
          <cell r="AB9162" t="str">
            <v>RU- accessory sex glands/ bladder</v>
          </cell>
        </row>
        <row r="9163">
          <cell r="A9163" t="str">
            <v>in storage</v>
          </cell>
          <cell r="K9163" t="str">
            <v>MMUR</v>
          </cell>
          <cell r="AB9163" t="str">
            <v>Liver</v>
          </cell>
        </row>
        <row r="9164">
          <cell r="A9164" t="str">
            <v>in storage</v>
          </cell>
          <cell r="K9164" t="str">
            <v>MMUR</v>
          </cell>
          <cell r="AB9164" t="str">
            <v>Liver</v>
          </cell>
        </row>
        <row r="9165">
          <cell r="A9165" t="str">
            <v>in storage</v>
          </cell>
          <cell r="K9165" t="str">
            <v>MMUR</v>
          </cell>
          <cell r="AB9165" t="str">
            <v>Liver</v>
          </cell>
        </row>
        <row r="9166">
          <cell r="A9166" t="str">
            <v>in storage</v>
          </cell>
          <cell r="K9166" t="str">
            <v>MMUR</v>
          </cell>
          <cell r="AB9166" t="str">
            <v>Liver</v>
          </cell>
        </row>
        <row r="9167">
          <cell r="A9167" t="str">
            <v>in storage</v>
          </cell>
          <cell r="K9167" t="str">
            <v>MMUR</v>
          </cell>
          <cell r="AB9167" t="str">
            <v>Gallbladder</v>
          </cell>
        </row>
        <row r="9168">
          <cell r="A9168" t="str">
            <v>in storage</v>
          </cell>
          <cell r="K9168" t="str">
            <v>MMUR</v>
          </cell>
          <cell r="AB9168" t="str">
            <v>Pancreas</v>
          </cell>
        </row>
        <row r="9169">
          <cell r="A9169" t="str">
            <v>in storage</v>
          </cell>
          <cell r="K9169" t="str">
            <v>MMUR</v>
          </cell>
          <cell r="AB9169" t="str">
            <v>GI- stomach</v>
          </cell>
        </row>
        <row r="9170">
          <cell r="A9170" t="str">
            <v>in storage</v>
          </cell>
          <cell r="K9170" t="str">
            <v>MMUR</v>
          </cell>
          <cell r="AB9170" t="str">
            <v>GI- large intestine/ small intestine</v>
          </cell>
        </row>
        <row r="9171">
          <cell r="A9171" t="str">
            <v>in storage</v>
          </cell>
          <cell r="K9171" t="str">
            <v>MMUR</v>
          </cell>
          <cell r="AB9171" t="str">
            <v>Lung</v>
          </cell>
        </row>
        <row r="9172">
          <cell r="A9172" t="str">
            <v>in storage</v>
          </cell>
          <cell r="K9172" t="str">
            <v>MMUR</v>
          </cell>
          <cell r="AB9172" t="str">
            <v>Lung</v>
          </cell>
        </row>
        <row r="9173">
          <cell r="A9173" t="str">
            <v>in storage</v>
          </cell>
          <cell r="K9173" t="str">
            <v>MMUR</v>
          </cell>
          <cell r="AB9173" t="str">
            <v>Thyroid</v>
          </cell>
        </row>
        <row r="9174">
          <cell r="A9174" t="str">
            <v>in storage</v>
          </cell>
          <cell r="K9174" t="str">
            <v>CMED</v>
          </cell>
          <cell r="AB9174" t="str">
            <v>Spleen</v>
          </cell>
        </row>
        <row r="9175">
          <cell r="A9175" t="str">
            <v>in storage</v>
          </cell>
          <cell r="K9175" t="str">
            <v>CMED</v>
          </cell>
          <cell r="AB9175" t="str">
            <v>U- bladder</v>
          </cell>
        </row>
        <row r="9176">
          <cell r="A9176" t="str">
            <v>in storage</v>
          </cell>
          <cell r="K9176" t="str">
            <v>CMED</v>
          </cell>
          <cell r="AB9176" t="str">
            <v>Liver</v>
          </cell>
        </row>
        <row r="9177">
          <cell r="A9177" t="str">
            <v>in storage</v>
          </cell>
          <cell r="K9177" t="str">
            <v>CMED</v>
          </cell>
          <cell r="AB9177" t="str">
            <v>Liver</v>
          </cell>
        </row>
        <row r="9178">
          <cell r="A9178" t="str">
            <v>in storage</v>
          </cell>
          <cell r="K9178" t="str">
            <v>CMED</v>
          </cell>
          <cell r="AB9178" t="str">
            <v>Liver</v>
          </cell>
        </row>
        <row r="9179">
          <cell r="A9179" t="str">
            <v>in storage</v>
          </cell>
          <cell r="K9179" t="str">
            <v>CMED</v>
          </cell>
          <cell r="AB9179" t="str">
            <v>Liver</v>
          </cell>
        </row>
        <row r="9180">
          <cell r="A9180" t="str">
            <v>in storage</v>
          </cell>
          <cell r="K9180" t="str">
            <v>CMED</v>
          </cell>
          <cell r="AB9180" t="str">
            <v>Liver</v>
          </cell>
        </row>
        <row r="9181">
          <cell r="A9181" t="str">
            <v>in storage</v>
          </cell>
          <cell r="K9181" t="str">
            <v>CMED</v>
          </cell>
          <cell r="AB9181" t="str">
            <v>Liver</v>
          </cell>
        </row>
        <row r="9182">
          <cell r="A9182" t="str">
            <v>in storage</v>
          </cell>
          <cell r="K9182" t="str">
            <v>CMED</v>
          </cell>
          <cell r="AB9182" t="str">
            <v>Kidney</v>
          </cell>
        </row>
        <row r="9183">
          <cell r="A9183" t="str">
            <v>in storage</v>
          </cell>
          <cell r="K9183" t="str">
            <v>CMED</v>
          </cell>
          <cell r="AB9183" t="str">
            <v>Liver</v>
          </cell>
        </row>
        <row r="9184">
          <cell r="A9184" t="str">
            <v>in storage</v>
          </cell>
          <cell r="K9184" t="str">
            <v>CMED</v>
          </cell>
          <cell r="AB9184" t="str">
            <v>Liver</v>
          </cell>
        </row>
        <row r="9185">
          <cell r="A9185" t="str">
            <v>in storage</v>
          </cell>
          <cell r="K9185" t="str">
            <v>CMED</v>
          </cell>
          <cell r="AB9185" t="str">
            <v>Pancreas</v>
          </cell>
        </row>
        <row r="9186">
          <cell r="A9186" t="str">
            <v>in storage</v>
          </cell>
          <cell r="K9186" t="str">
            <v>CMED</v>
          </cell>
          <cell r="AB9186" t="str">
            <v>GI- stomach</v>
          </cell>
        </row>
        <row r="9187">
          <cell r="A9187" t="str">
            <v>in storage</v>
          </cell>
          <cell r="K9187" t="str">
            <v>CMED</v>
          </cell>
          <cell r="AB9187" t="str">
            <v>GI- stomach</v>
          </cell>
        </row>
        <row r="9188">
          <cell r="A9188" t="str">
            <v>in storage</v>
          </cell>
          <cell r="K9188" t="str">
            <v>CMED</v>
          </cell>
          <cell r="AB9188" t="str">
            <v>GI- small intestine/ colon</v>
          </cell>
        </row>
        <row r="9189">
          <cell r="A9189" t="str">
            <v>in storage</v>
          </cell>
          <cell r="K9189" t="str">
            <v>CMED</v>
          </cell>
          <cell r="AB9189" t="str">
            <v>Lung</v>
          </cell>
        </row>
        <row r="9190">
          <cell r="A9190" t="str">
            <v>in storage</v>
          </cell>
          <cell r="K9190" t="str">
            <v>CMED</v>
          </cell>
          <cell r="AB9190" t="str">
            <v>Lung</v>
          </cell>
        </row>
        <row r="9191">
          <cell r="A9191" t="str">
            <v>in storage</v>
          </cell>
          <cell r="K9191" t="str">
            <v>CMED</v>
          </cell>
          <cell r="AB9191" t="str">
            <v>Lung/ Trachea</v>
          </cell>
        </row>
        <row r="9192">
          <cell r="A9192" t="str">
            <v>in storage</v>
          </cell>
          <cell r="K9192" t="str">
            <v>CMED</v>
          </cell>
          <cell r="AB9192" t="str">
            <v>Heart</v>
          </cell>
        </row>
        <row r="9193">
          <cell r="A9193" t="str">
            <v>in storage</v>
          </cell>
          <cell r="K9193" t="str">
            <v>CMED</v>
          </cell>
          <cell r="AB9193" t="str">
            <v>Thyroid</v>
          </cell>
        </row>
        <row r="9194">
          <cell r="A9194" t="str">
            <v>in storage</v>
          </cell>
          <cell r="K9194" t="str">
            <v>CMED</v>
          </cell>
          <cell r="AB9194" t="str">
            <v>Salivary gland</v>
          </cell>
        </row>
        <row r="9195">
          <cell r="A9195" t="str">
            <v>in storage</v>
          </cell>
          <cell r="K9195" t="str">
            <v>CMED</v>
          </cell>
          <cell r="AB9195" t="str">
            <v>Salivary gland</v>
          </cell>
        </row>
        <row r="9196">
          <cell r="A9196" t="str">
            <v>in storage</v>
          </cell>
          <cell r="K9196" t="str">
            <v>PCOQ</v>
          </cell>
          <cell r="AB9196" t="str">
            <v>R- placenta</v>
          </cell>
        </row>
        <row r="9197">
          <cell r="A9197" t="str">
            <v>in storage</v>
          </cell>
          <cell r="K9197" t="str">
            <v>MMUR</v>
          </cell>
          <cell r="AB9197" t="str">
            <v>Kidney</v>
          </cell>
        </row>
        <row r="9198">
          <cell r="A9198" t="str">
            <v>in storage</v>
          </cell>
          <cell r="K9198" t="str">
            <v>MMUR</v>
          </cell>
          <cell r="AB9198" t="str">
            <v>Kidney</v>
          </cell>
        </row>
        <row r="9199">
          <cell r="A9199" t="str">
            <v>in storage</v>
          </cell>
          <cell r="K9199" t="str">
            <v>MMUR</v>
          </cell>
          <cell r="AB9199" t="str">
            <v>Liver</v>
          </cell>
        </row>
        <row r="9200">
          <cell r="A9200" t="str">
            <v>in storage</v>
          </cell>
          <cell r="K9200" t="str">
            <v>MMUR</v>
          </cell>
          <cell r="AB9200" t="str">
            <v>Liver</v>
          </cell>
        </row>
        <row r="9201">
          <cell r="A9201" t="str">
            <v>in storage</v>
          </cell>
          <cell r="K9201" t="str">
            <v>MMUR</v>
          </cell>
          <cell r="AB9201" t="str">
            <v>Liver</v>
          </cell>
        </row>
        <row r="9202">
          <cell r="A9202" t="str">
            <v>in storage</v>
          </cell>
          <cell r="K9202" t="str">
            <v>MMUR</v>
          </cell>
          <cell r="AB9202" t="str">
            <v>Liver</v>
          </cell>
        </row>
        <row r="9203">
          <cell r="A9203" t="str">
            <v>in storage</v>
          </cell>
          <cell r="K9203" t="str">
            <v>MMUR</v>
          </cell>
          <cell r="AB9203" t="str">
            <v>Liver</v>
          </cell>
        </row>
        <row r="9204">
          <cell r="A9204" t="str">
            <v>in storage</v>
          </cell>
          <cell r="K9204" t="str">
            <v>MMUR</v>
          </cell>
          <cell r="AB9204" t="str">
            <v>GI- duodenum</v>
          </cell>
        </row>
        <row r="9205">
          <cell r="A9205" t="str">
            <v>in storage</v>
          </cell>
          <cell r="K9205" t="str">
            <v>MMUR</v>
          </cell>
          <cell r="AB9205" t="str">
            <v>GI- jejunum</v>
          </cell>
        </row>
        <row r="9206">
          <cell r="A9206" t="str">
            <v>in storage</v>
          </cell>
          <cell r="K9206" t="str">
            <v>MMUR</v>
          </cell>
          <cell r="AB9206" t="str">
            <v>GI- colon</v>
          </cell>
        </row>
        <row r="9207">
          <cell r="A9207" t="str">
            <v>in storage</v>
          </cell>
          <cell r="K9207" t="str">
            <v>MMUR</v>
          </cell>
          <cell r="AB9207" t="str">
            <v>GI- cecum</v>
          </cell>
        </row>
        <row r="9208">
          <cell r="A9208" t="str">
            <v>in storage</v>
          </cell>
          <cell r="K9208" t="str">
            <v>MMUR</v>
          </cell>
          <cell r="AB9208" t="str">
            <v>Heart</v>
          </cell>
        </row>
        <row r="9209">
          <cell r="A9209" t="str">
            <v>in storage</v>
          </cell>
          <cell r="K9209" t="str">
            <v>MMUR</v>
          </cell>
          <cell r="AB9209" t="str">
            <v>Thyroid</v>
          </cell>
        </row>
        <row r="9210">
          <cell r="A9210" t="str">
            <v>in storage</v>
          </cell>
          <cell r="K9210" t="str">
            <v>MMUR</v>
          </cell>
          <cell r="AB9210" t="str">
            <v>Salivary gland</v>
          </cell>
        </row>
        <row r="9211">
          <cell r="A9211" t="str">
            <v>in storage</v>
          </cell>
          <cell r="K9211" t="str">
            <v>MMUR</v>
          </cell>
          <cell r="AB9211" t="str">
            <v>Salivary gland</v>
          </cell>
        </row>
        <row r="9212">
          <cell r="A9212" t="str">
            <v>in storage</v>
          </cell>
          <cell r="K9212" t="str">
            <v>MMUR</v>
          </cell>
          <cell r="AB9212" t="str">
            <v>Thymus</v>
          </cell>
        </row>
        <row r="9213">
          <cell r="A9213" t="str">
            <v>in storage</v>
          </cell>
          <cell r="K9213" t="str">
            <v>MMUR</v>
          </cell>
          <cell r="AB9213" t="str">
            <v>Fat- brown</v>
          </cell>
        </row>
        <row r="9214">
          <cell r="A9214" t="str">
            <v>in storage</v>
          </cell>
          <cell r="K9214" t="str">
            <v>EFLA</v>
          </cell>
          <cell r="AB9214" t="str">
            <v>R- milk</v>
          </cell>
        </row>
        <row r="9215">
          <cell r="A9215" t="str">
            <v>in storage</v>
          </cell>
          <cell r="K9215" t="str">
            <v>EFLA</v>
          </cell>
          <cell r="AB9215" t="str">
            <v>R- placenta</v>
          </cell>
        </row>
        <row r="9216">
          <cell r="A9216" t="str">
            <v>in storage</v>
          </cell>
          <cell r="K9216" t="str">
            <v>MMUR</v>
          </cell>
          <cell r="AB9216" t="str">
            <v>R- teste(s)</v>
          </cell>
        </row>
        <row r="9217">
          <cell r="A9217" t="str">
            <v>in storage</v>
          </cell>
          <cell r="K9217" t="str">
            <v>MMUR</v>
          </cell>
          <cell r="AB9217" t="str">
            <v>R- teste(s)</v>
          </cell>
        </row>
        <row r="9218">
          <cell r="A9218" t="str">
            <v>in storage</v>
          </cell>
          <cell r="K9218" t="str">
            <v>MMUR</v>
          </cell>
          <cell r="AB9218" t="str">
            <v>R- accessory sex gland contents</v>
          </cell>
        </row>
        <row r="9219">
          <cell r="A9219" t="str">
            <v>in storage</v>
          </cell>
          <cell r="K9219" t="str">
            <v>PCOQ</v>
          </cell>
          <cell r="AB9219" t="str">
            <v>Kidney</v>
          </cell>
        </row>
        <row r="9220">
          <cell r="A9220" t="str">
            <v>in storage</v>
          </cell>
          <cell r="K9220" t="str">
            <v>PCOQ</v>
          </cell>
          <cell r="AB9220" t="str">
            <v>Kidney</v>
          </cell>
        </row>
        <row r="9221">
          <cell r="A9221" t="str">
            <v>in storage</v>
          </cell>
          <cell r="K9221" t="str">
            <v>PCOQ</v>
          </cell>
          <cell r="AB9221" t="str">
            <v>Kidney</v>
          </cell>
        </row>
        <row r="9222">
          <cell r="A9222" t="str">
            <v>in storage</v>
          </cell>
          <cell r="K9222" t="str">
            <v>PCOQ</v>
          </cell>
          <cell r="AB9222" t="str">
            <v>Kidney</v>
          </cell>
        </row>
        <row r="9223">
          <cell r="A9223" t="str">
            <v>in storage</v>
          </cell>
          <cell r="K9223" t="str">
            <v>PCOQ</v>
          </cell>
          <cell r="AB9223" t="str">
            <v>Kidney</v>
          </cell>
        </row>
        <row r="9224">
          <cell r="A9224" t="str">
            <v>in storage</v>
          </cell>
          <cell r="K9224" t="str">
            <v>PCOQ</v>
          </cell>
          <cell r="AB9224" t="str">
            <v>Spleen</v>
          </cell>
        </row>
        <row r="9225">
          <cell r="A9225" t="str">
            <v>in storage</v>
          </cell>
          <cell r="K9225" t="str">
            <v>PCOQ</v>
          </cell>
          <cell r="AB9225" t="str">
            <v>Spleen</v>
          </cell>
        </row>
        <row r="9226">
          <cell r="A9226" t="str">
            <v>in storage</v>
          </cell>
          <cell r="K9226" t="str">
            <v>PCOQ</v>
          </cell>
          <cell r="AB9226" t="str">
            <v>Spleen</v>
          </cell>
        </row>
        <row r="9227">
          <cell r="A9227" t="str">
            <v>in storage</v>
          </cell>
          <cell r="K9227" t="str">
            <v>PCOQ</v>
          </cell>
          <cell r="AB9227" t="str">
            <v>Spleen</v>
          </cell>
        </row>
        <row r="9228">
          <cell r="A9228" t="str">
            <v>in storage</v>
          </cell>
          <cell r="K9228" t="str">
            <v>PCOQ</v>
          </cell>
          <cell r="AB9228" t="str">
            <v>Liver</v>
          </cell>
        </row>
        <row r="9229">
          <cell r="A9229" t="str">
            <v>in storage</v>
          </cell>
          <cell r="K9229" t="str">
            <v>PCOQ</v>
          </cell>
          <cell r="AB9229" t="str">
            <v>Liver</v>
          </cell>
        </row>
        <row r="9230">
          <cell r="A9230" t="str">
            <v>in storage</v>
          </cell>
          <cell r="K9230" t="str">
            <v>PCOQ</v>
          </cell>
          <cell r="AB9230" t="str">
            <v>Liver</v>
          </cell>
        </row>
        <row r="9231">
          <cell r="A9231" t="str">
            <v>in storage</v>
          </cell>
          <cell r="K9231" t="str">
            <v>PCOQ</v>
          </cell>
          <cell r="AB9231" t="str">
            <v>Liver</v>
          </cell>
        </row>
        <row r="9232">
          <cell r="A9232" t="str">
            <v>in storage</v>
          </cell>
          <cell r="K9232" t="str">
            <v>PCOQ</v>
          </cell>
          <cell r="AB9232" t="str">
            <v>Gallbladder</v>
          </cell>
        </row>
        <row r="9233">
          <cell r="A9233" t="str">
            <v>in storage</v>
          </cell>
          <cell r="K9233" t="str">
            <v>PCOQ</v>
          </cell>
          <cell r="AB9233" t="str">
            <v>Pancreas</v>
          </cell>
        </row>
        <row r="9234">
          <cell r="A9234" t="str">
            <v>in storage</v>
          </cell>
          <cell r="K9234" t="str">
            <v>PCOQ</v>
          </cell>
          <cell r="AB9234" t="str">
            <v>Pancreas</v>
          </cell>
        </row>
        <row r="9235">
          <cell r="A9235" t="str">
            <v>in storage</v>
          </cell>
          <cell r="K9235" t="str">
            <v>PCOQ</v>
          </cell>
          <cell r="AB9235" t="str">
            <v>Pancreas</v>
          </cell>
        </row>
        <row r="9236">
          <cell r="A9236" t="str">
            <v>in storage</v>
          </cell>
          <cell r="K9236" t="str">
            <v>PCOQ</v>
          </cell>
          <cell r="AB9236" t="str">
            <v>Pancreas</v>
          </cell>
        </row>
        <row r="9237">
          <cell r="A9237" t="str">
            <v>in storage</v>
          </cell>
          <cell r="K9237" t="str">
            <v>PCOQ</v>
          </cell>
          <cell r="AB9237" t="str">
            <v>GI tract</v>
          </cell>
        </row>
        <row r="9238">
          <cell r="A9238" t="str">
            <v>in storage</v>
          </cell>
          <cell r="K9238" t="str">
            <v>PCOQ</v>
          </cell>
          <cell r="AB9238" t="str">
            <v>GI Contents- stomach</v>
          </cell>
        </row>
        <row r="9239">
          <cell r="A9239" t="str">
            <v>in storage</v>
          </cell>
          <cell r="K9239" t="str">
            <v>PCOQ</v>
          </cell>
          <cell r="AB9239" t="str">
            <v>Lung</v>
          </cell>
        </row>
        <row r="9240">
          <cell r="A9240" t="str">
            <v>in storage</v>
          </cell>
          <cell r="K9240" t="str">
            <v>PCOQ</v>
          </cell>
          <cell r="AB9240" t="str">
            <v>Lung</v>
          </cell>
        </row>
        <row r="9241">
          <cell r="A9241" t="str">
            <v>in storage</v>
          </cell>
          <cell r="K9241" t="str">
            <v>PCOQ</v>
          </cell>
          <cell r="AB9241" t="str">
            <v>Lung</v>
          </cell>
        </row>
        <row r="9242">
          <cell r="A9242" t="str">
            <v>in storage</v>
          </cell>
          <cell r="K9242" t="str">
            <v>PCOQ</v>
          </cell>
          <cell r="AB9242" t="str">
            <v>Lung</v>
          </cell>
        </row>
        <row r="9243">
          <cell r="A9243" t="str">
            <v>in storage</v>
          </cell>
          <cell r="K9243" t="str">
            <v>PCOQ</v>
          </cell>
          <cell r="AB9243" t="str">
            <v>Lung</v>
          </cell>
        </row>
        <row r="9244">
          <cell r="A9244" t="str">
            <v>in storage</v>
          </cell>
          <cell r="K9244" t="str">
            <v>PCOQ</v>
          </cell>
          <cell r="AB9244" t="str">
            <v>Heart</v>
          </cell>
        </row>
        <row r="9245">
          <cell r="A9245" t="str">
            <v>in storage</v>
          </cell>
          <cell r="K9245" t="str">
            <v>PCOQ</v>
          </cell>
          <cell r="AB9245" t="str">
            <v>Heart</v>
          </cell>
        </row>
        <row r="9246">
          <cell r="A9246" t="str">
            <v>in storage</v>
          </cell>
          <cell r="K9246" t="str">
            <v>PCOQ</v>
          </cell>
          <cell r="AB9246" t="str">
            <v>Heart</v>
          </cell>
        </row>
        <row r="9247">
          <cell r="A9247" t="str">
            <v>in storage</v>
          </cell>
          <cell r="K9247" t="str">
            <v>PCOQ</v>
          </cell>
          <cell r="AB9247" t="str">
            <v>Heart</v>
          </cell>
        </row>
        <row r="9248">
          <cell r="A9248" t="str">
            <v>in storage</v>
          </cell>
          <cell r="K9248" t="str">
            <v>PCOQ</v>
          </cell>
          <cell r="AB9248" t="str">
            <v>Heart</v>
          </cell>
        </row>
        <row r="9249">
          <cell r="A9249" t="str">
            <v>in storage</v>
          </cell>
          <cell r="K9249" t="str">
            <v>PCOQ</v>
          </cell>
          <cell r="AB9249" t="str">
            <v>Thyroid</v>
          </cell>
        </row>
        <row r="9250">
          <cell r="A9250" t="str">
            <v>in storage</v>
          </cell>
          <cell r="K9250" t="str">
            <v>PCOQ</v>
          </cell>
          <cell r="AB9250" t="str">
            <v>Esophagus</v>
          </cell>
        </row>
        <row r="9251">
          <cell r="A9251" t="str">
            <v>in storage</v>
          </cell>
          <cell r="K9251" t="str">
            <v>PCOQ</v>
          </cell>
          <cell r="AB9251" t="str">
            <v>Trachea</v>
          </cell>
        </row>
        <row r="9252">
          <cell r="A9252" t="str">
            <v>in storage</v>
          </cell>
          <cell r="K9252" t="str">
            <v>LCAT</v>
          </cell>
          <cell r="AB9252" t="str">
            <v>R- sperm plug</v>
          </cell>
        </row>
        <row r="9253">
          <cell r="A9253" t="str">
            <v>in storage</v>
          </cell>
          <cell r="K9253" t="str">
            <v>MMUR</v>
          </cell>
          <cell r="AB9253" t="str">
            <v>Adrenal gland</v>
          </cell>
        </row>
        <row r="9254">
          <cell r="A9254" t="str">
            <v>in storage</v>
          </cell>
          <cell r="K9254" t="str">
            <v>MMUR</v>
          </cell>
          <cell r="AB9254" t="str">
            <v>Kidney</v>
          </cell>
        </row>
        <row r="9255">
          <cell r="A9255" t="str">
            <v>in storage</v>
          </cell>
          <cell r="K9255" t="str">
            <v>MMUR</v>
          </cell>
          <cell r="AB9255" t="str">
            <v>Kidney</v>
          </cell>
        </row>
        <row r="9256">
          <cell r="A9256" t="str">
            <v>in storage</v>
          </cell>
          <cell r="K9256" t="str">
            <v>MMUR</v>
          </cell>
          <cell r="AB9256" t="str">
            <v>Spleen</v>
          </cell>
        </row>
        <row r="9257">
          <cell r="A9257" t="str">
            <v>in storage</v>
          </cell>
          <cell r="K9257" t="str">
            <v>MMUR</v>
          </cell>
          <cell r="AB9257" t="str">
            <v>U- bladder</v>
          </cell>
        </row>
        <row r="9258">
          <cell r="A9258" t="str">
            <v>in storage</v>
          </cell>
          <cell r="K9258" t="str">
            <v>MMUR</v>
          </cell>
          <cell r="AB9258" t="str">
            <v>R- cervix/ uterus</v>
          </cell>
        </row>
        <row r="9259">
          <cell r="A9259" t="str">
            <v>in storage</v>
          </cell>
          <cell r="K9259" t="str">
            <v>MMUR</v>
          </cell>
          <cell r="AB9259" t="str">
            <v>Liver</v>
          </cell>
        </row>
        <row r="9260">
          <cell r="A9260" t="str">
            <v>in storage</v>
          </cell>
          <cell r="K9260" t="str">
            <v>MMUR</v>
          </cell>
          <cell r="AB9260" t="str">
            <v>Liver</v>
          </cell>
        </row>
        <row r="9261">
          <cell r="A9261" t="str">
            <v>in storage</v>
          </cell>
          <cell r="K9261" t="str">
            <v>MMUR</v>
          </cell>
          <cell r="AB9261" t="str">
            <v>Liver</v>
          </cell>
        </row>
        <row r="9262">
          <cell r="A9262" t="str">
            <v>in storage</v>
          </cell>
          <cell r="K9262" t="str">
            <v>MMUR</v>
          </cell>
          <cell r="AB9262" t="str">
            <v>Gallbladder/ liver</v>
          </cell>
        </row>
        <row r="9263">
          <cell r="A9263" t="str">
            <v>in storage</v>
          </cell>
          <cell r="K9263" t="str">
            <v>MMUR</v>
          </cell>
          <cell r="AB9263" t="str">
            <v>GI- stomach</v>
          </cell>
        </row>
        <row r="9264">
          <cell r="A9264" t="str">
            <v>in storage</v>
          </cell>
          <cell r="K9264" t="str">
            <v>MMUR</v>
          </cell>
          <cell r="AB9264" t="str">
            <v>GI- Large intestine/ small intestine</v>
          </cell>
        </row>
        <row r="9265">
          <cell r="A9265" t="str">
            <v>in storage</v>
          </cell>
          <cell r="K9265" t="str">
            <v>MMUR</v>
          </cell>
          <cell r="AB9265" t="str">
            <v>Lung</v>
          </cell>
        </row>
        <row r="9266">
          <cell r="A9266" t="str">
            <v>in storage</v>
          </cell>
          <cell r="K9266" t="str">
            <v>MMUR</v>
          </cell>
          <cell r="AB9266" t="str">
            <v>Lung</v>
          </cell>
        </row>
        <row r="9267">
          <cell r="A9267" t="str">
            <v>in storage</v>
          </cell>
          <cell r="K9267" t="str">
            <v>MMUR</v>
          </cell>
          <cell r="AB9267" t="str">
            <v>Heart</v>
          </cell>
        </row>
        <row r="9268">
          <cell r="A9268" t="str">
            <v>in storage</v>
          </cell>
          <cell r="K9268" t="str">
            <v>MMUR</v>
          </cell>
          <cell r="AB9268" t="str">
            <v>Thyroid</v>
          </cell>
        </row>
        <row r="9269">
          <cell r="A9269" t="str">
            <v>in storage</v>
          </cell>
          <cell r="K9269" t="str">
            <v>EMON</v>
          </cell>
          <cell r="AB9269" t="str">
            <v>R- amniotic fluid</v>
          </cell>
        </row>
        <row r="9270">
          <cell r="A9270" t="str">
            <v>in storage</v>
          </cell>
          <cell r="K9270" t="str">
            <v>EMON</v>
          </cell>
          <cell r="AB9270" t="str">
            <v>R- amniotic fluid</v>
          </cell>
        </row>
        <row r="9271">
          <cell r="A9271" t="str">
            <v>in storage</v>
          </cell>
          <cell r="K9271" t="str">
            <v>EMON</v>
          </cell>
          <cell r="AB9271" t="str">
            <v>R- amniotic fluid</v>
          </cell>
        </row>
        <row r="9272">
          <cell r="A9272" t="str">
            <v>in storage</v>
          </cell>
          <cell r="K9272" t="str">
            <v>EMON</v>
          </cell>
          <cell r="AB9272" t="str">
            <v>R- amniotic fluid</v>
          </cell>
        </row>
        <row r="9273">
          <cell r="A9273" t="str">
            <v>in storage</v>
          </cell>
          <cell r="K9273" t="str">
            <v>EMON</v>
          </cell>
          <cell r="AB9273" t="str">
            <v>R- amniotic fluid</v>
          </cell>
        </row>
        <row r="9274">
          <cell r="A9274" t="str">
            <v>in storage</v>
          </cell>
          <cell r="K9274" t="str">
            <v>EMON</v>
          </cell>
          <cell r="AB9274" t="str">
            <v>R- amniotic fluid</v>
          </cell>
        </row>
        <row r="9275">
          <cell r="A9275" t="str">
            <v>in storage</v>
          </cell>
          <cell r="K9275" t="str">
            <v>LCAT</v>
          </cell>
          <cell r="AB9275" t="str">
            <v>Adrenal gland</v>
          </cell>
        </row>
        <row r="9276">
          <cell r="A9276" t="str">
            <v>in storage</v>
          </cell>
          <cell r="K9276" t="str">
            <v>LCAT</v>
          </cell>
          <cell r="AB9276" t="str">
            <v>Kidney</v>
          </cell>
        </row>
        <row r="9277">
          <cell r="A9277" t="str">
            <v>in storage</v>
          </cell>
          <cell r="K9277" t="str">
            <v>LCAT</v>
          </cell>
          <cell r="AB9277" t="str">
            <v>Kidney</v>
          </cell>
        </row>
        <row r="9278">
          <cell r="A9278" t="str">
            <v>in storage</v>
          </cell>
          <cell r="K9278" t="str">
            <v>LCAT</v>
          </cell>
          <cell r="AB9278" t="str">
            <v>Kidney</v>
          </cell>
        </row>
        <row r="9279">
          <cell r="A9279" t="str">
            <v>in storage</v>
          </cell>
          <cell r="K9279" t="str">
            <v>LCAT</v>
          </cell>
          <cell r="AB9279" t="str">
            <v>Kidney</v>
          </cell>
        </row>
        <row r="9280">
          <cell r="A9280" t="str">
            <v>in storage</v>
          </cell>
          <cell r="K9280" t="str">
            <v>LCAT</v>
          </cell>
          <cell r="AB9280" t="str">
            <v>Kidney</v>
          </cell>
        </row>
        <row r="9281">
          <cell r="A9281" t="str">
            <v>in storage</v>
          </cell>
          <cell r="K9281" t="str">
            <v>LCAT</v>
          </cell>
          <cell r="AB9281" t="str">
            <v>Kidney</v>
          </cell>
        </row>
        <row r="9282">
          <cell r="A9282" t="str">
            <v>in storage</v>
          </cell>
          <cell r="K9282" t="str">
            <v>LCAT</v>
          </cell>
          <cell r="AB9282" t="str">
            <v>Kidney</v>
          </cell>
        </row>
        <row r="9283">
          <cell r="A9283" t="str">
            <v>in storage</v>
          </cell>
          <cell r="K9283" t="str">
            <v>LCAT</v>
          </cell>
          <cell r="AB9283" t="str">
            <v>Kidney</v>
          </cell>
        </row>
        <row r="9284">
          <cell r="A9284" t="str">
            <v>in storage</v>
          </cell>
          <cell r="K9284" t="str">
            <v>LCAT</v>
          </cell>
          <cell r="AB9284" t="str">
            <v>Spleen</v>
          </cell>
        </row>
        <row r="9285">
          <cell r="A9285" t="str">
            <v>in storage</v>
          </cell>
          <cell r="K9285" t="str">
            <v>LCAT</v>
          </cell>
          <cell r="AB9285" t="str">
            <v>Spleen</v>
          </cell>
        </row>
        <row r="9286">
          <cell r="A9286" t="str">
            <v>in storage</v>
          </cell>
          <cell r="K9286" t="str">
            <v>LCAT</v>
          </cell>
          <cell r="AB9286" t="str">
            <v>Spleen</v>
          </cell>
        </row>
        <row r="9287">
          <cell r="A9287" t="str">
            <v>in storage</v>
          </cell>
          <cell r="K9287" t="str">
            <v>LCAT</v>
          </cell>
          <cell r="AB9287" t="str">
            <v>Spleen</v>
          </cell>
        </row>
        <row r="9288">
          <cell r="A9288" t="str">
            <v>in storage</v>
          </cell>
          <cell r="K9288" t="str">
            <v>LCAT</v>
          </cell>
          <cell r="AB9288" t="str">
            <v>U- bladder</v>
          </cell>
        </row>
        <row r="9289">
          <cell r="A9289" t="str">
            <v>in storage</v>
          </cell>
          <cell r="K9289" t="str">
            <v>LCAT</v>
          </cell>
          <cell r="AB9289" t="str">
            <v>U- bladder</v>
          </cell>
        </row>
        <row r="9290">
          <cell r="A9290" t="str">
            <v>in storage</v>
          </cell>
          <cell r="K9290" t="str">
            <v>LCAT</v>
          </cell>
          <cell r="AB9290" t="str">
            <v>U- bladder</v>
          </cell>
        </row>
        <row r="9291">
          <cell r="A9291" t="str">
            <v>in storage</v>
          </cell>
          <cell r="K9291" t="str">
            <v>LCAT</v>
          </cell>
          <cell r="AB9291" t="str">
            <v>U- bladder</v>
          </cell>
        </row>
        <row r="9292">
          <cell r="A9292" t="str">
            <v>in storage</v>
          </cell>
          <cell r="K9292" t="str">
            <v>LCAT</v>
          </cell>
          <cell r="AB9292" t="str">
            <v>Liver</v>
          </cell>
        </row>
        <row r="9293">
          <cell r="A9293" t="str">
            <v>in storage</v>
          </cell>
          <cell r="K9293" t="str">
            <v>LCAT</v>
          </cell>
          <cell r="AB9293" t="str">
            <v>Liver</v>
          </cell>
        </row>
        <row r="9294">
          <cell r="A9294" t="str">
            <v>in storage</v>
          </cell>
          <cell r="K9294" t="str">
            <v>LCAT</v>
          </cell>
          <cell r="AB9294" t="str">
            <v>Liver</v>
          </cell>
        </row>
        <row r="9295">
          <cell r="A9295" t="str">
            <v>in storage</v>
          </cell>
          <cell r="K9295" t="str">
            <v>LCAT</v>
          </cell>
          <cell r="AB9295" t="str">
            <v>Liver</v>
          </cell>
        </row>
        <row r="9296">
          <cell r="A9296" t="str">
            <v>in storage</v>
          </cell>
          <cell r="K9296" t="str">
            <v>LCAT</v>
          </cell>
          <cell r="AB9296" t="str">
            <v>GI tract</v>
          </cell>
        </row>
        <row r="9297">
          <cell r="A9297" t="str">
            <v>in storage</v>
          </cell>
          <cell r="K9297" t="str">
            <v>LCAT</v>
          </cell>
          <cell r="AB9297" t="str">
            <v>Pancreas</v>
          </cell>
        </row>
        <row r="9298">
          <cell r="A9298" t="str">
            <v>in storage</v>
          </cell>
          <cell r="K9298" t="str">
            <v>LCAT</v>
          </cell>
          <cell r="AB9298" t="str">
            <v>Pancreas</v>
          </cell>
        </row>
        <row r="9299">
          <cell r="A9299" t="str">
            <v>in storage</v>
          </cell>
          <cell r="K9299" t="str">
            <v>LCAT</v>
          </cell>
          <cell r="AB9299" t="str">
            <v>Pancreas</v>
          </cell>
        </row>
        <row r="9300">
          <cell r="A9300" t="str">
            <v>in storage</v>
          </cell>
          <cell r="K9300" t="str">
            <v>LCAT</v>
          </cell>
          <cell r="AB9300" t="str">
            <v>Lung</v>
          </cell>
        </row>
        <row r="9301">
          <cell r="A9301" t="str">
            <v>in storage</v>
          </cell>
          <cell r="K9301" t="str">
            <v>LCAT</v>
          </cell>
          <cell r="AB9301" t="str">
            <v>Lung</v>
          </cell>
        </row>
        <row r="9302">
          <cell r="A9302" t="str">
            <v>in storage</v>
          </cell>
          <cell r="K9302" t="str">
            <v>LCAT</v>
          </cell>
          <cell r="AB9302" t="str">
            <v>Lung</v>
          </cell>
        </row>
        <row r="9303">
          <cell r="A9303" t="str">
            <v>in storage</v>
          </cell>
          <cell r="K9303" t="str">
            <v>LCAT</v>
          </cell>
          <cell r="AB9303" t="str">
            <v>Lung</v>
          </cell>
        </row>
        <row r="9304">
          <cell r="A9304" t="str">
            <v>in storage</v>
          </cell>
          <cell r="K9304" t="str">
            <v>LCAT</v>
          </cell>
          <cell r="AB9304" t="str">
            <v>Lung</v>
          </cell>
        </row>
        <row r="9305">
          <cell r="A9305" t="str">
            <v>in storage</v>
          </cell>
          <cell r="K9305" t="str">
            <v>LCAT</v>
          </cell>
          <cell r="AB9305" t="str">
            <v>Lung</v>
          </cell>
        </row>
        <row r="9306">
          <cell r="A9306" t="str">
            <v>in storage</v>
          </cell>
          <cell r="K9306" t="str">
            <v>LCAT</v>
          </cell>
          <cell r="AB9306" t="str">
            <v>Lung</v>
          </cell>
        </row>
        <row r="9307">
          <cell r="A9307" t="str">
            <v>in storage</v>
          </cell>
          <cell r="K9307" t="str">
            <v>LCAT</v>
          </cell>
          <cell r="AB9307" t="str">
            <v>Lung</v>
          </cell>
        </row>
        <row r="9308">
          <cell r="A9308" t="str">
            <v>in storage</v>
          </cell>
          <cell r="K9308" t="str">
            <v>LCAT</v>
          </cell>
          <cell r="AB9308" t="str">
            <v>Heart</v>
          </cell>
        </row>
        <row r="9309">
          <cell r="A9309" t="str">
            <v>in storage</v>
          </cell>
          <cell r="K9309" t="str">
            <v>LCAT</v>
          </cell>
          <cell r="AB9309" t="str">
            <v>Heart</v>
          </cell>
        </row>
        <row r="9310">
          <cell r="A9310" t="str">
            <v>in storage</v>
          </cell>
          <cell r="K9310" t="str">
            <v>LCAT</v>
          </cell>
          <cell r="AB9310" t="str">
            <v>Heart</v>
          </cell>
        </row>
        <row r="9311">
          <cell r="A9311" t="str">
            <v>in storage</v>
          </cell>
          <cell r="K9311" t="str">
            <v>LCAT</v>
          </cell>
          <cell r="AB9311" t="str">
            <v>Heart</v>
          </cell>
        </row>
        <row r="9312">
          <cell r="A9312" t="str">
            <v>in storage</v>
          </cell>
          <cell r="K9312" t="str">
            <v>LCAT</v>
          </cell>
          <cell r="AB9312" t="str">
            <v>Thyroid</v>
          </cell>
        </row>
        <row r="9313">
          <cell r="A9313" t="str">
            <v>in storage</v>
          </cell>
          <cell r="K9313" t="str">
            <v>LCAT</v>
          </cell>
          <cell r="AB9313" t="str">
            <v>Tongue</v>
          </cell>
        </row>
        <row r="9314">
          <cell r="A9314" t="str">
            <v>in storage</v>
          </cell>
          <cell r="K9314" t="str">
            <v>LCAT</v>
          </cell>
          <cell r="AB9314" t="str">
            <v>Tongue</v>
          </cell>
        </row>
        <row r="9315">
          <cell r="A9315" t="str">
            <v>in storage</v>
          </cell>
          <cell r="K9315" t="str">
            <v>LCAT</v>
          </cell>
          <cell r="AB9315" t="str">
            <v>Mass- liver</v>
          </cell>
        </row>
        <row r="9316">
          <cell r="A9316" t="str">
            <v>in storage</v>
          </cell>
          <cell r="K9316" t="str">
            <v>LCAT</v>
          </cell>
          <cell r="AB9316" t="str">
            <v>Mass- liver</v>
          </cell>
        </row>
        <row r="9317">
          <cell r="A9317" t="str">
            <v>in storage</v>
          </cell>
          <cell r="K9317" t="str">
            <v>LCAT</v>
          </cell>
          <cell r="AB9317" t="str">
            <v>Mass- liver</v>
          </cell>
        </row>
        <row r="9318">
          <cell r="A9318" t="str">
            <v>in storage</v>
          </cell>
          <cell r="K9318" t="str">
            <v>LCAT</v>
          </cell>
          <cell r="AB9318" t="str">
            <v>Mass- liver</v>
          </cell>
        </row>
        <row r="9319">
          <cell r="A9319" t="str">
            <v>in storage</v>
          </cell>
          <cell r="K9319" t="str">
            <v>MMUR</v>
          </cell>
          <cell r="AB9319" t="str">
            <v>Adrenal gland</v>
          </cell>
        </row>
        <row r="9320">
          <cell r="A9320" t="str">
            <v>in storage</v>
          </cell>
          <cell r="K9320" t="str">
            <v>MMUR</v>
          </cell>
          <cell r="AB9320" t="str">
            <v>Kidney</v>
          </cell>
        </row>
        <row r="9321">
          <cell r="A9321" t="str">
            <v>in storage</v>
          </cell>
          <cell r="K9321" t="str">
            <v>MMUR</v>
          </cell>
          <cell r="AB9321" t="str">
            <v>Kidney</v>
          </cell>
        </row>
        <row r="9322">
          <cell r="A9322" t="str">
            <v>in storage</v>
          </cell>
          <cell r="K9322" t="str">
            <v>MMUR</v>
          </cell>
          <cell r="AB9322" t="str">
            <v>Spleen</v>
          </cell>
        </row>
        <row r="9323">
          <cell r="A9323" t="str">
            <v>in storage</v>
          </cell>
          <cell r="K9323" t="str">
            <v>MMUR</v>
          </cell>
          <cell r="AB9323" t="str">
            <v>R- uterus</v>
          </cell>
        </row>
        <row r="9324">
          <cell r="A9324" t="str">
            <v>in storage</v>
          </cell>
          <cell r="K9324" t="str">
            <v>MMUR</v>
          </cell>
          <cell r="AB9324" t="str">
            <v>R- ovary</v>
          </cell>
        </row>
        <row r="9325">
          <cell r="A9325" t="str">
            <v>in storage</v>
          </cell>
          <cell r="K9325" t="str">
            <v>MMUR</v>
          </cell>
          <cell r="AB9325" t="str">
            <v>Liver</v>
          </cell>
        </row>
        <row r="9326">
          <cell r="A9326" t="str">
            <v>in storage</v>
          </cell>
          <cell r="K9326" t="str">
            <v>MMUR</v>
          </cell>
          <cell r="AB9326" t="str">
            <v>Liver</v>
          </cell>
        </row>
        <row r="9327">
          <cell r="A9327" t="str">
            <v>in storage</v>
          </cell>
          <cell r="K9327" t="str">
            <v>MMUR</v>
          </cell>
          <cell r="AB9327" t="str">
            <v>Liver</v>
          </cell>
        </row>
        <row r="9328">
          <cell r="A9328" t="str">
            <v>in storage</v>
          </cell>
          <cell r="K9328" t="str">
            <v>MMUR</v>
          </cell>
          <cell r="AB9328" t="str">
            <v>Liver</v>
          </cell>
        </row>
        <row r="9329">
          <cell r="A9329" t="str">
            <v>in storage</v>
          </cell>
          <cell r="K9329" t="str">
            <v>MMUR</v>
          </cell>
          <cell r="AB9329" t="str">
            <v>Liver</v>
          </cell>
        </row>
        <row r="9330">
          <cell r="A9330" t="str">
            <v>in storage</v>
          </cell>
          <cell r="K9330" t="str">
            <v>MMUR</v>
          </cell>
          <cell r="AB9330" t="str">
            <v>Gallbladder</v>
          </cell>
        </row>
        <row r="9331">
          <cell r="A9331" t="str">
            <v>in storage</v>
          </cell>
          <cell r="K9331" t="str">
            <v>MMUR</v>
          </cell>
          <cell r="AB9331" t="str">
            <v>Pancreas</v>
          </cell>
        </row>
        <row r="9332">
          <cell r="A9332" t="str">
            <v>in storage</v>
          </cell>
          <cell r="K9332" t="str">
            <v>MMUR</v>
          </cell>
          <cell r="AB9332" t="str">
            <v>GI tract</v>
          </cell>
        </row>
        <row r="9333">
          <cell r="A9333" t="str">
            <v>in storage</v>
          </cell>
          <cell r="K9333" t="str">
            <v>MMUR</v>
          </cell>
          <cell r="AB9333" t="str">
            <v>Lung</v>
          </cell>
        </row>
        <row r="9334">
          <cell r="A9334" t="str">
            <v>in storage</v>
          </cell>
          <cell r="K9334" t="str">
            <v>MMUR</v>
          </cell>
          <cell r="AB9334" t="str">
            <v>Heart</v>
          </cell>
        </row>
        <row r="9335">
          <cell r="A9335" t="str">
            <v>in storage</v>
          </cell>
          <cell r="K9335" t="str">
            <v>MMUR</v>
          </cell>
          <cell r="AB9335" t="str">
            <v>Thyroid</v>
          </cell>
        </row>
        <row r="9336">
          <cell r="A9336" t="str">
            <v>in storage</v>
          </cell>
          <cell r="K9336" t="str">
            <v>MMUR</v>
          </cell>
          <cell r="AB9336" t="str">
            <v>Adrenal gland</v>
          </cell>
        </row>
        <row r="9337">
          <cell r="A9337" t="str">
            <v>in storage</v>
          </cell>
          <cell r="K9337" t="str">
            <v>MMUR</v>
          </cell>
          <cell r="AB9337" t="str">
            <v>Kidney</v>
          </cell>
        </row>
        <row r="9338">
          <cell r="A9338" t="str">
            <v>in storage</v>
          </cell>
          <cell r="K9338" t="str">
            <v>MMUR</v>
          </cell>
          <cell r="AB9338" t="str">
            <v>Kidney</v>
          </cell>
        </row>
        <row r="9339">
          <cell r="A9339" t="str">
            <v>in storage</v>
          </cell>
          <cell r="K9339" t="str">
            <v>MMUR</v>
          </cell>
          <cell r="AB9339" t="str">
            <v>Spleen</v>
          </cell>
        </row>
        <row r="9340">
          <cell r="A9340" t="str">
            <v>in storage</v>
          </cell>
          <cell r="K9340" t="str">
            <v>MMUR</v>
          </cell>
          <cell r="AB9340" t="str">
            <v>R- teste(s)</v>
          </cell>
        </row>
        <row r="9341">
          <cell r="A9341" t="str">
            <v>in storage</v>
          </cell>
          <cell r="K9341" t="str">
            <v>MMUR</v>
          </cell>
          <cell r="AB9341" t="str">
            <v>R- teste(s)</v>
          </cell>
        </row>
        <row r="9342">
          <cell r="A9342" t="str">
            <v>in storage</v>
          </cell>
          <cell r="K9342" t="str">
            <v>MMUR</v>
          </cell>
          <cell r="AB9342" t="str">
            <v>R- accessory sex glands</v>
          </cell>
        </row>
        <row r="9343">
          <cell r="A9343" t="str">
            <v>in storage</v>
          </cell>
          <cell r="K9343" t="str">
            <v>MMUR</v>
          </cell>
          <cell r="AB9343" t="str">
            <v>Liver</v>
          </cell>
        </row>
        <row r="9344">
          <cell r="A9344" t="str">
            <v>in storage</v>
          </cell>
          <cell r="K9344" t="str">
            <v>MMUR</v>
          </cell>
          <cell r="AB9344" t="str">
            <v>Liver</v>
          </cell>
        </row>
        <row r="9345">
          <cell r="A9345" t="str">
            <v>in storage</v>
          </cell>
          <cell r="K9345" t="str">
            <v>MMUR</v>
          </cell>
          <cell r="AB9345" t="str">
            <v>Liver</v>
          </cell>
        </row>
        <row r="9346">
          <cell r="A9346" t="str">
            <v>in storage</v>
          </cell>
          <cell r="K9346" t="str">
            <v>MMUR</v>
          </cell>
          <cell r="AB9346" t="str">
            <v>Liver</v>
          </cell>
        </row>
        <row r="9347">
          <cell r="A9347" t="str">
            <v>in storage</v>
          </cell>
          <cell r="K9347" t="str">
            <v>MMUR</v>
          </cell>
          <cell r="AB9347" t="str">
            <v>Pancreas</v>
          </cell>
        </row>
        <row r="9348">
          <cell r="A9348" t="str">
            <v>in storage</v>
          </cell>
          <cell r="K9348" t="str">
            <v>MMUR</v>
          </cell>
          <cell r="AB9348" t="str">
            <v>GI- Large intestine/ small intestine</v>
          </cell>
        </row>
        <row r="9349">
          <cell r="A9349" t="str">
            <v>in storage</v>
          </cell>
          <cell r="K9349" t="str">
            <v>MMUR</v>
          </cell>
          <cell r="AB9349" t="str">
            <v>Lung</v>
          </cell>
        </row>
        <row r="9350">
          <cell r="A9350" t="str">
            <v>in storage</v>
          </cell>
          <cell r="K9350" t="str">
            <v>MMUR</v>
          </cell>
          <cell r="AB9350" t="str">
            <v>Lung</v>
          </cell>
        </row>
        <row r="9351">
          <cell r="A9351" t="str">
            <v>in storage</v>
          </cell>
          <cell r="K9351" t="str">
            <v>MMUR</v>
          </cell>
          <cell r="AB9351" t="str">
            <v>Heart</v>
          </cell>
        </row>
        <row r="9352">
          <cell r="A9352" t="str">
            <v>in storage</v>
          </cell>
          <cell r="K9352" t="str">
            <v>MMUR</v>
          </cell>
          <cell r="AB9352" t="str">
            <v>Thyroid</v>
          </cell>
        </row>
        <row r="9353">
          <cell r="A9353" t="str">
            <v>in storage</v>
          </cell>
          <cell r="K9353" t="str">
            <v>MMUR</v>
          </cell>
          <cell r="AB9353" t="str">
            <v>Esophagus</v>
          </cell>
        </row>
        <row r="9354">
          <cell r="A9354" t="str">
            <v>in storage</v>
          </cell>
          <cell r="K9354" t="str">
            <v>MMUR</v>
          </cell>
          <cell r="AB9354" t="str">
            <v>Salivary gland</v>
          </cell>
        </row>
        <row r="9355">
          <cell r="A9355" t="str">
            <v>in storage</v>
          </cell>
          <cell r="K9355" t="str">
            <v>MMUR</v>
          </cell>
          <cell r="AB9355" t="str">
            <v>Salivary gland</v>
          </cell>
        </row>
        <row r="9356">
          <cell r="A9356" t="str">
            <v>in storage</v>
          </cell>
          <cell r="K9356" t="str">
            <v>MMUR</v>
          </cell>
          <cell r="AB9356" t="str">
            <v>Skin</v>
          </cell>
        </row>
        <row r="9357">
          <cell r="A9357" t="str">
            <v>in storage</v>
          </cell>
          <cell r="K9357" t="str">
            <v>CMED</v>
          </cell>
          <cell r="AB9357" t="str">
            <v>Kidney</v>
          </cell>
        </row>
        <row r="9358">
          <cell r="A9358" t="str">
            <v>in storage</v>
          </cell>
          <cell r="K9358" t="str">
            <v>CMED</v>
          </cell>
          <cell r="AB9358" t="str">
            <v>Liver</v>
          </cell>
        </row>
        <row r="9359">
          <cell r="A9359" t="str">
            <v>in storage</v>
          </cell>
          <cell r="K9359" t="str">
            <v>CMED</v>
          </cell>
          <cell r="AB9359" t="str">
            <v>Skin</v>
          </cell>
        </row>
        <row r="9360">
          <cell r="A9360" t="str">
            <v>in storage</v>
          </cell>
          <cell r="K9360" t="str">
            <v>LCAT</v>
          </cell>
          <cell r="AB9360" t="str">
            <v>Kidney</v>
          </cell>
        </row>
        <row r="9361">
          <cell r="A9361" t="str">
            <v>in storage</v>
          </cell>
          <cell r="K9361" t="str">
            <v>LCAT</v>
          </cell>
          <cell r="AB9361" t="str">
            <v>Kidney</v>
          </cell>
        </row>
        <row r="9362">
          <cell r="A9362" t="str">
            <v>in storage</v>
          </cell>
          <cell r="K9362" t="str">
            <v>LCAT</v>
          </cell>
          <cell r="AB9362" t="str">
            <v>Kidney</v>
          </cell>
        </row>
        <row r="9363">
          <cell r="A9363" t="str">
            <v>in storage</v>
          </cell>
          <cell r="K9363" t="str">
            <v>LCAT</v>
          </cell>
          <cell r="AB9363" t="str">
            <v>Kidney</v>
          </cell>
        </row>
        <row r="9364">
          <cell r="A9364" t="str">
            <v>in storage</v>
          </cell>
          <cell r="K9364" t="str">
            <v>LCAT</v>
          </cell>
          <cell r="AB9364" t="str">
            <v>Kidney</v>
          </cell>
        </row>
        <row r="9365">
          <cell r="A9365" t="str">
            <v>in storage</v>
          </cell>
          <cell r="K9365" t="str">
            <v>LCAT</v>
          </cell>
          <cell r="AB9365" t="str">
            <v>Spleen</v>
          </cell>
        </row>
        <row r="9366">
          <cell r="A9366" t="str">
            <v>in storage</v>
          </cell>
          <cell r="K9366" t="str">
            <v>LCAT</v>
          </cell>
          <cell r="AB9366" t="str">
            <v>Spleen</v>
          </cell>
        </row>
        <row r="9367">
          <cell r="A9367" t="str">
            <v>in storage</v>
          </cell>
          <cell r="K9367" t="str">
            <v>LCAT</v>
          </cell>
          <cell r="AB9367" t="str">
            <v>Spleen</v>
          </cell>
        </row>
        <row r="9368">
          <cell r="A9368" t="str">
            <v>in storage</v>
          </cell>
          <cell r="K9368" t="str">
            <v>LCAT</v>
          </cell>
          <cell r="AB9368" t="str">
            <v>U- bladder</v>
          </cell>
        </row>
        <row r="9369">
          <cell r="A9369" t="str">
            <v>in storage</v>
          </cell>
          <cell r="K9369" t="str">
            <v>LCAT</v>
          </cell>
          <cell r="AB9369" t="str">
            <v>R- uterus</v>
          </cell>
        </row>
        <row r="9370">
          <cell r="A9370" t="str">
            <v>in storage</v>
          </cell>
          <cell r="K9370" t="str">
            <v>LCAT</v>
          </cell>
          <cell r="AB9370" t="str">
            <v>R- ovary</v>
          </cell>
        </row>
        <row r="9371">
          <cell r="A9371" t="str">
            <v>in storage</v>
          </cell>
          <cell r="K9371" t="str">
            <v>LCAT</v>
          </cell>
          <cell r="AB9371" t="str">
            <v>Liver</v>
          </cell>
        </row>
        <row r="9372">
          <cell r="A9372" t="str">
            <v>in storage</v>
          </cell>
          <cell r="K9372" t="str">
            <v>LCAT</v>
          </cell>
          <cell r="AB9372" t="str">
            <v>Liver</v>
          </cell>
        </row>
        <row r="9373">
          <cell r="A9373" t="str">
            <v>in storage</v>
          </cell>
          <cell r="K9373" t="str">
            <v>LCAT</v>
          </cell>
          <cell r="AB9373" t="str">
            <v>Liver</v>
          </cell>
        </row>
        <row r="9374">
          <cell r="A9374" t="str">
            <v>in storage</v>
          </cell>
          <cell r="K9374" t="str">
            <v>LCAT</v>
          </cell>
          <cell r="AB9374" t="str">
            <v>Liver</v>
          </cell>
        </row>
        <row r="9375">
          <cell r="A9375" t="str">
            <v>in storage</v>
          </cell>
          <cell r="K9375" t="str">
            <v>LCAT</v>
          </cell>
          <cell r="AB9375" t="str">
            <v>Liver</v>
          </cell>
        </row>
        <row r="9376">
          <cell r="A9376" t="str">
            <v>in storage</v>
          </cell>
          <cell r="K9376" t="str">
            <v>LCAT</v>
          </cell>
          <cell r="AB9376" t="str">
            <v>Liver</v>
          </cell>
        </row>
        <row r="9377">
          <cell r="A9377" t="str">
            <v>in storage</v>
          </cell>
          <cell r="K9377" t="str">
            <v>LCAT</v>
          </cell>
          <cell r="AB9377" t="str">
            <v>Liver</v>
          </cell>
        </row>
        <row r="9378">
          <cell r="A9378" t="str">
            <v>in storage</v>
          </cell>
          <cell r="K9378" t="str">
            <v>LCAT</v>
          </cell>
          <cell r="AB9378" t="str">
            <v>Pancreas</v>
          </cell>
        </row>
        <row r="9379">
          <cell r="A9379" t="str">
            <v>in storage</v>
          </cell>
          <cell r="K9379" t="str">
            <v>LCAT</v>
          </cell>
          <cell r="AB9379" t="str">
            <v>Pancreas</v>
          </cell>
        </row>
        <row r="9380">
          <cell r="A9380" t="str">
            <v>in storage</v>
          </cell>
          <cell r="K9380" t="str">
            <v>LCAT</v>
          </cell>
          <cell r="AB9380" t="str">
            <v>Pancreas</v>
          </cell>
        </row>
        <row r="9381">
          <cell r="A9381" t="str">
            <v>in storage</v>
          </cell>
          <cell r="K9381" t="str">
            <v>LCAT</v>
          </cell>
          <cell r="AB9381" t="str">
            <v>Pancreas</v>
          </cell>
        </row>
        <row r="9382">
          <cell r="A9382" t="str">
            <v>in storage</v>
          </cell>
          <cell r="K9382" t="str">
            <v>LCAT</v>
          </cell>
          <cell r="AB9382" t="str">
            <v>GI- stomach</v>
          </cell>
        </row>
        <row r="9383">
          <cell r="A9383" t="str">
            <v>in storage</v>
          </cell>
          <cell r="K9383" t="str">
            <v>LCAT</v>
          </cell>
          <cell r="AB9383" t="str">
            <v>GI- Large intestine/ small intestine</v>
          </cell>
        </row>
        <row r="9384">
          <cell r="A9384" t="str">
            <v>in storage</v>
          </cell>
          <cell r="K9384" t="str">
            <v>LCAT</v>
          </cell>
          <cell r="AB9384" t="str">
            <v>Heart</v>
          </cell>
        </row>
        <row r="9385">
          <cell r="A9385" t="str">
            <v>in storage</v>
          </cell>
          <cell r="K9385" t="str">
            <v>LCAT</v>
          </cell>
          <cell r="AB9385" t="str">
            <v>Heart</v>
          </cell>
        </row>
        <row r="9386">
          <cell r="A9386" t="str">
            <v>in storage</v>
          </cell>
          <cell r="K9386" t="str">
            <v>LCAT</v>
          </cell>
          <cell r="AB9386" t="str">
            <v>Heart</v>
          </cell>
        </row>
        <row r="9387">
          <cell r="A9387" t="str">
            <v>in storage</v>
          </cell>
          <cell r="K9387" t="str">
            <v>LCAT</v>
          </cell>
          <cell r="AB9387" t="str">
            <v>Heart</v>
          </cell>
        </row>
        <row r="9388">
          <cell r="A9388" t="str">
            <v>in storage</v>
          </cell>
          <cell r="K9388" t="str">
            <v>LCAT</v>
          </cell>
          <cell r="AB9388" t="str">
            <v>Lung</v>
          </cell>
        </row>
        <row r="9389">
          <cell r="A9389" t="str">
            <v>in storage</v>
          </cell>
          <cell r="K9389" t="str">
            <v>LCAT</v>
          </cell>
          <cell r="AB9389" t="str">
            <v>Lung</v>
          </cell>
        </row>
        <row r="9390">
          <cell r="A9390" t="str">
            <v>in storage</v>
          </cell>
          <cell r="K9390" t="str">
            <v>LCAT</v>
          </cell>
          <cell r="AB9390" t="str">
            <v>Lung</v>
          </cell>
        </row>
        <row r="9391">
          <cell r="A9391" t="str">
            <v>in storage</v>
          </cell>
          <cell r="K9391" t="str">
            <v>LCAT</v>
          </cell>
          <cell r="AB9391" t="str">
            <v>Lung</v>
          </cell>
        </row>
        <row r="9392">
          <cell r="A9392" t="str">
            <v>in storage</v>
          </cell>
          <cell r="K9392" t="str">
            <v>LCAT</v>
          </cell>
          <cell r="AB9392" t="str">
            <v>Lung</v>
          </cell>
        </row>
        <row r="9393">
          <cell r="A9393" t="str">
            <v>in storage</v>
          </cell>
          <cell r="K9393" t="str">
            <v>LCAT</v>
          </cell>
          <cell r="AB9393" t="str">
            <v>Lung</v>
          </cell>
        </row>
        <row r="9394">
          <cell r="A9394" t="str">
            <v>in storage</v>
          </cell>
          <cell r="K9394" t="str">
            <v>LCAT</v>
          </cell>
          <cell r="AB9394" t="str">
            <v>Lung</v>
          </cell>
        </row>
        <row r="9395">
          <cell r="A9395" t="str">
            <v>in storage</v>
          </cell>
          <cell r="K9395" t="str">
            <v>LCAT</v>
          </cell>
          <cell r="AB9395" t="str">
            <v>Lung</v>
          </cell>
        </row>
        <row r="9396">
          <cell r="A9396" t="str">
            <v>in storage</v>
          </cell>
          <cell r="K9396" t="str">
            <v>LCAT</v>
          </cell>
          <cell r="AB9396" t="str">
            <v>Thyroid</v>
          </cell>
        </row>
        <row r="9397">
          <cell r="A9397" t="str">
            <v>in storage</v>
          </cell>
          <cell r="K9397" t="str">
            <v>LCAT</v>
          </cell>
          <cell r="AB9397" t="str">
            <v>Esophagus</v>
          </cell>
        </row>
        <row r="9398">
          <cell r="A9398" t="str">
            <v>in storage</v>
          </cell>
          <cell r="K9398" t="str">
            <v>LCAT</v>
          </cell>
          <cell r="AB9398" t="str">
            <v>Esophagus</v>
          </cell>
        </row>
        <row r="9399">
          <cell r="A9399" t="str">
            <v>in storage</v>
          </cell>
          <cell r="K9399" t="str">
            <v>LCAT</v>
          </cell>
          <cell r="AB9399" t="str">
            <v>Skin</v>
          </cell>
        </row>
        <row r="9400">
          <cell r="A9400" t="str">
            <v>in storage</v>
          </cell>
          <cell r="K9400" t="str">
            <v>LCAT</v>
          </cell>
          <cell r="AB9400" t="str">
            <v>Skin</v>
          </cell>
        </row>
        <row r="9401">
          <cell r="A9401" t="str">
            <v>in storage</v>
          </cell>
          <cell r="K9401" t="str">
            <v>LCAT</v>
          </cell>
          <cell r="AB9401" t="str">
            <v>Tongue</v>
          </cell>
        </row>
        <row r="9402">
          <cell r="A9402" t="str">
            <v>in storage</v>
          </cell>
          <cell r="K9402" t="str">
            <v>LCAT</v>
          </cell>
          <cell r="AB9402" t="str">
            <v>Aorta/ Trachea</v>
          </cell>
        </row>
        <row r="9403">
          <cell r="A9403" t="str">
            <v>in storage</v>
          </cell>
          <cell r="K9403" t="str">
            <v>PCOQ</v>
          </cell>
          <cell r="AB9403" t="str">
            <v>Adrenal gland</v>
          </cell>
        </row>
        <row r="9404">
          <cell r="A9404" t="str">
            <v>in storage</v>
          </cell>
          <cell r="K9404" t="str">
            <v>PCOQ</v>
          </cell>
          <cell r="AB9404" t="str">
            <v>Kidney</v>
          </cell>
        </row>
        <row r="9405">
          <cell r="A9405" t="str">
            <v>in storage</v>
          </cell>
          <cell r="K9405" t="str">
            <v>PCOQ</v>
          </cell>
          <cell r="AB9405" t="str">
            <v>Kidney</v>
          </cell>
        </row>
        <row r="9406">
          <cell r="A9406" t="str">
            <v>in storage</v>
          </cell>
          <cell r="K9406" t="str">
            <v>PCOQ</v>
          </cell>
          <cell r="AB9406" t="str">
            <v>Kidney</v>
          </cell>
        </row>
        <row r="9407">
          <cell r="A9407" t="str">
            <v>in storage</v>
          </cell>
          <cell r="K9407" t="str">
            <v>PCOQ</v>
          </cell>
          <cell r="AB9407" t="str">
            <v>Kidney</v>
          </cell>
        </row>
        <row r="9408">
          <cell r="A9408" t="str">
            <v>in storage</v>
          </cell>
          <cell r="K9408" t="str">
            <v>PCOQ</v>
          </cell>
          <cell r="AB9408" t="str">
            <v>Kidney</v>
          </cell>
        </row>
        <row r="9409">
          <cell r="A9409" t="str">
            <v>in storage</v>
          </cell>
          <cell r="K9409" t="str">
            <v>PCOQ</v>
          </cell>
          <cell r="AB9409" t="str">
            <v>Spleen</v>
          </cell>
        </row>
        <row r="9410">
          <cell r="A9410" t="str">
            <v>in storage</v>
          </cell>
          <cell r="K9410" t="str">
            <v>PCOQ</v>
          </cell>
          <cell r="AB9410" t="str">
            <v>Spleen</v>
          </cell>
        </row>
        <row r="9411">
          <cell r="A9411" t="str">
            <v>in storage</v>
          </cell>
          <cell r="K9411" t="str">
            <v>PCOQ</v>
          </cell>
          <cell r="AB9411" t="str">
            <v>Spleen</v>
          </cell>
        </row>
        <row r="9412">
          <cell r="A9412" t="str">
            <v>in storage</v>
          </cell>
          <cell r="K9412" t="str">
            <v>PCOQ</v>
          </cell>
          <cell r="AB9412" t="str">
            <v>Spleen</v>
          </cell>
        </row>
        <row r="9413">
          <cell r="A9413" t="str">
            <v>in storage</v>
          </cell>
          <cell r="K9413" t="str">
            <v>PCOQ</v>
          </cell>
          <cell r="AB9413" t="str">
            <v>U- bladder</v>
          </cell>
        </row>
        <row r="9414">
          <cell r="A9414" t="str">
            <v>in storage</v>
          </cell>
          <cell r="K9414" t="str">
            <v>PCOQ</v>
          </cell>
          <cell r="AB9414" t="str">
            <v>U- bladder</v>
          </cell>
        </row>
        <row r="9415">
          <cell r="A9415" t="str">
            <v>in storage</v>
          </cell>
          <cell r="K9415" t="str">
            <v>PCOQ</v>
          </cell>
          <cell r="AB9415" t="str">
            <v>U- bladder</v>
          </cell>
        </row>
        <row r="9416">
          <cell r="A9416" t="str">
            <v>in storage</v>
          </cell>
          <cell r="K9416" t="str">
            <v>PCOQ</v>
          </cell>
          <cell r="AB9416" t="str">
            <v>U- bladder</v>
          </cell>
        </row>
        <row r="9417">
          <cell r="A9417" t="str">
            <v>in storage</v>
          </cell>
          <cell r="K9417" t="str">
            <v>PCOQ</v>
          </cell>
          <cell r="AB9417" t="str">
            <v>Liver</v>
          </cell>
        </row>
        <row r="9418">
          <cell r="A9418" t="str">
            <v>in storage</v>
          </cell>
          <cell r="K9418" t="str">
            <v>PCOQ</v>
          </cell>
          <cell r="AB9418" t="str">
            <v>Liver</v>
          </cell>
        </row>
        <row r="9419">
          <cell r="A9419" t="str">
            <v>in storage</v>
          </cell>
          <cell r="K9419" t="str">
            <v>PCOQ</v>
          </cell>
          <cell r="AB9419" t="str">
            <v>Liver</v>
          </cell>
        </row>
        <row r="9420">
          <cell r="A9420" t="str">
            <v>in storage</v>
          </cell>
          <cell r="K9420" t="str">
            <v>PCOQ</v>
          </cell>
          <cell r="AB9420" t="str">
            <v>Liver</v>
          </cell>
        </row>
        <row r="9421">
          <cell r="A9421" t="str">
            <v>in storage</v>
          </cell>
          <cell r="K9421" t="str">
            <v>PCOQ</v>
          </cell>
          <cell r="AB9421" t="str">
            <v>Gallbladder/ liver</v>
          </cell>
        </row>
        <row r="9422">
          <cell r="A9422" t="str">
            <v>gone</v>
          </cell>
          <cell r="K9422" t="str">
            <v>PCOQ</v>
          </cell>
          <cell r="AB9422" t="str">
            <v>Liver</v>
          </cell>
        </row>
        <row r="9423">
          <cell r="A9423" t="str">
            <v>gone</v>
          </cell>
          <cell r="K9423" t="str">
            <v>PCOQ</v>
          </cell>
          <cell r="AB9423" t="str">
            <v>Liver</v>
          </cell>
        </row>
        <row r="9424">
          <cell r="A9424" t="str">
            <v>gone</v>
          </cell>
          <cell r="K9424" t="str">
            <v>PCOQ</v>
          </cell>
          <cell r="AB9424" t="str">
            <v>Liver</v>
          </cell>
        </row>
        <row r="9425">
          <cell r="A9425" t="str">
            <v>in storage</v>
          </cell>
          <cell r="K9425" t="str">
            <v>PCOQ</v>
          </cell>
          <cell r="AB9425" t="str">
            <v>Gallbladder</v>
          </cell>
        </row>
        <row r="9426">
          <cell r="A9426" t="str">
            <v>in storage</v>
          </cell>
          <cell r="K9426" t="str">
            <v>PCOQ</v>
          </cell>
          <cell r="AB9426" t="str">
            <v>Pancreas</v>
          </cell>
        </row>
        <row r="9427">
          <cell r="A9427" t="str">
            <v>in storage</v>
          </cell>
          <cell r="K9427" t="str">
            <v>PCOQ</v>
          </cell>
          <cell r="AB9427" t="str">
            <v>Pancreas</v>
          </cell>
        </row>
        <row r="9428">
          <cell r="A9428" t="str">
            <v>in storage</v>
          </cell>
          <cell r="K9428" t="str">
            <v>PCOQ</v>
          </cell>
          <cell r="AB9428" t="str">
            <v>Pancreas</v>
          </cell>
        </row>
        <row r="9429">
          <cell r="A9429" t="str">
            <v>in storage</v>
          </cell>
          <cell r="K9429" t="str">
            <v>PCOQ</v>
          </cell>
          <cell r="AB9429" t="str">
            <v>Pancreas</v>
          </cell>
        </row>
        <row r="9430">
          <cell r="A9430" t="str">
            <v>in storage</v>
          </cell>
          <cell r="K9430" t="str">
            <v>PCOQ</v>
          </cell>
          <cell r="AB9430" t="str">
            <v>GI- Large intestine/ small intestine</v>
          </cell>
        </row>
        <row r="9431">
          <cell r="A9431" t="str">
            <v>in storage</v>
          </cell>
          <cell r="K9431" t="str">
            <v>PCOQ</v>
          </cell>
          <cell r="AB9431" t="str">
            <v>GI- stomach</v>
          </cell>
        </row>
        <row r="9432">
          <cell r="A9432" t="str">
            <v>in storage</v>
          </cell>
          <cell r="K9432" t="str">
            <v>PCOQ</v>
          </cell>
          <cell r="AB9432" t="str">
            <v>GI- stomach</v>
          </cell>
        </row>
        <row r="9433">
          <cell r="A9433" t="str">
            <v>in storage</v>
          </cell>
          <cell r="K9433" t="str">
            <v>PCOQ</v>
          </cell>
          <cell r="AB9433" t="str">
            <v>GI- stomach</v>
          </cell>
        </row>
        <row r="9434">
          <cell r="A9434" t="str">
            <v>in storage</v>
          </cell>
          <cell r="K9434" t="str">
            <v>PCOQ</v>
          </cell>
          <cell r="AB9434" t="str">
            <v>GI- stomach</v>
          </cell>
        </row>
        <row r="9435">
          <cell r="A9435" t="str">
            <v>in storage</v>
          </cell>
          <cell r="K9435" t="str">
            <v>PCOQ</v>
          </cell>
          <cell r="AB9435" t="str">
            <v>Lung</v>
          </cell>
        </row>
        <row r="9436">
          <cell r="A9436" t="str">
            <v>in storage</v>
          </cell>
          <cell r="K9436" t="str">
            <v>PCOQ</v>
          </cell>
          <cell r="AB9436" t="str">
            <v>Lung</v>
          </cell>
        </row>
        <row r="9437">
          <cell r="A9437" t="str">
            <v>in storage</v>
          </cell>
          <cell r="K9437" t="str">
            <v>PCOQ</v>
          </cell>
          <cell r="AB9437" t="str">
            <v>Lung</v>
          </cell>
        </row>
        <row r="9438">
          <cell r="A9438" t="str">
            <v>in storage</v>
          </cell>
          <cell r="K9438" t="str">
            <v>PCOQ</v>
          </cell>
          <cell r="AB9438" t="str">
            <v>Lung</v>
          </cell>
        </row>
        <row r="9439">
          <cell r="A9439" t="str">
            <v>in storage</v>
          </cell>
          <cell r="K9439" t="str">
            <v>PCOQ</v>
          </cell>
          <cell r="AB9439" t="str">
            <v>Heart</v>
          </cell>
        </row>
        <row r="9440">
          <cell r="A9440" t="str">
            <v>in storage</v>
          </cell>
          <cell r="K9440" t="str">
            <v>PCOQ</v>
          </cell>
          <cell r="AB9440" t="str">
            <v>Heart</v>
          </cell>
        </row>
        <row r="9441">
          <cell r="A9441" t="str">
            <v>in storage</v>
          </cell>
          <cell r="K9441" t="str">
            <v>PCOQ</v>
          </cell>
          <cell r="AB9441" t="str">
            <v>Heart</v>
          </cell>
        </row>
        <row r="9442">
          <cell r="A9442" t="str">
            <v>in storage</v>
          </cell>
          <cell r="K9442" t="str">
            <v>PCOQ</v>
          </cell>
          <cell r="AB9442" t="str">
            <v>Heart</v>
          </cell>
        </row>
        <row r="9443">
          <cell r="A9443" t="str">
            <v>in storage</v>
          </cell>
          <cell r="K9443" t="str">
            <v>PCOQ</v>
          </cell>
          <cell r="AB9443" t="str">
            <v>Thyroid</v>
          </cell>
        </row>
        <row r="9444">
          <cell r="A9444" t="str">
            <v>in storage</v>
          </cell>
          <cell r="K9444" t="str">
            <v>PCOQ</v>
          </cell>
          <cell r="AB9444" t="str">
            <v>Trachea</v>
          </cell>
        </row>
        <row r="9445">
          <cell r="A9445" t="str">
            <v>in storage</v>
          </cell>
          <cell r="K9445" t="str">
            <v>PCOQ</v>
          </cell>
          <cell r="AB9445" t="str">
            <v>Tongue</v>
          </cell>
        </row>
        <row r="9446">
          <cell r="A9446" t="str">
            <v>in storage</v>
          </cell>
          <cell r="K9446" t="str">
            <v>PCOQ</v>
          </cell>
          <cell r="AB9446" t="str">
            <v>Tongue</v>
          </cell>
        </row>
        <row r="9447">
          <cell r="A9447" t="str">
            <v>in storage</v>
          </cell>
          <cell r="K9447" t="str">
            <v>PCOQ</v>
          </cell>
          <cell r="AB9447" t="str">
            <v>Tongue</v>
          </cell>
        </row>
        <row r="9448">
          <cell r="A9448" t="str">
            <v>in storage</v>
          </cell>
          <cell r="K9448" t="str">
            <v>PCOQ</v>
          </cell>
          <cell r="AB9448" t="str">
            <v>Tongue</v>
          </cell>
        </row>
        <row r="9449">
          <cell r="A9449" t="str">
            <v>in storage</v>
          </cell>
          <cell r="K9449" t="str">
            <v>MMUR</v>
          </cell>
          <cell r="AB9449" t="str">
            <v>Kidney</v>
          </cell>
        </row>
        <row r="9450">
          <cell r="A9450" t="str">
            <v>in storage</v>
          </cell>
          <cell r="K9450" t="str">
            <v>MMUR</v>
          </cell>
          <cell r="AB9450" t="str">
            <v>Kidney</v>
          </cell>
        </row>
        <row r="9451">
          <cell r="A9451" t="str">
            <v>in storage</v>
          </cell>
          <cell r="K9451" t="str">
            <v>MMUR</v>
          </cell>
          <cell r="AB9451" t="str">
            <v>Spleen</v>
          </cell>
        </row>
        <row r="9452">
          <cell r="A9452" t="str">
            <v>in storage</v>
          </cell>
          <cell r="K9452" t="str">
            <v>MMUR</v>
          </cell>
          <cell r="AB9452" t="str">
            <v>Liver</v>
          </cell>
        </row>
        <row r="9453">
          <cell r="A9453" t="str">
            <v>in storage</v>
          </cell>
          <cell r="K9453" t="str">
            <v>MMUR</v>
          </cell>
          <cell r="AB9453" t="str">
            <v>Liver</v>
          </cell>
        </row>
        <row r="9454">
          <cell r="A9454" t="str">
            <v>in storage</v>
          </cell>
          <cell r="K9454" t="str">
            <v>MMUR</v>
          </cell>
          <cell r="AB9454" t="str">
            <v>Liver</v>
          </cell>
        </row>
        <row r="9455">
          <cell r="A9455" t="str">
            <v>in storage</v>
          </cell>
          <cell r="K9455" t="str">
            <v>MMUR</v>
          </cell>
          <cell r="AB9455" t="str">
            <v>Liver</v>
          </cell>
        </row>
        <row r="9456">
          <cell r="A9456" t="str">
            <v>in storage</v>
          </cell>
          <cell r="K9456" t="str">
            <v>MMUR</v>
          </cell>
          <cell r="AB9456" t="str">
            <v>Liver</v>
          </cell>
        </row>
        <row r="9457">
          <cell r="A9457" t="str">
            <v>in storage</v>
          </cell>
          <cell r="K9457" t="str">
            <v>MMUR</v>
          </cell>
          <cell r="AB9457" t="str">
            <v>Liver</v>
          </cell>
        </row>
        <row r="9458">
          <cell r="A9458" t="str">
            <v>in storage</v>
          </cell>
          <cell r="K9458" t="str">
            <v>MMUR</v>
          </cell>
          <cell r="AB9458" t="str">
            <v>Liver</v>
          </cell>
        </row>
        <row r="9459">
          <cell r="A9459" t="str">
            <v>in storage</v>
          </cell>
          <cell r="K9459" t="str">
            <v>MMUR</v>
          </cell>
          <cell r="AB9459" t="str">
            <v>Liver</v>
          </cell>
        </row>
        <row r="9460">
          <cell r="A9460" t="str">
            <v>in storage</v>
          </cell>
          <cell r="K9460" t="str">
            <v>MMUR</v>
          </cell>
          <cell r="AB9460" t="str">
            <v>Pancreas</v>
          </cell>
        </row>
        <row r="9461">
          <cell r="A9461" t="str">
            <v>in storage</v>
          </cell>
          <cell r="K9461" t="str">
            <v>MMUR</v>
          </cell>
          <cell r="AB9461" t="str">
            <v>GI tract</v>
          </cell>
        </row>
        <row r="9462">
          <cell r="A9462" t="str">
            <v>in storage</v>
          </cell>
          <cell r="K9462" t="str">
            <v>MMUR</v>
          </cell>
          <cell r="AB9462" t="str">
            <v>Heart</v>
          </cell>
        </row>
        <row r="9463">
          <cell r="A9463" t="str">
            <v>in storage</v>
          </cell>
          <cell r="K9463" t="str">
            <v>MMUR</v>
          </cell>
          <cell r="AB9463" t="str">
            <v>Thyroid</v>
          </cell>
        </row>
        <row r="9464">
          <cell r="A9464" t="str">
            <v>in storage</v>
          </cell>
          <cell r="K9464" t="str">
            <v>MMUR</v>
          </cell>
          <cell r="AB9464" t="str">
            <v>Salivary gland</v>
          </cell>
        </row>
        <row r="9465">
          <cell r="A9465" t="str">
            <v>in storage</v>
          </cell>
          <cell r="K9465" t="str">
            <v>MMUR</v>
          </cell>
          <cell r="AB9465" t="str">
            <v>Salivary gland</v>
          </cell>
        </row>
        <row r="9466">
          <cell r="A9466" t="str">
            <v>in storage</v>
          </cell>
          <cell r="K9466" t="str">
            <v>MMUR</v>
          </cell>
          <cell r="AB9466" t="str">
            <v>Thymus</v>
          </cell>
        </row>
        <row r="9467">
          <cell r="A9467" t="str">
            <v>in storage</v>
          </cell>
          <cell r="K9467" t="str">
            <v>LCAT</v>
          </cell>
          <cell r="AB9467" t="str">
            <v>Scent gland contents</v>
          </cell>
        </row>
        <row r="9468">
          <cell r="A9468" t="str">
            <v>in storage</v>
          </cell>
          <cell r="K9468" t="str">
            <v>PCOQ</v>
          </cell>
          <cell r="AB9468" t="str">
            <v>R- umbilical cord</v>
          </cell>
        </row>
        <row r="9469">
          <cell r="A9469" t="str">
            <v>in storage</v>
          </cell>
          <cell r="K9469" t="str">
            <v>LCAT</v>
          </cell>
          <cell r="AB9469" t="str">
            <v>Adrenal gland</v>
          </cell>
        </row>
        <row r="9470">
          <cell r="A9470" t="str">
            <v>in storage</v>
          </cell>
          <cell r="K9470" t="str">
            <v>LCAT</v>
          </cell>
          <cell r="AB9470" t="str">
            <v>Kidney</v>
          </cell>
        </row>
        <row r="9471">
          <cell r="A9471" t="str">
            <v>in storage</v>
          </cell>
          <cell r="K9471" t="str">
            <v>LCAT</v>
          </cell>
          <cell r="AB9471" t="str">
            <v>Kidney</v>
          </cell>
        </row>
        <row r="9472">
          <cell r="A9472" t="str">
            <v>in storage</v>
          </cell>
          <cell r="K9472" t="str">
            <v>LCAT</v>
          </cell>
          <cell r="AB9472" t="str">
            <v>Kidney</v>
          </cell>
        </row>
        <row r="9473">
          <cell r="A9473" t="str">
            <v>in storage</v>
          </cell>
          <cell r="K9473" t="str">
            <v>LCAT</v>
          </cell>
          <cell r="AB9473" t="str">
            <v>Kidney</v>
          </cell>
        </row>
        <row r="9474">
          <cell r="A9474" t="str">
            <v>in storage</v>
          </cell>
          <cell r="K9474" t="str">
            <v>LCAT</v>
          </cell>
          <cell r="AB9474" t="str">
            <v>Kidney</v>
          </cell>
        </row>
        <row r="9475">
          <cell r="A9475" t="str">
            <v>in storage</v>
          </cell>
          <cell r="K9475" t="str">
            <v>LCAT</v>
          </cell>
          <cell r="AB9475" t="str">
            <v>Kidney</v>
          </cell>
        </row>
        <row r="9476">
          <cell r="A9476" t="str">
            <v>in storage</v>
          </cell>
          <cell r="K9476" t="str">
            <v>LCAT</v>
          </cell>
          <cell r="AB9476" t="str">
            <v>Kidney</v>
          </cell>
        </row>
        <row r="9477">
          <cell r="A9477" t="str">
            <v>in storage</v>
          </cell>
          <cell r="K9477" t="str">
            <v>LCAT</v>
          </cell>
          <cell r="AB9477" t="str">
            <v>spleen</v>
          </cell>
        </row>
        <row r="9478">
          <cell r="A9478" t="str">
            <v>in storage</v>
          </cell>
          <cell r="K9478" t="str">
            <v>LCAT</v>
          </cell>
          <cell r="AB9478" t="str">
            <v>spleen</v>
          </cell>
        </row>
        <row r="9479">
          <cell r="A9479" t="str">
            <v>in storage</v>
          </cell>
          <cell r="K9479" t="str">
            <v>LCAT</v>
          </cell>
          <cell r="AB9479" t="str">
            <v>U- bladder</v>
          </cell>
        </row>
        <row r="9480">
          <cell r="A9480" t="str">
            <v>in storage</v>
          </cell>
          <cell r="K9480" t="str">
            <v>LCAT</v>
          </cell>
          <cell r="AB9480" t="str">
            <v>U- bladder</v>
          </cell>
        </row>
        <row r="9481">
          <cell r="A9481" t="str">
            <v>in storage</v>
          </cell>
          <cell r="K9481" t="str">
            <v>LCAT</v>
          </cell>
          <cell r="AB9481" t="str">
            <v>U- bladder</v>
          </cell>
        </row>
        <row r="9482">
          <cell r="A9482" t="str">
            <v>in storage</v>
          </cell>
          <cell r="K9482" t="str">
            <v>LCAT</v>
          </cell>
          <cell r="AB9482" t="str">
            <v>Liver</v>
          </cell>
        </row>
        <row r="9483">
          <cell r="A9483" t="str">
            <v>in storage</v>
          </cell>
          <cell r="K9483" t="str">
            <v>LCAT</v>
          </cell>
          <cell r="AB9483" t="str">
            <v>Liver</v>
          </cell>
        </row>
        <row r="9484">
          <cell r="A9484" t="str">
            <v>in storage</v>
          </cell>
          <cell r="K9484" t="str">
            <v>LCAT</v>
          </cell>
          <cell r="AB9484" t="str">
            <v>Liver</v>
          </cell>
        </row>
        <row r="9485">
          <cell r="A9485" t="str">
            <v>in storage</v>
          </cell>
          <cell r="K9485" t="str">
            <v>LCAT</v>
          </cell>
          <cell r="AB9485" t="str">
            <v>Mass- liver</v>
          </cell>
        </row>
        <row r="9486">
          <cell r="A9486" t="str">
            <v>in storage</v>
          </cell>
          <cell r="K9486" t="str">
            <v>LCAT</v>
          </cell>
          <cell r="AB9486" t="str">
            <v>Liver</v>
          </cell>
        </row>
        <row r="9487">
          <cell r="A9487" t="str">
            <v>in storage</v>
          </cell>
          <cell r="K9487" t="str">
            <v>LCAT</v>
          </cell>
          <cell r="AB9487" t="str">
            <v>Liver</v>
          </cell>
        </row>
        <row r="9488">
          <cell r="A9488" t="str">
            <v>in storage</v>
          </cell>
          <cell r="K9488" t="str">
            <v>LCAT</v>
          </cell>
          <cell r="AB9488" t="str">
            <v>Liver</v>
          </cell>
        </row>
        <row r="9489">
          <cell r="A9489" t="str">
            <v>in storage</v>
          </cell>
          <cell r="K9489" t="str">
            <v>LCAT</v>
          </cell>
          <cell r="AB9489" t="str">
            <v>Liver</v>
          </cell>
        </row>
        <row r="9490">
          <cell r="A9490" t="str">
            <v>in storage</v>
          </cell>
          <cell r="K9490" t="str">
            <v>LCAT</v>
          </cell>
          <cell r="AB9490" t="str">
            <v>Mass- liver</v>
          </cell>
        </row>
        <row r="9491">
          <cell r="A9491" t="str">
            <v>in storage</v>
          </cell>
          <cell r="K9491" t="str">
            <v>LCAT</v>
          </cell>
          <cell r="AB9491" t="str">
            <v>Pancreas</v>
          </cell>
        </row>
        <row r="9492">
          <cell r="A9492" t="str">
            <v>in storage</v>
          </cell>
          <cell r="K9492" t="str">
            <v>LCAT</v>
          </cell>
          <cell r="AB9492" t="str">
            <v>Pancreas</v>
          </cell>
        </row>
        <row r="9493">
          <cell r="A9493" t="str">
            <v>in storage</v>
          </cell>
          <cell r="K9493" t="str">
            <v>LCAT</v>
          </cell>
          <cell r="AB9493" t="str">
            <v>GI- stomach/ small intestine/ large intestine</v>
          </cell>
        </row>
        <row r="9494">
          <cell r="A9494" t="str">
            <v>in storage</v>
          </cell>
          <cell r="K9494" t="str">
            <v>LCAT</v>
          </cell>
          <cell r="AB9494" t="str">
            <v>Lung</v>
          </cell>
        </row>
        <row r="9495">
          <cell r="A9495" t="str">
            <v>in storage</v>
          </cell>
          <cell r="K9495" t="str">
            <v>LCAT</v>
          </cell>
          <cell r="AB9495" t="str">
            <v>Lung</v>
          </cell>
        </row>
        <row r="9496">
          <cell r="A9496" t="str">
            <v>in storage</v>
          </cell>
          <cell r="K9496" t="str">
            <v>LCAT</v>
          </cell>
          <cell r="AB9496" t="str">
            <v>Heart</v>
          </cell>
        </row>
        <row r="9497">
          <cell r="A9497" t="str">
            <v>in storage</v>
          </cell>
          <cell r="K9497" t="str">
            <v>LCAT</v>
          </cell>
          <cell r="AB9497" t="str">
            <v>Heart</v>
          </cell>
        </row>
        <row r="9498">
          <cell r="A9498" t="str">
            <v>in storage</v>
          </cell>
          <cell r="K9498" t="str">
            <v>LCAT</v>
          </cell>
          <cell r="AB9498" t="str">
            <v>Thyroid</v>
          </cell>
        </row>
        <row r="9499">
          <cell r="A9499" t="str">
            <v>in storage</v>
          </cell>
          <cell r="K9499" t="str">
            <v>LCAT</v>
          </cell>
          <cell r="AB9499" t="str">
            <v>Skin</v>
          </cell>
        </row>
        <row r="9500">
          <cell r="A9500" t="str">
            <v>in storage</v>
          </cell>
          <cell r="K9500" t="str">
            <v>DMAD</v>
          </cell>
          <cell r="AB9500" t="str">
            <v>Tooth</v>
          </cell>
        </row>
        <row r="9501">
          <cell r="A9501" t="str">
            <v>in storage</v>
          </cell>
          <cell r="K9501" t="str">
            <v>EFLA</v>
          </cell>
          <cell r="AB9501" t="str">
            <v>R- placenta</v>
          </cell>
        </row>
        <row r="9502">
          <cell r="A9502" t="str">
            <v>in storage</v>
          </cell>
          <cell r="K9502" t="str">
            <v>HGG</v>
          </cell>
          <cell r="AB9502" t="str">
            <v>Heart</v>
          </cell>
        </row>
        <row r="9503">
          <cell r="A9503" t="str">
            <v>in storage</v>
          </cell>
          <cell r="K9503" t="str">
            <v>HGG</v>
          </cell>
          <cell r="AB9503" t="str">
            <v>Kidney</v>
          </cell>
        </row>
        <row r="9504">
          <cell r="A9504" t="str">
            <v>in storage</v>
          </cell>
          <cell r="K9504" t="str">
            <v>HGG</v>
          </cell>
          <cell r="AB9504" t="str">
            <v>Lung</v>
          </cell>
        </row>
        <row r="9505">
          <cell r="A9505" t="str">
            <v>in storage</v>
          </cell>
          <cell r="K9505" t="str">
            <v>HGG</v>
          </cell>
          <cell r="AB9505" t="str">
            <v>Liver</v>
          </cell>
        </row>
        <row r="9506">
          <cell r="A9506" t="str">
            <v>in storage</v>
          </cell>
          <cell r="K9506" t="str">
            <v>MZAZ</v>
          </cell>
          <cell r="AB9506" t="str">
            <v>Muscle</v>
          </cell>
        </row>
        <row r="9507">
          <cell r="A9507" t="str">
            <v>in storage</v>
          </cell>
          <cell r="K9507" t="str">
            <v>MZAZ</v>
          </cell>
          <cell r="AB9507" t="str">
            <v>Muscle</v>
          </cell>
        </row>
        <row r="9508">
          <cell r="A9508" t="str">
            <v>in storage</v>
          </cell>
          <cell r="K9508" t="str">
            <v>MZAZ</v>
          </cell>
          <cell r="AB9508" t="str">
            <v>Liver</v>
          </cell>
        </row>
        <row r="9509">
          <cell r="A9509" t="str">
            <v>in storage</v>
          </cell>
          <cell r="K9509" t="str">
            <v>MZAZ</v>
          </cell>
          <cell r="AB9509" t="str">
            <v>Liver</v>
          </cell>
        </row>
        <row r="9510">
          <cell r="A9510" t="str">
            <v>in storage</v>
          </cell>
          <cell r="K9510" t="str">
            <v>MZAZ</v>
          </cell>
          <cell r="AB9510" t="str">
            <v>Liver</v>
          </cell>
        </row>
        <row r="9511">
          <cell r="A9511" t="str">
            <v>in storage</v>
          </cell>
          <cell r="K9511" t="str">
            <v>EFLA</v>
          </cell>
          <cell r="AB9511" t="str">
            <v>R- placenta</v>
          </cell>
        </row>
        <row r="9512">
          <cell r="A9512" t="str">
            <v>in storage</v>
          </cell>
          <cell r="K9512" t="str">
            <v>EFLA</v>
          </cell>
          <cell r="AB9512" t="str">
            <v>Liver</v>
          </cell>
        </row>
        <row r="9513">
          <cell r="A9513" t="str">
            <v>in storage</v>
          </cell>
          <cell r="K9513" t="str">
            <v>PCOQ</v>
          </cell>
          <cell r="AB9513" t="str">
            <v>Liver</v>
          </cell>
        </row>
        <row r="9514">
          <cell r="A9514" t="str">
            <v>in storage</v>
          </cell>
          <cell r="K9514" t="str">
            <v>VVV</v>
          </cell>
          <cell r="AB9514" t="str">
            <v>Liver</v>
          </cell>
        </row>
        <row r="9515">
          <cell r="A9515" t="str">
            <v>in storage</v>
          </cell>
          <cell r="K9515" t="str">
            <v>DMAD</v>
          </cell>
          <cell r="AB9515" t="str">
            <v>Digit- finger</v>
          </cell>
        </row>
        <row r="9516">
          <cell r="A9516" t="str">
            <v>in storage</v>
          </cell>
          <cell r="K9516" t="str">
            <v>DMAD</v>
          </cell>
          <cell r="AB9516" t="str">
            <v>Digit- finger</v>
          </cell>
        </row>
        <row r="9517">
          <cell r="A9517" t="str">
            <v>in storage</v>
          </cell>
          <cell r="K9517" t="str">
            <v>MMUR</v>
          </cell>
          <cell r="AB9517" t="str">
            <v>GI- small intestine</v>
          </cell>
        </row>
        <row r="9518">
          <cell r="A9518" t="str">
            <v>in storage</v>
          </cell>
          <cell r="K9518" t="str">
            <v>MMUR</v>
          </cell>
          <cell r="AB9518" t="str">
            <v>Spleen</v>
          </cell>
        </row>
        <row r="9519">
          <cell r="A9519" t="str">
            <v>in storage</v>
          </cell>
          <cell r="K9519" t="str">
            <v>MMUR</v>
          </cell>
          <cell r="AB9519" t="str">
            <v>Lung</v>
          </cell>
        </row>
        <row r="9520">
          <cell r="A9520" t="str">
            <v>in storage</v>
          </cell>
          <cell r="K9520" t="str">
            <v>MMUR</v>
          </cell>
          <cell r="AB9520" t="str">
            <v>Kidney</v>
          </cell>
        </row>
        <row r="9521">
          <cell r="A9521" t="str">
            <v>in storage</v>
          </cell>
          <cell r="K9521" t="str">
            <v>MMUR</v>
          </cell>
          <cell r="AB9521" t="str">
            <v>Heart</v>
          </cell>
        </row>
        <row r="9522">
          <cell r="A9522" t="str">
            <v>in storage</v>
          </cell>
          <cell r="K9522" t="str">
            <v>MMUR</v>
          </cell>
          <cell r="AB9522" t="str">
            <v>Tail</v>
          </cell>
        </row>
        <row r="9523">
          <cell r="A9523" t="str">
            <v>in storage</v>
          </cell>
          <cell r="K9523" t="str">
            <v>MMUR</v>
          </cell>
          <cell r="AB9523" t="str">
            <v>Liver</v>
          </cell>
        </row>
        <row r="9524">
          <cell r="A9524" t="str">
            <v>in storage</v>
          </cell>
          <cell r="K9524" t="str">
            <v>HGG</v>
          </cell>
          <cell r="AB9524" t="str">
            <v>Fluid- pleural effusion</v>
          </cell>
        </row>
        <row r="9525">
          <cell r="A9525" t="str">
            <v>in storage</v>
          </cell>
          <cell r="K9525" t="str">
            <v>HGG</v>
          </cell>
          <cell r="AB9525" t="str">
            <v>Fluid- pleural effusion</v>
          </cell>
        </row>
        <row r="9526">
          <cell r="A9526" t="str">
            <v>in storage</v>
          </cell>
          <cell r="K9526" t="str">
            <v>HGG</v>
          </cell>
          <cell r="AB9526" t="str">
            <v>Fluid- pleural effusion</v>
          </cell>
        </row>
        <row r="9527">
          <cell r="A9527" t="str">
            <v>in storage</v>
          </cell>
          <cell r="K9527" t="str">
            <v>HGG</v>
          </cell>
          <cell r="AB9527" t="str">
            <v>Fluid- pleural effusion</v>
          </cell>
        </row>
        <row r="9528">
          <cell r="A9528" t="str">
            <v>in storage</v>
          </cell>
          <cell r="K9528" t="str">
            <v>HGG</v>
          </cell>
          <cell r="AB9528" t="str">
            <v>Fluid- pleural effusion</v>
          </cell>
        </row>
        <row r="9529">
          <cell r="A9529" t="str">
            <v>in storage</v>
          </cell>
          <cell r="K9529" t="str">
            <v>NPYG</v>
          </cell>
          <cell r="AB9529" t="str">
            <v>GI Contents- colon</v>
          </cell>
        </row>
        <row r="9530">
          <cell r="A9530" t="str">
            <v>in storage</v>
          </cell>
          <cell r="K9530" t="str">
            <v>NPYG</v>
          </cell>
          <cell r="AB9530" t="str">
            <v>GI Contents- cecum</v>
          </cell>
        </row>
        <row r="9531">
          <cell r="A9531" t="str">
            <v>in storage</v>
          </cell>
          <cell r="K9531" t="str">
            <v>LCAT</v>
          </cell>
          <cell r="AB9531" t="str">
            <v>GI- small intestine</v>
          </cell>
        </row>
        <row r="9532">
          <cell r="A9532" t="str">
            <v>in storage</v>
          </cell>
          <cell r="K9532" t="str">
            <v>LCAT</v>
          </cell>
          <cell r="AB9532" t="str">
            <v>GI- stomach</v>
          </cell>
        </row>
        <row r="9533">
          <cell r="A9533" t="str">
            <v>in storage</v>
          </cell>
          <cell r="K9533" t="str">
            <v>LTAR</v>
          </cell>
          <cell r="AB9533" t="str">
            <v>R- milk</v>
          </cell>
        </row>
        <row r="9534">
          <cell r="A9534" t="str">
            <v>in storage</v>
          </cell>
          <cell r="K9534" t="str">
            <v>ECOL</v>
          </cell>
          <cell r="AB9534" t="str">
            <v>R- milk</v>
          </cell>
        </row>
        <row r="9535">
          <cell r="A9535" t="str">
            <v>in storage</v>
          </cell>
          <cell r="K9535" t="str">
            <v>HGG</v>
          </cell>
          <cell r="AB9535" t="str">
            <v>Tooth</v>
          </cell>
        </row>
        <row r="9536">
          <cell r="A9536" t="str">
            <v>in storage</v>
          </cell>
          <cell r="K9536" t="str">
            <v>DMAD</v>
          </cell>
          <cell r="AB9536" t="str">
            <v>Tooth</v>
          </cell>
        </row>
        <row r="9537">
          <cell r="A9537" t="str">
            <v>in storage</v>
          </cell>
          <cell r="K9537" t="str">
            <v>DMAD</v>
          </cell>
          <cell r="AB9537" t="str">
            <v>Tooth</v>
          </cell>
        </row>
        <row r="9538">
          <cell r="A9538" t="str">
            <v>in storage</v>
          </cell>
          <cell r="K9538" t="str">
            <v>MMUR</v>
          </cell>
          <cell r="AB9538" t="str">
            <v>Tooth</v>
          </cell>
        </row>
        <row r="9539">
          <cell r="A9539" t="str">
            <v>in storage</v>
          </cell>
          <cell r="K9539" t="str">
            <v>ECOL</v>
          </cell>
          <cell r="AB9539" t="str">
            <v>Tooth</v>
          </cell>
        </row>
        <row r="9540">
          <cell r="A9540" t="str">
            <v>in storage</v>
          </cell>
          <cell r="K9540" t="str">
            <v>VVV</v>
          </cell>
          <cell r="AB9540" t="str">
            <v>Tooth</v>
          </cell>
        </row>
        <row r="9541">
          <cell r="A9541" t="str">
            <v>in storage</v>
          </cell>
          <cell r="K9541" t="str">
            <v>DMAD</v>
          </cell>
          <cell r="AB9541" t="str">
            <v>Tooth</v>
          </cell>
        </row>
        <row r="9542">
          <cell r="A9542" t="str">
            <v>in storage</v>
          </cell>
          <cell r="K9542" t="str">
            <v>HGG</v>
          </cell>
          <cell r="AB9542" t="str">
            <v>Tooth</v>
          </cell>
        </row>
        <row r="9543">
          <cell r="A9543" t="str">
            <v>in storage</v>
          </cell>
          <cell r="K9543" t="str">
            <v>DMAD</v>
          </cell>
          <cell r="AB9543" t="str">
            <v>Tooth</v>
          </cell>
        </row>
        <row r="9544">
          <cell r="A9544" t="str">
            <v>in storage</v>
          </cell>
          <cell r="K9544" t="str">
            <v>DMAD</v>
          </cell>
          <cell r="AB9544" t="str">
            <v>Tooth</v>
          </cell>
        </row>
        <row r="9545">
          <cell r="A9545" t="str">
            <v>in storage</v>
          </cell>
          <cell r="K9545" t="str">
            <v>EMON</v>
          </cell>
          <cell r="AB9545" t="str">
            <v>Tooth</v>
          </cell>
        </row>
        <row r="9546">
          <cell r="A9546" t="str">
            <v>in storage</v>
          </cell>
          <cell r="K9546" t="str">
            <v>DMAD</v>
          </cell>
          <cell r="AB9546" t="str">
            <v>Tooth</v>
          </cell>
        </row>
        <row r="9547">
          <cell r="A9547" t="str">
            <v>in storage</v>
          </cell>
          <cell r="K9547" t="str">
            <v>HGG</v>
          </cell>
          <cell r="AB9547" t="str">
            <v>Tooth</v>
          </cell>
        </row>
        <row r="9548">
          <cell r="A9548" t="str">
            <v>in storage</v>
          </cell>
          <cell r="K9548" t="str">
            <v>HGG</v>
          </cell>
          <cell r="AB9548" t="str">
            <v>Tooth</v>
          </cell>
        </row>
        <row r="9549">
          <cell r="A9549" t="str">
            <v>in storage</v>
          </cell>
          <cell r="K9549" t="str">
            <v>DMAD</v>
          </cell>
          <cell r="AB9549" t="str">
            <v>Tooth</v>
          </cell>
        </row>
        <row r="9550">
          <cell r="A9550" t="str">
            <v>in storage</v>
          </cell>
          <cell r="K9550" t="str">
            <v>MMUR</v>
          </cell>
          <cell r="AB9550" t="str">
            <v>Tooth</v>
          </cell>
        </row>
        <row r="9551">
          <cell r="A9551" t="str">
            <v>in storage</v>
          </cell>
          <cell r="K9551" t="str">
            <v>MMUR</v>
          </cell>
          <cell r="AB9551" t="str">
            <v>Tooth</v>
          </cell>
        </row>
        <row r="9552">
          <cell r="A9552" t="str">
            <v>in storage</v>
          </cell>
          <cell r="K9552" t="str">
            <v>CMED</v>
          </cell>
          <cell r="AB9552" t="str">
            <v>Tooth</v>
          </cell>
        </row>
        <row r="9553">
          <cell r="A9553" t="str">
            <v>in storage</v>
          </cell>
          <cell r="K9553" t="str">
            <v>VRUB</v>
          </cell>
          <cell r="AB9553" t="str">
            <v>Tooth</v>
          </cell>
        </row>
        <row r="9554">
          <cell r="A9554" t="str">
            <v>in storage</v>
          </cell>
          <cell r="K9554" t="str">
            <v>NPYG</v>
          </cell>
          <cell r="AB9554" t="str">
            <v>Tooth</v>
          </cell>
        </row>
        <row r="9555">
          <cell r="A9555" t="str">
            <v>in storage</v>
          </cell>
          <cell r="K9555" t="str">
            <v>PCOQ</v>
          </cell>
          <cell r="AB9555" t="str">
            <v>Tooth</v>
          </cell>
        </row>
        <row r="9556">
          <cell r="A9556" t="str">
            <v>in storage</v>
          </cell>
          <cell r="K9556" t="str">
            <v>EMAC</v>
          </cell>
          <cell r="AB9556" t="str">
            <v>Tooth</v>
          </cell>
        </row>
        <row r="9557">
          <cell r="A9557" t="str">
            <v>in storage</v>
          </cell>
          <cell r="K9557" t="str">
            <v>LCAT</v>
          </cell>
          <cell r="AB9557" t="str">
            <v>Tooth</v>
          </cell>
        </row>
        <row r="9558">
          <cell r="A9558" t="str">
            <v>in storage</v>
          </cell>
          <cell r="K9558" t="str">
            <v>NPYG</v>
          </cell>
          <cell r="AB9558" t="str">
            <v>Tooth</v>
          </cell>
        </row>
        <row r="9559">
          <cell r="A9559" t="str">
            <v>in storage</v>
          </cell>
          <cell r="K9559" t="str">
            <v>DMAD</v>
          </cell>
          <cell r="AB9559" t="str">
            <v>Tooth</v>
          </cell>
        </row>
        <row r="9560">
          <cell r="A9560" t="str">
            <v>in storage</v>
          </cell>
          <cell r="K9560" t="str">
            <v>VVV</v>
          </cell>
          <cell r="AB9560" t="str">
            <v>Bone- mandibular</v>
          </cell>
        </row>
        <row r="9561">
          <cell r="A9561" t="str">
            <v>in storage</v>
          </cell>
          <cell r="K9561" t="str">
            <v>PCOQ</v>
          </cell>
          <cell r="AB9561" t="str">
            <v>R- sperm plug</v>
          </cell>
        </row>
        <row r="9562">
          <cell r="A9562" t="str">
            <v>in storage</v>
          </cell>
          <cell r="K9562" t="str">
            <v>DMAD</v>
          </cell>
          <cell r="AB9562" t="str">
            <v>R- milk</v>
          </cell>
        </row>
        <row r="9563">
          <cell r="A9563" t="str">
            <v>in storage</v>
          </cell>
          <cell r="K9563" t="str">
            <v>PCOQ</v>
          </cell>
          <cell r="AB9563" t="str">
            <v>R- milk</v>
          </cell>
        </row>
        <row r="9564">
          <cell r="A9564" t="str">
            <v>in storage</v>
          </cell>
          <cell r="K9564" t="str">
            <v>PCOQ</v>
          </cell>
          <cell r="AB9564" t="str">
            <v>R- milk</v>
          </cell>
        </row>
        <row r="9565">
          <cell r="A9565" t="str">
            <v>in storage</v>
          </cell>
          <cell r="K9565" t="str">
            <v>PCOQ</v>
          </cell>
          <cell r="AB9565" t="str">
            <v>R- milk</v>
          </cell>
        </row>
        <row r="9566">
          <cell r="A9566" t="str">
            <v>in storage</v>
          </cell>
          <cell r="K9566" t="str">
            <v>PCOQ</v>
          </cell>
          <cell r="AB9566" t="str">
            <v>R- milk</v>
          </cell>
        </row>
        <row r="9567">
          <cell r="A9567" t="str">
            <v>in storage</v>
          </cell>
          <cell r="K9567" t="str">
            <v>LCAT</v>
          </cell>
          <cell r="AB9567" t="str">
            <v>R- milk</v>
          </cell>
        </row>
        <row r="9568">
          <cell r="A9568" t="str">
            <v>in storage</v>
          </cell>
          <cell r="K9568" t="str">
            <v>PCOQ</v>
          </cell>
          <cell r="AB9568" t="str">
            <v>R- milk</v>
          </cell>
        </row>
        <row r="9569">
          <cell r="A9569" t="str">
            <v>in storage</v>
          </cell>
          <cell r="K9569" t="str">
            <v>VRUB</v>
          </cell>
          <cell r="AB9569" t="str">
            <v>bile</v>
          </cell>
        </row>
        <row r="9570">
          <cell r="A9570" t="str">
            <v>in storage</v>
          </cell>
          <cell r="K9570" t="str">
            <v>PCOQ</v>
          </cell>
          <cell r="AB9570" t="str">
            <v>bile</v>
          </cell>
        </row>
        <row r="9571">
          <cell r="A9571" t="str">
            <v>in storage</v>
          </cell>
          <cell r="K9571" t="str">
            <v>MMUR</v>
          </cell>
          <cell r="AB9571" t="str">
            <v>Bone- tail</v>
          </cell>
        </row>
        <row r="9572">
          <cell r="A9572" t="str">
            <v>in storage</v>
          </cell>
          <cell r="K9572" t="str">
            <v>VRUB</v>
          </cell>
          <cell r="AB9572" t="str">
            <v>bile</v>
          </cell>
        </row>
        <row r="9573">
          <cell r="A9573" t="str">
            <v>in storage</v>
          </cell>
          <cell r="K9573" t="str">
            <v>EFLA</v>
          </cell>
          <cell r="AB9573" t="str">
            <v>R- ejaculate</v>
          </cell>
        </row>
        <row r="9574">
          <cell r="A9574" t="str">
            <v>in storage</v>
          </cell>
          <cell r="K9574" t="str">
            <v>CMED</v>
          </cell>
          <cell r="AB9574" t="str">
            <v>Bone- tail</v>
          </cell>
        </row>
        <row r="9575">
          <cell r="A9575" t="str">
            <v>in storage</v>
          </cell>
          <cell r="K9575" t="str">
            <v>PCOQ</v>
          </cell>
          <cell r="AB9575" t="str">
            <v>bile</v>
          </cell>
        </row>
        <row r="9576">
          <cell r="A9576" t="str">
            <v>in storage</v>
          </cell>
          <cell r="K9576" t="str">
            <v>MMUR</v>
          </cell>
          <cell r="AB9576" t="str">
            <v>Digit- toe</v>
          </cell>
        </row>
        <row r="9577">
          <cell r="A9577" t="str">
            <v>in storage</v>
          </cell>
          <cell r="K9577" t="str">
            <v>MMUR</v>
          </cell>
          <cell r="AB9577" t="str">
            <v>Tail</v>
          </cell>
        </row>
        <row r="9578">
          <cell r="A9578" t="str">
            <v>in storage</v>
          </cell>
          <cell r="K9578" t="str">
            <v>ECOL</v>
          </cell>
          <cell r="AB9578" t="str">
            <v>Gallstone</v>
          </cell>
        </row>
        <row r="9579">
          <cell r="A9579" t="str">
            <v>in storage</v>
          </cell>
          <cell r="K9579" t="str">
            <v>NPYG</v>
          </cell>
          <cell r="AB9579" t="str">
            <v>jawbone</v>
          </cell>
        </row>
        <row r="9580">
          <cell r="A9580" t="str">
            <v>in storage</v>
          </cell>
          <cell r="K9580" t="str">
            <v>EFLA</v>
          </cell>
          <cell r="AB9580" t="str">
            <v>R- sperm plug</v>
          </cell>
        </row>
        <row r="9581">
          <cell r="A9581" t="str">
            <v>in storage</v>
          </cell>
          <cell r="K9581" t="str">
            <v>ECOR</v>
          </cell>
          <cell r="AB9581" t="str">
            <v>R- sperm plug</v>
          </cell>
        </row>
        <row r="9582">
          <cell r="A9582" t="str">
            <v>in storage</v>
          </cell>
          <cell r="K9582" t="str">
            <v>PCOQ</v>
          </cell>
          <cell r="AB9582" t="str">
            <v>R- placenta</v>
          </cell>
        </row>
        <row r="9583">
          <cell r="A9583" t="str">
            <v>in storage</v>
          </cell>
          <cell r="K9583" t="str">
            <v>MMUR</v>
          </cell>
          <cell r="AB9583" t="str">
            <v>Skin</v>
          </cell>
        </row>
        <row r="9584">
          <cell r="A9584" t="str">
            <v>in storage</v>
          </cell>
          <cell r="K9584" t="str">
            <v>DMAD</v>
          </cell>
          <cell r="AB9584" t="str">
            <v>Fluid- pleural effusion</v>
          </cell>
        </row>
        <row r="9585">
          <cell r="A9585" t="str">
            <v>in storage</v>
          </cell>
          <cell r="K9585" t="str">
            <v>DMAD</v>
          </cell>
          <cell r="AB9585" t="str">
            <v>Fluid- pleural effusion</v>
          </cell>
        </row>
        <row r="9586">
          <cell r="A9586" t="str">
            <v>in storage</v>
          </cell>
          <cell r="K9586" t="str">
            <v>DMAD</v>
          </cell>
          <cell r="AB9586" t="str">
            <v>Fluid- pleural effusion</v>
          </cell>
        </row>
        <row r="9587">
          <cell r="A9587" t="str">
            <v>in storage</v>
          </cell>
          <cell r="K9587" t="str">
            <v>DMAD</v>
          </cell>
          <cell r="AB9587" t="str">
            <v>Fluid- pleural effusion</v>
          </cell>
        </row>
        <row r="9588">
          <cell r="A9588" t="str">
            <v>in storage</v>
          </cell>
          <cell r="K9588" t="str">
            <v>VRUB</v>
          </cell>
          <cell r="AB9588" t="str">
            <v>Gallstone</v>
          </cell>
        </row>
        <row r="9589">
          <cell r="A9589" t="str">
            <v>in storage</v>
          </cell>
          <cell r="K9589" t="str">
            <v>LCAT</v>
          </cell>
          <cell r="AB9589" t="str">
            <v>Milk</v>
          </cell>
        </row>
        <row r="9590">
          <cell r="A9590" t="str">
            <v>in storage</v>
          </cell>
          <cell r="K9590" t="str">
            <v>VVV</v>
          </cell>
          <cell r="AB9590" t="str">
            <v>Gallstone</v>
          </cell>
        </row>
        <row r="9591">
          <cell r="A9591" t="str">
            <v>in storage</v>
          </cell>
          <cell r="K9591" t="str">
            <v>PCOQ</v>
          </cell>
          <cell r="AB9591" t="str">
            <v>Bladder stone</v>
          </cell>
        </row>
        <row r="9592">
          <cell r="A9592" t="str">
            <v>in storage</v>
          </cell>
          <cell r="K9592" t="str">
            <v>PCOQ</v>
          </cell>
          <cell r="AB9592" t="str">
            <v>Bile</v>
          </cell>
        </row>
        <row r="9593">
          <cell r="A9593" t="str">
            <v>in storage</v>
          </cell>
          <cell r="K9593" t="str">
            <v>PCOQ</v>
          </cell>
          <cell r="AB9593" t="str">
            <v>Bile</v>
          </cell>
        </row>
        <row r="9594">
          <cell r="A9594" t="str">
            <v>in storage</v>
          </cell>
          <cell r="K9594" t="str">
            <v>NPYG</v>
          </cell>
          <cell r="AB9594" t="str">
            <v>Gallstone</v>
          </cell>
        </row>
        <row r="9595">
          <cell r="A9595" t="str">
            <v>in storage</v>
          </cell>
          <cell r="K9595" t="str">
            <v>LCAT</v>
          </cell>
          <cell r="AB9595" t="str">
            <v>Bile</v>
          </cell>
        </row>
        <row r="9596">
          <cell r="A9596" t="str">
            <v>in storage</v>
          </cell>
          <cell r="K9596" t="str">
            <v>VRUB</v>
          </cell>
          <cell r="AB9596" t="str">
            <v>Gallstone</v>
          </cell>
        </row>
        <row r="9597">
          <cell r="A9597" t="str">
            <v>in storage</v>
          </cell>
          <cell r="K9597" t="str">
            <v>NPYG</v>
          </cell>
          <cell r="AB9597" t="str">
            <v>Gallstone</v>
          </cell>
        </row>
        <row r="9598">
          <cell r="A9598" t="str">
            <v>in storage</v>
          </cell>
          <cell r="K9598" t="str">
            <v>HGG</v>
          </cell>
          <cell r="AB9598" t="str">
            <v>Fluid- pleural effusion</v>
          </cell>
        </row>
        <row r="9599">
          <cell r="A9599" t="str">
            <v>in storage</v>
          </cell>
          <cell r="K9599" t="str">
            <v>LCAT</v>
          </cell>
          <cell r="AB9599" t="str">
            <v>Gallstone</v>
          </cell>
        </row>
        <row r="9600">
          <cell r="A9600" t="str">
            <v>in storage</v>
          </cell>
          <cell r="K9600" t="str">
            <v>GMOH</v>
          </cell>
          <cell r="AB9600" t="str">
            <v>Tooth</v>
          </cell>
        </row>
        <row r="9601">
          <cell r="A9601" t="str">
            <v>in storage</v>
          </cell>
          <cell r="K9601" t="str">
            <v>CMED</v>
          </cell>
          <cell r="AB9601" t="str">
            <v>Tooth</v>
          </cell>
        </row>
        <row r="9602">
          <cell r="A9602" t="str">
            <v>in storage</v>
          </cell>
          <cell r="K9602" t="str">
            <v>PCOQ</v>
          </cell>
          <cell r="AB9602" t="str">
            <v>Tooth</v>
          </cell>
        </row>
        <row r="9603">
          <cell r="A9603" t="str">
            <v>in storage</v>
          </cell>
          <cell r="K9603" t="str">
            <v>CMED</v>
          </cell>
          <cell r="AB9603" t="str">
            <v>Adrenal gland</v>
          </cell>
        </row>
        <row r="9604">
          <cell r="A9604" t="str">
            <v>in storage</v>
          </cell>
          <cell r="K9604" t="str">
            <v>CMED</v>
          </cell>
          <cell r="AB9604" t="str">
            <v>Kidney</v>
          </cell>
        </row>
        <row r="9605">
          <cell r="A9605" t="str">
            <v>in storage</v>
          </cell>
          <cell r="K9605" t="str">
            <v>CMED</v>
          </cell>
          <cell r="AB9605" t="str">
            <v>Kidney</v>
          </cell>
        </row>
        <row r="9606">
          <cell r="A9606" t="str">
            <v>in storage</v>
          </cell>
          <cell r="K9606" t="str">
            <v>CMED</v>
          </cell>
          <cell r="AB9606" t="str">
            <v>Spleen</v>
          </cell>
        </row>
        <row r="9607">
          <cell r="A9607" t="str">
            <v>in storage</v>
          </cell>
          <cell r="K9607" t="str">
            <v>CMED</v>
          </cell>
          <cell r="AB9607" t="str">
            <v>R- teste(s)</v>
          </cell>
        </row>
        <row r="9608">
          <cell r="A9608" t="str">
            <v>in storage</v>
          </cell>
          <cell r="K9608" t="str">
            <v>CMED</v>
          </cell>
          <cell r="AB9608" t="str">
            <v>R- teste(s)</v>
          </cell>
        </row>
        <row r="9609">
          <cell r="A9609" t="str">
            <v>in storage</v>
          </cell>
          <cell r="K9609" t="str">
            <v>CMED</v>
          </cell>
          <cell r="AB9609" t="str">
            <v>RU- accessory sex glands/ bladder</v>
          </cell>
        </row>
        <row r="9610">
          <cell r="A9610" t="str">
            <v>in storage</v>
          </cell>
          <cell r="K9610" t="str">
            <v>CMED</v>
          </cell>
          <cell r="AB9610" t="str">
            <v>Liver</v>
          </cell>
        </row>
        <row r="9611">
          <cell r="A9611" t="str">
            <v>in storage</v>
          </cell>
          <cell r="K9611" t="str">
            <v>CMED</v>
          </cell>
          <cell r="AB9611" t="str">
            <v>Liver</v>
          </cell>
        </row>
        <row r="9612">
          <cell r="A9612" t="str">
            <v>in storage</v>
          </cell>
          <cell r="K9612" t="str">
            <v>CMED</v>
          </cell>
          <cell r="AB9612" t="str">
            <v>Liver</v>
          </cell>
        </row>
        <row r="9613">
          <cell r="A9613" t="str">
            <v>in storage</v>
          </cell>
          <cell r="K9613" t="str">
            <v>CMED</v>
          </cell>
          <cell r="AB9613" t="str">
            <v>Liver</v>
          </cell>
        </row>
        <row r="9614">
          <cell r="A9614" t="str">
            <v>in storage</v>
          </cell>
          <cell r="K9614" t="str">
            <v>CMED</v>
          </cell>
          <cell r="AB9614" t="str">
            <v>Liver</v>
          </cell>
        </row>
        <row r="9615">
          <cell r="A9615" t="str">
            <v>in storage</v>
          </cell>
          <cell r="K9615" t="str">
            <v>CMED</v>
          </cell>
          <cell r="AB9615" t="str">
            <v>Liver</v>
          </cell>
        </row>
        <row r="9616">
          <cell r="A9616" t="str">
            <v>in storage</v>
          </cell>
          <cell r="K9616" t="str">
            <v>CMED</v>
          </cell>
          <cell r="AB9616" t="str">
            <v xml:space="preserve">Liver </v>
          </cell>
        </row>
        <row r="9617">
          <cell r="A9617" t="str">
            <v>in storage</v>
          </cell>
          <cell r="K9617" t="str">
            <v>CMED</v>
          </cell>
          <cell r="AB9617" t="str">
            <v>Pancreas</v>
          </cell>
        </row>
        <row r="9618">
          <cell r="A9618" t="str">
            <v>in storage</v>
          </cell>
          <cell r="K9618" t="str">
            <v>CMED</v>
          </cell>
          <cell r="AB9618" t="str">
            <v>GI- large intestine / small intestine</v>
          </cell>
        </row>
        <row r="9619">
          <cell r="A9619" t="str">
            <v>in storage</v>
          </cell>
          <cell r="K9619" t="str">
            <v>CMED</v>
          </cell>
          <cell r="AB9619" t="str">
            <v>Lung</v>
          </cell>
        </row>
        <row r="9620">
          <cell r="A9620" t="str">
            <v>in storage</v>
          </cell>
          <cell r="K9620" t="str">
            <v>CMED</v>
          </cell>
          <cell r="AB9620" t="str">
            <v>Lung</v>
          </cell>
        </row>
        <row r="9621">
          <cell r="A9621" t="str">
            <v>in storage</v>
          </cell>
          <cell r="K9621" t="str">
            <v>CMED</v>
          </cell>
          <cell r="AB9621" t="str">
            <v>Lung</v>
          </cell>
        </row>
        <row r="9622">
          <cell r="A9622" t="str">
            <v>in storage</v>
          </cell>
          <cell r="K9622" t="str">
            <v>CMED</v>
          </cell>
          <cell r="AB9622" t="str">
            <v>Heart</v>
          </cell>
        </row>
        <row r="9623">
          <cell r="A9623" t="str">
            <v>in storage</v>
          </cell>
          <cell r="K9623" t="str">
            <v>CMED</v>
          </cell>
          <cell r="AB9623" t="str">
            <v>Thyroid</v>
          </cell>
        </row>
        <row r="9624">
          <cell r="A9624" t="str">
            <v>in storage</v>
          </cell>
          <cell r="K9624" t="str">
            <v>CMED</v>
          </cell>
          <cell r="AB9624" t="str">
            <v>Skin</v>
          </cell>
        </row>
        <row r="9625">
          <cell r="A9625" t="str">
            <v>in storage</v>
          </cell>
          <cell r="K9625" t="str">
            <v>CMED</v>
          </cell>
          <cell r="AB9625" t="str">
            <v>Skin</v>
          </cell>
        </row>
        <row r="9626">
          <cell r="A9626" t="str">
            <v>in storage</v>
          </cell>
          <cell r="K9626" t="str">
            <v>MMUR</v>
          </cell>
          <cell r="AB9626" t="str">
            <v>Kidney</v>
          </cell>
        </row>
        <row r="9627">
          <cell r="A9627" t="str">
            <v>in storage</v>
          </cell>
          <cell r="K9627" t="str">
            <v>MMUR</v>
          </cell>
          <cell r="AB9627" t="str">
            <v>Kidney</v>
          </cell>
        </row>
        <row r="9628">
          <cell r="A9628" t="str">
            <v>in storage</v>
          </cell>
          <cell r="K9628" t="str">
            <v>MMUR</v>
          </cell>
          <cell r="AB9628" t="str">
            <v>Spleen</v>
          </cell>
        </row>
        <row r="9629">
          <cell r="A9629" t="str">
            <v>in storage</v>
          </cell>
          <cell r="K9629" t="str">
            <v>MMUR</v>
          </cell>
          <cell r="AB9629" t="str">
            <v>R- teste(s)</v>
          </cell>
        </row>
        <row r="9630">
          <cell r="A9630" t="str">
            <v>in storage</v>
          </cell>
          <cell r="K9630" t="str">
            <v>MMUR</v>
          </cell>
          <cell r="AB9630" t="str">
            <v>R- teste(s)</v>
          </cell>
        </row>
        <row r="9631">
          <cell r="A9631" t="str">
            <v>in storage</v>
          </cell>
          <cell r="K9631" t="str">
            <v>MMUR</v>
          </cell>
          <cell r="AB9631" t="str">
            <v>R- accessory sex glands</v>
          </cell>
        </row>
        <row r="9632">
          <cell r="A9632" t="str">
            <v>in storage</v>
          </cell>
          <cell r="K9632" t="str">
            <v>MMUR</v>
          </cell>
          <cell r="AB9632" t="str">
            <v>Liver</v>
          </cell>
        </row>
        <row r="9633">
          <cell r="A9633" t="str">
            <v>in storage</v>
          </cell>
          <cell r="K9633" t="str">
            <v>MMUR</v>
          </cell>
          <cell r="AB9633" t="str">
            <v>Liver</v>
          </cell>
        </row>
        <row r="9634">
          <cell r="A9634" t="str">
            <v>in storage</v>
          </cell>
          <cell r="K9634" t="str">
            <v>MMUR</v>
          </cell>
          <cell r="AB9634" t="str">
            <v>Liver</v>
          </cell>
        </row>
        <row r="9635">
          <cell r="A9635" t="str">
            <v>in storage</v>
          </cell>
          <cell r="K9635" t="str">
            <v>MMUR</v>
          </cell>
          <cell r="AB9635" t="str">
            <v>Liver</v>
          </cell>
        </row>
        <row r="9636">
          <cell r="A9636" t="str">
            <v>in storage</v>
          </cell>
          <cell r="K9636" t="str">
            <v>MMUR</v>
          </cell>
          <cell r="AB9636" t="str">
            <v>Liver</v>
          </cell>
        </row>
        <row r="9637">
          <cell r="A9637" t="str">
            <v>in storage</v>
          </cell>
          <cell r="K9637" t="str">
            <v>MMUR</v>
          </cell>
          <cell r="AB9637" t="str">
            <v>Liver</v>
          </cell>
        </row>
        <row r="9638">
          <cell r="A9638" t="str">
            <v>in storage</v>
          </cell>
          <cell r="K9638" t="str">
            <v>MMUR</v>
          </cell>
          <cell r="AB9638" t="str">
            <v>Liver</v>
          </cell>
        </row>
        <row r="9639">
          <cell r="A9639" t="str">
            <v>in storage</v>
          </cell>
          <cell r="K9639" t="str">
            <v>MMUR</v>
          </cell>
          <cell r="AB9639" t="str">
            <v>Gallbladder</v>
          </cell>
        </row>
        <row r="9640">
          <cell r="A9640" t="str">
            <v>in storage</v>
          </cell>
          <cell r="K9640" t="str">
            <v>MMUR</v>
          </cell>
          <cell r="AB9640" t="str">
            <v>Pancreas</v>
          </cell>
        </row>
        <row r="9641">
          <cell r="A9641" t="str">
            <v>in storage</v>
          </cell>
          <cell r="K9641" t="str">
            <v>MMUR</v>
          </cell>
          <cell r="AB9641" t="str">
            <v>GI tract</v>
          </cell>
        </row>
        <row r="9642">
          <cell r="A9642" t="str">
            <v>in storage</v>
          </cell>
          <cell r="K9642" t="str">
            <v>MMUR</v>
          </cell>
          <cell r="AB9642" t="str">
            <v>Lung</v>
          </cell>
        </row>
        <row r="9643">
          <cell r="A9643" t="str">
            <v>in storage</v>
          </cell>
          <cell r="K9643" t="str">
            <v>MMUR</v>
          </cell>
          <cell r="AB9643" t="str">
            <v>Lung</v>
          </cell>
        </row>
        <row r="9644">
          <cell r="A9644" t="str">
            <v>in storage</v>
          </cell>
          <cell r="K9644" t="str">
            <v>MMUR</v>
          </cell>
          <cell r="AB9644" t="str">
            <v>Heart</v>
          </cell>
        </row>
        <row r="9645">
          <cell r="A9645" t="str">
            <v>in storage</v>
          </cell>
          <cell r="K9645" t="str">
            <v>MMUR</v>
          </cell>
          <cell r="AB9645" t="str">
            <v>Thyroid</v>
          </cell>
        </row>
        <row r="9646">
          <cell r="A9646" t="str">
            <v>in storage</v>
          </cell>
          <cell r="K9646" t="str">
            <v>GMOH</v>
          </cell>
          <cell r="AB9646" t="str">
            <v>Adrenal gland</v>
          </cell>
        </row>
        <row r="9647">
          <cell r="A9647" t="str">
            <v>in storage</v>
          </cell>
          <cell r="K9647" t="str">
            <v>GMOH</v>
          </cell>
          <cell r="AB9647" t="str">
            <v>Kidney</v>
          </cell>
        </row>
        <row r="9648">
          <cell r="A9648" t="str">
            <v>in storage</v>
          </cell>
          <cell r="K9648" t="str">
            <v>GMOH</v>
          </cell>
          <cell r="AB9648" t="str">
            <v>Kidney</v>
          </cell>
        </row>
        <row r="9649">
          <cell r="A9649" t="str">
            <v>in storage</v>
          </cell>
          <cell r="K9649" t="str">
            <v>GMOH</v>
          </cell>
          <cell r="AB9649" t="str">
            <v>Spleen</v>
          </cell>
        </row>
        <row r="9650">
          <cell r="A9650" t="str">
            <v>in storage</v>
          </cell>
          <cell r="K9650" t="str">
            <v>GMOH</v>
          </cell>
          <cell r="AB9650" t="str">
            <v>U- bladder</v>
          </cell>
        </row>
        <row r="9651">
          <cell r="A9651" t="str">
            <v>in storage</v>
          </cell>
          <cell r="K9651" t="str">
            <v>GMOH</v>
          </cell>
          <cell r="AB9651" t="str">
            <v>Liver</v>
          </cell>
        </row>
        <row r="9652">
          <cell r="A9652" t="str">
            <v>in storage</v>
          </cell>
          <cell r="K9652" t="str">
            <v>GMOH</v>
          </cell>
          <cell r="AB9652" t="str">
            <v>Liver</v>
          </cell>
        </row>
        <row r="9653">
          <cell r="A9653" t="str">
            <v>in storage</v>
          </cell>
          <cell r="K9653" t="str">
            <v>GMOH</v>
          </cell>
          <cell r="AB9653" t="str">
            <v>Liver</v>
          </cell>
        </row>
        <row r="9654">
          <cell r="A9654" t="str">
            <v>in storage</v>
          </cell>
          <cell r="K9654" t="str">
            <v>GMOH</v>
          </cell>
          <cell r="AB9654" t="str">
            <v>Liver</v>
          </cell>
        </row>
        <row r="9655">
          <cell r="A9655" t="str">
            <v>in storage</v>
          </cell>
          <cell r="K9655" t="str">
            <v>GMOH</v>
          </cell>
          <cell r="AB9655" t="str">
            <v>Liver</v>
          </cell>
        </row>
        <row r="9656">
          <cell r="A9656" t="str">
            <v>in storage</v>
          </cell>
          <cell r="K9656" t="str">
            <v>GMOH</v>
          </cell>
          <cell r="AB9656" t="str">
            <v>Liver</v>
          </cell>
        </row>
        <row r="9657">
          <cell r="A9657" t="str">
            <v>in storage</v>
          </cell>
          <cell r="K9657" t="str">
            <v>GMOH</v>
          </cell>
          <cell r="AB9657" t="str">
            <v>Liver</v>
          </cell>
        </row>
        <row r="9658">
          <cell r="A9658" t="str">
            <v>in storage</v>
          </cell>
          <cell r="K9658" t="str">
            <v>GMOH</v>
          </cell>
          <cell r="AB9658" t="str">
            <v>Pancreas</v>
          </cell>
        </row>
        <row r="9659">
          <cell r="A9659" t="str">
            <v>in storage</v>
          </cell>
          <cell r="K9659" t="str">
            <v>GMOH</v>
          </cell>
          <cell r="AB9659" t="str">
            <v>GI tract</v>
          </cell>
        </row>
        <row r="9660">
          <cell r="A9660" t="str">
            <v>in storage</v>
          </cell>
          <cell r="K9660" t="str">
            <v>GMOH</v>
          </cell>
          <cell r="AB9660" t="str">
            <v>Lung</v>
          </cell>
        </row>
        <row r="9661">
          <cell r="A9661" t="str">
            <v>in storage</v>
          </cell>
          <cell r="K9661" t="str">
            <v>GMOH</v>
          </cell>
          <cell r="AB9661" t="str">
            <v>Lung</v>
          </cell>
        </row>
        <row r="9662">
          <cell r="A9662" t="str">
            <v>in storage</v>
          </cell>
          <cell r="K9662" t="str">
            <v>GMOH</v>
          </cell>
          <cell r="AB9662" t="str">
            <v>Heart</v>
          </cell>
        </row>
        <row r="9663">
          <cell r="A9663" t="str">
            <v>in storage</v>
          </cell>
          <cell r="K9663" t="str">
            <v>GMOH</v>
          </cell>
          <cell r="AB9663" t="str">
            <v>Thyroid</v>
          </cell>
        </row>
        <row r="9664">
          <cell r="A9664" t="str">
            <v>in storage</v>
          </cell>
          <cell r="K9664" t="str">
            <v>PCOQ</v>
          </cell>
          <cell r="AB9664" t="str">
            <v>Kidney</v>
          </cell>
        </row>
        <row r="9665">
          <cell r="A9665" t="str">
            <v>in storage</v>
          </cell>
          <cell r="K9665" t="str">
            <v>PCOQ</v>
          </cell>
          <cell r="AB9665" t="str">
            <v>Kidney</v>
          </cell>
        </row>
        <row r="9666">
          <cell r="A9666" t="str">
            <v>in storage</v>
          </cell>
          <cell r="K9666" t="str">
            <v>PCOQ</v>
          </cell>
          <cell r="AB9666" t="str">
            <v>Kidney</v>
          </cell>
        </row>
        <row r="9667">
          <cell r="A9667" t="str">
            <v>in storage</v>
          </cell>
          <cell r="K9667" t="str">
            <v>PCOQ</v>
          </cell>
          <cell r="AB9667" t="str">
            <v>Kidney</v>
          </cell>
        </row>
        <row r="9668">
          <cell r="A9668" t="str">
            <v>in storage</v>
          </cell>
          <cell r="K9668" t="str">
            <v>PCOQ</v>
          </cell>
          <cell r="AB9668" t="str">
            <v>Kidney</v>
          </cell>
        </row>
        <row r="9669">
          <cell r="A9669" t="str">
            <v>in storage</v>
          </cell>
          <cell r="K9669" t="str">
            <v>PCOQ</v>
          </cell>
          <cell r="AB9669" t="str">
            <v>Kidney</v>
          </cell>
        </row>
        <row r="9670">
          <cell r="A9670" t="str">
            <v>in storage</v>
          </cell>
          <cell r="K9670" t="str">
            <v>PCOQ</v>
          </cell>
          <cell r="AB9670" t="str">
            <v>Kidney</v>
          </cell>
        </row>
        <row r="9671">
          <cell r="A9671" t="str">
            <v>in storage</v>
          </cell>
          <cell r="K9671" t="str">
            <v>PCOQ</v>
          </cell>
          <cell r="AB9671" t="str">
            <v>Kidney</v>
          </cell>
        </row>
        <row r="9672">
          <cell r="A9672" t="str">
            <v>in storage</v>
          </cell>
          <cell r="K9672" t="str">
            <v>PCOQ</v>
          </cell>
          <cell r="AB9672" t="str">
            <v>Spleen</v>
          </cell>
        </row>
        <row r="9673">
          <cell r="A9673" t="str">
            <v>in storage</v>
          </cell>
          <cell r="K9673" t="str">
            <v>PCOQ</v>
          </cell>
          <cell r="AB9673" t="str">
            <v>Spleen</v>
          </cell>
        </row>
        <row r="9674">
          <cell r="A9674" t="str">
            <v>in storage</v>
          </cell>
          <cell r="K9674" t="str">
            <v>PCOQ</v>
          </cell>
          <cell r="AB9674" t="str">
            <v>Spleen</v>
          </cell>
        </row>
        <row r="9675">
          <cell r="A9675" t="str">
            <v>in storage</v>
          </cell>
          <cell r="K9675" t="str">
            <v>PCOQ</v>
          </cell>
          <cell r="AB9675" t="str">
            <v>Spleen</v>
          </cell>
        </row>
        <row r="9676">
          <cell r="A9676" t="str">
            <v>in storage</v>
          </cell>
          <cell r="K9676" t="str">
            <v>PCOQ</v>
          </cell>
          <cell r="AB9676" t="str">
            <v>U- bladder</v>
          </cell>
        </row>
        <row r="9677">
          <cell r="A9677" t="str">
            <v>in storage</v>
          </cell>
          <cell r="K9677" t="str">
            <v>PCOQ</v>
          </cell>
          <cell r="AB9677" t="str">
            <v>U- bladder</v>
          </cell>
        </row>
        <row r="9678">
          <cell r="A9678" t="str">
            <v>in storage</v>
          </cell>
          <cell r="K9678" t="str">
            <v>PCOQ</v>
          </cell>
          <cell r="AB9678" t="str">
            <v>U- bladder</v>
          </cell>
        </row>
        <row r="9679">
          <cell r="A9679" t="str">
            <v>in storage</v>
          </cell>
          <cell r="K9679" t="str">
            <v>PCOQ</v>
          </cell>
          <cell r="AB9679" t="str">
            <v>U- bladder</v>
          </cell>
        </row>
        <row r="9680">
          <cell r="A9680" t="str">
            <v>in storage</v>
          </cell>
          <cell r="K9680" t="str">
            <v>PCOQ</v>
          </cell>
          <cell r="AB9680" t="str">
            <v>U- bladder</v>
          </cell>
        </row>
        <row r="9681">
          <cell r="A9681" t="str">
            <v>in storage</v>
          </cell>
          <cell r="K9681" t="str">
            <v>PCOQ</v>
          </cell>
          <cell r="AB9681" t="str">
            <v>R- reproductive tract</v>
          </cell>
        </row>
        <row r="9682">
          <cell r="A9682" t="str">
            <v>in storage</v>
          </cell>
          <cell r="K9682" t="str">
            <v>PCOQ</v>
          </cell>
          <cell r="AB9682" t="str">
            <v>Liver</v>
          </cell>
        </row>
        <row r="9683">
          <cell r="A9683" t="str">
            <v>in storage</v>
          </cell>
          <cell r="K9683" t="str">
            <v>PCOQ</v>
          </cell>
          <cell r="AB9683" t="str">
            <v>Liver</v>
          </cell>
        </row>
        <row r="9684">
          <cell r="A9684" t="str">
            <v>in storage</v>
          </cell>
          <cell r="K9684" t="str">
            <v>PCOQ</v>
          </cell>
          <cell r="AB9684" t="str">
            <v>Liver</v>
          </cell>
        </row>
        <row r="9685">
          <cell r="A9685" t="str">
            <v>in storage</v>
          </cell>
          <cell r="K9685" t="str">
            <v>PCOQ</v>
          </cell>
          <cell r="AB9685" t="str">
            <v>Liver</v>
          </cell>
        </row>
        <row r="9686">
          <cell r="A9686" t="str">
            <v>in storage</v>
          </cell>
          <cell r="K9686" t="str">
            <v>PCOQ</v>
          </cell>
          <cell r="AB9686" t="str">
            <v>Liver</v>
          </cell>
        </row>
        <row r="9687">
          <cell r="A9687" t="str">
            <v>in storage</v>
          </cell>
          <cell r="K9687" t="str">
            <v>PCOQ</v>
          </cell>
          <cell r="AB9687" t="str">
            <v>Liver</v>
          </cell>
        </row>
        <row r="9688">
          <cell r="A9688" t="str">
            <v>in storage</v>
          </cell>
          <cell r="K9688" t="str">
            <v>PCOQ</v>
          </cell>
          <cell r="AB9688" t="str">
            <v>Liver</v>
          </cell>
        </row>
        <row r="9689">
          <cell r="A9689" t="str">
            <v>in storage</v>
          </cell>
          <cell r="K9689" t="str">
            <v>PCOQ</v>
          </cell>
          <cell r="AB9689" t="str">
            <v>Pancreas</v>
          </cell>
        </row>
        <row r="9690">
          <cell r="A9690" t="str">
            <v>in storage</v>
          </cell>
          <cell r="K9690" t="str">
            <v>PCOQ</v>
          </cell>
          <cell r="AB9690" t="str">
            <v>Pancreas</v>
          </cell>
        </row>
        <row r="9691">
          <cell r="A9691" t="str">
            <v>in storage</v>
          </cell>
          <cell r="K9691" t="str">
            <v>PCOQ</v>
          </cell>
          <cell r="AB9691" t="str">
            <v>Pancreas</v>
          </cell>
        </row>
        <row r="9692">
          <cell r="A9692" t="str">
            <v>in storage</v>
          </cell>
          <cell r="K9692" t="str">
            <v>PCOQ</v>
          </cell>
          <cell r="AB9692" t="str">
            <v>Pancreas</v>
          </cell>
        </row>
        <row r="9693">
          <cell r="A9693" t="str">
            <v>in storage</v>
          </cell>
          <cell r="K9693" t="str">
            <v>PCOQ</v>
          </cell>
          <cell r="AB9693" t="str">
            <v>GI tract</v>
          </cell>
        </row>
        <row r="9694">
          <cell r="A9694" t="str">
            <v>in storage</v>
          </cell>
          <cell r="K9694" t="str">
            <v>PCOQ</v>
          </cell>
          <cell r="AB9694" t="str">
            <v>GI- duodenum</v>
          </cell>
        </row>
        <row r="9695">
          <cell r="A9695" t="str">
            <v>in storage</v>
          </cell>
          <cell r="K9695" t="str">
            <v>PCOQ</v>
          </cell>
          <cell r="AB9695" t="str">
            <v>Lung</v>
          </cell>
        </row>
        <row r="9696">
          <cell r="A9696" t="str">
            <v>in storage</v>
          </cell>
          <cell r="K9696" t="str">
            <v>PCOQ</v>
          </cell>
          <cell r="AB9696" t="str">
            <v>Lung</v>
          </cell>
        </row>
        <row r="9697">
          <cell r="A9697" t="str">
            <v>in storage</v>
          </cell>
          <cell r="K9697" t="str">
            <v>PCOQ</v>
          </cell>
          <cell r="AB9697" t="str">
            <v>Lung</v>
          </cell>
        </row>
        <row r="9698">
          <cell r="A9698" t="str">
            <v>in storage</v>
          </cell>
          <cell r="K9698" t="str">
            <v>PCOQ</v>
          </cell>
          <cell r="AB9698" t="str">
            <v>Lung</v>
          </cell>
        </row>
        <row r="9699">
          <cell r="A9699" t="str">
            <v>in storage</v>
          </cell>
          <cell r="K9699" t="str">
            <v>PCOQ</v>
          </cell>
          <cell r="AB9699" t="str">
            <v>Lung</v>
          </cell>
        </row>
        <row r="9700">
          <cell r="A9700" t="str">
            <v>in storage</v>
          </cell>
          <cell r="K9700" t="str">
            <v>PCOQ</v>
          </cell>
          <cell r="AB9700" t="str">
            <v>Lung</v>
          </cell>
        </row>
        <row r="9701">
          <cell r="A9701" t="str">
            <v>in storage</v>
          </cell>
          <cell r="K9701" t="str">
            <v>PCOQ</v>
          </cell>
          <cell r="AB9701" t="str">
            <v>Lung</v>
          </cell>
        </row>
        <row r="9702">
          <cell r="A9702" t="str">
            <v>in storage</v>
          </cell>
          <cell r="K9702" t="str">
            <v>PCOQ</v>
          </cell>
          <cell r="AB9702" t="str">
            <v>Heart</v>
          </cell>
        </row>
        <row r="9703">
          <cell r="A9703" t="str">
            <v>in storage</v>
          </cell>
          <cell r="K9703" t="str">
            <v>PCOQ</v>
          </cell>
          <cell r="AB9703" t="str">
            <v>Heart</v>
          </cell>
        </row>
        <row r="9704">
          <cell r="A9704" t="str">
            <v>in storage</v>
          </cell>
          <cell r="K9704" t="str">
            <v>PCOQ</v>
          </cell>
          <cell r="AB9704" t="str">
            <v>Heart</v>
          </cell>
        </row>
        <row r="9705">
          <cell r="A9705" t="str">
            <v>in storage</v>
          </cell>
          <cell r="K9705" t="str">
            <v>PCOQ</v>
          </cell>
          <cell r="AB9705" t="str">
            <v>Heart</v>
          </cell>
        </row>
        <row r="9706">
          <cell r="A9706" t="str">
            <v>in storage</v>
          </cell>
          <cell r="K9706" t="str">
            <v>PCOQ</v>
          </cell>
          <cell r="AB9706" t="str">
            <v>Heart</v>
          </cell>
        </row>
        <row r="9707">
          <cell r="A9707" t="str">
            <v>in storage</v>
          </cell>
          <cell r="K9707" t="str">
            <v>PCOQ</v>
          </cell>
          <cell r="AB9707" t="str">
            <v>Heart</v>
          </cell>
        </row>
        <row r="9708">
          <cell r="A9708" t="str">
            <v>in storage</v>
          </cell>
          <cell r="K9708" t="str">
            <v>PCOQ</v>
          </cell>
          <cell r="AB9708" t="str">
            <v>Heart</v>
          </cell>
        </row>
        <row r="9709">
          <cell r="A9709" t="str">
            <v>in storage</v>
          </cell>
          <cell r="K9709" t="str">
            <v>PCOQ</v>
          </cell>
          <cell r="AB9709" t="str">
            <v>Thyroid</v>
          </cell>
        </row>
        <row r="9710">
          <cell r="A9710" t="str">
            <v>in storage</v>
          </cell>
          <cell r="K9710" t="str">
            <v>PCOQ</v>
          </cell>
          <cell r="AB9710" t="str">
            <v>Esophagus</v>
          </cell>
        </row>
        <row r="9711">
          <cell r="A9711" t="str">
            <v>in storage</v>
          </cell>
          <cell r="K9711" t="str">
            <v>PCOQ</v>
          </cell>
          <cell r="AB9711" t="str">
            <v>Skin</v>
          </cell>
        </row>
        <row r="9712">
          <cell r="A9712" t="str">
            <v>in storage</v>
          </cell>
          <cell r="K9712" t="str">
            <v>PCOQ</v>
          </cell>
          <cell r="AB9712" t="str">
            <v>Tongue</v>
          </cell>
        </row>
        <row r="9713">
          <cell r="A9713" t="str">
            <v>in storage</v>
          </cell>
          <cell r="K9713" t="str">
            <v>PCOQ</v>
          </cell>
          <cell r="AB9713" t="str">
            <v>Tongue</v>
          </cell>
        </row>
        <row r="9714">
          <cell r="A9714" t="str">
            <v>in storage</v>
          </cell>
          <cell r="K9714" t="str">
            <v>PCOQ</v>
          </cell>
          <cell r="AB9714" t="str">
            <v>Tongue</v>
          </cell>
        </row>
        <row r="9715">
          <cell r="A9715" t="str">
            <v>in storage</v>
          </cell>
          <cell r="K9715" t="str">
            <v>PCOQ</v>
          </cell>
          <cell r="AB9715" t="str">
            <v>Tongue</v>
          </cell>
        </row>
        <row r="9716">
          <cell r="A9716" t="str">
            <v>in storage</v>
          </cell>
          <cell r="K9716" t="str">
            <v>CMED</v>
          </cell>
          <cell r="AB9716" t="str">
            <v>Skin</v>
          </cell>
        </row>
        <row r="9717">
          <cell r="A9717" t="str">
            <v>in storage</v>
          </cell>
          <cell r="K9717" t="str">
            <v>CMED</v>
          </cell>
          <cell r="AB9717" t="str">
            <v>Skin</v>
          </cell>
        </row>
        <row r="9718">
          <cell r="K9718" t="e">
            <v>#N/A</v>
          </cell>
        </row>
        <row r="9719">
          <cell r="K9719" t="e">
            <v>#N/A</v>
          </cell>
        </row>
        <row r="9720">
          <cell r="K9720" t="e">
            <v>#N/A</v>
          </cell>
        </row>
        <row r="9721">
          <cell r="K9721" t="e">
            <v>#N/A</v>
          </cell>
        </row>
        <row r="9722">
          <cell r="K9722" t="e">
            <v>#N/A</v>
          </cell>
        </row>
        <row r="9723">
          <cell r="K9723" t="e">
            <v>#N/A</v>
          </cell>
        </row>
        <row r="9724">
          <cell r="K9724" t="e">
            <v>#N/A</v>
          </cell>
        </row>
        <row r="9725">
          <cell r="K9725" t="e">
            <v>#N/A</v>
          </cell>
        </row>
        <row r="9726">
          <cell r="K9726" t="e">
            <v>#N/A</v>
          </cell>
        </row>
        <row r="9727">
          <cell r="K9727" t="e">
            <v>#N/A</v>
          </cell>
        </row>
        <row r="9728">
          <cell r="K9728" t="e">
            <v>#N/A</v>
          </cell>
        </row>
        <row r="9729">
          <cell r="K9729" t="e">
            <v>#N/A</v>
          </cell>
        </row>
        <row r="9730">
          <cell r="K9730" t="e">
            <v>#N/A</v>
          </cell>
        </row>
        <row r="9731">
          <cell r="K9731" t="e">
            <v>#N/A</v>
          </cell>
        </row>
        <row r="9732">
          <cell r="K9732" t="e">
            <v>#N/A</v>
          </cell>
        </row>
        <row r="9733">
          <cell r="K9733" t="e">
            <v>#N/A</v>
          </cell>
        </row>
        <row r="9734">
          <cell r="K9734" t="e">
            <v>#N/A</v>
          </cell>
        </row>
        <row r="9735">
          <cell r="K9735" t="e">
            <v>#N/A</v>
          </cell>
        </row>
        <row r="9736">
          <cell r="K9736" t="e">
            <v>#N/A</v>
          </cell>
        </row>
        <row r="9737">
          <cell r="K9737" t="e">
            <v>#N/A</v>
          </cell>
        </row>
        <row r="9738">
          <cell r="K9738" t="e">
            <v>#N/A</v>
          </cell>
        </row>
        <row r="9739">
          <cell r="K9739" t="e">
            <v>#N/A</v>
          </cell>
        </row>
        <row r="9740">
          <cell r="K9740" t="e">
            <v>#N/A</v>
          </cell>
        </row>
        <row r="9741">
          <cell r="K9741" t="e">
            <v>#N/A</v>
          </cell>
        </row>
        <row r="9742">
          <cell r="K9742" t="e">
            <v>#N/A</v>
          </cell>
        </row>
        <row r="9743">
          <cell r="K9743" t="e">
            <v>#N/A</v>
          </cell>
        </row>
        <row r="9744">
          <cell r="K9744" t="e">
            <v>#N/A</v>
          </cell>
        </row>
        <row r="9745">
          <cell r="K9745" t="e">
            <v>#N/A</v>
          </cell>
        </row>
        <row r="9746">
          <cell r="K9746" t="e">
            <v>#N/A</v>
          </cell>
        </row>
        <row r="9747">
          <cell r="K9747" t="e">
            <v>#N/A</v>
          </cell>
        </row>
        <row r="9748">
          <cell r="K9748" t="e">
            <v>#N/A</v>
          </cell>
        </row>
        <row r="9749">
          <cell r="K9749" t="e">
            <v>#N/A</v>
          </cell>
        </row>
        <row r="9750">
          <cell r="K9750" t="e">
            <v>#N/A</v>
          </cell>
        </row>
        <row r="9751">
          <cell r="K9751" t="e">
            <v>#N/A</v>
          </cell>
        </row>
        <row r="9752">
          <cell r="K9752" t="e">
            <v>#N/A</v>
          </cell>
        </row>
        <row r="9753">
          <cell r="K9753" t="e">
            <v>#N/A</v>
          </cell>
        </row>
        <row r="9754">
          <cell r="K9754" t="e">
            <v>#N/A</v>
          </cell>
        </row>
        <row r="9755">
          <cell r="K9755" t="e">
            <v>#N/A</v>
          </cell>
        </row>
        <row r="9756">
          <cell r="K9756" t="e">
            <v>#N/A</v>
          </cell>
        </row>
        <row r="9757">
          <cell r="K9757" t="e">
            <v>#N/A</v>
          </cell>
        </row>
        <row r="9758">
          <cell r="K9758" t="e">
            <v>#N/A</v>
          </cell>
        </row>
        <row r="9759">
          <cell r="K9759" t="e">
            <v>#N/A</v>
          </cell>
        </row>
        <row r="9760">
          <cell r="K9760" t="e">
            <v>#N/A</v>
          </cell>
        </row>
        <row r="9761">
          <cell r="K9761" t="e">
            <v>#N/A</v>
          </cell>
        </row>
        <row r="9762">
          <cell r="K9762" t="e">
            <v>#N/A</v>
          </cell>
        </row>
        <row r="9763">
          <cell r="K9763" t="e">
            <v>#N/A</v>
          </cell>
        </row>
        <row r="9764">
          <cell r="K9764" t="e">
            <v>#N/A</v>
          </cell>
        </row>
        <row r="9765">
          <cell r="K9765" t="e">
            <v>#N/A</v>
          </cell>
        </row>
        <row r="9766">
          <cell r="K9766" t="e">
            <v>#N/A</v>
          </cell>
        </row>
        <row r="9767">
          <cell r="K9767" t="e">
            <v>#N/A</v>
          </cell>
        </row>
        <row r="9768">
          <cell r="K9768" t="e">
            <v>#N/A</v>
          </cell>
        </row>
        <row r="9769">
          <cell r="K9769" t="e">
            <v>#N/A</v>
          </cell>
        </row>
        <row r="9770">
          <cell r="K9770" t="e">
            <v>#N/A</v>
          </cell>
        </row>
        <row r="9771">
          <cell r="K9771" t="e">
            <v>#N/A</v>
          </cell>
        </row>
        <row r="9772">
          <cell r="K9772" t="e">
            <v>#N/A</v>
          </cell>
        </row>
        <row r="9773">
          <cell r="K9773" t="e">
            <v>#N/A</v>
          </cell>
        </row>
        <row r="9774">
          <cell r="K9774" t="e">
            <v>#N/A</v>
          </cell>
        </row>
        <row r="9775">
          <cell r="K9775" t="e">
            <v>#N/A</v>
          </cell>
        </row>
        <row r="9776">
          <cell r="K9776" t="e">
            <v>#N/A</v>
          </cell>
        </row>
        <row r="9777">
          <cell r="K9777" t="e">
            <v>#N/A</v>
          </cell>
        </row>
        <row r="9778">
          <cell r="K9778" t="e">
            <v>#N/A</v>
          </cell>
        </row>
        <row r="9779">
          <cell r="K9779" t="e">
            <v>#N/A</v>
          </cell>
        </row>
        <row r="9780">
          <cell r="K9780" t="e">
            <v>#N/A</v>
          </cell>
        </row>
        <row r="9781">
          <cell r="K9781" t="e">
            <v>#N/A</v>
          </cell>
        </row>
        <row r="9782">
          <cell r="K9782" t="e">
            <v>#N/A</v>
          </cell>
        </row>
        <row r="9783">
          <cell r="K9783" t="e">
            <v>#N/A</v>
          </cell>
        </row>
        <row r="9784">
          <cell r="K9784" t="e">
            <v>#N/A</v>
          </cell>
        </row>
        <row r="9785">
          <cell r="K9785" t="e">
            <v>#N/A</v>
          </cell>
        </row>
        <row r="9786">
          <cell r="K9786" t="e">
            <v>#N/A</v>
          </cell>
        </row>
        <row r="9787">
          <cell r="K9787" t="e">
            <v>#N/A</v>
          </cell>
        </row>
        <row r="9788">
          <cell r="K9788" t="e">
            <v>#N/A</v>
          </cell>
        </row>
        <row r="9789">
          <cell r="K9789" t="e">
            <v>#N/A</v>
          </cell>
        </row>
        <row r="9790">
          <cell r="K9790" t="e">
            <v>#N/A</v>
          </cell>
        </row>
        <row r="9791">
          <cell r="K9791" t="e">
            <v>#N/A</v>
          </cell>
        </row>
        <row r="9792">
          <cell r="K9792" t="e">
            <v>#N/A</v>
          </cell>
        </row>
        <row r="9793">
          <cell r="K9793" t="e">
            <v>#N/A</v>
          </cell>
        </row>
        <row r="9794">
          <cell r="K9794" t="e">
            <v>#N/A</v>
          </cell>
        </row>
        <row r="9795">
          <cell r="K9795" t="e">
            <v>#N/A</v>
          </cell>
        </row>
        <row r="9796">
          <cell r="K9796" t="e">
            <v>#N/A</v>
          </cell>
        </row>
        <row r="9797">
          <cell r="K9797" t="e">
            <v>#N/A</v>
          </cell>
        </row>
        <row r="9798">
          <cell r="K9798" t="e">
            <v>#N/A</v>
          </cell>
        </row>
        <row r="9799">
          <cell r="K9799" t="e">
            <v>#N/A</v>
          </cell>
        </row>
        <row r="9800">
          <cell r="K9800" t="e">
            <v>#N/A</v>
          </cell>
        </row>
        <row r="9801">
          <cell r="K9801" t="e">
            <v>#N/A</v>
          </cell>
        </row>
        <row r="9802">
          <cell r="K9802" t="e">
            <v>#N/A</v>
          </cell>
        </row>
        <row r="9803">
          <cell r="K9803" t="e">
            <v>#N/A</v>
          </cell>
        </row>
        <row r="9804">
          <cell r="K9804" t="e">
            <v>#N/A</v>
          </cell>
        </row>
        <row r="9805">
          <cell r="K9805" t="e">
            <v>#N/A</v>
          </cell>
        </row>
        <row r="9806">
          <cell r="K9806" t="e">
            <v>#N/A</v>
          </cell>
        </row>
        <row r="9807">
          <cell r="K9807" t="e">
            <v>#N/A</v>
          </cell>
        </row>
        <row r="9808">
          <cell r="K9808" t="e">
            <v>#N/A</v>
          </cell>
        </row>
        <row r="9809">
          <cell r="K9809" t="e">
            <v>#N/A</v>
          </cell>
        </row>
        <row r="9810">
          <cell r="K9810" t="e">
            <v>#N/A</v>
          </cell>
        </row>
        <row r="9811">
          <cell r="K9811" t="e">
            <v>#N/A</v>
          </cell>
        </row>
        <row r="9812">
          <cell r="K9812" t="e">
            <v>#N/A</v>
          </cell>
        </row>
        <row r="9813">
          <cell r="K9813" t="e">
            <v>#N/A</v>
          </cell>
        </row>
        <row r="9814">
          <cell r="K9814" t="e">
            <v>#N/A</v>
          </cell>
        </row>
        <row r="9815">
          <cell r="K9815" t="e">
            <v>#N/A</v>
          </cell>
        </row>
        <row r="9816">
          <cell r="K9816" t="e">
            <v>#N/A</v>
          </cell>
        </row>
        <row r="9817">
          <cell r="K9817" t="e">
            <v>#N/A</v>
          </cell>
        </row>
        <row r="9818">
          <cell r="K9818" t="e">
            <v>#N/A</v>
          </cell>
        </row>
        <row r="9819">
          <cell r="K9819" t="e">
            <v>#N/A</v>
          </cell>
        </row>
        <row r="9820">
          <cell r="K9820" t="e">
            <v>#N/A</v>
          </cell>
        </row>
        <row r="9821">
          <cell r="K9821" t="e">
            <v>#N/A</v>
          </cell>
        </row>
        <row r="9822">
          <cell r="K9822" t="e">
            <v>#N/A</v>
          </cell>
        </row>
        <row r="9823">
          <cell r="K9823" t="e">
            <v>#N/A</v>
          </cell>
        </row>
        <row r="9824">
          <cell r="K9824" t="e">
            <v>#N/A</v>
          </cell>
        </row>
        <row r="9825">
          <cell r="K9825" t="e">
            <v>#N/A</v>
          </cell>
        </row>
        <row r="9826">
          <cell r="K9826" t="e">
            <v>#N/A</v>
          </cell>
        </row>
        <row r="9827">
          <cell r="K9827" t="e">
            <v>#N/A</v>
          </cell>
        </row>
        <row r="9828">
          <cell r="K9828" t="e">
            <v>#N/A</v>
          </cell>
        </row>
        <row r="9829">
          <cell r="K9829" t="e">
            <v>#N/A</v>
          </cell>
        </row>
        <row r="9830">
          <cell r="K9830" t="e">
            <v>#N/A</v>
          </cell>
        </row>
        <row r="9831">
          <cell r="K9831" t="e">
            <v>#N/A</v>
          </cell>
        </row>
        <row r="9832">
          <cell r="K9832" t="e">
            <v>#N/A</v>
          </cell>
        </row>
        <row r="9833">
          <cell r="K9833" t="e">
            <v>#N/A</v>
          </cell>
        </row>
        <row r="9834">
          <cell r="K9834" t="e">
            <v>#N/A</v>
          </cell>
        </row>
        <row r="9835">
          <cell r="K9835" t="e">
            <v>#N/A</v>
          </cell>
        </row>
        <row r="9836">
          <cell r="K9836" t="e">
            <v>#N/A</v>
          </cell>
        </row>
        <row r="9837">
          <cell r="K9837" t="e">
            <v>#N/A</v>
          </cell>
        </row>
        <row r="9838">
          <cell r="K9838" t="e">
            <v>#N/A</v>
          </cell>
        </row>
        <row r="9839">
          <cell r="K9839" t="e">
            <v>#N/A</v>
          </cell>
        </row>
        <row r="9840">
          <cell r="K9840" t="e">
            <v>#N/A</v>
          </cell>
        </row>
        <row r="9841">
          <cell r="K9841" t="e">
            <v>#N/A</v>
          </cell>
        </row>
        <row r="9842">
          <cell r="K9842" t="e">
            <v>#N/A</v>
          </cell>
        </row>
        <row r="9843">
          <cell r="K9843" t="e">
            <v>#N/A</v>
          </cell>
        </row>
        <row r="9844">
          <cell r="K9844" t="e">
            <v>#N/A</v>
          </cell>
        </row>
        <row r="9845">
          <cell r="K9845" t="e">
            <v>#N/A</v>
          </cell>
        </row>
        <row r="9846">
          <cell r="K9846" t="e">
            <v>#N/A</v>
          </cell>
        </row>
        <row r="9847">
          <cell r="K9847" t="e">
            <v>#N/A</v>
          </cell>
        </row>
        <row r="9848">
          <cell r="K9848" t="e">
            <v>#N/A</v>
          </cell>
        </row>
        <row r="9849">
          <cell r="K9849" t="e">
            <v>#N/A</v>
          </cell>
        </row>
        <row r="9850">
          <cell r="K9850" t="e">
            <v>#N/A</v>
          </cell>
        </row>
        <row r="9851">
          <cell r="K9851" t="e">
            <v>#N/A</v>
          </cell>
        </row>
        <row r="9852">
          <cell r="K9852" t="e">
            <v>#N/A</v>
          </cell>
        </row>
        <row r="9853">
          <cell r="K9853" t="e">
            <v>#N/A</v>
          </cell>
        </row>
        <row r="9854">
          <cell r="K9854" t="e">
            <v>#N/A</v>
          </cell>
        </row>
        <row r="9855">
          <cell r="K9855" t="e">
            <v>#N/A</v>
          </cell>
        </row>
        <row r="9856">
          <cell r="K9856" t="e">
            <v>#N/A</v>
          </cell>
        </row>
        <row r="9857">
          <cell r="K9857" t="e">
            <v>#N/A</v>
          </cell>
        </row>
        <row r="9858">
          <cell r="K9858" t="e">
            <v>#N/A</v>
          </cell>
        </row>
        <row r="9859">
          <cell r="K9859" t="e">
            <v>#N/A</v>
          </cell>
        </row>
        <row r="9860">
          <cell r="K9860" t="e">
            <v>#N/A</v>
          </cell>
        </row>
        <row r="9861">
          <cell r="K9861" t="e">
            <v>#N/A</v>
          </cell>
        </row>
        <row r="9862">
          <cell r="K9862" t="e">
            <v>#N/A</v>
          </cell>
        </row>
        <row r="9863">
          <cell r="K9863" t="e">
            <v>#N/A</v>
          </cell>
        </row>
        <row r="9864">
          <cell r="K9864" t="e">
            <v>#N/A</v>
          </cell>
        </row>
        <row r="9865">
          <cell r="K9865" t="e">
            <v>#N/A</v>
          </cell>
        </row>
        <row r="9866">
          <cell r="K9866" t="e">
            <v>#N/A</v>
          </cell>
        </row>
        <row r="9867">
          <cell r="K9867" t="e">
            <v>#N/A</v>
          </cell>
        </row>
        <row r="9868">
          <cell r="K9868" t="e">
            <v>#N/A</v>
          </cell>
        </row>
        <row r="9869">
          <cell r="K9869" t="e">
            <v>#N/A</v>
          </cell>
        </row>
        <row r="9870">
          <cell r="K9870" t="e">
            <v>#N/A</v>
          </cell>
        </row>
        <row r="9871">
          <cell r="K9871" t="e">
            <v>#N/A</v>
          </cell>
        </row>
        <row r="9872">
          <cell r="K9872" t="e">
            <v>#N/A</v>
          </cell>
        </row>
        <row r="9873">
          <cell r="K9873" t="e">
            <v>#N/A</v>
          </cell>
        </row>
        <row r="9874">
          <cell r="K9874" t="e">
            <v>#N/A</v>
          </cell>
        </row>
        <row r="9875">
          <cell r="K9875" t="e">
            <v>#N/A</v>
          </cell>
        </row>
      </sheetData>
      <sheetData sheetId="4">
        <row r="1">
          <cell r="A1" t="str">
            <v>Filter</v>
          </cell>
          <cell r="J1" t="str">
            <v>Species</v>
          </cell>
        </row>
        <row r="2">
          <cell r="A2" t="str">
            <v>gone</v>
          </cell>
          <cell r="J2" t="str">
            <v>OMON</v>
          </cell>
        </row>
        <row r="3">
          <cell r="A3" t="str">
            <v>IS_partial_brain</v>
          </cell>
          <cell r="J3" t="str">
            <v>PCOQ</v>
          </cell>
        </row>
        <row r="4">
          <cell r="A4" t="str">
            <v>IS_partial_brain</v>
          </cell>
          <cell r="J4" t="str">
            <v>EMON</v>
          </cell>
        </row>
        <row r="5">
          <cell r="A5" t="str">
            <v>IS_partial_brain</v>
          </cell>
          <cell r="J5" t="str">
            <v>CMED</v>
          </cell>
        </row>
        <row r="6">
          <cell r="A6" t="str">
            <v>IS_partial_FC_RNAlater</v>
          </cell>
          <cell r="J6" t="str">
            <v>CMED</v>
          </cell>
        </row>
        <row r="7">
          <cell r="A7" t="str">
            <v>gone</v>
          </cell>
          <cell r="J7" t="str">
            <v>EMON</v>
          </cell>
        </row>
        <row r="8">
          <cell r="A8" t="str">
            <v>IS_partial_FC_RNAlater</v>
          </cell>
          <cell r="J8" t="str">
            <v>EMON</v>
          </cell>
        </row>
        <row r="9">
          <cell r="A9" t="str">
            <v>gone</v>
          </cell>
          <cell r="J9" t="str">
            <v>GMOH</v>
          </cell>
        </row>
        <row r="10">
          <cell r="A10" t="str">
            <v>IS_partial_FC_RNAlater</v>
          </cell>
          <cell r="J10" t="str">
            <v>GMOH</v>
          </cell>
        </row>
        <row r="11">
          <cell r="A11" t="str">
            <v>gone</v>
          </cell>
          <cell r="J11" t="str">
            <v>EFLA</v>
          </cell>
        </row>
        <row r="12">
          <cell r="A12" t="str">
            <v>IS_partial_FC_RNAlater</v>
          </cell>
          <cell r="J12" t="str">
            <v>EFLA</v>
          </cell>
        </row>
        <row r="13">
          <cell r="A13" t="str">
            <v>IS_partial_FC_RNAlater</v>
          </cell>
          <cell r="J13" t="str">
            <v>EFLA</v>
          </cell>
        </row>
        <row r="14">
          <cell r="A14" t="str">
            <v>IS_partial_FC_RNAlater</v>
          </cell>
          <cell r="J14" t="str">
            <v>EFLA</v>
          </cell>
        </row>
        <row r="15">
          <cell r="A15" t="str">
            <v>gone</v>
          </cell>
          <cell r="J15" t="str">
            <v>PCOQ</v>
          </cell>
        </row>
        <row r="16">
          <cell r="A16" t="str">
            <v>IS_partial_FC_RNAlater</v>
          </cell>
          <cell r="J16" t="str">
            <v>PCOQ</v>
          </cell>
        </row>
        <row r="17">
          <cell r="A17" t="str">
            <v>IS_partial_FC_RNAlater</v>
          </cell>
          <cell r="J17" t="str">
            <v>PCOQ</v>
          </cell>
        </row>
        <row r="18">
          <cell r="A18" t="str">
            <v>unk</v>
          </cell>
          <cell r="J18" t="str">
            <v>CMED</v>
          </cell>
        </row>
        <row r="19">
          <cell r="A19" t="str">
            <v>gone</v>
          </cell>
          <cell r="J19" t="str">
            <v>CMED</v>
          </cell>
        </row>
        <row r="20">
          <cell r="A20" t="str">
            <v>gone</v>
          </cell>
          <cell r="J20" t="str">
            <v>CMED</v>
          </cell>
        </row>
        <row r="21">
          <cell r="A21" t="str">
            <v>IS_partial_FC_RNAlater</v>
          </cell>
          <cell r="J21" t="str">
            <v>ECOL</v>
          </cell>
        </row>
        <row r="22">
          <cell r="A22" t="str">
            <v>IS_partial_FC_RNAlater</v>
          </cell>
          <cell r="J22" t="str">
            <v>ECOL</v>
          </cell>
        </row>
        <row r="23">
          <cell r="A23" t="str">
            <v>unk</v>
          </cell>
          <cell r="J23" t="str">
            <v>LCAT</v>
          </cell>
        </row>
        <row r="24">
          <cell r="A24" t="str">
            <v>unk</v>
          </cell>
          <cell r="J24" t="str">
            <v>CMED</v>
          </cell>
        </row>
        <row r="25">
          <cell r="A25" t="str">
            <v>gone</v>
          </cell>
          <cell r="J25" t="str">
            <v>CMED</v>
          </cell>
        </row>
        <row r="26">
          <cell r="A26" t="str">
            <v>gone</v>
          </cell>
          <cell r="J26" t="str">
            <v>CMED</v>
          </cell>
        </row>
        <row r="27">
          <cell r="A27" t="str">
            <v>gone</v>
          </cell>
          <cell r="J27" t="str">
            <v>NPYG</v>
          </cell>
        </row>
        <row r="28">
          <cell r="A28" t="str">
            <v>IS_partial_brain</v>
          </cell>
          <cell r="J28" t="str">
            <v>LTAR</v>
          </cell>
        </row>
        <row r="29">
          <cell r="A29" t="str">
            <v>IS_partial_FC_RNAlater</v>
          </cell>
          <cell r="J29" t="str">
            <v>LTAR</v>
          </cell>
        </row>
        <row r="30">
          <cell r="A30" t="str">
            <v>IS_partial_FC_RNAlater</v>
          </cell>
          <cell r="J30" t="str">
            <v>LTAR</v>
          </cell>
        </row>
        <row r="31">
          <cell r="A31" t="str">
            <v>gone</v>
          </cell>
          <cell r="J31" t="str">
            <v>MMUR</v>
          </cell>
        </row>
        <row r="32">
          <cell r="A32" t="str">
            <v>IS_partial_FC_RNAlater</v>
          </cell>
          <cell r="J32" t="str">
            <v>PTAT</v>
          </cell>
        </row>
        <row r="33">
          <cell r="A33" t="str">
            <v>IS_partial_FC_RNAlater</v>
          </cell>
          <cell r="J33" t="str">
            <v>PTAT</v>
          </cell>
        </row>
        <row r="34">
          <cell r="A34" t="str">
            <v>IS_partial_brain</v>
          </cell>
          <cell r="J34" t="str">
            <v>PTAT</v>
          </cell>
        </row>
        <row r="35">
          <cell r="A35" t="str">
            <v>in storage</v>
          </cell>
          <cell r="J35" t="str">
            <v>PTAT</v>
          </cell>
        </row>
        <row r="36">
          <cell r="A36" t="str">
            <v>in storage</v>
          </cell>
          <cell r="J36" t="str">
            <v>PTAT</v>
          </cell>
        </row>
        <row r="37">
          <cell r="A37" t="str">
            <v>IS_partial_brain</v>
          </cell>
          <cell r="J37" t="str">
            <v>HGG</v>
          </cell>
        </row>
        <row r="38">
          <cell r="A38" t="str">
            <v>IS_partial_FC_RNAlater</v>
          </cell>
          <cell r="J38" t="str">
            <v>HGG</v>
          </cell>
        </row>
        <row r="39">
          <cell r="A39" t="str">
            <v>IS_partial_FC_RNAlater</v>
          </cell>
          <cell r="J39" t="str">
            <v>HGG</v>
          </cell>
        </row>
        <row r="40">
          <cell r="A40" t="str">
            <v>unk</v>
          </cell>
          <cell r="J40" t="str">
            <v>MMUR</v>
          </cell>
        </row>
        <row r="41">
          <cell r="A41" t="str">
            <v>IS_partial_FC_RNAlater</v>
          </cell>
          <cell r="J41" t="str">
            <v>MMUR</v>
          </cell>
        </row>
        <row r="42">
          <cell r="A42" t="str">
            <v>gone</v>
          </cell>
          <cell r="J42" t="str">
            <v>MMUR</v>
          </cell>
        </row>
        <row r="43">
          <cell r="A43" t="str">
            <v>IS_partial_FC_RNAlater</v>
          </cell>
          <cell r="J43" t="str">
            <v>GMOH</v>
          </cell>
        </row>
        <row r="44">
          <cell r="A44" t="str">
            <v>IS_whole</v>
          </cell>
          <cell r="J44" t="str">
            <v>LCAT</v>
          </cell>
        </row>
        <row r="45">
          <cell r="A45" t="str">
            <v>IS_partial_brain</v>
          </cell>
          <cell r="J45" t="str">
            <v>ESAN</v>
          </cell>
        </row>
        <row r="46">
          <cell r="A46" t="str">
            <v>IS_partial_FC_RNAlater</v>
          </cell>
          <cell r="J46" t="str">
            <v>ESAN</v>
          </cell>
        </row>
        <row r="47">
          <cell r="A47" t="str">
            <v>IS_partial_FC_RNAlater</v>
          </cell>
          <cell r="J47" t="str">
            <v>ESAN</v>
          </cell>
        </row>
        <row r="48">
          <cell r="A48" t="str">
            <v>IS_partial_brain</v>
          </cell>
          <cell r="J48" t="str">
            <v>PCOQ</v>
          </cell>
        </row>
        <row r="49">
          <cell r="A49" t="str">
            <v>gone</v>
          </cell>
          <cell r="J49" t="str">
            <v>VRUB</v>
          </cell>
        </row>
        <row r="50">
          <cell r="A50" t="str">
            <v>IS_partial_brain</v>
          </cell>
          <cell r="J50" t="str">
            <v>VRUB</v>
          </cell>
        </row>
        <row r="51">
          <cell r="A51" t="str">
            <v>IS_partial_FC_RNAlater</v>
          </cell>
          <cell r="J51" t="str">
            <v>VRUB</v>
          </cell>
        </row>
        <row r="52">
          <cell r="A52" t="str">
            <v>IS_partial_brain</v>
          </cell>
          <cell r="J52" t="str">
            <v>VRUB</v>
          </cell>
        </row>
        <row r="53">
          <cell r="A53" t="str">
            <v>IS_partial_brain</v>
          </cell>
          <cell r="J53" t="str">
            <v>ERUB</v>
          </cell>
        </row>
        <row r="54">
          <cell r="A54" t="str">
            <v>IS_partial_FC_RNAlater</v>
          </cell>
          <cell r="J54" t="str">
            <v>ERUB</v>
          </cell>
        </row>
        <row r="55">
          <cell r="A55" t="str">
            <v>IS_partial_FC_RNAlater</v>
          </cell>
          <cell r="J55" t="str">
            <v>ERUB</v>
          </cell>
        </row>
        <row r="56">
          <cell r="A56" t="str">
            <v>IS_partial_brain</v>
          </cell>
          <cell r="J56" t="str">
            <v>PCOQ</v>
          </cell>
        </row>
        <row r="57">
          <cell r="A57" t="str">
            <v>IS_partial_FC_RNAlater</v>
          </cell>
          <cell r="J57" t="str">
            <v>PCOQ</v>
          </cell>
        </row>
        <row r="58">
          <cell r="A58" t="str">
            <v>IS_partial_FC_RNAlater</v>
          </cell>
          <cell r="J58" t="str">
            <v>PCOQ</v>
          </cell>
        </row>
        <row r="59">
          <cell r="A59" t="str">
            <v>IS_partial_brain</v>
          </cell>
          <cell r="J59" t="str">
            <v>ERUF</v>
          </cell>
        </row>
        <row r="60">
          <cell r="A60" t="str">
            <v>IS_partial_FC_RNAlater</v>
          </cell>
          <cell r="J60" t="str">
            <v>ERUF</v>
          </cell>
        </row>
        <row r="61">
          <cell r="A61" t="str">
            <v>IS_partial_FC_RNAlater</v>
          </cell>
          <cell r="J61" t="str">
            <v>ERUF</v>
          </cell>
        </row>
        <row r="62">
          <cell r="A62" t="str">
            <v>unk</v>
          </cell>
          <cell r="J62" t="str">
            <v>EFLA</v>
          </cell>
        </row>
        <row r="63">
          <cell r="A63" t="str">
            <v>IS_partial_FC_RNAlater</v>
          </cell>
          <cell r="J63" t="str">
            <v>EFLA</v>
          </cell>
        </row>
        <row r="64">
          <cell r="A64" t="str">
            <v>IS_partial_FC_RNAlater</v>
          </cell>
          <cell r="J64" t="str">
            <v>EFLA</v>
          </cell>
        </row>
        <row r="65">
          <cell r="A65" t="str">
            <v>gone</v>
          </cell>
          <cell r="J65" t="str">
            <v>MMUR</v>
          </cell>
        </row>
        <row r="66">
          <cell r="A66" t="str">
            <v>gone</v>
          </cell>
          <cell r="J66" t="str">
            <v>MMUR</v>
          </cell>
        </row>
        <row r="67">
          <cell r="A67" t="str">
            <v>gone</v>
          </cell>
          <cell r="J67" t="str">
            <v>MMUR</v>
          </cell>
        </row>
        <row r="68">
          <cell r="A68" t="str">
            <v>IS_partial_FC_RNAlater</v>
          </cell>
          <cell r="J68" t="str">
            <v>MMUR</v>
          </cell>
        </row>
        <row r="69">
          <cell r="A69" t="str">
            <v>gone</v>
          </cell>
          <cell r="J69" t="str">
            <v>CMED</v>
          </cell>
        </row>
        <row r="70">
          <cell r="A70" t="str">
            <v>IS_partial_FC_RNAlater</v>
          </cell>
          <cell r="J70" t="str">
            <v>CMED</v>
          </cell>
        </row>
        <row r="71">
          <cell r="A71" t="str">
            <v>gone</v>
          </cell>
          <cell r="J71" t="str">
            <v>LCAT</v>
          </cell>
        </row>
        <row r="72">
          <cell r="A72" t="str">
            <v>gone</v>
          </cell>
          <cell r="J72" t="str">
            <v>LCAT</v>
          </cell>
        </row>
        <row r="73">
          <cell r="A73" t="str">
            <v>IS_partial_FC_RNAlater</v>
          </cell>
          <cell r="J73" t="str">
            <v>LCAT</v>
          </cell>
        </row>
        <row r="74">
          <cell r="A74" t="str">
            <v>IS_partial_FC_RNAlater</v>
          </cell>
          <cell r="J74" t="str">
            <v>LCAT</v>
          </cell>
        </row>
        <row r="75">
          <cell r="A75" t="str">
            <v>IS_partial_brain</v>
          </cell>
          <cell r="J75" t="str">
            <v>LCAT</v>
          </cell>
        </row>
        <row r="76">
          <cell r="A76" t="str">
            <v>gone</v>
          </cell>
          <cell r="J76" t="str">
            <v>EMON</v>
          </cell>
        </row>
        <row r="77">
          <cell r="A77" t="str">
            <v>IS_partial_FC_RNAlater</v>
          </cell>
          <cell r="J77" t="str">
            <v>EMON</v>
          </cell>
        </row>
        <row r="78">
          <cell r="A78" t="str">
            <v>IS_partial_FC_RNAlater</v>
          </cell>
          <cell r="J78" t="str">
            <v>EMON</v>
          </cell>
        </row>
        <row r="79">
          <cell r="A79" t="str">
            <v>IS_partial_brain</v>
          </cell>
          <cell r="J79" t="str">
            <v>EMON</v>
          </cell>
        </row>
        <row r="80">
          <cell r="A80" t="str">
            <v>IS_partial_FC_RNAlater</v>
          </cell>
          <cell r="J80" t="str">
            <v>ECOL</v>
          </cell>
        </row>
        <row r="81">
          <cell r="A81" t="str">
            <v>IS_partial_FC_RNAlater</v>
          </cell>
          <cell r="J81" t="str">
            <v>ECOL</v>
          </cell>
        </row>
        <row r="82">
          <cell r="A82" t="str">
            <v>IS_partial_brain</v>
          </cell>
          <cell r="J82" t="str">
            <v>ECOL</v>
          </cell>
        </row>
        <row r="83">
          <cell r="A83" t="str">
            <v>gone</v>
          </cell>
          <cell r="J83" t="str">
            <v>PCOQ</v>
          </cell>
        </row>
        <row r="84">
          <cell r="A84" t="str">
            <v>unk</v>
          </cell>
          <cell r="J84" t="str">
            <v>EFLA</v>
          </cell>
        </row>
        <row r="85">
          <cell r="A85" t="str">
            <v>IS_partial_FC_RNAlater</v>
          </cell>
          <cell r="J85" t="str">
            <v>EFLA</v>
          </cell>
        </row>
        <row r="86">
          <cell r="A86" t="str">
            <v>IS_partial_FC_RNAlater</v>
          </cell>
          <cell r="J86" t="str">
            <v>EFLA</v>
          </cell>
        </row>
        <row r="87">
          <cell r="A87" t="str">
            <v>IS_partial_brain</v>
          </cell>
          <cell r="J87" t="str">
            <v>EFLA</v>
          </cell>
        </row>
        <row r="88">
          <cell r="A88" t="str">
            <v>IS_partial_brain</v>
          </cell>
          <cell r="J88" t="str">
            <v>LCAT</v>
          </cell>
        </row>
        <row r="89">
          <cell r="A89" t="str">
            <v>IS_partial_brain</v>
          </cell>
          <cell r="J89" t="str">
            <v>ECOR</v>
          </cell>
        </row>
        <row r="90">
          <cell r="A90" t="str">
            <v>IS_whole</v>
          </cell>
          <cell r="J90" t="str">
            <v>PCOQ</v>
          </cell>
        </row>
        <row r="91">
          <cell r="A91" t="str">
            <v>IS_partial_brain</v>
          </cell>
          <cell r="J91" t="str">
            <v>MZAZ</v>
          </cell>
        </row>
        <row r="92">
          <cell r="A92" t="str">
            <v>IS_partial_FC_RNAlater</v>
          </cell>
          <cell r="J92" t="str">
            <v>MZAZ</v>
          </cell>
        </row>
        <row r="93">
          <cell r="A93" t="str">
            <v>in storage</v>
          </cell>
          <cell r="J93" t="str">
            <v>MZAZ</v>
          </cell>
        </row>
        <row r="94">
          <cell r="A94" t="str">
            <v>IS_whole</v>
          </cell>
          <cell r="J94" t="str">
            <v>VVV</v>
          </cell>
        </row>
        <row r="95">
          <cell r="A95" t="str">
            <v>IS_whole</v>
          </cell>
          <cell r="J95" t="str">
            <v>HGG</v>
          </cell>
        </row>
        <row r="96">
          <cell r="A96" t="str">
            <v>gone</v>
          </cell>
          <cell r="J96" t="str">
            <v>HGG</v>
          </cell>
        </row>
        <row r="97">
          <cell r="A97" t="str">
            <v>gone</v>
          </cell>
          <cell r="J97" t="str">
            <v>MMUR</v>
          </cell>
        </row>
        <row r="98">
          <cell r="A98" t="str">
            <v>gone</v>
          </cell>
          <cell r="J98" t="str">
            <v>PCOQ</v>
          </cell>
        </row>
        <row r="99">
          <cell r="A99" t="str">
            <v>gone</v>
          </cell>
          <cell r="J99" t="str">
            <v>MMUR</v>
          </cell>
        </row>
        <row r="100">
          <cell r="A100" t="str">
            <v>gone</v>
          </cell>
          <cell r="J100" t="str">
            <v>VRUB</v>
          </cell>
        </row>
        <row r="101">
          <cell r="A101" t="str">
            <v>IS_whole</v>
          </cell>
          <cell r="J101" t="str">
            <v>EMON</v>
          </cell>
        </row>
        <row r="102">
          <cell r="A102" t="str">
            <v>IS_partial_brain</v>
          </cell>
          <cell r="J102" t="str">
            <v>ERUF</v>
          </cell>
        </row>
        <row r="103">
          <cell r="A103" t="str">
            <v>gone</v>
          </cell>
          <cell r="J103" t="str">
            <v>NCOU</v>
          </cell>
        </row>
        <row r="104">
          <cell r="A104" t="str">
            <v>IS_partial_brain</v>
          </cell>
          <cell r="J104" t="str">
            <v>ECOR</v>
          </cell>
        </row>
        <row r="105">
          <cell r="A105" t="str">
            <v>IS_partial_FC_RNAlater</v>
          </cell>
          <cell r="J105" t="str">
            <v>ECOR</v>
          </cell>
        </row>
        <row r="106">
          <cell r="A106" t="str">
            <v>IS_partial_brain</v>
          </cell>
          <cell r="J106" t="str">
            <v>EMAC</v>
          </cell>
        </row>
        <row r="107">
          <cell r="A107" t="str">
            <v>gone</v>
          </cell>
          <cell r="J107" t="str">
            <v>EMAC</v>
          </cell>
        </row>
        <row r="108">
          <cell r="A108" t="str">
            <v>gone</v>
          </cell>
          <cell r="J108" t="str">
            <v>HGG</v>
          </cell>
        </row>
        <row r="109">
          <cell r="A109" t="str">
            <v>unk</v>
          </cell>
          <cell r="J109" t="str">
            <v>EFUL</v>
          </cell>
        </row>
        <row r="110">
          <cell r="A110" t="str">
            <v>gone</v>
          </cell>
          <cell r="J110" t="str">
            <v>DMAD</v>
          </cell>
        </row>
        <row r="111">
          <cell r="A111" t="str">
            <v>IS_partial_brain</v>
          </cell>
          <cell r="J111" t="str">
            <v>ECOL</v>
          </cell>
        </row>
        <row r="112">
          <cell r="A112" t="str">
            <v>IS_whole</v>
          </cell>
          <cell r="J112" t="str">
            <v>VVV</v>
          </cell>
        </row>
        <row r="113">
          <cell r="A113" t="str">
            <v>IS_whole</v>
          </cell>
          <cell r="J113" t="str">
            <v>EFLA</v>
          </cell>
        </row>
        <row r="114">
          <cell r="A114" t="str">
            <v>IS_partial_brain</v>
          </cell>
          <cell r="J114" t="str">
            <v>EFLA</v>
          </cell>
        </row>
        <row r="115">
          <cell r="A115" t="str">
            <v>IS_whole</v>
          </cell>
          <cell r="J115" t="str">
            <v>VVV</v>
          </cell>
        </row>
        <row r="116">
          <cell r="A116" t="str">
            <v>gone</v>
          </cell>
          <cell r="J116" t="str">
            <v>EMON</v>
          </cell>
        </row>
        <row r="117">
          <cell r="A117" t="str">
            <v>gone</v>
          </cell>
          <cell r="J117" t="str">
            <v>PCOQ</v>
          </cell>
        </row>
        <row r="118">
          <cell r="A118" t="str">
            <v>IS_whole</v>
          </cell>
          <cell r="J118" t="str">
            <v>EMON</v>
          </cell>
        </row>
        <row r="119">
          <cell r="A119" t="str">
            <v>IS_whole</v>
          </cell>
          <cell r="J119" t="str">
            <v>EMAC</v>
          </cell>
        </row>
        <row r="120">
          <cell r="A120" t="str">
            <v>IS_whole</v>
          </cell>
          <cell r="J120" t="str">
            <v>EALB</v>
          </cell>
        </row>
        <row r="121">
          <cell r="A121" t="str">
            <v>IS_whole</v>
          </cell>
          <cell r="J121" t="str">
            <v>EALB</v>
          </cell>
        </row>
        <row r="122">
          <cell r="A122" t="str">
            <v>IS_whole</v>
          </cell>
          <cell r="J122" t="str">
            <v>LTAR</v>
          </cell>
        </row>
        <row r="123">
          <cell r="A123" t="str">
            <v>gone</v>
          </cell>
          <cell r="J123" t="str">
            <v>CMED</v>
          </cell>
        </row>
        <row r="124">
          <cell r="A124" t="str">
            <v>IS_whole</v>
          </cell>
          <cell r="J124" t="str">
            <v>PCOQ</v>
          </cell>
        </row>
        <row r="125">
          <cell r="A125" t="str">
            <v>IS_whole</v>
          </cell>
          <cell r="J125" t="str">
            <v>LCAT</v>
          </cell>
        </row>
        <row r="126">
          <cell r="A126" t="str">
            <v>IS_partial_brain</v>
          </cell>
          <cell r="J126" t="str">
            <v>EUL</v>
          </cell>
        </row>
        <row r="127">
          <cell r="A127" t="str">
            <v>IS_partial_brain</v>
          </cell>
          <cell r="J127" t="str">
            <v>LCAT</v>
          </cell>
        </row>
        <row r="128">
          <cell r="A128" t="str">
            <v>IS_whole</v>
          </cell>
          <cell r="J128" t="str">
            <v>ERUB</v>
          </cell>
        </row>
        <row r="129">
          <cell r="A129" t="str">
            <v>gone</v>
          </cell>
          <cell r="J129" t="str">
            <v>NPYG</v>
          </cell>
        </row>
        <row r="130">
          <cell r="A130" t="str">
            <v>IS_partial_brain</v>
          </cell>
          <cell r="J130" t="str">
            <v>PCOQ</v>
          </cell>
        </row>
        <row r="131">
          <cell r="A131" t="str">
            <v>IS_partial_brain</v>
          </cell>
          <cell r="J131" t="str">
            <v>ERUB</v>
          </cell>
        </row>
        <row r="132">
          <cell r="A132" t="str">
            <v>IS_partial_brain</v>
          </cell>
          <cell r="J132" t="str">
            <v>ERUB</v>
          </cell>
        </row>
        <row r="133">
          <cell r="A133" t="str">
            <v>IS_whole</v>
          </cell>
          <cell r="J133" t="str">
            <v>ERUB</v>
          </cell>
        </row>
        <row r="134">
          <cell r="A134" t="str">
            <v>IS_partial_brain</v>
          </cell>
          <cell r="J134" t="str">
            <v>ESAN</v>
          </cell>
        </row>
        <row r="135">
          <cell r="A135" t="str">
            <v>gone</v>
          </cell>
          <cell r="J135" t="str">
            <v>EUL</v>
          </cell>
        </row>
        <row r="136">
          <cell r="A136" t="str">
            <v>IS_partial_brain</v>
          </cell>
          <cell r="J136" t="str">
            <v>EUL</v>
          </cell>
        </row>
        <row r="137">
          <cell r="A137" t="str">
            <v>IS_partial_brain</v>
          </cell>
          <cell r="J137" t="str">
            <v>EUL</v>
          </cell>
        </row>
        <row r="138">
          <cell r="A138" t="str">
            <v>IS_whole</v>
          </cell>
          <cell r="J138" t="str">
            <v>ECOL</v>
          </cell>
        </row>
        <row r="139">
          <cell r="A139" t="str">
            <v>IS_whole</v>
          </cell>
          <cell r="J139" t="str">
            <v>EUL</v>
          </cell>
        </row>
        <row r="140">
          <cell r="A140" t="str">
            <v>IS_whole</v>
          </cell>
          <cell r="J140" t="str">
            <v>CMED</v>
          </cell>
        </row>
        <row r="141">
          <cell r="A141" t="str">
            <v>IS_partial_brain</v>
          </cell>
          <cell r="J141" t="str">
            <v>PCOQ</v>
          </cell>
        </row>
        <row r="142">
          <cell r="A142" t="str">
            <v>unk</v>
          </cell>
          <cell r="J142" t="str">
            <v>LCAT</v>
          </cell>
        </row>
        <row r="143">
          <cell r="A143" t="str">
            <v>IS_whole</v>
          </cell>
          <cell r="J143" t="str">
            <v>VRUB</v>
          </cell>
        </row>
        <row r="144">
          <cell r="A144" t="str">
            <v>gone</v>
          </cell>
          <cell r="J144" t="str">
            <v>PCOQ</v>
          </cell>
        </row>
        <row r="145">
          <cell r="A145" t="str">
            <v>IS_partial_brain</v>
          </cell>
          <cell r="J145" t="str">
            <v>PCOQ</v>
          </cell>
        </row>
        <row r="146">
          <cell r="A146" t="str">
            <v>unk</v>
          </cell>
          <cell r="J146" t="str">
            <v>DMAD</v>
          </cell>
        </row>
        <row r="147">
          <cell r="A147" t="str">
            <v>gone</v>
          </cell>
          <cell r="J147" t="str">
            <v>DMAD</v>
          </cell>
        </row>
        <row r="148">
          <cell r="A148" t="str">
            <v>IS_partial_brain</v>
          </cell>
          <cell r="J148" t="str">
            <v>DMAD</v>
          </cell>
        </row>
        <row r="149">
          <cell r="A149" t="str">
            <v>IS_whole</v>
          </cell>
          <cell r="J149" t="str">
            <v>DMAD</v>
          </cell>
        </row>
        <row r="150">
          <cell r="A150" t="str">
            <v>gone</v>
          </cell>
          <cell r="J150" t="str">
            <v>MMUR</v>
          </cell>
        </row>
        <row r="151">
          <cell r="A151" t="str">
            <v>IS_partial_brain</v>
          </cell>
          <cell r="J151" t="str">
            <v>DMAD</v>
          </cell>
        </row>
        <row r="152">
          <cell r="A152" t="str">
            <v>gone</v>
          </cell>
          <cell r="J152" t="str">
            <v>DMAD</v>
          </cell>
        </row>
        <row r="153">
          <cell r="A153" t="str">
            <v>gone</v>
          </cell>
          <cell r="J153" t="str">
            <v>MMUR</v>
          </cell>
        </row>
        <row r="154">
          <cell r="A154" t="str">
            <v>gone</v>
          </cell>
          <cell r="J154" t="str">
            <v>MMUR</v>
          </cell>
        </row>
        <row r="155">
          <cell r="A155" t="str">
            <v>IS_partial_brain</v>
          </cell>
          <cell r="J155" t="str">
            <v>HGG</v>
          </cell>
        </row>
        <row r="156">
          <cell r="A156" t="str">
            <v>IS_partial_brain</v>
          </cell>
          <cell r="J156" t="str">
            <v>HGG</v>
          </cell>
        </row>
        <row r="157">
          <cell r="A157" t="str">
            <v>IS_partial_brain</v>
          </cell>
          <cell r="J157" t="str">
            <v>NPYG</v>
          </cell>
        </row>
        <row r="158">
          <cell r="A158" t="str">
            <v>IS_partial_brain</v>
          </cell>
          <cell r="J158" t="str">
            <v>NPYG</v>
          </cell>
        </row>
        <row r="159">
          <cell r="A159" t="str">
            <v>gone</v>
          </cell>
          <cell r="J159" t="str">
            <v>MMUR</v>
          </cell>
        </row>
        <row r="160">
          <cell r="A160" t="str">
            <v>gone</v>
          </cell>
          <cell r="J160" t="str">
            <v>MMUR</v>
          </cell>
        </row>
        <row r="161">
          <cell r="A161" t="str">
            <v>gone</v>
          </cell>
          <cell r="J161" t="str">
            <v>MMUR</v>
          </cell>
        </row>
        <row r="162">
          <cell r="A162" t="str">
            <v>gone</v>
          </cell>
          <cell r="J162" t="str">
            <v>MMUR</v>
          </cell>
        </row>
        <row r="163">
          <cell r="A163" t="str">
            <v>gone</v>
          </cell>
          <cell r="J163" t="str">
            <v>OCRA</v>
          </cell>
        </row>
        <row r="164">
          <cell r="A164" t="str">
            <v>gone</v>
          </cell>
          <cell r="J164" t="str">
            <v>OCRA</v>
          </cell>
        </row>
        <row r="165">
          <cell r="A165" t="str">
            <v>gone</v>
          </cell>
          <cell r="J165" t="str">
            <v>ERUB</v>
          </cell>
        </row>
        <row r="166">
          <cell r="A166" t="str">
            <v>gone</v>
          </cell>
          <cell r="J166" t="str">
            <v>PCOQ</v>
          </cell>
        </row>
        <row r="167">
          <cell r="A167" t="str">
            <v>IS_partial_brain</v>
          </cell>
          <cell r="J167" t="str">
            <v>EMAC</v>
          </cell>
        </row>
        <row r="168">
          <cell r="A168" t="str">
            <v>gone</v>
          </cell>
          <cell r="J168" t="str">
            <v>MMUR</v>
          </cell>
        </row>
        <row r="169">
          <cell r="A169" t="str">
            <v>IS_partial_brain</v>
          </cell>
          <cell r="J169" t="str">
            <v>LCAT</v>
          </cell>
        </row>
        <row r="170">
          <cell r="A170" t="str">
            <v>IS_partial_brain</v>
          </cell>
          <cell r="J170" t="str">
            <v>VVV</v>
          </cell>
        </row>
        <row r="171">
          <cell r="A171" t="str">
            <v>gone</v>
          </cell>
          <cell r="J171" t="str">
            <v>MMUR</v>
          </cell>
        </row>
        <row r="172">
          <cell r="A172" t="str">
            <v>unk</v>
          </cell>
          <cell r="J172" t="str">
            <v>CMED</v>
          </cell>
        </row>
        <row r="173">
          <cell r="A173" t="str">
            <v>IS_whole</v>
          </cell>
          <cell r="J173" t="str">
            <v>CMED</v>
          </cell>
        </row>
        <row r="174">
          <cell r="A174" t="str">
            <v>gone</v>
          </cell>
          <cell r="J174" t="str">
            <v>MMUR</v>
          </cell>
        </row>
        <row r="175">
          <cell r="A175" t="str">
            <v>IS_partial_brain</v>
          </cell>
          <cell r="J175" t="str">
            <v>EFLA</v>
          </cell>
        </row>
        <row r="176">
          <cell r="A176" t="str">
            <v>gone</v>
          </cell>
          <cell r="J176" t="str">
            <v>MMUR</v>
          </cell>
        </row>
        <row r="177">
          <cell r="A177" t="str">
            <v>IS_whole</v>
          </cell>
          <cell r="J177" t="str">
            <v>EMON</v>
          </cell>
        </row>
        <row r="178">
          <cell r="A178" t="str">
            <v>gone</v>
          </cell>
          <cell r="J178" t="str">
            <v>PCOQ</v>
          </cell>
        </row>
        <row r="179">
          <cell r="A179" t="str">
            <v>unk</v>
          </cell>
          <cell r="J179" t="str">
            <v>PCOQ</v>
          </cell>
        </row>
        <row r="180">
          <cell r="A180" t="str">
            <v>IS_whole</v>
          </cell>
          <cell r="J180" t="str">
            <v>ECOL</v>
          </cell>
        </row>
        <row r="181">
          <cell r="A181" t="str">
            <v>gone</v>
          </cell>
          <cell r="J181" t="str">
            <v>LCAT</v>
          </cell>
        </row>
        <row r="182">
          <cell r="A182" t="str">
            <v>IS_partial_brain</v>
          </cell>
          <cell r="J182" t="str">
            <v>MMUR</v>
          </cell>
        </row>
        <row r="183">
          <cell r="A183" t="str">
            <v>gone</v>
          </cell>
          <cell r="J183" t="str">
            <v>LCAT</v>
          </cell>
        </row>
        <row r="184">
          <cell r="A184" t="str">
            <v>gone</v>
          </cell>
          <cell r="J184" t="str">
            <v>HGG</v>
          </cell>
        </row>
        <row r="185">
          <cell r="A185" t="str">
            <v>unk</v>
          </cell>
          <cell r="J185" t="str">
            <v>VVV</v>
          </cell>
        </row>
        <row r="186">
          <cell r="A186" t="str">
            <v>IS_whole</v>
          </cell>
          <cell r="J186" t="str">
            <v>DMAD</v>
          </cell>
        </row>
        <row r="187">
          <cell r="A187" t="str">
            <v>IS_whole</v>
          </cell>
          <cell r="J187" t="str">
            <v>MMUR</v>
          </cell>
        </row>
        <row r="188">
          <cell r="A188" t="str">
            <v>IS_whole</v>
          </cell>
          <cell r="J188" t="str">
            <v>DMAD</v>
          </cell>
        </row>
        <row r="189">
          <cell r="A189" t="str">
            <v>unk</v>
          </cell>
          <cell r="J189" t="str">
            <v>CMED</v>
          </cell>
        </row>
        <row r="190">
          <cell r="A190" t="str">
            <v>IS_partial_brain</v>
          </cell>
          <cell r="J190" t="str">
            <v>MMUR</v>
          </cell>
        </row>
        <row r="191">
          <cell r="A191" t="str">
            <v>IS_whole</v>
          </cell>
          <cell r="J191" t="str">
            <v>PCOQ</v>
          </cell>
        </row>
        <row r="192">
          <cell r="A192" t="str">
            <v>IS_whole</v>
          </cell>
          <cell r="J192" t="str">
            <v>VRUB</v>
          </cell>
        </row>
        <row r="193">
          <cell r="A193" t="str">
            <v>IS_partial_brain</v>
          </cell>
          <cell r="J193" t="str">
            <v>GMOH</v>
          </cell>
        </row>
        <row r="194">
          <cell r="A194" t="str">
            <v>IS_whole</v>
          </cell>
          <cell r="J194" t="str">
            <v>PCOQ</v>
          </cell>
        </row>
        <row r="195">
          <cell r="A195" t="str">
            <v>IS_partial_brain</v>
          </cell>
          <cell r="J195" t="str">
            <v>CMED</v>
          </cell>
        </row>
        <row r="196">
          <cell r="A196" t="str">
            <v>IS_partial_brain</v>
          </cell>
          <cell r="J196" t="str">
            <v>CMED</v>
          </cell>
        </row>
        <row r="197">
          <cell r="A197" t="str">
            <v>IS_partial_brain</v>
          </cell>
          <cell r="J197" t="str">
            <v>ERUF</v>
          </cell>
        </row>
        <row r="198">
          <cell r="A198" t="str">
            <v>IS_partial_brain</v>
          </cell>
          <cell r="J198" t="str">
            <v>CMED</v>
          </cell>
        </row>
        <row r="199">
          <cell r="A199" t="str">
            <v>IS_partial_brain</v>
          </cell>
          <cell r="J199" t="str">
            <v>CMED</v>
          </cell>
        </row>
        <row r="200">
          <cell r="A200" t="str">
            <v>IS_partial_brain</v>
          </cell>
          <cell r="J200" t="str">
            <v>LCAT</v>
          </cell>
        </row>
        <row r="201">
          <cell r="A201" t="str">
            <v>IS_partial_brain</v>
          </cell>
          <cell r="J201" t="str">
            <v>PCOQ</v>
          </cell>
        </row>
        <row r="202">
          <cell r="A202" t="str">
            <v>IS_partial_brain</v>
          </cell>
          <cell r="J202" t="str">
            <v>LCAT</v>
          </cell>
        </row>
        <row r="203">
          <cell r="A203" t="str">
            <v>IS_partial_brain</v>
          </cell>
          <cell r="J203" t="str">
            <v>LCAT</v>
          </cell>
        </row>
        <row r="204">
          <cell r="A204" t="str">
            <v>IS_whole</v>
          </cell>
          <cell r="J204" t="str">
            <v>PCOQ</v>
          </cell>
        </row>
        <row r="205">
          <cell r="A205" t="str">
            <v>IS_partial_brain</v>
          </cell>
          <cell r="J205" t="str">
            <v>MMUR</v>
          </cell>
        </row>
        <row r="206">
          <cell r="A206" t="str">
            <v>IS_partial_brain</v>
          </cell>
          <cell r="J206" t="str">
            <v>HGG</v>
          </cell>
        </row>
        <row r="207">
          <cell r="A207" t="str">
            <v>IS_partial_brain</v>
          </cell>
          <cell r="J207" t="str">
            <v>MMUR</v>
          </cell>
        </row>
        <row r="208">
          <cell r="A208" t="str">
            <v>IS_whole</v>
          </cell>
          <cell r="J208" t="str">
            <v>CMED</v>
          </cell>
        </row>
        <row r="209">
          <cell r="A209" t="str">
            <v>IS_whole</v>
          </cell>
          <cell r="J209" t="str">
            <v>MMUR</v>
          </cell>
        </row>
        <row r="210">
          <cell r="A210" t="str">
            <v>IS_whole</v>
          </cell>
          <cell r="J210" t="str">
            <v>GMOH</v>
          </cell>
        </row>
        <row r="211">
          <cell r="A211" t="str">
            <v>IS_partial_brain</v>
          </cell>
          <cell r="J211" t="str">
            <v>MMUR</v>
          </cell>
        </row>
        <row r="212">
          <cell r="A212" t="str">
            <v>IS_partial_brain</v>
          </cell>
          <cell r="J212" t="str">
            <v>PCOQ</v>
          </cell>
        </row>
        <row r="213">
          <cell r="J213" t="e">
            <v>#N/A</v>
          </cell>
        </row>
        <row r="214">
          <cell r="J214" t="e">
            <v>#N/A</v>
          </cell>
        </row>
        <row r="215">
          <cell r="J215" t="e">
            <v>#N/A</v>
          </cell>
        </row>
        <row r="216">
          <cell r="J216" t="e">
            <v>#N/A</v>
          </cell>
        </row>
        <row r="217">
          <cell r="J217" t="e">
            <v>#N/A</v>
          </cell>
        </row>
        <row r="218">
          <cell r="J218" t="e">
            <v>#N/A</v>
          </cell>
        </row>
        <row r="219">
          <cell r="J219" t="e">
            <v>#N/A</v>
          </cell>
        </row>
        <row r="220">
          <cell r="J220" t="e">
            <v>#N/A</v>
          </cell>
        </row>
        <row r="221">
          <cell r="J221" t="e">
            <v>#N/A</v>
          </cell>
        </row>
        <row r="222">
          <cell r="J222" t="e">
            <v>#N/A</v>
          </cell>
        </row>
        <row r="223">
          <cell r="J223" t="e">
            <v>#N/A</v>
          </cell>
        </row>
        <row r="224">
          <cell r="J224" t="e">
            <v>#N/A</v>
          </cell>
        </row>
        <row r="225">
          <cell r="J225" t="e">
            <v>#N/A</v>
          </cell>
        </row>
        <row r="226">
          <cell r="J226" t="e">
            <v>#N/A</v>
          </cell>
        </row>
        <row r="227">
          <cell r="J227" t="e">
            <v>#N/A</v>
          </cell>
        </row>
        <row r="228">
          <cell r="J228" t="e">
            <v>#N/A</v>
          </cell>
        </row>
        <row r="229">
          <cell r="J229" t="e">
            <v>#N/A</v>
          </cell>
        </row>
        <row r="230">
          <cell r="J230" t="e">
            <v>#N/A</v>
          </cell>
        </row>
        <row r="231">
          <cell r="J231" t="e">
            <v>#N/A</v>
          </cell>
        </row>
        <row r="232">
          <cell r="J232" t="e">
            <v>#N/A</v>
          </cell>
        </row>
        <row r="233">
          <cell r="J233" t="e">
            <v>#N/A</v>
          </cell>
        </row>
        <row r="234">
          <cell r="J234" t="e">
            <v>#N/A</v>
          </cell>
        </row>
        <row r="235">
          <cell r="J235" t="e">
            <v>#N/A</v>
          </cell>
        </row>
        <row r="236">
          <cell r="J236" t="e">
            <v>#N/A</v>
          </cell>
        </row>
        <row r="237">
          <cell r="J237" t="e">
            <v>#N/A</v>
          </cell>
        </row>
        <row r="238">
          <cell r="J238" t="e">
            <v>#N/A</v>
          </cell>
        </row>
        <row r="239">
          <cell r="J239" t="e">
            <v>#N/A</v>
          </cell>
        </row>
        <row r="240">
          <cell r="J240" t="e">
            <v>#N/A</v>
          </cell>
        </row>
        <row r="241">
          <cell r="J241" t="e">
            <v>#N/A</v>
          </cell>
        </row>
        <row r="242">
          <cell r="J242" t="e">
            <v>#N/A</v>
          </cell>
        </row>
        <row r="243">
          <cell r="J243" t="e">
            <v>#N/A</v>
          </cell>
        </row>
        <row r="244">
          <cell r="J244" t="e">
            <v>#N/A</v>
          </cell>
        </row>
        <row r="245">
          <cell r="J245" t="e">
            <v>#N/A</v>
          </cell>
        </row>
        <row r="246">
          <cell r="J246" t="e">
            <v>#N/A</v>
          </cell>
        </row>
        <row r="247">
          <cell r="J247" t="e">
            <v>#N/A</v>
          </cell>
        </row>
        <row r="248">
          <cell r="J248" t="e">
            <v>#N/A</v>
          </cell>
        </row>
        <row r="249">
          <cell r="J249" t="e">
            <v>#N/A</v>
          </cell>
        </row>
        <row r="250">
          <cell r="J250" t="e">
            <v>#N/A</v>
          </cell>
        </row>
        <row r="251">
          <cell r="J251" t="e">
            <v>#N/A</v>
          </cell>
        </row>
        <row r="252">
          <cell r="J252" t="e">
            <v>#N/A</v>
          </cell>
        </row>
        <row r="253">
          <cell r="J253" t="e">
            <v>#N/A</v>
          </cell>
        </row>
        <row r="254">
          <cell r="J254" t="e">
            <v>#N/A</v>
          </cell>
        </row>
        <row r="255">
          <cell r="J255" t="e">
            <v>#N/A</v>
          </cell>
        </row>
        <row r="256">
          <cell r="J256" t="e">
            <v>#N/A</v>
          </cell>
        </row>
        <row r="257">
          <cell r="J257" t="e">
            <v>#N/A</v>
          </cell>
        </row>
        <row r="258">
          <cell r="J258" t="e">
            <v>#N/A</v>
          </cell>
        </row>
        <row r="259">
          <cell r="J259" t="e">
            <v>#N/A</v>
          </cell>
        </row>
        <row r="260">
          <cell r="J260" t="e">
            <v>#N/A</v>
          </cell>
        </row>
        <row r="261">
          <cell r="J261" t="e">
            <v>#N/A</v>
          </cell>
        </row>
        <row r="262">
          <cell r="J262" t="e">
            <v>#N/A</v>
          </cell>
        </row>
        <row r="263">
          <cell r="J263" t="e">
            <v>#N/A</v>
          </cell>
        </row>
        <row r="264">
          <cell r="J264" t="e">
            <v>#N/A</v>
          </cell>
        </row>
        <row r="265">
          <cell r="J265" t="e">
            <v>#N/A</v>
          </cell>
        </row>
        <row r="266">
          <cell r="J266" t="e">
            <v>#N/A</v>
          </cell>
        </row>
        <row r="267">
          <cell r="J267" t="e">
            <v>#N/A</v>
          </cell>
        </row>
        <row r="268">
          <cell r="J268" t="e">
            <v>#N/A</v>
          </cell>
        </row>
        <row r="269">
          <cell r="J269" t="e">
            <v>#N/A</v>
          </cell>
        </row>
        <row r="270">
          <cell r="J270" t="e">
            <v>#N/A</v>
          </cell>
        </row>
        <row r="271">
          <cell r="J271" t="e">
            <v>#N/A</v>
          </cell>
        </row>
        <row r="272">
          <cell r="J272" t="e">
            <v>#N/A</v>
          </cell>
        </row>
        <row r="273">
          <cell r="J273" t="e">
            <v>#N/A</v>
          </cell>
        </row>
        <row r="274">
          <cell r="J274" t="e">
            <v>#N/A</v>
          </cell>
        </row>
        <row r="275">
          <cell r="J275" t="e">
            <v>#N/A</v>
          </cell>
        </row>
        <row r="276">
          <cell r="J276" t="e">
            <v>#N/A</v>
          </cell>
        </row>
        <row r="277">
          <cell r="J277" t="e">
            <v>#N/A</v>
          </cell>
        </row>
        <row r="278">
          <cell r="J278" t="e">
            <v>#N/A</v>
          </cell>
        </row>
        <row r="279">
          <cell r="J279" t="e">
            <v>#N/A</v>
          </cell>
        </row>
        <row r="280">
          <cell r="J280" t="e">
            <v>#N/A</v>
          </cell>
        </row>
        <row r="281">
          <cell r="J281" t="e">
            <v>#N/A</v>
          </cell>
        </row>
        <row r="282">
          <cell r="J282" t="e">
            <v>#N/A</v>
          </cell>
        </row>
        <row r="283">
          <cell r="J283" t="e">
            <v>#N/A</v>
          </cell>
        </row>
        <row r="284">
          <cell r="J284" t="e">
            <v>#N/A</v>
          </cell>
        </row>
        <row r="285">
          <cell r="J285" t="e">
            <v>#N/A</v>
          </cell>
        </row>
        <row r="286">
          <cell r="J286" t="e">
            <v>#N/A</v>
          </cell>
        </row>
        <row r="287">
          <cell r="J287" t="e">
            <v>#N/A</v>
          </cell>
        </row>
        <row r="288">
          <cell r="J288" t="e">
            <v>#N/A</v>
          </cell>
        </row>
        <row r="289">
          <cell r="J289" t="e">
            <v>#N/A</v>
          </cell>
        </row>
        <row r="290">
          <cell r="J290" t="e">
            <v>#N/A</v>
          </cell>
        </row>
        <row r="291">
          <cell r="J291" t="e">
            <v>#N/A</v>
          </cell>
        </row>
        <row r="292">
          <cell r="J292" t="e">
            <v>#N/A</v>
          </cell>
        </row>
        <row r="293">
          <cell r="J293" t="e">
            <v>#N/A</v>
          </cell>
        </row>
        <row r="294">
          <cell r="J294" t="e">
            <v>#N/A</v>
          </cell>
        </row>
        <row r="295">
          <cell r="J295" t="e">
            <v>#N/A</v>
          </cell>
        </row>
        <row r="296">
          <cell r="J296" t="e">
            <v>#N/A</v>
          </cell>
        </row>
        <row r="297">
          <cell r="J297" t="e">
            <v>#N/A</v>
          </cell>
        </row>
        <row r="298">
          <cell r="J298" t="e">
            <v>#N/A</v>
          </cell>
        </row>
        <row r="299">
          <cell r="J299" t="e">
            <v>#N/A</v>
          </cell>
        </row>
        <row r="300">
          <cell r="J300" t="e">
            <v>#N/A</v>
          </cell>
        </row>
        <row r="301">
          <cell r="J301" t="e">
            <v>#N/A</v>
          </cell>
        </row>
        <row r="302">
          <cell r="J302" t="e">
            <v>#N/A</v>
          </cell>
        </row>
        <row r="303">
          <cell r="J303" t="e">
            <v>#N/A</v>
          </cell>
        </row>
        <row r="304">
          <cell r="J304" t="e">
            <v>#N/A</v>
          </cell>
        </row>
        <row r="305">
          <cell r="J305" t="e">
            <v>#N/A</v>
          </cell>
        </row>
        <row r="306">
          <cell r="J306" t="e">
            <v>#N/A</v>
          </cell>
        </row>
        <row r="307">
          <cell r="J307" t="e">
            <v>#N/A</v>
          </cell>
        </row>
        <row r="308">
          <cell r="J308" t="e">
            <v>#N/A</v>
          </cell>
        </row>
        <row r="309">
          <cell r="J309" t="e">
            <v>#N/A</v>
          </cell>
        </row>
        <row r="310">
          <cell r="J310" t="e">
            <v>#N/A</v>
          </cell>
        </row>
        <row r="311">
          <cell r="J311" t="e">
            <v>#N/A</v>
          </cell>
        </row>
        <row r="312">
          <cell r="J312" t="e">
            <v>#N/A</v>
          </cell>
        </row>
        <row r="313">
          <cell r="J313" t="e">
            <v>#N/A</v>
          </cell>
        </row>
        <row r="314">
          <cell r="J314" t="e">
            <v>#N/A</v>
          </cell>
        </row>
        <row r="315">
          <cell r="J315" t="e">
            <v>#N/A</v>
          </cell>
        </row>
        <row r="316">
          <cell r="J316" t="e">
            <v>#N/A</v>
          </cell>
        </row>
        <row r="317">
          <cell r="J317" t="e">
            <v>#N/A</v>
          </cell>
        </row>
        <row r="318">
          <cell r="J318" t="e">
            <v>#N/A</v>
          </cell>
        </row>
        <row r="319">
          <cell r="J319" t="e">
            <v>#N/A</v>
          </cell>
        </row>
        <row r="320">
          <cell r="J320" t="e">
            <v>#N/A</v>
          </cell>
        </row>
        <row r="321">
          <cell r="J321" t="e">
            <v>#N/A</v>
          </cell>
        </row>
        <row r="322">
          <cell r="J322" t="e">
            <v>#N/A</v>
          </cell>
        </row>
        <row r="323">
          <cell r="J323" t="e">
            <v>#N/A</v>
          </cell>
        </row>
        <row r="324">
          <cell r="J324" t="e">
            <v>#N/A</v>
          </cell>
        </row>
        <row r="325">
          <cell r="J325" t="e">
            <v>#N/A</v>
          </cell>
        </row>
        <row r="326">
          <cell r="J326" t="e">
            <v>#N/A</v>
          </cell>
        </row>
        <row r="327">
          <cell r="J327" t="e">
            <v>#N/A</v>
          </cell>
        </row>
        <row r="328">
          <cell r="J328" t="e">
            <v>#N/A</v>
          </cell>
        </row>
        <row r="329">
          <cell r="J329" t="e">
            <v>#N/A</v>
          </cell>
        </row>
        <row r="330">
          <cell r="J330" t="e">
            <v>#N/A</v>
          </cell>
        </row>
        <row r="331">
          <cell r="J331" t="e">
            <v>#N/A</v>
          </cell>
        </row>
      </sheetData>
      <sheetData sheetId="5">
        <row r="1">
          <cell r="A1" t="str">
            <v>Filter</v>
          </cell>
          <cell r="J1" t="str">
            <v>Species</v>
          </cell>
          <cell r="L1" t="str">
            <v>Sex</v>
          </cell>
          <cell r="AO1" t="str">
            <v>Infant</v>
          </cell>
          <cell r="AQ1" t="str">
            <v>CT Scanned?</v>
          </cell>
        </row>
        <row r="2">
          <cell r="A2" t="str">
            <v>in storage</v>
          </cell>
          <cell r="J2" t="str">
            <v>CMAJ</v>
          </cell>
          <cell r="L2" t="str">
            <v>ND</v>
          </cell>
          <cell r="AO2" t="str">
            <v>N</v>
          </cell>
        </row>
        <row r="3">
          <cell r="A3" t="str">
            <v>gone</v>
          </cell>
          <cell r="J3" t="str">
            <v>EUL</v>
          </cell>
          <cell r="L3" t="str">
            <v>M</v>
          </cell>
          <cell r="AO3" t="str">
            <v>Y</v>
          </cell>
        </row>
        <row r="4">
          <cell r="A4" t="str">
            <v>in storage</v>
          </cell>
          <cell r="J4" t="str">
            <v>CMED</v>
          </cell>
          <cell r="L4" t="str">
            <v>F</v>
          </cell>
          <cell r="AO4" t="str">
            <v>N</v>
          </cell>
          <cell r="AQ4" t="str">
            <v>Y- whole</v>
          </cell>
        </row>
        <row r="5">
          <cell r="A5" t="str">
            <v>gone</v>
          </cell>
          <cell r="J5" t="str">
            <v>VVV</v>
          </cell>
          <cell r="L5" t="str">
            <v>M</v>
          </cell>
          <cell r="AO5" t="str">
            <v>Y</v>
          </cell>
        </row>
        <row r="6">
          <cell r="A6" t="str">
            <v>in storage</v>
          </cell>
          <cell r="J6" t="str">
            <v>CMED</v>
          </cell>
          <cell r="L6" t="str">
            <v>M</v>
          </cell>
          <cell r="AO6" t="str">
            <v>Y</v>
          </cell>
        </row>
        <row r="7">
          <cell r="A7" t="str">
            <v>in storage</v>
          </cell>
          <cell r="J7" t="str">
            <v>CMED</v>
          </cell>
          <cell r="L7" t="str">
            <v>M</v>
          </cell>
          <cell r="AO7" t="str">
            <v>Y</v>
          </cell>
        </row>
        <row r="8">
          <cell r="A8" t="str">
            <v>gone</v>
          </cell>
          <cell r="J8" t="str">
            <v>GMOH</v>
          </cell>
          <cell r="L8" t="str">
            <v>F</v>
          </cell>
          <cell r="AO8" t="str">
            <v>N</v>
          </cell>
        </row>
        <row r="9">
          <cell r="A9" t="str">
            <v>in storage</v>
          </cell>
          <cell r="J9" t="str">
            <v>CMED</v>
          </cell>
          <cell r="L9" t="str">
            <v>M</v>
          </cell>
          <cell r="AO9" t="str">
            <v>N</v>
          </cell>
          <cell r="AQ9" t="str">
            <v>Y- whole</v>
          </cell>
        </row>
        <row r="10">
          <cell r="A10" t="str">
            <v>in storage</v>
          </cell>
          <cell r="J10" t="str">
            <v>CMED</v>
          </cell>
          <cell r="L10" t="str">
            <v>M</v>
          </cell>
          <cell r="AO10" t="str">
            <v>Y</v>
          </cell>
        </row>
        <row r="11">
          <cell r="A11" t="str">
            <v>in storage</v>
          </cell>
          <cell r="J11" t="str">
            <v>CMED</v>
          </cell>
          <cell r="L11" t="str">
            <v>F</v>
          </cell>
          <cell r="AO11" t="str">
            <v>Y</v>
          </cell>
        </row>
        <row r="12">
          <cell r="A12" t="str">
            <v>in storage</v>
          </cell>
          <cell r="J12" t="str">
            <v>CMED</v>
          </cell>
          <cell r="L12" t="str">
            <v>F</v>
          </cell>
          <cell r="AO12" t="str">
            <v>N</v>
          </cell>
          <cell r="AQ12" t="str">
            <v>Y- whole</v>
          </cell>
        </row>
        <row r="13">
          <cell r="A13" t="str">
            <v>in storage</v>
          </cell>
          <cell r="J13" t="str">
            <v>CMED</v>
          </cell>
          <cell r="L13" t="str">
            <v>F</v>
          </cell>
          <cell r="AO13" t="str">
            <v>N</v>
          </cell>
          <cell r="AQ13" t="str">
            <v>Y- whole</v>
          </cell>
        </row>
        <row r="14">
          <cell r="A14" t="str">
            <v>in storage</v>
          </cell>
          <cell r="J14" t="str">
            <v>CMED</v>
          </cell>
          <cell r="L14" t="str">
            <v>M</v>
          </cell>
          <cell r="AO14" t="str">
            <v>N</v>
          </cell>
          <cell r="AQ14" t="str">
            <v>Y- whole</v>
          </cell>
        </row>
        <row r="15">
          <cell r="A15" t="str">
            <v>in storage</v>
          </cell>
          <cell r="J15" t="str">
            <v>CMED</v>
          </cell>
          <cell r="L15" t="str">
            <v>M</v>
          </cell>
          <cell r="AO15" t="str">
            <v>N</v>
          </cell>
          <cell r="AQ15" t="str">
            <v>Y- whole</v>
          </cell>
        </row>
        <row r="16">
          <cell r="A16" t="str">
            <v>gone</v>
          </cell>
          <cell r="J16" t="str">
            <v>CMED</v>
          </cell>
          <cell r="L16" t="str">
            <v>F</v>
          </cell>
          <cell r="AO16" t="str">
            <v>N</v>
          </cell>
          <cell r="AQ16" t="str">
            <v>Y- whole</v>
          </cell>
        </row>
        <row r="17">
          <cell r="A17" t="str">
            <v>in storage</v>
          </cell>
          <cell r="J17" t="str">
            <v>CMED</v>
          </cell>
          <cell r="L17" t="str">
            <v>M</v>
          </cell>
          <cell r="AO17" t="str">
            <v>N</v>
          </cell>
        </row>
        <row r="18">
          <cell r="A18" t="str">
            <v>unk</v>
          </cell>
          <cell r="J18" t="str">
            <v>GMOH</v>
          </cell>
          <cell r="L18" t="str">
            <v>M</v>
          </cell>
          <cell r="AO18" t="str">
            <v>N</v>
          </cell>
        </row>
        <row r="19">
          <cell r="A19" t="str">
            <v>gone</v>
          </cell>
          <cell r="J19" t="str">
            <v>OMON</v>
          </cell>
          <cell r="L19" t="str">
            <v>F</v>
          </cell>
          <cell r="AO19" t="str">
            <v>Y</v>
          </cell>
        </row>
        <row r="20">
          <cell r="A20" t="str">
            <v>in storage</v>
          </cell>
          <cell r="J20" t="str">
            <v>CMED</v>
          </cell>
          <cell r="L20" t="str">
            <v>M</v>
          </cell>
          <cell r="AO20" t="str">
            <v>N</v>
          </cell>
        </row>
        <row r="21">
          <cell r="A21" t="str">
            <v>ARK</v>
          </cell>
          <cell r="J21" t="str">
            <v>OGG</v>
          </cell>
          <cell r="L21" t="str">
            <v>M</v>
          </cell>
          <cell r="AO21" t="str">
            <v>Y</v>
          </cell>
          <cell r="AQ21" t="str">
            <v>Y- whole</v>
          </cell>
        </row>
        <row r="22">
          <cell r="A22" t="str">
            <v>in storage</v>
          </cell>
          <cell r="J22" t="str">
            <v>CMED</v>
          </cell>
          <cell r="L22" t="str">
            <v>ND</v>
          </cell>
          <cell r="AO22" t="str">
            <v>Y</v>
          </cell>
        </row>
        <row r="23">
          <cell r="A23" t="str">
            <v>in storage</v>
          </cell>
          <cell r="J23" t="str">
            <v>CMED</v>
          </cell>
          <cell r="L23" t="str">
            <v>M</v>
          </cell>
          <cell r="AO23" t="str">
            <v>N</v>
          </cell>
        </row>
        <row r="24">
          <cell r="A24" t="str">
            <v>ARK</v>
          </cell>
          <cell r="J24" t="str">
            <v>OGG</v>
          </cell>
          <cell r="L24" t="str">
            <v>F</v>
          </cell>
          <cell r="AO24" t="str">
            <v>N</v>
          </cell>
        </row>
        <row r="25">
          <cell r="A25" t="str">
            <v>missing</v>
          </cell>
          <cell r="J25" t="str">
            <v>VRUB</v>
          </cell>
          <cell r="L25" t="str">
            <v>M</v>
          </cell>
          <cell r="AO25" t="str">
            <v>Y</v>
          </cell>
        </row>
        <row r="26">
          <cell r="A26" t="str">
            <v>gone</v>
          </cell>
          <cell r="J26" t="str">
            <v>ECOR</v>
          </cell>
          <cell r="L26" t="str">
            <v>M</v>
          </cell>
          <cell r="AO26" t="str">
            <v>N</v>
          </cell>
        </row>
        <row r="27">
          <cell r="A27" t="str">
            <v>gone</v>
          </cell>
          <cell r="J27" t="str">
            <v>DMAD</v>
          </cell>
          <cell r="L27" t="str">
            <v>F</v>
          </cell>
        </row>
        <row r="28">
          <cell r="A28" t="str">
            <v>in storage</v>
          </cell>
          <cell r="J28" t="str">
            <v>CMED</v>
          </cell>
          <cell r="L28" t="str">
            <v>M</v>
          </cell>
          <cell r="AO28" t="str">
            <v>Y</v>
          </cell>
        </row>
        <row r="29">
          <cell r="A29" t="str">
            <v>in storage</v>
          </cell>
          <cell r="J29" t="str">
            <v>CMED</v>
          </cell>
          <cell r="L29" t="str">
            <v>F</v>
          </cell>
          <cell r="AO29" t="str">
            <v>N</v>
          </cell>
        </row>
        <row r="30">
          <cell r="A30" t="str">
            <v>in storage</v>
          </cell>
          <cell r="J30" t="str">
            <v>CMED</v>
          </cell>
          <cell r="L30" t="str">
            <v>F</v>
          </cell>
          <cell r="AO30" t="str">
            <v>N</v>
          </cell>
        </row>
        <row r="31">
          <cell r="A31" t="str">
            <v>gone</v>
          </cell>
          <cell r="J31" t="str">
            <v>GMOH</v>
          </cell>
          <cell r="L31" t="str">
            <v>F</v>
          </cell>
          <cell r="AO31" t="str">
            <v>N</v>
          </cell>
        </row>
        <row r="32">
          <cell r="A32" t="str">
            <v>in storage</v>
          </cell>
          <cell r="J32" t="str">
            <v>CMED</v>
          </cell>
          <cell r="L32" t="str">
            <v>M</v>
          </cell>
          <cell r="AO32" t="str">
            <v>Y</v>
          </cell>
        </row>
        <row r="33">
          <cell r="A33" t="str">
            <v>gone</v>
          </cell>
          <cell r="J33" t="str">
            <v>NCOU</v>
          </cell>
          <cell r="L33" t="str">
            <v>M</v>
          </cell>
          <cell r="AO33" t="str">
            <v>N</v>
          </cell>
        </row>
        <row r="34">
          <cell r="A34" t="str">
            <v>ARK</v>
          </cell>
          <cell r="J34" t="str">
            <v>ERUB</v>
          </cell>
          <cell r="L34" t="str">
            <v>M</v>
          </cell>
          <cell r="AO34" t="str">
            <v>N</v>
          </cell>
          <cell r="AQ34" t="str">
            <v>Y- whole</v>
          </cell>
        </row>
        <row r="35">
          <cell r="A35" t="str">
            <v>in storage</v>
          </cell>
          <cell r="J35" t="str">
            <v>CMED</v>
          </cell>
          <cell r="L35" t="str">
            <v>F</v>
          </cell>
          <cell r="AO35" t="str">
            <v>N</v>
          </cell>
          <cell r="AQ35" t="str">
            <v>Y- whole</v>
          </cell>
        </row>
        <row r="36">
          <cell r="A36" t="str">
            <v>in storage</v>
          </cell>
          <cell r="J36" t="str">
            <v>CMED</v>
          </cell>
          <cell r="L36" t="str">
            <v>F</v>
          </cell>
          <cell r="AO36" t="str">
            <v>Y</v>
          </cell>
        </row>
        <row r="37">
          <cell r="A37" t="str">
            <v>gone</v>
          </cell>
          <cell r="J37" t="str">
            <v>MZAZ</v>
          </cell>
          <cell r="L37" t="str">
            <v>F</v>
          </cell>
          <cell r="AO37" t="str">
            <v>N</v>
          </cell>
        </row>
        <row r="38">
          <cell r="A38" t="str">
            <v>gone</v>
          </cell>
          <cell r="J38" t="str">
            <v>PCOQ</v>
          </cell>
          <cell r="L38" t="str">
            <v>M</v>
          </cell>
          <cell r="AO38" t="str">
            <v>N</v>
          </cell>
        </row>
        <row r="39">
          <cell r="A39" t="str">
            <v>gone</v>
          </cell>
          <cell r="J39" t="str">
            <v>LCAT</v>
          </cell>
          <cell r="L39" t="str">
            <v>F</v>
          </cell>
          <cell r="AO39" t="str">
            <v>N</v>
          </cell>
        </row>
        <row r="40">
          <cell r="A40" t="str">
            <v>ARK</v>
          </cell>
          <cell r="J40" t="str">
            <v>MMUR</v>
          </cell>
          <cell r="L40" t="str">
            <v>M</v>
          </cell>
          <cell r="AO40" t="str">
            <v>N</v>
          </cell>
          <cell r="AQ40" t="str">
            <v>Y- whole</v>
          </cell>
        </row>
        <row r="41">
          <cell r="A41" t="str">
            <v>in storage</v>
          </cell>
          <cell r="J41" t="str">
            <v>CMED</v>
          </cell>
          <cell r="L41" t="str">
            <v>F</v>
          </cell>
          <cell r="AO41" t="str">
            <v>N</v>
          </cell>
        </row>
        <row r="42">
          <cell r="A42" t="str">
            <v>gone</v>
          </cell>
          <cell r="J42" t="str">
            <v>PCOQ</v>
          </cell>
          <cell r="L42" t="str">
            <v>M</v>
          </cell>
          <cell r="AO42" t="str">
            <v>Y</v>
          </cell>
        </row>
        <row r="43">
          <cell r="A43" t="str">
            <v>gone</v>
          </cell>
          <cell r="J43" t="str">
            <v>VRUB</v>
          </cell>
          <cell r="L43" t="str">
            <v>M</v>
          </cell>
          <cell r="AO43" t="str">
            <v>N</v>
          </cell>
        </row>
        <row r="44">
          <cell r="A44" t="str">
            <v>gone</v>
          </cell>
          <cell r="J44" t="str">
            <v>LCAT</v>
          </cell>
          <cell r="L44" t="str">
            <v>M</v>
          </cell>
          <cell r="AO44" t="str">
            <v>Y</v>
          </cell>
        </row>
        <row r="45">
          <cell r="A45" t="str">
            <v>gone</v>
          </cell>
          <cell r="J45" t="str">
            <v>DMAD</v>
          </cell>
          <cell r="L45" t="str">
            <v>F</v>
          </cell>
          <cell r="AO45" t="str">
            <v>N</v>
          </cell>
          <cell r="AQ45" t="str">
            <v>Y- whole</v>
          </cell>
        </row>
        <row r="46">
          <cell r="A46" t="str">
            <v>gone</v>
          </cell>
          <cell r="J46" t="str">
            <v>DMAD</v>
          </cell>
          <cell r="L46" t="str">
            <v>M</v>
          </cell>
          <cell r="AQ46" t="str">
            <v>Y- whole</v>
          </cell>
        </row>
        <row r="47">
          <cell r="A47" t="str">
            <v>gone</v>
          </cell>
          <cell r="J47" t="str">
            <v>MZAZ</v>
          </cell>
          <cell r="L47" t="str">
            <v>M</v>
          </cell>
          <cell r="AO47" t="str">
            <v>N</v>
          </cell>
        </row>
        <row r="48">
          <cell r="A48" t="str">
            <v>in storage</v>
          </cell>
          <cell r="J48" t="str">
            <v>DMAD</v>
          </cell>
          <cell r="L48" t="str">
            <v>M</v>
          </cell>
          <cell r="AO48" t="str">
            <v>N</v>
          </cell>
          <cell r="AQ48" t="str">
            <v>Y- whole</v>
          </cell>
        </row>
        <row r="49">
          <cell r="A49" t="str">
            <v>ARK</v>
          </cell>
          <cell r="J49" t="str">
            <v>DMAD</v>
          </cell>
          <cell r="L49" t="str">
            <v>M</v>
          </cell>
          <cell r="AO49" t="str">
            <v>N</v>
          </cell>
          <cell r="AQ49" t="str">
            <v>Y- whole</v>
          </cell>
        </row>
        <row r="50">
          <cell r="A50" t="str">
            <v>gone</v>
          </cell>
          <cell r="J50" t="str">
            <v>DMAD</v>
          </cell>
          <cell r="L50" t="str">
            <v>F</v>
          </cell>
          <cell r="AO50" t="str">
            <v>N</v>
          </cell>
          <cell r="AQ50" t="str">
            <v>Y- feet, hands, cranium</v>
          </cell>
        </row>
        <row r="51">
          <cell r="A51" t="str">
            <v>ARK</v>
          </cell>
          <cell r="J51" t="str">
            <v>PDIA</v>
          </cell>
          <cell r="L51" t="str">
            <v>F</v>
          </cell>
          <cell r="AO51" t="str">
            <v>N</v>
          </cell>
        </row>
        <row r="52">
          <cell r="A52" t="str">
            <v>ARK</v>
          </cell>
          <cell r="J52" t="str">
            <v>CMAJ</v>
          </cell>
          <cell r="L52" t="str">
            <v>F</v>
          </cell>
          <cell r="AO52" t="str">
            <v>N</v>
          </cell>
          <cell r="AQ52" t="str">
            <v>Y- whole</v>
          </cell>
        </row>
        <row r="53">
          <cell r="A53" t="str">
            <v>gone</v>
          </cell>
          <cell r="J53" t="str">
            <v>DMAD</v>
          </cell>
          <cell r="L53" t="str">
            <v>M</v>
          </cell>
          <cell r="AQ53" t="str">
            <v>Y- feet, hands, cranium</v>
          </cell>
        </row>
        <row r="54">
          <cell r="A54" t="str">
            <v>gone</v>
          </cell>
          <cell r="J54" t="str">
            <v>HGG</v>
          </cell>
          <cell r="L54" t="str">
            <v>F</v>
          </cell>
          <cell r="AO54" t="str">
            <v>N</v>
          </cell>
        </row>
        <row r="55">
          <cell r="A55" t="str">
            <v>gone</v>
          </cell>
          <cell r="J55" t="str">
            <v>ECOR</v>
          </cell>
          <cell r="L55" t="str">
            <v>M</v>
          </cell>
          <cell r="AO55" t="str">
            <v>N</v>
          </cell>
        </row>
        <row r="56">
          <cell r="A56" t="str">
            <v>in storage</v>
          </cell>
          <cell r="J56" t="str">
            <v>ECOL</v>
          </cell>
          <cell r="L56" t="str">
            <v>F</v>
          </cell>
          <cell r="AO56" t="str">
            <v>N</v>
          </cell>
        </row>
        <row r="57">
          <cell r="A57" t="str">
            <v>ARK</v>
          </cell>
          <cell r="J57" t="str">
            <v>DMAD</v>
          </cell>
          <cell r="L57" t="str">
            <v>F</v>
          </cell>
          <cell r="AO57" t="str">
            <v>N</v>
          </cell>
          <cell r="AQ57" t="str">
            <v>Y- whole</v>
          </cell>
        </row>
        <row r="58">
          <cell r="A58" t="str">
            <v>ARK</v>
          </cell>
          <cell r="J58" t="str">
            <v>HGG</v>
          </cell>
          <cell r="L58" t="str">
            <v>F</v>
          </cell>
          <cell r="AO58" t="str">
            <v>N</v>
          </cell>
          <cell r="AQ58" t="str">
            <v>Y- whole</v>
          </cell>
        </row>
        <row r="59">
          <cell r="A59" t="str">
            <v>gone</v>
          </cell>
          <cell r="J59" t="str">
            <v>CMED</v>
          </cell>
          <cell r="L59" t="str">
            <v>M</v>
          </cell>
          <cell r="AO59" t="str">
            <v>N</v>
          </cell>
        </row>
        <row r="60">
          <cell r="A60" t="str">
            <v>ARK</v>
          </cell>
          <cell r="J60" t="str">
            <v>PTAT</v>
          </cell>
          <cell r="L60" t="str">
            <v>F</v>
          </cell>
          <cell r="AO60" t="str">
            <v>N</v>
          </cell>
        </row>
        <row r="61">
          <cell r="A61" t="str">
            <v>gone</v>
          </cell>
          <cell r="J61" t="str">
            <v>PCOQ</v>
          </cell>
          <cell r="L61" t="str">
            <v>M</v>
          </cell>
          <cell r="AO61" t="str">
            <v>N</v>
          </cell>
        </row>
        <row r="62">
          <cell r="A62" t="str">
            <v>in storage</v>
          </cell>
          <cell r="J62" t="str">
            <v>DMAD</v>
          </cell>
          <cell r="L62" t="str">
            <v>M</v>
          </cell>
          <cell r="AO62" t="str">
            <v>N</v>
          </cell>
          <cell r="AQ62" t="str">
            <v>Y- whole</v>
          </cell>
        </row>
        <row r="63">
          <cell r="A63" t="str">
            <v>ARK</v>
          </cell>
          <cell r="J63" t="str">
            <v>DMAD</v>
          </cell>
          <cell r="L63" t="str">
            <v>F</v>
          </cell>
          <cell r="AO63" t="str">
            <v>N</v>
          </cell>
          <cell r="AQ63" t="str">
            <v>Y- whole</v>
          </cell>
        </row>
        <row r="64">
          <cell r="A64" t="str">
            <v>gone</v>
          </cell>
          <cell r="J64" t="str">
            <v>PCOQ</v>
          </cell>
          <cell r="L64" t="str">
            <v>F</v>
          </cell>
          <cell r="AO64" t="str">
            <v>N</v>
          </cell>
        </row>
        <row r="65">
          <cell r="A65" t="str">
            <v>gone</v>
          </cell>
          <cell r="J65" t="str">
            <v>HGG</v>
          </cell>
          <cell r="L65" t="str">
            <v>F</v>
          </cell>
          <cell r="AO65" t="str">
            <v>N</v>
          </cell>
        </row>
        <row r="66">
          <cell r="A66" t="str">
            <v>ARK</v>
          </cell>
          <cell r="J66" t="str">
            <v>LTAR</v>
          </cell>
          <cell r="L66" t="str">
            <v>F</v>
          </cell>
          <cell r="AO66" t="str">
            <v>N</v>
          </cell>
          <cell r="AQ66" t="str">
            <v>Y- whole</v>
          </cell>
        </row>
        <row r="67">
          <cell r="A67" t="str">
            <v>ARK</v>
          </cell>
          <cell r="J67" t="str">
            <v>ECOR</v>
          </cell>
          <cell r="L67" t="str">
            <v>F</v>
          </cell>
          <cell r="AO67" t="str">
            <v>N</v>
          </cell>
          <cell r="AQ67" t="str">
            <v>Y- whole</v>
          </cell>
        </row>
        <row r="68">
          <cell r="A68" t="str">
            <v>in storage</v>
          </cell>
          <cell r="J68" t="str">
            <v>ECOL</v>
          </cell>
          <cell r="L68" t="str">
            <v>M</v>
          </cell>
          <cell r="AO68" t="str">
            <v>N</v>
          </cell>
        </row>
        <row r="69">
          <cell r="A69" t="str">
            <v>gone</v>
          </cell>
          <cell r="J69" t="str">
            <v>EFLA</v>
          </cell>
          <cell r="L69" t="str">
            <v>F</v>
          </cell>
          <cell r="AO69" t="str">
            <v>Y</v>
          </cell>
        </row>
        <row r="70">
          <cell r="A70" t="str">
            <v>in storage</v>
          </cell>
          <cell r="J70" t="str">
            <v>ECOL</v>
          </cell>
          <cell r="L70" t="str">
            <v>F</v>
          </cell>
          <cell r="AO70" t="str">
            <v>N</v>
          </cell>
        </row>
        <row r="71">
          <cell r="A71" t="str">
            <v>gone</v>
          </cell>
          <cell r="J71" t="str">
            <v>LCAT</v>
          </cell>
          <cell r="L71" t="str">
            <v>ND</v>
          </cell>
          <cell r="AO71" t="str">
            <v>Y</v>
          </cell>
        </row>
        <row r="72">
          <cell r="A72" t="str">
            <v>in storage</v>
          </cell>
          <cell r="J72" t="str">
            <v>EALB</v>
          </cell>
          <cell r="L72" t="str">
            <v>F</v>
          </cell>
          <cell r="AO72" t="str">
            <v>N</v>
          </cell>
          <cell r="AQ72" t="str">
            <v>Y- whole</v>
          </cell>
        </row>
        <row r="73">
          <cell r="A73" t="str">
            <v>gone</v>
          </cell>
          <cell r="J73" t="str">
            <v>PCOQ</v>
          </cell>
          <cell r="L73" t="str">
            <v>M</v>
          </cell>
          <cell r="AO73" t="str">
            <v>Y</v>
          </cell>
        </row>
        <row r="74">
          <cell r="A74" t="str">
            <v>in storage</v>
          </cell>
          <cell r="J74" t="str">
            <v>ECOL</v>
          </cell>
          <cell r="L74" t="str">
            <v>ND</v>
          </cell>
          <cell r="AO74" t="str">
            <v>Y</v>
          </cell>
        </row>
        <row r="75">
          <cell r="A75" t="str">
            <v>in storage</v>
          </cell>
          <cell r="J75" t="str">
            <v>ECOL</v>
          </cell>
          <cell r="L75" t="str">
            <v>F</v>
          </cell>
          <cell r="AO75" t="str">
            <v>Y</v>
          </cell>
        </row>
        <row r="76">
          <cell r="A76" t="str">
            <v>gone</v>
          </cell>
          <cell r="J76" t="str">
            <v>ECOR</v>
          </cell>
          <cell r="L76" t="str">
            <v>M</v>
          </cell>
          <cell r="AO76" t="str">
            <v>Y</v>
          </cell>
        </row>
        <row r="77">
          <cell r="A77" t="str">
            <v>ARK</v>
          </cell>
          <cell r="J77" t="str">
            <v>HGG</v>
          </cell>
          <cell r="L77" t="str">
            <v>M</v>
          </cell>
          <cell r="AO77" t="str">
            <v>N</v>
          </cell>
          <cell r="AQ77" t="str">
            <v>Y- whole</v>
          </cell>
        </row>
        <row r="78">
          <cell r="A78" t="str">
            <v>gone</v>
          </cell>
          <cell r="J78" t="str">
            <v>MMUR</v>
          </cell>
          <cell r="L78" t="str">
            <v>F</v>
          </cell>
          <cell r="AO78" t="str">
            <v>N</v>
          </cell>
        </row>
        <row r="79">
          <cell r="A79" t="str">
            <v>gone</v>
          </cell>
          <cell r="J79" t="str">
            <v>LCAT</v>
          </cell>
          <cell r="L79" t="str">
            <v>F</v>
          </cell>
          <cell r="AO79" t="str">
            <v>N</v>
          </cell>
        </row>
        <row r="80">
          <cell r="A80" t="str">
            <v>ARK</v>
          </cell>
          <cell r="J80" t="str">
            <v>EMAC</v>
          </cell>
          <cell r="L80" t="str">
            <v>F</v>
          </cell>
          <cell r="AO80" t="str">
            <v>N</v>
          </cell>
        </row>
        <row r="81">
          <cell r="A81" t="str">
            <v>in storage</v>
          </cell>
          <cell r="J81" t="str">
            <v>ECOL</v>
          </cell>
          <cell r="L81" t="str">
            <v>F</v>
          </cell>
          <cell r="AO81" t="str">
            <v>Y</v>
          </cell>
        </row>
        <row r="82">
          <cell r="A82" t="str">
            <v>in storage</v>
          </cell>
          <cell r="J82" t="str">
            <v>ECOL</v>
          </cell>
          <cell r="L82" t="str">
            <v>M</v>
          </cell>
          <cell r="AO82" t="str">
            <v>Y</v>
          </cell>
        </row>
        <row r="83">
          <cell r="A83" t="str">
            <v>in storage</v>
          </cell>
          <cell r="J83" t="str">
            <v>ECOL</v>
          </cell>
          <cell r="L83" t="str">
            <v>M</v>
          </cell>
          <cell r="AO83" t="str">
            <v>Y</v>
          </cell>
        </row>
        <row r="84">
          <cell r="A84" t="str">
            <v>in storage</v>
          </cell>
          <cell r="J84" t="str">
            <v>ECOL</v>
          </cell>
          <cell r="L84" t="str">
            <v>F</v>
          </cell>
          <cell r="AO84" t="str">
            <v>N</v>
          </cell>
          <cell r="AQ84" t="str">
            <v>Y- whole</v>
          </cell>
        </row>
        <row r="85">
          <cell r="A85" t="str">
            <v>gone</v>
          </cell>
          <cell r="J85" t="str">
            <v>DMAD</v>
          </cell>
          <cell r="L85" t="str">
            <v>M</v>
          </cell>
        </row>
        <row r="86">
          <cell r="A86" t="str">
            <v>gone</v>
          </cell>
          <cell r="J86" t="str">
            <v>NPYG</v>
          </cell>
          <cell r="L86" t="str">
            <v>M</v>
          </cell>
          <cell r="AO86" t="str">
            <v>N</v>
          </cell>
        </row>
        <row r="87">
          <cell r="A87" t="str">
            <v>gone</v>
          </cell>
          <cell r="J87" t="str">
            <v>HGG</v>
          </cell>
          <cell r="L87" t="str">
            <v>F</v>
          </cell>
          <cell r="AO87" t="str">
            <v>Y</v>
          </cell>
        </row>
        <row r="88">
          <cell r="A88" t="str">
            <v>in storage</v>
          </cell>
          <cell r="J88" t="str">
            <v>ECOR</v>
          </cell>
          <cell r="L88" t="str">
            <v>M</v>
          </cell>
          <cell r="AO88" t="str">
            <v>Y</v>
          </cell>
        </row>
        <row r="89">
          <cell r="A89" t="str">
            <v>in storage</v>
          </cell>
          <cell r="J89" t="str">
            <v>ECOR</v>
          </cell>
          <cell r="L89" t="str">
            <v>F</v>
          </cell>
          <cell r="AO89" t="str">
            <v>Y</v>
          </cell>
        </row>
        <row r="90">
          <cell r="A90" t="str">
            <v>ARK</v>
          </cell>
          <cell r="J90" t="str">
            <v>PPOT</v>
          </cell>
          <cell r="L90" t="str">
            <v>M</v>
          </cell>
          <cell r="AO90" t="str">
            <v>N</v>
          </cell>
          <cell r="AQ90" t="str">
            <v>Y- whole</v>
          </cell>
        </row>
        <row r="91">
          <cell r="A91" t="str">
            <v>ARK</v>
          </cell>
          <cell r="J91" t="str">
            <v>LCAT</v>
          </cell>
          <cell r="L91" t="str">
            <v>F</v>
          </cell>
          <cell r="AO91" t="str">
            <v>N</v>
          </cell>
        </row>
        <row r="92">
          <cell r="A92" t="str">
            <v>in storage</v>
          </cell>
          <cell r="J92" t="str">
            <v>ECOR</v>
          </cell>
          <cell r="L92" t="str">
            <v>M</v>
          </cell>
          <cell r="AO92" t="str">
            <v>Y</v>
          </cell>
        </row>
        <row r="93">
          <cell r="A93" t="str">
            <v>gone</v>
          </cell>
          <cell r="J93" t="str">
            <v>MZAZ</v>
          </cell>
          <cell r="L93" t="str">
            <v>F</v>
          </cell>
          <cell r="AO93" t="str">
            <v>N</v>
          </cell>
        </row>
        <row r="94">
          <cell r="A94" t="str">
            <v>gone</v>
          </cell>
          <cell r="J94" t="str">
            <v>CMED</v>
          </cell>
          <cell r="L94" t="str">
            <v>F</v>
          </cell>
          <cell r="AO94" t="str">
            <v>N</v>
          </cell>
        </row>
        <row r="95">
          <cell r="A95" t="str">
            <v>gone</v>
          </cell>
          <cell r="J95" t="str">
            <v>EFLA</v>
          </cell>
          <cell r="L95" t="str">
            <v>M</v>
          </cell>
          <cell r="AO95" t="str">
            <v>N</v>
          </cell>
        </row>
        <row r="96">
          <cell r="A96" t="str">
            <v>in storage</v>
          </cell>
          <cell r="J96" t="str">
            <v>ECOR</v>
          </cell>
          <cell r="L96" t="str">
            <v>M</v>
          </cell>
          <cell r="AO96" t="str">
            <v>Y</v>
          </cell>
        </row>
        <row r="97">
          <cell r="A97" t="str">
            <v>in storage</v>
          </cell>
          <cell r="J97" t="str">
            <v>ECOL</v>
          </cell>
          <cell r="L97" t="str">
            <v>M</v>
          </cell>
          <cell r="AO97" t="str">
            <v>N</v>
          </cell>
          <cell r="AQ97" t="str">
            <v>Y- whole</v>
          </cell>
        </row>
        <row r="98">
          <cell r="A98" t="str">
            <v>gone</v>
          </cell>
          <cell r="J98" t="str">
            <v>PCOQ</v>
          </cell>
          <cell r="L98" t="str">
            <v>F</v>
          </cell>
          <cell r="AO98" t="str">
            <v>N</v>
          </cell>
        </row>
        <row r="99">
          <cell r="A99" t="str">
            <v>gone</v>
          </cell>
          <cell r="J99" t="str">
            <v>VVV</v>
          </cell>
          <cell r="L99" t="str">
            <v>M</v>
          </cell>
          <cell r="AO99" t="str">
            <v>N</v>
          </cell>
        </row>
        <row r="100">
          <cell r="A100" t="str">
            <v>in storage</v>
          </cell>
          <cell r="J100" t="str">
            <v>ECOL</v>
          </cell>
          <cell r="L100" t="str">
            <v>M</v>
          </cell>
          <cell r="AO100" t="str">
            <v>N</v>
          </cell>
          <cell r="AQ100" t="str">
            <v>Y- whole</v>
          </cell>
        </row>
        <row r="101">
          <cell r="A101" t="str">
            <v>gone</v>
          </cell>
          <cell r="J101" t="str">
            <v>DMAD</v>
          </cell>
          <cell r="L101" t="str">
            <v>M</v>
          </cell>
          <cell r="AO101" t="str">
            <v>Y</v>
          </cell>
        </row>
        <row r="102">
          <cell r="A102" t="str">
            <v>in storage</v>
          </cell>
          <cell r="J102" t="str">
            <v>ECOL</v>
          </cell>
          <cell r="L102" t="str">
            <v>F</v>
          </cell>
          <cell r="AO102" t="str">
            <v>N</v>
          </cell>
          <cell r="AQ102" t="str">
            <v>Y- whole</v>
          </cell>
        </row>
        <row r="103">
          <cell r="A103" t="str">
            <v>gone</v>
          </cell>
          <cell r="J103" t="str">
            <v>VVV</v>
          </cell>
          <cell r="L103" t="str">
            <v>M</v>
          </cell>
          <cell r="AO103" t="str">
            <v>N</v>
          </cell>
        </row>
        <row r="104">
          <cell r="A104" t="str">
            <v>in storage</v>
          </cell>
          <cell r="J104" t="str">
            <v>ECOL</v>
          </cell>
          <cell r="L104" t="str">
            <v>M</v>
          </cell>
          <cell r="AO104" t="str">
            <v>N</v>
          </cell>
          <cell r="AQ104" t="str">
            <v>Y- whole</v>
          </cell>
        </row>
        <row r="105">
          <cell r="A105" t="str">
            <v>in storage</v>
          </cell>
          <cell r="J105" t="str">
            <v>ECOR</v>
          </cell>
          <cell r="L105" t="str">
            <v>F</v>
          </cell>
          <cell r="AO105" t="str">
            <v>N</v>
          </cell>
          <cell r="AQ105" t="str">
            <v>Y- whole</v>
          </cell>
        </row>
        <row r="106">
          <cell r="A106" t="str">
            <v>in storage</v>
          </cell>
          <cell r="J106" t="str">
            <v>ECOR</v>
          </cell>
          <cell r="L106" t="str">
            <v>M</v>
          </cell>
          <cell r="AO106" t="str">
            <v>Y</v>
          </cell>
        </row>
        <row r="107">
          <cell r="A107" t="str">
            <v>gone</v>
          </cell>
          <cell r="J107" t="str">
            <v>PCOQ</v>
          </cell>
          <cell r="L107" t="str">
            <v>F</v>
          </cell>
          <cell r="AO107" t="str">
            <v>Y</v>
          </cell>
        </row>
        <row r="108">
          <cell r="A108" t="str">
            <v>in storage</v>
          </cell>
          <cell r="J108" t="str">
            <v>ECOR</v>
          </cell>
          <cell r="L108" t="str">
            <v>F</v>
          </cell>
          <cell r="AO108" t="str">
            <v>Y</v>
          </cell>
        </row>
        <row r="109">
          <cell r="A109" t="str">
            <v>ARK</v>
          </cell>
          <cell r="J109" t="str">
            <v>CMED</v>
          </cell>
          <cell r="L109" t="str">
            <v>M</v>
          </cell>
          <cell r="AO109" t="str">
            <v>N</v>
          </cell>
        </row>
        <row r="110">
          <cell r="A110" t="str">
            <v>in storage</v>
          </cell>
          <cell r="J110" t="str">
            <v>ECOR</v>
          </cell>
          <cell r="L110" t="str">
            <v>M</v>
          </cell>
          <cell r="AO110" t="str">
            <v>Y</v>
          </cell>
        </row>
        <row r="111">
          <cell r="A111" t="str">
            <v>in storage</v>
          </cell>
          <cell r="J111" t="str">
            <v>ECOR</v>
          </cell>
          <cell r="L111" t="str">
            <v>M</v>
          </cell>
          <cell r="AO111" t="str">
            <v>N</v>
          </cell>
          <cell r="AQ111" t="str">
            <v>Y- whole</v>
          </cell>
        </row>
        <row r="112">
          <cell r="A112" t="str">
            <v>gone</v>
          </cell>
          <cell r="J112" t="str">
            <v>PCOQ</v>
          </cell>
          <cell r="L112" t="str">
            <v>M</v>
          </cell>
          <cell r="AO112" t="str">
            <v>N</v>
          </cell>
        </row>
        <row r="113">
          <cell r="A113" t="str">
            <v>in storage</v>
          </cell>
          <cell r="J113" t="str">
            <v>ECOR</v>
          </cell>
          <cell r="L113" t="str">
            <v>F</v>
          </cell>
          <cell r="AO113" t="str">
            <v>N</v>
          </cell>
        </row>
        <row r="114">
          <cell r="A114" t="str">
            <v>gone</v>
          </cell>
          <cell r="J114" t="str">
            <v>PCOQ</v>
          </cell>
          <cell r="L114" t="str">
            <v>M</v>
          </cell>
          <cell r="AO114" t="str">
            <v>N</v>
          </cell>
        </row>
        <row r="115">
          <cell r="A115" t="str">
            <v>gone</v>
          </cell>
          <cell r="J115" t="str">
            <v>LCAT</v>
          </cell>
          <cell r="L115" t="str">
            <v>M</v>
          </cell>
          <cell r="AO115" t="str">
            <v>N</v>
          </cell>
        </row>
        <row r="116">
          <cell r="A116" t="str">
            <v>in storage</v>
          </cell>
          <cell r="J116" t="str">
            <v>ECOR</v>
          </cell>
          <cell r="L116" t="str">
            <v>F</v>
          </cell>
          <cell r="AO116" t="str">
            <v>N</v>
          </cell>
          <cell r="AQ116" t="str">
            <v>Y- whole</v>
          </cell>
        </row>
        <row r="117">
          <cell r="A117" t="str">
            <v>in storage</v>
          </cell>
          <cell r="J117" t="str">
            <v>ECOR</v>
          </cell>
          <cell r="L117" t="str">
            <v>F</v>
          </cell>
          <cell r="AO117" t="str">
            <v>Y</v>
          </cell>
        </row>
        <row r="118">
          <cell r="A118" t="str">
            <v>in storage</v>
          </cell>
          <cell r="J118" t="str">
            <v>EFLA</v>
          </cell>
          <cell r="L118" t="str">
            <v>M</v>
          </cell>
          <cell r="AO118" t="str">
            <v>N</v>
          </cell>
        </row>
        <row r="119">
          <cell r="A119" t="str">
            <v>ARK</v>
          </cell>
          <cell r="J119" t="str">
            <v>ESAN</v>
          </cell>
          <cell r="L119" t="str">
            <v>F</v>
          </cell>
          <cell r="AO119" t="str">
            <v>N</v>
          </cell>
          <cell r="AQ119" t="str">
            <v>Y- whole</v>
          </cell>
        </row>
        <row r="120">
          <cell r="A120" t="str">
            <v>in storage</v>
          </cell>
          <cell r="J120" t="str">
            <v>EFLA</v>
          </cell>
          <cell r="L120" t="str">
            <v>M</v>
          </cell>
          <cell r="AO120" t="str">
            <v>Y</v>
          </cell>
        </row>
        <row r="121">
          <cell r="A121" t="str">
            <v>ARK</v>
          </cell>
          <cell r="J121" t="str">
            <v>ESAN</v>
          </cell>
          <cell r="L121" t="str">
            <v>M</v>
          </cell>
          <cell r="AO121" t="str">
            <v>N</v>
          </cell>
          <cell r="AQ121" t="str">
            <v>Y- whole</v>
          </cell>
        </row>
        <row r="122">
          <cell r="A122" t="str">
            <v>ARK</v>
          </cell>
          <cell r="J122" t="str">
            <v>GMOH</v>
          </cell>
          <cell r="L122" t="str">
            <v>F</v>
          </cell>
          <cell r="AO122" t="str">
            <v>N</v>
          </cell>
        </row>
        <row r="123">
          <cell r="A123" t="str">
            <v>in storage</v>
          </cell>
          <cell r="J123" t="str">
            <v>EFLA</v>
          </cell>
          <cell r="L123" t="str">
            <v>M</v>
          </cell>
          <cell r="AO123" t="str">
            <v>N</v>
          </cell>
        </row>
        <row r="124">
          <cell r="A124" t="str">
            <v>in storage</v>
          </cell>
          <cell r="J124" t="str">
            <v>EFLA</v>
          </cell>
          <cell r="L124" t="str">
            <v>F</v>
          </cell>
          <cell r="AO124" t="str">
            <v>Y</v>
          </cell>
        </row>
        <row r="125">
          <cell r="A125" t="str">
            <v>in storage</v>
          </cell>
          <cell r="J125" t="str">
            <v>EFLA</v>
          </cell>
          <cell r="L125" t="str">
            <v>M</v>
          </cell>
          <cell r="AO125" t="str">
            <v>Y</v>
          </cell>
        </row>
        <row r="126">
          <cell r="A126" t="str">
            <v>in storage</v>
          </cell>
          <cell r="J126" t="str">
            <v>EFLA</v>
          </cell>
          <cell r="L126" t="str">
            <v>F</v>
          </cell>
          <cell r="AO126" t="str">
            <v>N</v>
          </cell>
        </row>
        <row r="127">
          <cell r="A127" t="str">
            <v>in storage</v>
          </cell>
          <cell r="J127" t="str">
            <v>EFLA</v>
          </cell>
          <cell r="L127" t="str">
            <v>M</v>
          </cell>
          <cell r="AO127" t="str">
            <v>N</v>
          </cell>
        </row>
        <row r="128">
          <cell r="A128" t="str">
            <v>gone</v>
          </cell>
          <cell r="J128" t="str">
            <v>VRUB</v>
          </cell>
          <cell r="L128" t="str">
            <v>F</v>
          </cell>
          <cell r="AO128" t="str">
            <v>N</v>
          </cell>
        </row>
        <row r="129">
          <cell r="A129" t="str">
            <v>in storage</v>
          </cell>
          <cell r="J129" t="str">
            <v>EFLA</v>
          </cell>
          <cell r="L129" t="str">
            <v>F</v>
          </cell>
          <cell r="AO129" t="str">
            <v>Y</v>
          </cell>
        </row>
        <row r="130">
          <cell r="A130" t="str">
            <v>gone</v>
          </cell>
          <cell r="J130" t="str">
            <v>ERUF</v>
          </cell>
          <cell r="L130" t="str">
            <v>M</v>
          </cell>
          <cell r="AO130" t="str">
            <v>N</v>
          </cell>
        </row>
        <row r="131">
          <cell r="A131" t="str">
            <v>missing</v>
          </cell>
          <cell r="J131" t="str">
            <v>HGG</v>
          </cell>
          <cell r="L131" t="str">
            <v>ND</v>
          </cell>
          <cell r="AO131" t="str">
            <v>UNK</v>
          </cell>
        </row>
        <row r="132">
          <cell r="A132" t="str">
            <v>in storage</v>
          </cell>
          <cell r="J132" t="str">
            <v>EFLA</v>
          </cell>
          <cell r="L132" t="str">
            <v>F</v>
          </cell>
          <cell r="AO132" t="str">
            <v>Y</v>
          </cell>
        </row>
        <row r="133">
          <cell r="A133" t="str">
            <v>gone</v>
          </cell>
          <cell r="J133" t="str">
            <v>LCAT</v>
          </cell>
          <cell r="L133" t="str">
            <v>M</v>
          </cell>
          <cell r="AO133" t="str">
            <v>N</v>
          </cell>
        </row>
        <row r="134">
          <cell r="A134" t="str">
            <v>gone</v>
          </cell>
          <cell r="J134" t="str">
            <v>ECOL</v>
          </cell>
          <cell r="L134" t="str">
            <v>M</v>
          </cell>
          <cell r="AO134" t="str">
            <v>N</v>
          </cell>
        </row>
        <row r="135">
          <cell r="A135" t="str">
            <v>ARK</v>
          </cell>
          <cell r="J135" t="str">
            <v>LTAR</v>
          </cell>
          <cell r="L135" t="str">
            <v>M</v>
          </cell>
          <cell r="AO135" t="str">
            <v>N</v>
          </cell>
          <cell r="AQ135" t="str">
            <v>Y- whole</v>
          </cell>
        </row>
        <row r="136">
          <cell r="A136" t="str">
            <v>gone</v>
          </cell>
          <cell r="J136" t="str">
            <v>EMON</v>
          </cell>
          <cell r="L136" t="str">
            <v>F</v>
          </cell>
          <cell r="AO136" t="str">
            <v>N</v>
          </cell>
        </row>
        <row r="137">
          <cell r="A137" t="str">
            <v>gone</v>
          </cell>
          <cell r="J137" t="str">
            <v>MZAZ</v>
          </cell>
          <cell r="L137" t="str">
            <v>M</v>
          </cell>
          <cell r="AO137" t="str">
            <v>N</v>
          </cell>
        </row>
        <row r="138">
          <cell r="A138" t="str">
            <v>ARK</v>
          </cell>
          <cell r="J138" t="str">
            <v>EFUL</v>
          </cell>
          <cell r="L138" t="str">
            <v>M</v>
          </cell>
          <cell r="AO138" t="str">
            <v>N</v>
          </cell>
        </row>
        <row r="139">
          <cell r="A139" t="str">
            <v>in storage</v>
          </cell>
          <cell r="J139" t="str">
            <v>EFLA</v>
          </cell>
          <cell r="L139" t="str">
            <v>M</v>
          </cell>
          <cell r="AO139" t="str">
            <v>N</v>
          </cell>
        </row>
        <row r="140">
          <cell r="A140" t="str">
            <v>in storage</v>
          </cell>
          <cell r="J140" t="str">
            <v>EFLA</v>
          </cell>
          <cell r="L140" t="str">
            <v>F</v>
          </cell>
          <cell r="AO140" t="str">
            <v>N</v>
          </cell>
        </row>
        <row r="141">
          <cell r="A141" t="str">
            <v>gone</v>
          </cell>
          <cell r="J141" t="str">
            <v>PCOQ</v>
          </cell>
          <cell r="L141" t="str">
            <v>F</v>
          </cell>
          <cell r="AO141" t="str">
            <v>N</v>
          </cell>
        </row>
        <row r="142">
          <cell r="A142" t="str">
            <v>in storage</v>
          </cell>
          <cell r="J142" t="str">
            <v>EFLA</v>
          </cell>
          <cell r="L142" t="str">
            <v>M</v>
          </cell>
          <cell r="AO142" t="str">
            <v>Y</v>
          </cell>
        </row>
        <row r="143">
          <cell r="A143" t="str">
            <v>ARK</v>
          </cell>
          <cell r="J143" t="str">
            <v>NCOU</v>
          </cell>
          <cell r="L143" t="str">
            <v>F</v>
          </cell>
          <cell r="AO143" t="str">
            <v>N</v>
          </cell>
          <cell r="AQ143" t="str">
            <v>Y- whole</v>
          </cell>
        </row>
        <row r="144">
          <cell r="A144" t="str">
            <v>ARK</v>
          </cell>
          <cell r="J144" t="str">
            <v>LCAT</v>
          </cell>
          <cell r="L144" t="str">
            <v>M</v>
          </cell>
          <cell r="AO144" t="str">
            <v>N</v>
          </cell>
          <cell r="AQ144" t="str">
            <v>Y- whole</v>
          </cell>
        </row>
        <row r="145">
          <cell r="A145" t="str">
            <v>in storage</v>
          </cell>
          <cell r="J145" t="str">
            <v>EFLA</v>
          </cell>
          <cell r="L145" t="str">
            <v>M</v>
          </cell>
          <cell r="AO145" t="str">
            <v>y</v>
          </cell>
        </row>
        <row r="146">
          <cell r="A146" t="str">
            <v>in storage</v>
          </cell>
          <cell r="J146" t="str">
            <v>EFLA</v>
          </cell>
          <cell r="L146" t="str">
            <v>M</v>
          </cell>
          <cell r="AO146" t="str">
            <v>N</v>
          </cell>
        </row>
        <row r="147">
          <cell r="A147" t="str">
            <v>ARK</v>
          </cell>
          <cell r="J147" t="str">
            <v>EMON</v>
          </cell>
          <cell r="L147" t="str">
            <v>M</v>
          </cell>
          <cell r="AO147" t="str">
            <v>N</v>
          </cell>
          <cell r="AQ147" t="str">
            <v>Y- whole</v>
          </cell>
        </row>
        <row r="148">
          <cell r="A148" t="str">
            <v>gone</v>
          </cell>
          <cell r="J148" t="str">
            <v>CMED</v>
          </cell>
          <cell r="L148" t="str">
            <v>M</v>
          </cell>
          <cell r="AO148" t="str">
            <v>N</v>
          </cell>
        </row>
        <row r="149">
          <cell r="A149" t="str">
            <v>in storage</v>
          </cell>
          <cell r="J149" t="str">
            <v>EFLA</v>
          </cell>
          <cell r="L149" t="str">
            <v>M</v>
          </cell>
          <cell r="AO149" t="str">
            <v>N</v>
          </cell>
        </row>
        <row r="150">
          <cell r="A150" t="str">
            <v>gone</v>
          </cell>
          <cell r="J150" t="str">
            <v>MMUR</v>
          </cell>
          <cell r="L150" t="str">
            <v>F</v>
          </cell>
          <cell r="AO150" t="str">
            <v>N</v>
          </cell>
        </row>
        <row r="151">
          <cell r="A151" t="str">
            <v>gone</v>
          </cell>
          <cell r="J151" t="str">
            <v>EMON</v>
          </cell>
          <cell r="L151" t="str">
            <v>F</v>
          </cell>
          <cell r="AO151" t="str">
            <v>N</v>
          </cell>
        </row>
        <row r="152">
          <cell r="A152" t="str">
            <v>gone</v>
          </cell>
          <cell r="J152" t="str">
            <v>PCOQ</v>
          </cell>
          <cell r="L152" t="str">
            <v>M</v>
          </cell>
          <cell r="AO152" t="str">
            <v>N</v>
          </cell>
        </row>
        <row r="153">
          <cell r="A153" t="str">
            <v>gone</v>
          </cell>
          <cell r="J153" t="str">
            <v>EFLA</v>
          </cell>
          <cell r="L153" t="str">
            <v>F</v>
          </cell>
          <cell r="AO153" t="str">
            <v>N</v>
          </cell>
        </row>
        <row r="154">
          <cell r="A154" t="str">
            <v>gone</v>
          </cell>
          <cell r="J154" t="str">
            <v>EFLA</v>
          </cell>
          <cell r="L154" t="str">
            <v>M</v>
          </cell>
          <cell r="AO154" t="str">
            <v>N</v>
          </cell>
        </row>
        <row r="155">
          <cell r="A155" t="str">
            <v>ARK</v>
          </cell>
          <cell r="J155" t="str">
            <v>MZAZ</v>
          </cell>
          <cell r="L155" t="str">
            <v>F</v>
          </cell>
          <cell r="AO155" t="str">
            <v>N</v>
          </cell>
          <cell r="AQ155" t="str">
            <v>Y- whole</v>
          </cell>
        </row>
        <row r="156">
          <cell r="A156" t="str">
            <v>ARK</v>
          </cell>
          <cell r="J156" t="str">
            <v>MZAZ</v>
          </cell>
          <cell r="L156" t="str">
            <v>M</v>
          </cell>
          <cell r="AO156" t="str">
            <v>N</v>
          </cell>
          <cell r="AQ156" t="str">
            <v>Y- whole</v>
          </cell>
        </row>
        <row r="157">
          <cell r="A157" t="str">
            <v>gone</v>
          </cell>
          <cell r="J157" t="str">
            <v>ERUF</v>
          </cell>
          <cell r="L157" t="str">
            <v>M</v>
          </cell>
          <cell r="AO157" t="str">
            <v>N</v>
          </cell>
        </row>
        <row r="158">
          <cell r="A158" t="str">
            <v>in storage</v>
          </cell>
          <cell r="J158" t="str">
            <v>EFLA</v>
          </cell>
          <cell r="L158" t="str">
            <v>F</v>
          </cell>
          <cell r="AO158" t="str">
            <v>N</v>
          </cell>
        </row>
        <row r="159">
          <cell r="A159" t="str">
            <v>ARK</v>
          </cell>
          <cell r="J159" t="str">
            <v>MMUR</v>
          </cell>
          <cell r="L159" t="str">
            <v>F</v>
          </cell>
          <cell r="AO159" t="str">
            <v>N</v>
          </cell>
          <cell r="AQ159" t="str">
            <v>Y- whole</v>
          </cell>
        </row>
        <row r="160">
          <cell r="A160" t="str">
            <v>in storage</v>
          </cell>
          <cell r="J160" t="str">
            <v>EFLA</v>
          </cell>
          <cell r="L160" t="str">
            <v>M</v>
          </cell>
          <cell r="AO160" t="str">
            <v>Y</v>
          </cell>
        </row>
        <row r="161">
          <cell r="A161" t="str">
            <v>ARK</v>
          </cell>
          <cell r="J161" t="str">
            <v>ECOL</v>
          </cell>
          <cell r="L161" t="str">
            <v>F</v>
          </cell>
          <cell r="AO161" t="str">
            <v>N</v>
          </cell>
        </row>
        <row r="162">
          <cell r="A162" t="str">
            <v>in storage</v>
          </cell>
          <cell r="J162" t="str">
            <v>EFLA</v>
          </cell>
          <cell r="L162" t="str">
            <v>M</v>
          </cell>
          <cell r="AO162" t="str">
            <v>Y</v>
          </cell>
        </row>
        <row r="163">
          <cell r="A163" t="str">
            <v>gone</v>
          </cell>
          <cell r="J163" t="str">
            <v>EFLA</v>
          </cell>
          <cell r="L163" t="str">
            <v>F</v>
          </cell>
          <cell r="AO163" t="str">
            <v>N</v>
          </cell>
        </row>
        <row r="164">
          <cell r="A164" t="str">
            <v>ARK</v>
          </cell>
          <cell r="J164" t="str">
            <v>VRUB</v>
          </cell>
          <cell r="L164" t="str">
            <v>M</v>
          </cell>
          <cell r="AO164" t="str">
            <v>N</v>
          </cell>
        </row>
        <row r="165">
          <cell r="A165" t="str">
            <v>in storage</v>
          </cell>
          <cell r="J165" t="str">
            <v>ECOR</v>
          </cell>
          <cell r="L165" t="str">
            <v>M</v>
          </cell>
          <cell r="AO165" t="str">
            <v>N</v>
          </cell>
          <cell r="AQ165" t="str">
            <v>Y- whole</v>
          </cell>
        </row>
        <row r="166">
          <cell r="A166" t="str">
            <v>ARK</v>
          </cell>
          <cell r="J166" t="str">
            <v>VVV</v>
          </cell>
          <cell r="L166" t="str">
            <v>M</v>
          </cell>
          <cell r="AO166" t="str">
            <v>N</v>
          </cell>
        </row>
        <row r="167">
          <cell r="A167" t="str">
            <v>ARK</v>
          </cell>
          <cell r="J167" t="str">
            <v>ERUB</v>
          </cell>
          <cell r="L167" t="str">
            <v>F</v>
          </cell>
          <cell r="AO167" t="str">
            <v>N</v>
          </cell>
        </row>
        <row r="168">
          <cell r="A168" t="str">
            <v>ARK</v>
          </cell>
          <cell r="J168" t="str">
            <v>CMED</v>
          </cell>
          <cell r="L168" t="str">
            <v>F</v>
          </cell>
          <cell r="AO168" t="str">
            <v>N</v>
          </cell>
          <cell r="AQ168" t="str">
            <v>Y- whole</v>
          </cell>
        </row>
        <row r="169">
          <cell r="A169" t="str">
            <v>ARK</v>
          </cell>
          <cell r="J169" t="str">
            <v>EALB</v>
          </cell>
          <cell r="L169" t="str">
            <v>M</v>
          </cell>
          <cell r="AO169" t="str">
            <v>N</v>
          </cell>
        </row>
        <row r="170">
          <cell r="A170" t="str">
            <v>gone</v>
          </cell>
          <cell r="J170" t="str">
            <v>CMED</v>
          </cell>
          <cell r="L170" t="str">
            <v>F</v>
          </cell>
          <cell r="AO170" t="str">
            <v>N</v>
          </cell>
        </row>
        <row r="171">
          <cell r="A171" t="str">
            <v>gone</v>
          </cell>
          <cell r="J171" t="str">
            <v>VVV</v>
          </cell>
          <cell r="L171" t="str">
            <v>M</v>
          </cell>
          <cell r="AO171" t="str">
            <v>N</v>
          </cell>
        </row>
        <row r="172">
          <cell r="A172" t="str">
            <v>gone</v>
          </cell>
          <cell r="J172" t="str">
            <v>MZAZ</v>
          </cell>
          <cell r="L172" t="str">
            <v>M</v>
          </cell>
          <cell r="AO172" t="str">
            <v>N</v>
          </cell>
        </row>
        <row r="173">
          <cell r="A173" t="str">
            <v>gone</v>
          </cell>
          <cell r="J173" t="str">
            <v>EFLA</v>
          </cell>
          <cell r="L173" t="str">
            <v>F</v>
          </cell>
          <cell r="AO173" t="str">
            <v>N</v>
          </cell>
        </row>
        <row r="174">
          <cell r="A174" t="str">
            <v>ARK</v>
          </cell>
          <cell r="J174" t="str">
            <v>NCOU</v>
          </cell>
          <cell r="L174" t="str">
            <v>M</v>
          </cell>
          <cell r="AO174" t="str">
            <v>N</v>
          </cell>
        </row>
        <row r="175">
          <cell r="A175" t="str">
            <v>gone</v>
          </cell>
          <cell r="J175" t="str">
            <v>NCOU</v>
          </cell>
          <cell r="L175" t="str">
            <v>F</v>
          </cell>
          <cell r="AO175" t="str">
            <v>N</v>
          </cell>
        </row>
        <row r="176">
          <cell r="A176" t="str">
            <v>ARK</v>
          </cell>
          <cell r="J176" t="str">
            <v>ERUF</v>
          </cell>
          <cell r="L176" t="str">
            <v>M</v>
          </cell>
          <cell r="AO176" t="str">
            <v>N</v>
          </cell>
        </row>
        <row r="177">
          <cell r="A177" t="str">
            <v>gone</v>
          </cell>
          <cell r="J177" t="str">
            <v>PCOQ</v>
          </cell>
          <cell r="L177" t="str">
            <v>F</v>
          </cell>
          <cell r="AO177" t="str">
            <v>Y</v>
          </cell>
        </row>
        <row r="178">
          <cell r="A178" t="str">
            <v>gone</v>
          </cell>
          <cell r="J178" t="str">
            <v>GMOH</v>
          </cell>
          <cell r="L178" t="str">
            <v>F</v>
          </cell>
          <cell r="AO178" t="str">
            <v>N</v>
          </cell>
        </row>
        <row r="179">
          <cell r="A179" t="str">
            <v>in storage</v>
          </cell>
          <cell r="J179" t="str">
            <v>ECOR</v>
          </cell>
          <cell r="L179" t="str">
            <v>M</v>
          </cell>
          <cell r="AO179" t="str">
            <v>N</v>
          </cell>
          <cell r="AQ179" t="str">
            <v>Y- whole</v>
          </cell>
        </row>
        <row r="180">
          <cell r="A180" t="str">
            <v>in storage</v>
          </cell>
          <cell r="J180" t="str">
            <v>EFLA</v>
          </cell>
          <cell r="L180" t="str">
            <v>F</v>
          </cell>
          <cell r="AO180" t="str">
            <v>Y</v>
          </cell>
        </row>
        <row r="181">
          <cell r="A181" t="str">
            <v>in storage</v>
          </cell>
          <cell r="J181" t="str">
            <v>EFLA</v>
          </cell>
          <cell r="L181" t="str">
            <v>F</v>
          </cell>
          <cell r="AO181" t="str">
            <v>N</v>
          </cell>
        </row>
        <row r="182">
          <cell r="A182" t="str">
            <v>in storage</v>
          </cell>
          <cell r="J182" t="str">
            <v>EFLA</v>
          </cell>
          <cell r="L182" t="str">
            <v>F</v>
          </cell>
          <cell r="AO182" t="str">
            <v>Y</v>
          </cell>
        </row>
        <row r="183">
          <cell r="A183" t="str">
            <v>gone</v>
          </cell>
          <cell r="J183" t="str">
            <v>EMON</v>
          </cell>
          <cell r="L183" t="str">
            <v>M</v>
          </cell>
          <cell r="AO183" t="str">
            <v>N</v>
          </cell>
        </row>
        <row r="184">
          <cell r="A184" t="str">
            <v>in storage</v>
          </cell>
          <cell r="J184" t="str">
            <v>EFUL</v>
          </cell>
          <cell r="L184" t="str">
            <v>F</v>
          </cell>
          <cell r="AO184" t="str">
            <v>N</v>
          </cell>
        </row>
        <row r="185">
          <cell r="A185" t="str">
            <v>in storage</v>
          </cell>
          <cell r="J185" t="str">
            <v>EFUL</v>
          </cell>
          <cell r="L185" t="str">
            <v>M</v>
          </cell>
          <cell r="AO185" t="str">
            <v>Y</v>
          </cell>
        </row>
        <row r="186">
          <cell r="A186" t="str">
            <v>gone</v>
          </cell>
          <cell r="J186" t="str">
            <v>EFLA</v>
          </cell>
          <cell r="L186" t="str">
            <v>M</v>
          </cell>
          <cell r="AO186" t="str">
            <v>N</v>
          </cell>
        </row>
        <row r="187">
          <cell r="A187" t="str">
            <v>gone</v>
          </cell>
          <cell r="J187" t="str">
            <v>EFLA</v>
          </cell>
          <cell r="L187" t="str">
            <v>F</v>
          </cell>
          <cell r="AO187" t="str">
            <v>N</v>
          </cell>
        </row>
        <row r="188">
          <cell r="A188" t="str">
            <v>gone</v>
          </cell>
          <cell r="J188" t="str">
            <v>PCOQ</v>
          </cell>
          <cell r="L188" t="str">
            <v>F</v>
          </cell>
          <cell r="AO188" t="str">
            <v>N</v>
          </cell>
        </row>
        <row r="189">
          <cell r="A189" t="str">
            <v>gone</v>
          </cell>
          <cell r="J189" t="str">
            <v>LCAT</v>
          </cell>
          <cell r="L189" t="str">
            <v>F</v>
          </cell>
          <cell r="AO189" t="str">
            <v>N</v>
          </cell>
        </row>
        <row r="190">
          <cell r="A190" t="str">
            <v>ARK</v>
          </cell>
          <cell r="J190" t="str">
            <v>ECOR</v>
          </cell>
          <cell r="L190" t="str">
            <v>M</v>
          </cell>
          <cell r="AO190" t="str">
            <v>N</v>
          </cell>
          <cell r="AQ190" t="str">
            <v>Y- whole</v>
          </cell>
        </row>
        <row r="191">
          <cell r="A191" t="str">
            <v>in storage</v>
          </cell>
          <cell r="J191" t="str">
            <v>EFUL</v>
          </cell>
          <cell r="L191" t="str">
            <v>F</v>
          </cell>
          <cell r="AO191" t="str">
            <v>Y</v>
          </cell>
        </row>
        <row r="192">
          <cell r="A192" t="str">
            <v>in storage</v>
          </cell>
          <cell r="J192" t="str">
            <v>EFUL</v>
          </cell>
          <cell r="L192" t="str">
            <v>F</v>
          </cell>
          <cell r="AO192" t="str">
            <v>Y</v>
          </cell>
        </row>
        <row r="193">
          <cell r="A193" t="str">
            <v>ARK</v>
          </cell>
          <cell r="J193" t="str">
            <v>ECOL</v>
          </cell>
          <cell r="L193" t="str">
            <v>M</v>
          </cell>
          <cell r="AO193" t="str">
            <v>N</v>
          </cell>
        </row>
        <row r="194">
          <cell r="A194" t="str">
            <v>in storage</v>
          </cell>
          <cell r="J194" t="str">
            <v>EFUL</v>
          </cell>
          <cell r="L194" t="str">
            <v>F</v>
          </cell>
          <cell r="AO194" t="str">
            <v>Y</v>
          </cell>
        </row>
        <row r="195">
          <cell r="A195" t="str">
            <v>gone</v>
          </cell>
          <cell r="J195" t="str">
            <v>ECOL</v>
          </cell>
          <cell r="L195" t="str">
            <v>F</v>
          </cell>
          <cell r="AO195" t="str">
            <v>N</v>
          </cell>
        </row>
        <row r="196">
          <cell r="A196" t="str">
            <v>ARK</v>
          </cell>
          <cell r="J196" t="str">
            <v>PCOQ</v>
          </cell>
          <cell r="L196" t="str">
            <v>F</v>
          </cell>
          <cell r="AO196" t="str">
            <v>N</v>
          </cell>
        </row>
        <row r="197">
          <cell r="A197" t="str">
            <v>ARK</v>
          </cell>
          <cell r="J197" t="str">
            <v>EFLA</v>
          </cell>
          <cell r="L197" t="str">
            <v>M</v>
          </cell>
          <cell r="AO197" t="str">
            <v>N</v>
          </cell>
        </row>
        <row r="198">
          <cell r="A198" t="str">
            <v>in storage</v>
          </cell>
          <cell r="J198" t="str">
            <v>EFUL</v>
          </cell>
          <cell r="L198" t="str">
            <v>M</v>
          </cell>
          <cell r="AO198" t="str">
            <v>Y</v>
          </cell>
        </row>
        <row r="199">
          <cell r="A199" t="str">
            <v>gone</v>
          </cell>
          <cell r="J199" t="str">
            <v>LCAT</v>
          </cell>
          <cell r="L199" t="str">
            <v>F</v>
          </cell>
          <cell r="AO199" t="str">
            <v>N</v>
          </cell>
        </row>
        <row r="200">
          <cell r="A200" t="str">
            <v>ARK</v>
          </cell>
          <cell r="J200" t="str">
            <v>ECOR</v>
          </cell>
          <cell r="L200" t="str">
            <v>F</v>
          </cell>
          <cell r="AO200" t="str">
            <v>N</v>
          </cell>
          <cell r="AQ200" t="str">
            <v>Y- whole</v>
          </cell>
        </row>
        <row r="201">
          <cell r="A201" t="str">
            <v>in storage</v>
          </cell>
          <cell r="J201" t="str">
            <v>EMAC</v>
          </cell>
          <cell r="L201" t="str">
            <v>ND</v>
          </cell>
          <cell r="AO201" t="str">
            <v>Y</v>
          </cell>
        </row>
        <row r="202">
          <cell r="A202" t="str">
            <v>gone</v>
          </cell>
          <cell r="J202" t="str">
            <v>PCOQ</v>
          </cell>
          <cell r="L202" t="str">
            <v>M</v>
          </cell>
          <cell r="AO202" t="str">
            <v>N</v>
          </cell>
        </row>
        <row r="203">
          <cell r="A203" t="str">
            <v>gone</v>
          </cell>
          <cell r="J203" t="str">
            <v>VRUB</v>
          </cell>
          <cell r="L203" t="str">
            <v>F</v>
          </cell>
          <cell r="AO203" t="str">
            <v>N</v>
          </cell>
        </row>
        <row r="204">
          <cell r="A204" t="str">
            <v>in storage</v>
          </cell>
          <cell r="J204" t="str">
            <v>EMAC</v>
          </cell>
          <cell r="L204" t="str">
            <v>F</v>
          </cell>
          <cell r="AO204" t="str">
            <v>Y</v>
          </cell>
        </row>
        <row r="205">
          <cell r="A205" t="str">
            <v>gone</v>
          </cell>
          <cell r="J205" t="str">
            <v>NCOU</v>
          </cell>
          <cell r="L205" t="str">
            <v>M</v>
          </cell>
          <cell r="AO205" t="str">
            <v>N</v>
          </cell>
        </row>
        <row r="206">
          <cell r="A206" t="str">
            <v>in storage</v>
          </cell>
          <cell r="J206" t="str">
            <v>EMAC</v>
          </cell>
          <cell r="L206" t="str">
            <v>F</v>
          </cell>
          <cell r="AO206" t="str">
            <v>N</v>
          </cell>
        </row>
        <row r="207">
          <cell r="A207" t="str">
            <v>ARK</v>
          </cell>
          <cell r="J207" t="str">
            <v>VVV</v>
          </cell>
          <cell r="L207" t="str">
            <v>F</v>
          </cell>
          <cell r="AO207" t="str">
            <v>N</v>
          </cell>
        </row>
        <row r="208">
          <cell r="A208" t="str">
            <v>gone</v>
          </cell>
          <cell r="J208" t="str">
            <v>CMED</v>
          </cell>
          <cell r="L208" t="str">
            <v>F</v>
          </cell>
          <cell r="AO208" t="str">
            <v>N</v>
          </cell>
        </row>
        <row r="209">
          <cell r="A209" t="str">
            <v>ARK</v>
          </cell>
          <cell r="J209" t="str">
            <v>NPYG</v>
          </cell>
          <cell r="L209" t="str">
            <v>F</v>
          </cell>
          <cell r="AO209" t="str">
            <v>N</v>
          </cell>
          <cell r="AQ209" t="str">
            <v>Y- whole</v>
          </cell>
        </row>
        <row r="210">
          <cell r="A210" t="str">
            <v>in storage</v>
          </cell>
          <cell r="J210" t="str">
            <v>EMAC</v>
          </cell>
          <cell r="L210" t="str">
            <v>M</v>
          </cell>
          <cell r="AO210" t="str">
            <v>N</v>
          </cell>
        </row>
        <row r="211">
          <cell r="A211" t="str">
            <v>in storage</v>
          </cell>
          <cell r="J211" t="str">
            <v>ECOR</v>
          </cell>
          <cell r="L211" t="str">
            <v>F</v>
          </cell>
          <cell r="AO211" t="str">
            <v>N</v>
          </cell>
          <cell r="AQ211" t="str">
            <v>Y- whole</v>
          </cell>
        </row>
        <row r="212">
          <cell r="A212" t="str">
            <v>in storage</v>
          </cell>
          <cell r="J212" t="str">
            <v>EMAC</v>
          </cell>
          <cell r="L212" t="str">
            <v>M</v>
          </cell>
          <cell r="AO212" t="str">
            <v>N</v>
          </cell>
        </row>
        <row r="213">
          <cell r="A213" t="str">
            <v>ARK</v>
          </cell>
          <cell r="J213" t="str">
            <v>PTAT</v>
          </cell>
          <cell r="L213" t="str">
            <v>M</v>
          </cell>
          <cell r="AO213" t="str">
            <v>N</v>
          </cell>
        </row>
        <row r="214">
          <cell r="A214" t="str">
            <v>ARK</v>
          </cell>
          <cell r="J214" t="str">
            <v>PCOQ</v>
          </cell>
          <cell r="L214" t="str">
            <v>M</v>
          </cell>
          <cell r="AO214" t="str">
            <v>N</v>
          </cell>
          <cell r="AQ214" t="str">
            <v>Y- whole</v>
          </cell>
        </row>
        <row r="215">
          <cell r="A215" t="str">
            <v>in storage</v>
          </cell>
          <cell r="J215" t="str">
            <v>EMAC</v>
          </cell>
          <cell r="L215" t="str">
            <v>F</v>
          </cell>
          <cell r="AO215" t="str">
            <v>N</v>
          </cell>
        </row>
        <row r="216">
          <cell r="A216" t="str">
            <v>in storage</v>
          </cell>
          <cell r="J216" t="str">
            <v>EMAC</v>
          </cell>
          <cell r="L216" t="str">
            <v>M</v>
          </cell>
          <cell r="AO216" t="str">
            <v>N</v>
          </cell>
        </row>
        <row r="217">
          <cell r="A217" t="str">
            <v>gone</v>
          </cell>
          <cell r="J217" t="str">
            <v>VRUB</v>
          </cell>
          <cell r="L217" t="str">
            <v>F</v>
          </cell>
          <cell r="AO217" t="str">
            <v>N</v>
          </cell>
        </row>
        <row r="218">
          <cell r="A218" t="str">
            <v>in storage</v>
          </cell>
          <cell r="J218" t="str">
            <v>EMAC</v>
          </cell>
          <cell r="L218" t="str">
            <v>F</v>
          </cell>
          <cell r="AO218" t="str">
            <v>N</v>
          </cell>
        </row>
        <row r="219">
          <cell r="A219" t="str">
            <v>in storage</v>
          </cell>
          <cell r="J219" t="str">
            <v>EMAC</v>
          </cell>
          <cell r="L219" t="str">
            <v>M</v>
          </cell>
          <cell r="AO219" t="str">
            <v>Y</v>
          </cell>
        </row>
        <row r="220">
          <cell r="A220" t="str">
            <v>in storage</v>
          </cell>
          <cell r="J220" t="str">
            <v>EMAC</v>
          </cell>
          <cell r="L220" t="str">
            <v>F</v>
          </cell>
          <cell r="AO220" t="str">
            <v>Y</v>
          </cell>
        </row>
        <row r="221">
          <cell r="A221" t="str">
            <v>in storage</v>
          </cell>
          <cell r="J221" t="str">
            <v>EMAC</v>
          </cell>
          <cell r="L221" t="str">
            <v>M</v>
          </cell>
          <cell r="AO221" t="str">
            <v>Y</v>
          </cell>
        </row>
        <row r="222">
          <cell r="A222" t="str">
            <v>in storage</v>
          </cell>
          <cell r="J222" t="str">
            <v>EMAC</v>
          </cell>
          <cell r="L222" t="str">
            <v>F</v>
          </cell>
          <cell r="AO222" t="str">
            <v>Y</v>
          </cell>
        </row>
        <row r="223">
          <cell r="A223" t="str">
            <v>gone</v>
          </cell>
          <cell r="J223" t="str">
            <v>PCOQ</v>
          </cell>
          <cell r="L223" t="str">
            <v>M</v>
          </cell>
          <cell r="AO223" t="str">
            <v>N</v>
          </cell>
        </row>
        <row r="224">
          <cell r="A224" t="str">
            <v>gone</v>
          </cell>
          <cell r="J224" t="str">
            <v>PCOQ</v>
          </cell>
          <cell r="L224" t="str">
            <v>F</v>
          </cell>
          <cell r="AO224" t="str">
            <v>N</v>
          </cell>
        </row>
        <row r="225">
          <cell r="A225" t="str">
            <v>ARK</v>
          </cell>
          <cell r="J225" t="str">
            <v>NPYG</v>
          </cell>
          <cell r="L225" t="str">
            <v>M</v>
          </cell>
          <cell r="AO225" t="str">
            <v>N</v>
          </cell>
          <cell r="AQ225" t="str">
            <v>Y- whole</v>
          </cell>
        </row>
        <row r="226">
          <cell r="A226" t="str">
            <v>gone</v>
          </cell>
          <cell r="J226" t="str">
            <v>ESAN</v>
          </cell>
          <cell r="L226" t="str">
            <v>F</v>
          </cell>
          <cell r="AO226" t="str">
            <v>N</v>
          </cell>
        </row>
        <row r="227">
          <cell r="A227" t="str">
            <v>in storage</v>
          </cell>
          <cell r="J227" t="str">
            <v>EMAC</v>
          </cell>
          <cell r="L227" t="str">
            <v>F</v>
          </cell>
          <cell r="AO227" t="str">
            <v>Y</v>
          </cell>
        </row>
        <row r="228">
          <cell r="A228" t="str">
            <v>in storage</v>
          </cell>
          <cell r="J228" t="str">
            <v>EMAC</v>
          </cell>
          <cell r="L228" t="str">
            <v>F</v>
          </cell>
          <cell r="AO228" t="str">
            <v>Y</v>
          </cell>
        </row>
        <row r="229">
          <cell r="A229" t="str">
            <v>in storage</v>
          </cell>
          <cell r="J229" t="str">
            <v>EMAC</v>
          </cell>
          <cell r="L229" t="str">
            <v>F</v>
          </cell>
          <cell r="AO229" t="str">
            <v>Y</v>
          </cell>
        </row>
        <row r="230">
          <cell r="A230" t="str">
            <v>ARK</v>
          </cell>
          <cell r="J230" t="str">
            <v>EMAC</v>
          </cell>
          <cell r="L230" t="str">
            <v>M</v>
          </cell>
          <cell r="AO230" t="str">
            <v>N</v>
          </cell>
        </row>
        <row r="231">
          <cell r="A231" t="str">
            <v>gone</v>
          </cell>
          <cell r="J231" t="str">
            <v>ERUB</v>
          </cell>
          <cell r="L231" t="str">
            <v>M</v>
          </cell>
          <cell r="AO231" t="str">
            <v>N</v>
          </cell>
        </row>
        <row r="232">
          <cell r="A232" t="str">
            <v>in storage</v>
          </cell>
          <cell r="J232" t="str">
            <v>EMON</v>
          </cell>
          <cell r="L232" t="str">
            <v>F</v>
          </cell>
          <cell r="AO232" t="str">
            <v>Y</v>
          </cell>
        </row>
        <row r="233">
          <cell r="A233" t="str">
            <v>in storage</v>
          </cell>
          <cell r="J233" t="str">
            <v>ECOR</v>
          </cell>
          <cell r="L233" t="str">
            <v>F</v>
          </cell>
          <cell r="AO233" t="str">
            <v>N</v>
          </cell>
          <cell r="AQ233" t="str">
            <v>Y- whole</v>
          </cell>
        </row>
        <row r="234">
          <cell r="A234" t="str">
            <v>gone</v>
          </cell>
          <cell r="J234" t="str">
            <v>ECOL</v>
          </cell>
          <cell r="L234" t="str">
            <v>M</v>
          </cell>
          <cell r="AO234" t="str">
            <v>N</v>
          </cell>
        </row>
        <row r="235">
          <cell r="A235" t="str">
            <v>in storage</v>
          </cell>
          <cell r="J235" t="str">
            <v>ECOR</v>
          </cell>
          <cell r="L235" t="str">
            <v>M</v>
          </cell>
          <cell r="AO235" t="str">
            <v>N</v>
          </cell>
          <cell r="AQ235" t="str">
            <v>Y- whole</v>
          </cell>
        </row>
        <row r="236">
          <cell r="A236" t="str">
            <v>gone</v>
          </cell>
          <cell r="J236" t="str">
            <v>LTAR</v>
          </cell>
          <cell r="L236" t="str">
            <v>ND</v>
          </cell>
          <cell r="AO236" t="str">
            <v>Y</v>
          </cell>
        </row>
        <row r="237">
          <cell r="A237" t="str">
            <v>gone</v>
          </cell>
          <cell r="J237" t="str">
            <v>EFLA</v>
          </cell>
          <cell r="L237" t="str">
            <v>F</v>
          </cell>
          <cell r="AO237" t="str">
            <v>N</v>
          </cell>
        </row>
        <row r="238">
          <cell r="A238" t="str">
            <v>gone</v>
          </cell>
          <cell r="J238" t="str">
            <v>LCAT</v>
          </cell>
          <cell r="L238" t="str">
            <v>F</v>
          </cell>
          <cell r="AO238" t="str">
            <v>N</v>
          </cell>
        </row>
        <row r="239">
          <cell r="A239" t="str">
            <v>in storage</v>
          </cell>
          <cell r="J239" t="str">
            <v>EMON</v>
          </cell>
          <cell r="L239" t="str">
            <v>M</v>
          </cell>
          <cell r="AO239" t="str">
            <v>Y</v>
          </cell>
        </row>
        <row r="240">
          <cell r="A240" t="str">
            <v>gone</v>
          </cell>
          <cell r="J240" t="str">
            <v>MMUR</v>
          </cell>
          <cell r="L240" t="str">
            <v>F</v>
          </cell>
          <cell r="AO240" t="str">
            <v>N</v>
          </cell>
        </row>
        <row r="241">
          <cell r="A241" t="str">
            <v>in storage</v>
          </cell>
          <cell r="J241" t="str">
            <v>EMON</v>
          </cell>
          <cell r="L241" t="str">
            <v>M</v>
          </cell>
          <cell r="AO241" t="str">
            <v>N</v>
          </cell>
        </row>
        <row r="242">
          <cell r="A242" t="str">
            <v>gone</v>
          </cell>
          <cell r="J242" t="str">
            <v>CMED</v>
          </cell>
          <cell r="L242" t="str">
            <v>F</v>
          </cell>
          <cell r="AO242" t="str">
            <v>N</v>
          </cell>
        </row>
        <row r="243">
          <cell r="A243" t="str">
            <v>gone</v>
          </cell>
          <cell r="J243" t="str">
            <v>LCAT</v>
          </cell>
          <cell r="L243" t="str">
            <v>F</v>
          </cell>
          <cell r="AO243" t="str">
            <v>N</v>
          </cell>
        </row>
        <row r="244">
          <cell r="A244" t="str">
            <v>in storage</v>
          </cell>
          <cell r="J244" t="str">
            <v>EMON</v>
          </cell>
          <cell r="L244" t="str">
            <v>F</v>
          </cell>
          <cell r="AO244" t="str">
            <v>N</v>
          </cell>
        </row>
        <row r="245">
          <cell r="A245" t="str">
            <v>in storage</v>
          </cell>
          <cell r="J245" t="str">
            <v>EMON</v>
          </cell>
          <cell r="L245" t="str">
            <v>F</v>
          </cell>
          <cell r="AO245" t="str">
            <v>N</v>
          </cell>
        </row>
        <row r="246">
          <cell r="A246" t="str">
            <v>gone</v>
          </cell>
          <cell r="J246" t="str">
            <v>ECOL</v>
          </cell>
          <cell r="L246" t="str">
            <v>M</v>
          </cell>
          <cell r="AO246" t="str">
            <v>N</v>
          </cell>
        </row>
        <row r="247">
          <cell r="A247" t="str">
            <v>in storage</v>
          </cell>
          <cell r="J247" t="str">
            <v>EMON</v>
          </cell>
          <cell r="L247" t="str">
            <v>F</v>
          </cell>
          <cell r="AO247" t="str">
            <v>Y</v>
          </cell>
        </row>
        <row r="248">
          <cell r="A248" t="str">
            <v>in storage</v>
          </cell>
          <cell r="J248" t="str">
            <v>EMON</v>
          </cell>
          <cell r="L248" t="str">
            <v>F</v>
          </cell>
          <cell r="AO248" t="str">
            <v>Y</v>
          </cell>
        </row>
        <row r="249">
          <cell r="A249" t="str">
            <v>in storage</v>
          </cell>
          <cell r="J249" t="str">
            <v>EMON</v>
          </cell>
          <cell r="L249" t="str">
            <v>M</v>
          </cell>
          <cell r="AO249" t="str">
            <v>Y</v>
          </cell>
        </row>
        <row r="250">
          <cell r="A250" t="str">
            <v>in storage</v>
          </cell>
          <cell r="J250" t="str">
            <v>EMON</v>
          </cell>
          <cell r="L250" t="str">
            <v>M</v>
          </cell>
          <cell r="AO250" t="str">
            <v>Y</v>
          </cell>
        </row>
        <row r="251">
          <cell r="A251" t="str">
            <v>in storage</v>
          </cell>
          <cell r="J251" t="str">
            <v>EMON</v>
          </cell>
          <cell r="L251" t="str">
            <v>M</v>
          </cell>
          <cell r="AO251" t="str">
            <v>N</v>
          </cell>
        </row>
        <row r="252">
          <cell r="A252" t="str">
            <v>gone</v>
          </cell>
          <cell r="J252" t="str">
            <v>CMED</v>
          </cell>
          <cell r="L252" t="str">
            <v>F</v>
          </cell>
          <cell r="AO252" t="str">
            <v>Y</v>
          </cell>
        </row>
        <row r="253">
          <cell r="A253" t="str">
            <v>in storage</v>
          </cell>
          <cell r="J253" t="str">
            <v>EMON</v>
          </cell>
          <cell r="L253" t="str">
            <v>F</v>
          </cell>
          <cell r="AO253" t="str">
            <v>Y</v>
          </cell>
        </row>
        <row r="254">
          <cell r="A254" t="str">
            <v>in storage</v>
          </cell>
          <cell r="J254" t="str">
            <v>EMON</v>
          </cell>
          <cell r="L254" t="str">
            <v>M</v>
          </cell>
          <cell r="AO254" t="str">
            <v>N</v>
          </cell>
        </row>
        <row r="255">
          <cell r="A255" t="str">
            <v>in storage</v>
          </cell>
          <cell r="J255" t="str">
            <v>EMON</v>
          </cell>
          <cell r="L255" t="str">
            <v>F</v>
          </cell>
          <cell r="AO255" t="str">
            <v>N</v>
          </cell>
        </row>
        <row r="256">
          <cell r="A256" t="str">
            <v>in storage</v>
          </cell>
          <cell r="J256" t="str">
            <v>EMON</v>
          </cell>
          <cell r="L256" t="str">
            <v>M</v>
          </cell>
          <cell r="AO256" t="str">
            <v>Y</v>
          </cell>
        </row>
        <row r="257">
          <cell r="A257" t="str">
            <v>in storage</v>
          </cell>
          <cell r="J257" t="str">
            <v>EMON</v>
          </cell>
          <cell r="L257" t="str">
            <v>M</v>
          </cell>
          <cell r="AO257" t="str">
            <v>Y</v>
          </cell>
        </row>
        <row r="258">
          <cell r="A258" t="str">
            <v>in storage</v>
          </cell>
          <cell r="J258" t="str">
            <v>EMON</v>
          </cell>
          <cell r="L258" t="str">
            <v>ND</v>
          </cell>
          <cell r="AO258" t="str">
            <v>Y</v>
          </cell>
        </row>
        <row r="259">
          <cell r="A259" t="str">
            <v>in storage</v>
          </cell>
          <cell r="J259" t="str">
            <v>ECOR</v>
          </cell>
          <cell r="L259" t="str">
            <v>M</v>
          </cell>
          <cell r="AO259" t="str">
            <v>N</v>
          </cell>
          <cell r="AQ259" t="str">
            <v>Y- whole</v>
          </cell>
        </row>
        <row r="260">
          <cell r="A260" t="str">
            <v>gone</v>
          </cell>
          <cell r="J260" t="str">
            <v>MMUR</v>
          </cell>
          <cell r="L260" t="str">
            <v>F</v>
          </cell>
          <cell r="AO260" t="str">
            <v>N</v>
          </cell>
        </row>
        <row r="261">
          <cell r="A261" t="str">
            <v>gone</v>
          </cell>
          <cell r="J261" t="str">
            <v>LCAT</v>
          </cell>
          <cell r="L261" t="str">
            <v>F</v>
          </cell>
          <cell r="AO261" t="str">
            <v>N</v>
          </cell>
        </row>
        <row r="262">
          <cell r="A262" t="str">
            <v>gone</v>
          </cell>
          <cell r="J262" t="str">
            <v>VRUB</v>
          </cell>
          <cell r="L262" t="str">
            <v>F</v>
          </cell>
          <cell r="AO262" t="str">
            <v>N</v>
          </cell>
        </row>
        <row r="263">
          <cell r="A263" t="str">
            <v>ARK</v>
          </cell>
          <cell r="J263" t="str">
            <v>PDIA</v>
          </cell>
          <cell r="L263" t="str">
            <v>M</v>
          </cell>
          <cell r="AO263" t="str">
            <v>N</v>
          </cell>
        </row>
        <row r="264">
          <cell r="A264" t="str">
            <v>in storage</v>
          </cell>
          <cell r="J264" t="str">
            <v>EMON</v>
          </cell>
          <cell r="L264" t="str">
            <v>F</v>
          </cell>
          <cell r="AO264" t="str">
            <v>Y</v>
          </cell>
        </row>
        <row r="265">
          <cell r="A265" t="str">
            <v>in storage</v>
          </cell>
          <cell r="J265" t="str">
            <v>EMON</v>
          </cell>
          <cell r="L265" t="str">
            <v>F</v>
          </cell>
          <cell r="AO265" t="str">
            <v>N</v>
          </cell>
        </row>
        <row r="266">
          <cell r="A266" t="str">
            <v>in storage</v>
          </cell>
          <cell r="J266" t="str">
            <v>EMON</v>
          </cell>
          <cell r="L266" t="str">
            <v>F</v>
          </cell>
          <cell r="AO266" t="str">
            <v>N</v>
          </cell>
        </row>
        <row r="267">
          <cell r="A267" t="str">
            <v>in storage</v>
          </cell>
          <cell r="J267" t="str">
            <v>ERUB</v>
          </cell>
          <cell r="L267" t="str">
            <v>M</v>
          </cell>
          <cell r="AO267" t="str">
            <v>N</v>
          </cell>
        </row>
        <row r="268">
          <cell r="A268" t="str">
            <v>in storage</v>
          </cell>
          <cell r="J268" t="str">
            <v>ERUB</v>
          </cell>
          <cell r="L268" t="str">
            <v>F</v>
          </cell>
          <cell r="AO268" t="str">
            <v>N</v>
          </cell>
        </row>
        <row r="269">
          <cell r="A269" t="str">
            <v>in storage</v>
          </cell>
          <cell r="J269" t="str">
            <v>ERUB</v>
          </cell>
          <cell r="L269" t="str">
            <v>M</v>
          </cell>
          <cell r="AO269" t="str">
            <v>N</v>
          </cell>
        </row>
        <row r="270">
          <cell r="A270" t="str">
            <v>in storage</v>
          </cell>
          <cell r="J270" t="str">
            <v>ERUB</v>
          </cell>
          <cell r="L270" t="str">
            <v>F</v>
          </cell>
          <cell r="AO270" t="str">
            <v>N</v>
          </cell>
        </row>
        <row r="271">
          <cell r="A271" t="str">
            <v>in storage</v>
          </cell>
          <cell r="J271" t="str">
            <v>ERUB</v>
          </cell>
          <cell r="L271" t="str">
            <v>F</v>
          </cell>
          <cell r="AO271" t="str">
            <v>N</v>
          </cell>
        </row>
        <row r="272">
          <cell r="A272" t="str">
            <v>in storage</v>
          </cell>
          <cell r="J272" t="str">
            <v>ERUB</v>
          </cell>
          <cell r="L272" t="str">
            <v>M</v>
          </cell>
          <cell r="AO272" t="str">
            <v>N</v>
          </cell>
        </row>
        <row r="273">
          <cell r="A273" t="str">
            <v>in storage</v>
          </cell>
          <cell r="J273" t="str">
            <v>ERUF</v>
          </cell>
          <cell r="L273" t="str">
            <v>F</v>
          </cell>
          <cell r="AO273" t="str">
            <v>Y</v>
          </cell>
        </row>
        <row r="274">
          <cell r="A274" t="str">
            <v>in storage</v>
          </cell>
          <cell r="J274" t="str">
            <v>ERUF</v>
          </cell>
          <cell r="L274" t="str">
            <v>M</v>
          </cell>
          <cell r="AO274" t="str">
            <v>N</v>
          </cell>
        </row>
        <row r="275">
          <cell r="A275" t="str">
            <v>gone</v>
          </cell>
          <cell r="J275" t="str">
            <v>VVV</v>
          </cell>
          <cell r="L275" t="str">
            <v>F</v>
          </cell>
          <cell r="AO275" t="str">
            <v>Y</v>
          </cell>
        </row>
        <row r="276">
          <cell r="A276" t="str">
            <v>in storage</v>
          </cell>
          <cell r="J276" t="str">
            <v>ERUF</v>
          </cell>
          <cell r="L276" t="str">
            <v>M</v>
          </cell>
          <cell r="AO276" t="str">
            <v>N</v>
          </cell>
        </row>
        <row r="277">
          <cell r="A277" t="str">
            <v>in storage</v>
          </cell>
          <cell r="J277" t="str">
            <v>ERUF</v>
          </cell>
          <cell r="L277" t="str">
            <v>M</v>
          </cell>
          <cell r="AO277" t="str">
            <v>N</v>
          </cell>
        </row>
        <row r="278">
          <cell r="A278" t="str">
            <v>gone</v>
          </cell>
          <cell r="J278" t="str">
            <v>HGG</v>
          </cell>
          <cell r="L278" t="str">
            <v>F</v>
          </cell>
          <cell r="AO278" t="str">
            <v>N</v>
          </cell>
        </row>
        <row r="279">
          <cell r="A279" t="str">
            <v>in storage</v>
          </cell>
          <cell r="J279" t="str">
            <v>ERUF</v>
          </cell>
          <cell r="L279" t="str">
            <v>F</v>
          </cell>
          <cell r="AO279" t="str">
            <v>N</v>
          </cell>
        </row>
        <row r="280">
          <cell r="A280" t="str">
            <v>in storage</v>
          </cell>
          <cell r="J280" t="str">
            <v>ERUF</v>
          </cell>
          <cell r="L280" t="str">
            <v>M</v>
          </cell>
          <cell r="AO280" t="str">
            <v>Y</v>
          </cell>
        </row>
        <row r="281">
          <cell r="A281" t="str">
            <v>in storage</v>
          </cell>
          <cell r="J281" t="str">
            <v>ERUF</v>
          </cell>
          <cell r="L281" t="str">
            <v>M</v>
          </cell>
          <cell r="AO281" t="str">
            <v>Y</v>
          </cell>
        </row>
        <row r="282">
          <cell r="A282" t="str">
            <v>gone</v>
          </cell>
          <cell r="J282" t="str">
            <v>PCOQ</v>
          </cell>
          <cell r="L282" t="str">
            <v>M</v>
          </cell>
          <cell r="AO282" t="str">
            <v>N</v>
          </cell>
        </row>
        <row r="283">
          <cell r="A283" t="str">
            <v>in storage</v>
          </cell>
          <cell r="J283" t="str">
            <v>ERUF</v>
          </cell>
          <cell r="L283" t="str">
            <v>M</v>
          </cell>
          <cell r="AO283" t="str">
            <v>Y</v>
          </cell>
        </row>
        <row r="284">
          <cell r="A284" t="str">
            <v>in storage</v>
          </cell>
          <cell r="J284" t="str">
            <v>ERUF</v>
          </cell>
          <cell r="L284" t="str">
            <v>M</v>
          </cell>
          <cell r="AO284" t="str">
            <v>Y</v>
          </cell>
        </row>
        <row r="285">
          <cell r="A285" t="str">
            <v>in storage</v>
          </cell>
          <cell r="J285" t="str">
            <v>ERUF</v>
          </cell>
          <cell r="L285" t="str">
            <v>M</v>
          </cell>
          <cell r="AO285" t="str">
            <v>Y</v>
          </cell>
        </row>
        <row r="286">
          <cell r="A286" t="str">
            <v>gone</v>
          </cell>
          <cell r="J286" t="str">
            <v>VRUB</v>
          </cell>
          <cell r="L286" t="str">
            <v>M</v>
          </cell>
          <cell r="AO286" t="str">
            <v>N</v>
          </cell>
        </row>
        <row r="287">
          <cell r="A287" t="str">
            <v>in storage</v>
          </cell>
          <cell r="J287" t="str">
            <v>ERUF</v>
          </cell>
          <cell r="L287" t="str">
            <v>F</v>
          </cell>
          <cell r="AO287" t="str">
            <v>Y</v>
          </cell>
        </row>
        <row r="288">
          <cell r="A288" t="str">
            <v>in storage</v>
          </cell>
          <cell r="J288" t="str">
            <v>ECOR</v>
          </cell>
          <cell r="L288" t="str">
            <v>F</v>
          </cell>
          <cell r="AO288" t="str">
            <v>N</v>
          </cell>
          <cell r="AQ288" t="str">
            <v>Y- whole</v>
          </cell>
        </row>
        <row r="289">
          <cell r="A289" t="str">
            <v>gone</v>
          </cell>
          <cell r="J289" t="str">
            <v>DMAD</v>
          </cell>
          <cell r="L289" t="str">
            <v>M</v>
          </cell>
          <cell r="AO289" t="str">
            <v>Y</v>
          </cell>
        </row>
        <row r="290">
          <cell r="A290" t="str">
            <v>in storage</v>
          </cell>
          <cell r="J290" t="str">
            <v>ESAN</v>
          </cell>
          <cell r="L290" t="str">
            <v>F</v>
          </cell>
          <cell r="AO290" t="str">
            <v>N</v>
          </cell>
        </row>
        <row r="291">
          <cell r="A291" t="str">
            <v>in storage</v>
          </cell>
          <cell r="J291" t="str">
            <v>ESAN</v>
          </cell>
          <cell r="L291" t="str">
            <v>M</v>
          </cell>
          <cell r="AO291" t="str">
            <v>N</v>
          </cell>
        </row>
        <row r="292">
          <cell r="A292" t="str">
            <v>in storage</v>
          </cell>
          <cell r="J292" t="str">
            <v>ESAN</v>
          </cell>
          <cell r="L292" t="str">
            <v>M</v>
          </cell>
          <cell r="AO292" t="str">
            <v>N</v>
          </cell>
        </row>
        <row r="293">
          <cell r="A293" t="str">
            <v>in storage</v>
          </cell>
          <cell r="J293" t="str">
            <v>ESAN</v>
          </cell>
          <cell r="L293" t="str">
            <v>F</v>
          </cell>
          <cell r="AO293" t="str">
            <v>N</v>
          </cell>
        </row>
        <row r="294">
          <cell r="A294" t="str">
            <v>in storage</v>
          </cell>
          <cell r="J294" t="str">
            <v>EFLA</v>
          </cell>
          <cell r="L294" t="str">
            <v>M</v>
          </cell>
          <cell r="AO294" t="str">
            <v>N</v>
          </cell>
          <cell r="AQ294" t="str">
            <v>Y- face peel</v>
          </cell>
        </row>
        <row r="295">
          <cell r="A295" t="str">
            <v>ARK</v>
          </cell>
          <cell r="J295" t="str">
            <v>EFLA</v>
          </cell>
          <cell r="L295" t="str">
            <v>F</v>
          </cell>
          <cell r="AO295" t="str">
            <v>N</v>
          </cell>
          <cell r="AQ295" t="str">
            <v>Y- feet, hands, cranium, hamate</v>
          </cell>
        </row>
        <row r="296">
          <cell r="A296" t="str">
            <v>in storage</v>
          </cell>
          <cell r="J296" t="str">
            <v>EUL</v>
          </cell>
          <cell r="L296" t="str">
            <v>M</v>
          </cell>
          <cell r="AO296" t="str">
            <v>Y</v>
          </cell>
        </row>
        <row r="297">
          <cell r="A297" t="str">
            <v>in storage</v>
          </cell>
          <cell r="J297" t="str">
            <v>EMON</v>
          </cell>
          <cell r="L297" t="str">
            <v>F</v>
          </cell>
          <cell r="AO297" t="str">
            <v>N</v>
          </cell>
          <cell r="AQ297" t="str">
            <v>Y- whole</v>
          </cell>
        </row>
        <row r="298">
          <cell r="A298" t="str">
            <v>ARK</v>
          </cell>
          <cell r="J298" t="str">
            <v>EMON</v>
          </cell>
          <cell r="L298" t="str">
            <v>F</v>
          </cell>
          <cell r="AO298" t="str">
            <v>N</v>
          </cell>
          <cell r="AQ298" t="str">
            <v>Y- whole</v>
          </cell>
        </row>
        <row r="299">
          <cell r="A299" t="str">
            <v>in storage</v>
          </cell>
          <cell r="J299" t="str">
            <v>EMON</v>
          </cell>
          <cell r="L299" t="str">
            <v>M</v>
          </cell>
          <cell r="AO299" t="str">
            <v>N</v>
          </cell>
          <cell r="AQ299" t="str">
            <v xml:space="preserve">Y- feet, hands, cranium, hamate, talus, calcaneus. </v>
          </cell>
        </row>
        <row r="300">
          <cell r="A300" t="str">
            <v>in storage</v>
          </cell>
          <cell r="J300" t="str">
            <v>EUL</v>
          </cell>
          <cell r="L300" t="str">
            <v>M</v>
          </cell>
          <cell r="AO300" t="str">
            <v>N</v>
          </cell>
        </row>
        <row r="301">
          <cell r="A301" t="str">
            <v>gone</v>
          </cell>
          <cell r="J301" t="str">
            <v>EFLA</v>
          </cell>
          <cell r="L301" t="str">
            <v>F</v>
          </cell>
          <cell r="AO301" t="str">
            <v>N</v>
          </cell>
        </row>
        <row r="302">
          <cell r="A302" t="str">
            <v>in storage</v>
          </cell>
          <cell r="J302" t="str">
            <v>EMON</v>
          </cell>
          <cell r="L302" t="str">
            <v>M</v>
          </cell>
          <cell r="AO302" t="str">
            <v>N</v>
          </cell>
          <cell r="AQ302" t="str">
            <v>Y- whole</v>
          </cell>
        </row>
        <row r="303">
          <cell r="A303" t="str">
            <v>gone</v>
          </cell>
          <cell r="J303" t="str">
            <v>HGG</v>
          </cell>
          <cell r="L303" t="str">
            <v>F</v>
          </cell>
          <cell r="AO303" t="str">
            <v>N</v>
          </cell>
        </row>
        <row r="304">
          <cell r="A304" t="str">
            <v>in storage</v>
          </cell>
          <cell r="J304" t="str">
            <v>EUL</v>
          </cell>
          <cell r="L304" t="str">
            <v>M</v>
          </cell>
          <cell r="AO304" t="str">
            <v>N</v>
          </cell>
        </row>
        <row r="305">
          <cell r="A305" t="str">
            <v>in storage</v>
          </cell>
          <cell r="J305" t="str">
            <v>EMON</v>
          </cell>
          <cell r="L305" t="str">
            <v>M</v>
          </cell>
          <cell r="AO305" t="str">
            <v>N</v>
          </cell>
          <cell r="AQ305" t="str">
            <v>Y- whole w/o head</v>
          </cell>
        </row>
        <row r="306">
          <cell r="A306" t="str">
            <v>gone</v>
          </cell>
          <cell r="J306" t="str">
            <v>DMAD</v>
          </cell>
          <cell r="L306" t="str">
            <v>M</v>
          </cell>
        </row>
        <row r="307">
          <cell r="A307" t="str">
            <v>in storage</v>
          </cell>
          <cell r="J307" t="str">
            <v>ESAN</v>
          </cell>
          <cell r="L307" t="str">
            <v>M</v>
          </cell>
          <cell r="AO307" t="str">
            <v>N</v>
          </cell>
          <cell r="AQ307" t="str">
            <v>Y- whole</v>
          </cell>
        </row>
        <row r="308">
          <cell r="A308" t="str">
            <v>gone</v>
          </cell>
          <cell r="J308" t="str">
            <v>LCAT</v>
          </cell>
          <cell r="L308" t="str">
            <v>F</v>
          </cell>
          <cell r="AO308" t="str">
            <v>N</v>
          </cell>
        </row>
        <row r="309">
          <cell r="A309" t="str">
            <v>in storage</v>
          </cell>
          <cell r="J309" t="str">
            <v>EUL</v>
          </cell>
          <cell r="L309" t="str">
            <v>M</v>
          </cell>
          <cell r="AO309" t="str">
            <v>N</v>
          </cell>
          <cell r="AQ309" t="str">
            <v>Y- whole</v>
          </cell>
        </row>
        <row r="310">
          <cell r="A310" t="str">
            <v>gone</v>
          </cell>
          <cell r="J310" t="str">
            <v>VVV</v>
          </cell>
          <cell r="L310" t="str">
            <v>F</v>
          </cell>
          <cell r="AO310" t="str">
            <v>N</v>
          </cell>
        </row>
        <row r="311">
          <cell r="A311" t="str">
            <v>gone</v>
          </cell>
          <cell r="J311" t="str">
            <v>ECOR</v>
          </cell>
          <cell r="L311" t="str">
            <v>M</v>
          </cell>
          <cell r="AO311" t="str">
            <v>N</v>
          </cell>
        </row>
        <row r="312">
          <cell r="A312" t="str">
            <v>gone</v>
          </cell>
          <cell r="J312" t="str">
            <v>EFLA</v>
          </cell>
          <cell r="L312" t="str">
            <v>M</v>
          </cell>
          <cell r="AO312" t="str">
            <v>Y</v>
          </cell>
        </row>
        <row r="313">
          <cell r="A313" t="str">
            <v>in storage</v>
          </cell>
          <cell r="J313" t="str">
            <v>EUL</v>
          </cell>
          <cell r="L313" t="str">
            <v>F</v>
          </cell>
          <cell r="AO313" t="str">
            <v>N</v>
          </cell>
        </row>
        <row r="314">
          <cell r="A314" t="str">
            <v>in storage</v>
          </cell>
          <cell r="J314" t="str">
            <v>EUL</v>
          </cell>
          <cell r="L314" t="str">
            <v>F</v>
          </cell>
          <cell r="AO314" t="str">
            <v>Y</v>
          </cell>
        </row>
        <row r="315">
          <cell r="A315" t="str">
            <v>in storage</v>
          </cell>
          <cell r="J315" t="str">
            <v>EUL</v>
          </cell>
          <cell r="L315" t="str">
            <v>F</v>
          </cell>
          <cell r="AO315" t="str">
            <v>N</v>
          </cell>
          <cell r="AQ315" t="str">
            <v>Y- feet, hand, cranium</v>
          </cell>
        </row>
        <row r="316">
          <cell r="A316" t="str">
            <v>in storage</v>
          </cell>
          <cell r="J316" t="str">
            <v>EUL</v>
          </cell>
          <cell r="L316" t="str">
            <v>F</v>
          </cell>
          <cell r="AO316" t="str">
            <v>Y</v>
          </cell>
        </row>
        <row r="317">
          <cell r="A317" t="str">
            <v>gone</v>
          </cell>
          <cell r="J317" t="str">
            <v>ECOL</v>
          </cell>
          <cell r="L317" t="str">
            <v>F</v>
          </cell>
          <cell r="AO317" t="str">
            <v>N</v>
          </cell>
        </row>
        <row r="318">
          <cell r="A318" t="str">
            <v>in storage</v>
          </cell>
          <cell r="J318" t="str">
            <v>EUL</v>
          </cell>
          <cell r="L318" t="str">
            <v>M</v>
          </cell>
          <cell r="AO318" t="str">
            <v>Y</v>
          </cell>
        </row>
        <row r="319">
          <cell r="A319" t="str">
            <v>in storage</v>
          </cell>
          <cell r="J319" t="str">
            <v>EUL</v>
          </cell>
          <cell r="L319" t="str">
            <v>F</v>
          </cell>
          <cell r="AO319" t="str">
            <v>Y</v>
          </cell>
        </row>
        <row r="320">
          <cell r="A320" t="str">
            <v>in storage</v>
          </cell>
          <cell r="J320" t="str">
            <v>EUL</v>
          </cell>
          <cell r="L320" t="str">
            <v>F</v>
          </cell>
          <cell r="AO320" t="str">
            <v>Y</v>
          </cell>
        </row>
        <row r="321">
          <cell r="A321" t="str">
            <v>in storage</v>
          </cell>
          <cell r="J321" t="str">
            <v>EUL</v>
          </cell>
          <cell r="L321" t="str">
            <v>F</v>
          </cell>
          <cell r="AO321" t="str">
            <v>Y</v>
          </cell>
        </row>
        <row r="322">
          <cell r="A322" t="str">
            <v>gone</v>
          </cell>
          <cell r="J322" t="str">
            <v>LTAR</v>
          </cell>
          <cell r="L322" t="str">
            <v>F</v>
          </cell>
          <cell r="AO322" t="str">
            <v>N</v>
          </cell>
        </row>
        <row r="323">
          <cell r="A323" t="str">
            <v>in storage</v>
          </cell>
          <cell r="J323" t="str">
            <v>EUL</v>
          </cell>
          <cell r="L323" t="str">
            <v>M</v>
          </cell>
          <cell r="AO323" t="str">
            <v>Y</v>
          </cell>
        </row>
        <row r="324">
          <cell r="A324" t="str">
            <v>in storage</v>
          </cell>
          <cell r="J324" t="str">
            <v>EUL</v>
          </cell>
          <cell r="L324" t="str">
            <v>F</v>
          </cell>
          <cell r="AO324" t="str">
            <v>Y</v>
          </cell>
        </row>
        <row r="325">
          <cell r="A325" t="str">
            <v>in storage</v>
          </cell>
          <cell r="J325" t="str">
            <v>EUL</v>
          </cell>
          <cell r="L325" t="str">
            <v>M</v>
          </cell>
          <cell r="AO325" t="str">
            <v>Y</v>
          </cell>
        </row>
        <row r="326">
          <cell r="A326" t="str">
            <v>in storage</v>
          </cell>
          <cell r="J326" t="str">
            <v>EUL</v>
          </cell>
          <cell r="L326" t="str">
            <v>F</v>
          </cell>
          <cell r="AO326" t="str">
            <v>Y</v>
          </cell>
        </row>
        <row r="327">
          <cell r="A327" t="str">
            <v>in storage</v>
          </cell>
          <cell r="J327" t="str">
            <v>EUL</v>
          </cell>
          <cell r="L327" t="str">
            <v>M</v>
          </cell>
          <cell r="AO327" t="str">
            <v>Y</v>
          </cell>
        </row>
        <row r="328">
          <cell r="A328" t="str">
            <v>in storage</v>
          </cell>
          <cell r="J328" t="str">
            <v>EUL</v>
          </cell>
          <cell r="L328" t="str">
            <v>F</v>
          </cell>
          <cell r="AO328" t="str">
            <v>Y</v>
          </cell>
        </row>
        <row r="329">
          <cell r="A329" t="str">
            <v>in storage</v>
          </cell>
          <cell r="J329" t="str">
            <v>EUL</v>
          </cell>
          <cell r="L329" t="str">
            <v>M</v>
          </cell>
          <cell r="AO329" t="str">
            <v>Y</v>
          </cell>
        </row>
        <row r="330">
          <cell r="A330" t="str">
            <v>in storage</v>
          </cell>
          <cell r="J330" t="str">
            <v>EUL</v>
          </cell>
          <cell r="L330" t="str">
            <v>F</v>
          </cell>
          <cell r="AO330" t="str">
            <v>Y</v>
          </cell>
        </row>
        <row r="331">
          <cell r="A331" t="str">
            <v>in storage</v>
          </cell>
          <cell r="J331" t="str">
            <v>EUL</v>
          </cell>
          <cell r="L331" t="str">
            <v>M</v>
          </cell>
          <cell r="AO331" t="str">
            <v>N</v>
          </cell>
        </row>
        <row r="332">
          <cell r="A332" t="str">
            <v>in storage</v>
          </cell>
          <cell r="J332" t="str">
            <v>EUL</v>
          </cell>
          <cell r="L332" t="str">
            <v>M</v>
          </cell>
          <cell r="AO332" t="str">
            <v>Y</v>
          </cell>
        </row>
        <row r="333">
          <cell r="A333" t="str">
            <v>in storage</v>
          </cell>
          <cell r="J333" t="str">
            <v>EUL</v>
          </cell>
          <cell r="L333" t="str">
            <v>M</v>
          </cell>
          <cell r="AO333" t="str">
            <v>Y</v>
          </cell>
        </row>
        <row r="334">
          <cell r="A334" t="str">
            <v>in storage</v>
          </cell>
          <cell r="J334" t="str">
            <v>EUL</v>
          </cell>
          <cell r="L334" t="str">
            <v>F</v>
          </cell>
          <cell r="AO334" t="str">
            <v>Y</v>
          </cell>
        </row>
        <row r="335">
          <cell r="A335" t="str">
            <v>in storage</v>
          </cell>
          <cell r="J335" t="str">
            <v>EUL</v>
          </cell>
          <cell r="L335" t="str">
            <v>ND</v>
          </cell>
          <cell r="AO335" t="str">
            <v>Y</v>
          </cell>
        </row>
        <row r="336">
          <cell r="A336" t="str">
            <v>in storage</v>
          </cell>
          <cell r="J336" t="str">
            <v>EUL</v>
          </cell>
          <cell r="L336" t="str">
            <v>M</v>
          </cell>
          <cell r="AO336" t="str">
            <v>Y</v>
          </cell>
        </row>
        <row r="337">
          <cell r="A337" t="str">
            <v>in storage</v>
          </cell>
          <cell r="J337" t="str">
            <v>EUL</v>
          </cell>
          <cell r="L337" t="str">
            <v>M</v>
          </cell>
          <cell r="AO337" t="str">
            <v>Y</v>
          </cell>
        </row>
        <row r="338">
          <cell r="A338" t="str">
            <v>in storage</v>
          </cell>
          <cell r="J338" t="str">
            <v>EUL</v>
          </cell>
          <cell r="L338" t="str">
            <v>M</v>
          </cell>
          <cell r="AO338" t="str">
            <v>Y</v>
          </cell>
        </row>
        <row r="339">
          <cell r="A339" t="str">
            <v>in storage</v>
          </cell>
          <cell r="J339" t="str">
            <v>EUL</v>
          </cell>
          <cell r="L339" t="str">
            <v>F</v>
          </cell>
          <cell r="AO339" t="str">
            <v>Y</v>
          </cell>
        </row>
        <row r="340">
          <cell r="A340" t="str">
            <v>in storage</v>
          </cell>
          <cell r="J340" t="str">
            <v>EUL</v>
          </cell>
          <cell r="L340" t="str">
            <v>F</v>
          </cell>
          <cell r="AO340" t="str">
            <v>Y</v>
          </cell>
        </row>
        <row r="341">
          <cell r="A341" t="str">
            <v>in storage</v>
          </cell>
          <cell r="J341" t="str">
            <v>EUL</v>
          </cell>
          <cell r="L341" t="str">
            <v>M</v>
          </cell>
          <cell r="AO341" t="str">
            <v>Y</v>
          </cell>
        </row>
        <row r="342">
          <cell r="A342" t="str">
            <v>gone</v>
          </cell>
          <cell r="J342" t="str">
            <v>EMON</v>
          </cell>
          <cell r="L342" t="str">
            <v>F</v>
          </cell>
          <cell r="AO342" t="str">
            <v>N</v>
          </cell>
        </row>
        <row r="343">
          <cell r="A343" t="str">
            <v>in storage</v>
          </cell>
          <cell r="J343" t="str">
            <v>EUL</v>
          </cell>
          <cell r="L343" t="str">
            <v>F</v>
          </cell>
          <cell r="AO343" t="str">
            <v>Y</v>
          </cell>
        </row>
        <row r="344">
          <cell r="A344" t="str">
            <v>in storage</v>
          </cell>
          <cell r="J344" t="str">
            <v>EUL</v>
          </cell>
          <cell r="L344" t="str">
            <v>M</v>
          </cell>
          <cell r="AO344" t="str">
            <v>Y</v>
          </cell>
        </row>
        <row r="345">
          <cell r="A345" t="str">
            <v>in storage</v>
          </cell>
          <cell r="J345" t="str">
            <v>EUL</v>
          </cell>
          <cell r="L345" t="str">
            <v>M</v>
          </cell>
          <cell r="AO345" t="str">
            <v>Y</v>
          </cell>
        </row>
        <row r="346">
          <cell r="A346" t="str">
            <v>gone</v>
          </cell>
          <cell r="J346" t="str">
            <v>ERUF</v>
          </cell>
          <cell r="L346" t="str">
            <v>F</v>
          </cell>
          <cell r="AO346" t="str">
            <v>Y</v>
          </cell>
        </row>
        <row r="347">
          <cell r="A347" t="str">
            <v>in storage</v>
          </cell>
          <cell r="J347" t="str">
            <v>EUL</v>
          </cell>
          <cell r="L347" t="str">
            <v>M</v>
          </cell>
          <cell r="AO347" t="str">
            <v>N</v>
          </cell>
          <cell r="AQ347" t="str">
            <v>Y- whole</v>
          </cell>
        </row>
        <row r="348">
          <cell r="A348" t="str">
            <v>in storage</v>
          </cell>
          <cell r="J348" t="str">
            <v>GDEM</v>
          </cell>
          <cell r="L348" t="str">
            <v>M</v>
          </cell>
          <cell r="AO348" t="str">
            <v>N</v>
          </cell>
        </row>
        <row r="349">
          <cell r="A349" t="str">
            <v>gone</v>
          </cell>
          <cell r="J349" t="str">
            <v>DMAD</v>
          </cell>
          <cell r="L349" t="str">
            <v>F</v>
          </cell>
          <cell r="AO349" t="str">
            <v>Y</v>
          </cell>
        </row>
        <row r="350">
          <cell r="A350" t="str">
            <v>gone</v>
          </cell>
          <cell r="J350" t="str">
            <v>OMON</v>
          </cell>
          <cell r="L350" t="str">
            <v>M</v>
          </cell>
          <cell r="AO350" t="str">
            <v>N</v>
          </cell>
        </row>
        <row r="351">
          <cell r="A351" t="str">
            <v>in storage</v>
          </cell>
          <cell r="J351" t="str">
            <v>GDEM</v>
          </cell>
          <cell r="L351" t="str">
            <v>F</v>
          </cell>
          <cell r="AO351" t="str">
            <v>Y</v>
          </cell>
        </row>
        <row r="352">
          <cell r="A352" t="str">
            <v>in storage</v>
          </cell>
          <cell r="J352" t="str">
            <v>EUL</v>
          </cell>
          <cell r="L352" t="str">
            <v>M</v>
          </cell>
          <cell r="AO352" t="str">
            <v>N</v>
          </cell>
          <cell r="AQ352" t="str">
            <v>Y- whole</v>
          </cell>
        </row>
        <row r="353">
          <cell r="A353" t="str">
            <v>in storage</v>
          </cell>
          <cell r="J353" t="str">
            <v>EUL</v>
          </cell>
          <cell r="L353" t="str">
            <v>M</v>
          </cell>
          <cell r="AO353" t="str">
            <v>N</v>
          </cell>
          <cell r="AQ353" t="str">
            <v>Y- whole</v>
          </cell>
        </row>
        <row r="354">
          <cell r="A354" t="str">
            <v>in storage</v>
          </cell>
          <cell r="J354" t="str">
            <v>EUL</v>
          </cell>
          <cell r="L354" t="str">
            <v>M</v>
          </cell>
          <cell r="AO354" t="str">
            <v>N</v>
          </cell>
          <cell r="AQ354" t="str">
            <v>Y- whole</v>
          </cell>
        </row>
        <row r="355">
          <cell r="A355" t="str">
            <v>in storage</v>
          </cell>
          <cell r="J355" t="str">
            <v>EUL</v>
          </cell>
          <cell r="L355" t="str">
            <v>F</v>
          </cell>
          <cell r="AO355" t="str">
            <v>N</v>
          </cell>
          <cell r="AQ355" t="str">
            <v>Y- whole</v>
          </cell>
        </row>
        <row r="356">
          <cell r="A356" t="str">
            <v>in storage</v>
          </cell>
          <cell r="J356" t="str">
            <v>GDEM</v>
          </cell>
          <cell r="L356" t="str">
            <v>M</v>
          </cell>
          <cell r="AQ356" t="str">
            <v>Y- whole</v>
          </cell>
        </row>
        <row r="357">
          <cell r="A357" t="str">
            <v>in storage</v>
          </cell>
          <cell r="J357" t="str">
            <v>GMOH</v>
          </cell>
          <cell r="L357" t="str">
            <v>M</v>
          </cell>
          <cell r="AO357" t="str">
            <v>N</v>
          </cell>
          <cell r="AQ357" t="str">
            <v>Y- whole</v>
          </cell>
        </row>
        <row r="358">
          <cell r="A358" t="str">
            <v>gone</v>
          </cell>
          <cell r="J358" t="str">
            <v>DMAD</v>
          </cell>
          <cell r="L358" t="str">
            <v>M</v>
          </cell>
          <cell r="AO358" t="str">
            <v>Y</v>
          </cell>
        </row>
        <row r="359">
          <cell r="A359" t="str">
            <v>in storage</v>
          </cell>
          <cell r="J359" t="str">
            <v>GMOH</v>
          </cell>
          <cell r="L359" t="str">
            <v>M</v>
          </cell>
          <cell r="AO359" t="str">
            <v>N</v>
          </cell>
        </row>
        <row r="360">
          <cell r="A360" t="str">
            <v>in storage</v>
          </cell>
          <cell r="J360" t="str">
            <v>GMOH</v>
          </cell>
          <cell r="L360" t="str">
            <v>ND</v>
          </cell>
          <cell r="AO360" t="str">
            <v>Y</v>
          </cell>
        </row>
        <row r="361">
          <cell r="A361" t="str">
            <v>gone</v>
          </cell>
          <cell r="J361" t="str">
            <v>VRUB</v>
          </cell>
          <cell r="L361" t="str">
            <v>F</v>
          </cell>
          <cell r="AO361" t="str">
            <v>N</v>
          </cell>
        </row>
        <row r="362">
          <cell r="A362" t="str">
            <v>gone</v>
          </cell>
          <cell r="J362" t="str">
            <v>EMON</v>
          </cell>
          <cell r="L362" t="str">
            <v>M</v>
          </cell>
          <cell r="AO362" t="str">
            <v>N</v>
          </cell>
        </row>
        <row r="363">
          <cell r="A363" t="str">
            <v>in storage</v>
          </cell>
          <cell r="J363" t="str">
            <v>GMOH</v>
          </cell>
          <cell r="L363" t="str">
            <v>M</v>
          </cell>
          <cell r="AO363" t="str">
            <v>N</v>
          </cell>
          <cell r="AQ363" t="str">
            <v>Y- whole</v>
          </cell>
        </row>
        <row r="364">
          <cell r="A364" t="str">
            <v>in storage</v>
          </cell>
          <cell r="J364" t="str">
            <v>GMOH</v>
          </cell>
          <cell r="L364" t="str">
            <v>F</v>
          </cell>
          <cell r="AO364" t="str">
            <v>N</v>
          </cell>
          <cell r="AQ364" t="str">
            <v>Y- whole</v>
          </cell>
        </row>
        <row r="365">
          <cell r="A365" t="str">
            <v>gone</v>
          </cell>
          <cell r="J365" t="str">
            <v>PCOQ</v>
          </cell>
          <cell r="L365" t="str">
            <v>F</v>
          </cell>
          <cell r="AO365" t="str">
            <v>N</v>
          </cell>
        </row>
        <row r="366">
          <cell r="A366" t="str">
            <v>gone</v>
          </cell>
          <cell r="J366" t="str">
            <v>NPYG</v>
          </cell>
          <cell r="L366" t="str">
            <v>M</v>
          </cell>
          <cell r="AO366" t="str">
            <v>N</v>
          </cell>
        </row>
        <row r="367">
          <cell r="A367" t="str">
            <v>in storage</v>
          </cell>
          <cell r="J367" t="str">
            <v>GMOH</v>
          </cell>
          <cell r="L367" t="str">
            <v>F</v>
          </cell>
          <cell r="AO367" t="str">
            <v>N</v>
          </cell>
          <cell r="AQ367" t="str">
            <v>Y- whole</v>
          </cell>
        </row>
        <row r="368">
          <cell r="A368" t="str">
            <v>in storage</v>
          </cell>
          <cell r="J368" t="str">
            <v>GMOH</v>
          </cell>
          <cell r="L368" t="str">
            <v>F</v>
          </cell>
          <cell r="AO368" t="str">
            <v>N</v>
          </cell>
          <cell r="AQ368" t="str">
            <v>Y- whole w/o head</v>
          </cell>
        </row>
        <row r="369">
          <cell r="A369" t="str">
            <v>gone</v>
          </cell>
          <cell r="J369" t="str">
            <v>PCOQ</v>
          </cell>
          <cell r="L369" t="str">
            <v>M</v>
          </cell>
          <cell r="AO369" t="str">
            <v>N</v>
          </cell>
        </row>
        <row r="370">
          <cell r="A370" t="str">
            <v>missing</v>
          </cell>
          <cell r="J370" t="str">
            <v>GMOH</v>
          </cell>
          <cell r="L370" t="str">
            <v>M</v>
          </cell>
          <cell r="AO370" t="str">
            <v>N</v>
          </cell>
          <cell r="AQ370" t="str">
            <v>Y- whole</v>
          </cell>
        </row>
        <row r="371">
          <cell r="A371" t="str">
            <v>in storage</v>
          </cell>
          <cell r="J371" t="str">
            <v>GMOH</v>
          </cell>
          <cell r="L371" t="str">
            <v>M</v>
          </cell>
          <cell r="AO371" t="str">
            <v>N</v>
          </cell>
          <cell r="AQ371" t="str">
            <v>Y- whole</v>
          </cell>
        </row>
        <row r="372">
          <cell r="A372" t="str">
            <v>in storage</v>
          </cell>
          <cell r="J372" t="str">
            <v>NPYG</v>
          </cell>
          <cell r="L372" t="str">
            <v>F</v>
          </cell>
          <cell r="AO372" t="str">
            <v>N</v>
          </cell>
        </row>
        <row r="373">
          <cell r="A373" t="str">
            <v>in storage</v>
          </cell>
          <cell r="J373" t="str">
            <v>GMOH</v>
          </cell>
          <cell r="L373" t="str">
            <v>F</v>
          </cell>
          <cell r="AO373" t="str">
            <v>N</v>
          </cell>
          <cell r="AQ373" t="str">
            <v>Y- whole</v>
          </cell>
        </row>
        <row r="374">
          <cell r="A374" t="str">
            <v>in storage</v>
          </cell>
          <cell r="J374" t="str">
            <v>GMOH</v>
          </cell>
          <cell r="L374" t="str">
            <v>M</v>
          </cell>
          <cell r="AO374" t="str">
            <v>N</v>
          </cell>
          <cell r="AQ374" t="str">
            <v>Y- whole</v>
          </cell>
        </row>
        <row r="375">
          <cell r="A375" t="str">
            <v>in storage</v>
          </cell>
          <cell r="J375" t="str">
            <v>GMOH</v>
          </cell>
          <cell r="L375" t="str">
            <v>ND</v>
          </cell>
          <cell r="AO375" t="str">
            <v>Y</v>
          </cell>
        </row>
        <row r="376">
          <cell r="A376" t="str">
            <v>in storage</v>
          </cell>
          <cell r="J376" t="str">
            <v>GMOH</v>
          </cell>
          <cell r="L376" t="str">
            <v>M</v>
          </cell>
          <cell r="AO376" t="str">
            <v>Y</v>
          </cell>
        </row>
        <row r="377">
          <cell r="A377" t="str">
            <v>in storage</v>
          </cell>
          <cell r="J377" t="str">
            <v>GMOH</v>
          </cell>
          <cell r="L377" t="str">
            <v>F</v>
          </cell>
          <cell r="AO377" t="str">
            <v>Y</v>
          </cell>
          <cell r="AQ377" t="str">
            <v>Y- whole</v>
          </cell>
        </row>
        <row r="378">
          <cell r="A378" t="str">
            <v>in storage</v>
          </cell>
          <cell r="J378" t="str">
            <v>GMOH</v>
          </cell>
          <cell r="L378" t="str">
            <v>M</v>
          </cell>
          <cell r="AO378" t="str">
            <v>Y</v>
          </cell>
        </row>
        <row r="379">
          <cell r="A379" t="str">
            <v>in storage</v>
          </cell>
          <cell r="J379" t="str">
            <v>GMOH</v>
          </cell>
          <cell r="L379" t="str">
            <v>ND</v>
          </cell>
          <cell r="AO379" t="str">
            <v>Y</v>
          </cell>
        </row>
        <row r="380">
          <cell r="A380" t="str">
            <v>in storage</v>
          </cell>
          <cell r="J380" t="str">
            <v>GMOH</v>
          </cell>
          <cell r="L380" t="str">
            <v>M</v>
          </cell>
          <cell r="AO380" t="str">
            <v>Y</v>
          </cell>
        </row>
        <row r="381">
          <cell r="A381" t="str">
            <v>in storage</v>
          </cell>
          <cell r="J381" t="str">
            <v>GMOH</v>
          </cell>
          <cell r="L381" t="str">
            <v>M</v>
          </cell>
          <cell r="AO381" t="str">
            <v>Y</v>
          </cell>
        </row>
        <row r="382">
          <cell r="A382" t="str">
            <v>gone</v>
          </cell>
          <cell r="J382" t="str">
            <v>GMOH</v>
          </cell>
          <cell r="L382" t="str">
            <v>ND</v>
          </cell>
          <cell r="AO382" t="str">
            <v>Y</v>
          </cell>
          <cell r="AQ382" t="str">
            <v>Y- head</v>
          </cell>
        </row>
        <row r="383">
          <cell r="A383" t="str">
            <v>in storage</v>
          </cell>
          <cell r="J383" t="str">
            <v>GMOH</v>
          </cell>
          <cell r="L383" t="str">
            <v>M</v>
          </cell>
          <cell r="AO383" t="str">
            <v>N</v>
          </cell>
          <cell r="AQ383" t="str">
            <v>Y- whole</v>
          </cell>
        </row>
        <row r="384">
          <cell r="A384" t="str">
            <v>gone</v>
          </cell>
          <cell r="J384" t="str">
            <v>DMAD</v>
          </cell>
          <cell r="L384" t="str">
            <v>M</v>
          </cell>
        </row>
        <row r="385">
          <cell r="A385" t="str">
            <v>in storage</v>
          </cell>
          <cell r="J385" t="str">
            <v>GMOH</v>
          </cell>
          <cell r="L385" t="str">
            <v>ND</v>
          </cell>
          <cell r="AO385" t="str">
            <v>Y</v>
          </cell>
        </row>
        <row r="386">
          <cell r="A386" t="str">
            <v>in storage</v>
          </cell>
          <cell r="J386" t="str">
            <v>GMOH</v>
          </cell>
          <cell r="L386" t="str">
            <v>F</v>
          </cell>
          <cell r="AO386" t="str">
            <v>Y</v>
          </cell>
        </row>
        <row r="387">
          <cell r="A387" t="str">
            <v>in storage</v>
          </cell>
          <cell r="J387" t="str">
            <v>GMOH</v>
          </cell>
          <cell r="L387" t="str">
            <v>F</v>
          </cell>
          <cell r="AO387" t="str">
            <v>Y</v>
          </cell>
        </row>
        <row r="388">
          <cell r="A388" t="str">
            <v>in storage</v>
          </cell>
          <cell r="J388" t="str">
            <v>GMOH</v>
          </cell>
          <cell r="L388" t="str">
            <v>M</v>
          </cell>
          <cell r="AO388" t="str">
            <v>UNK</v>
          </cell>
        </row>
        <row r="389">
          <cell r="A389" t="str">
            <v>in storage</v>
          </cell>
          <cell r="J389" t="str">
            <v>GMOH</v>
          </cell>
          <cell r="L389" t="str">
            <v>M</v>
          </cell>
          <cell r="AO389" t="str">
            <v>Y</v>
          </cell>
        </row>
        <row r="390">
          <cell r="A390" t="str">
            <v>in storage</v>
          </cell>
          <cell r="J390" t="str">
            <v>GMOH</v>
          </cell>
          <cell r="L390" t="str">
            <v>F</v>
          </cell>
          <cell r="AO390" t="str">
            <v>Y</v>
          </cell>
        </row>
        <row r="391">
          <cell r="A391" t="str">
            <v>in storage</v>
          </cell>
          <cell r="J391" t="str">
            <v>GMOH</v>
          </cell>
          <cell r="L391" t="str">
            <v>F</v>
          </cell>
          <cell r="AO391" t="str">
            <v>N</v>
          </cell>
          <cell r="AQ391" t="str">
            <v>Y- whole</v>
          </cell>
        </row>
        <row r="392">
          <cell r="A392" t="str">
            <v>in storage</v>
          </cell>
          <cell r="J392" t="str">
            <v>GMOH</v>
          </cell>
          <cell r="L392" t="str">
            <v>ND</v>
          </cell>
          <cell r="AO392" t="str">
            <v>Y</v>
          </cell>
        </row>
        <row r="393">
          <cell r="A393" t="str">
            <v>in storage</v>
          </cell>
          <cell r="J393" t="str">
            <v>GMOH</v>
          </cell>
          <cell r="L393" t="str">
            <v>ND</v>
          </cell>
          <cell r="AO393" t="str">
            <v>Y</v>
          </cell>
        </row>
        <row r="394">
          <cell r="A394" t="str">
            <v>in storage</v>
          </cell>
          <cell r="J394" t="str">
            <v>GMOH</v>
          </cell>
          <cell r="L394" t="str">
            <v>M</v>
          </cell>
          <cell r="AO394" t="str">
            <v>Y</v>
          </cell>
        </row>
        <row r="395">
          <cell r="A395" t="str">
            <v>in storage</v>
          </cell>
          <cell r="J395" t="str">
            <v>GMOH</v>
          </cell>
          <cell r="L395" t="str">
            <v>M</v>
          </cell>
          <cell r="AO395" t="str">
            <v>N</v>
          </cell>
          <cell r="AQ395" t="str">
            <v>Y- whole</v>
          </cell>
        </row>
        <row r="396">
          <cell r="J396" t="str">
            <v>PCOQ</v>
          </cell>
          <cell r="L396" t="str">
            <v>F</v>
          </cell>
        </row>
        <row r="397">
          <cell r="A397" t="str">
            <v>in storage</v>
          </cell>
          <cell r="J397" t="str">
            <v>GMOH</v>
          </cell>
          <cell r="L397" t="str">
            <v>M</v>
          </cell>
          <cell r="AO397" t="str">
            <v>N</v>
          </cell>
        </row>
        <row r="398">
          <cell r="A398" t="str">
            <v>in storage</v>
          </cell>
          <cell r="J398" t="str">
            <v>GMOH</v>
          </cell>
          <cell r="L398" t="str">
            <v>F</v>
          </cell>
          <cell r="AO398" t="str">
            <v>N</v>
          </cell>
        </row>
        <row r="399">
          <cell r="A399" t="str">
            <v>gone</v>
          </cell>
          <cell r="J399" t="str">
            <v>OGG</v>
          </cell>
          <cell r="L399" t="str">
            <v>M</v>
          </cell>
          <cell r="AO399" t="str">
            <v>N</v>
          </cell>
        </row>
        <row r="400">
          <cell r="A400" t="str">
            <v>gone</v>
          </cell>
          <cell r="J400" t="str">
            <v>LCAT</v>
          </cell>
          <cell r="L400" t="str">
            <v>F</v>
          </cell>
          <cell r="AO400" t="str">
            <v>N</v>
          </cell>
        </row>
        <row r="401">
          <cell r="A401" t="str">
            <v>in storage</v>
          </cell>
          <cell r="J401" t="str">
            <v>GMOH</v>
          </cell>
          <cell r="L401" t="str">
            <v>F</v>
          </cell>
          <cell r="AO401" t="str">
            <v>N</v>
          </cell>
          <cell r="AQ401" t="str">
            <v>Y- whole</v>
          </cell>
        </row>
        <row r="402">
          <cell r="A402" t="str">
            <v>in storage</v>
          </cell>
          <cell r="J402" t="str">
            <v>HGG</v>
          </cell>
          <cell r="L402" t="str">
            <v>F</v>
          </cell>
          <cell r="AO402" t="str">
            <v>N</v>
          </cell>
        </row>
        <row r="403">
          <cell r="A403" t="str">
            <v>in storage</v>
          </cell>
          <cell r="J403" t="str">
            <v>GMOH</v>
          </cell>
          <cell r="L403" t="str">
            <v>F</v>
          </cell>
          <cell r="AO403" t="str">
            <v>N</v>
          </cell>
          <cell r="AQ403" t="str">
            <v>Y- whole</v>
          </cell>
        </row>
        <row r="404">
          <cell r="A404" t="str">
            <v>in storage</v>
          </cell>
          <cell r="J404" t="str">
            <v>HGG</v>
          </cell>
          <cell r="L404" t="str">
            <v>M</v>
          </cell>
          <cell r="AO404" t="str">
            <v>N</v>
          </cell>
          <cell r="AQ404" t="str">
            <v>Y- whole</v>
          </cell>
        </row>
        <row r="405">
          <cell r="A405" t="str">
            <v>in storage</v>
          </cell>
          <cell r="J405" t="str">
            <v>HGG</v>
          </cell>
          <cell r="L405" t="str">
            <v>M</v>
          </cell>
          <cell r="AO405" t="str">
            <v>N</v>
          </cell>
          <cell r="AQ405" t="str">
            <v>Y- whole</v>
          </cell>
        </row>
        <row r="406">
          <cell r="A406" t="str">
            <v>in storage</v>
          </cell>
          <cell r="J406" t="str">
            <v>HGG</v>
          </cell>
          <cell r="L406" t="str">
            <v>F</v>
          </cell>
          <cell r="AO406" t="str">
            <v>N</v>
          </cell>
          <cell r="AQ406" t="str">
            <v>Y- whole</v>
          </cell>
        </row>
        <row r="407">
          <cell r="A407" t="str">
            <v>in storage</v>
          </cell>
          <cell r="J407" t="str">
            <v>HGG</v>
          </cell>
          <cell r="L407" t="str">
            <v>F</v>
          </cell>
          <cell r="AO407" t="str">
            <v>N</v>
          </cell>
          <cell r="AQ407" t="str">
            <v>Y- whole</v>
          </cell>
        </row>
        <row r="408">
          <cell r="A408" t="str">
            <v>in storage</v>
          </cell>
          <cell r="J408" t="str">
            <v>HGG</v>
          </cell>
          <cell r="L408" t="str">
            <v>F</v>
          </cell>
          <cell r="AO408" t="str">
            <v>N</v>
          </cell>
          <cell r="AQ408" t="str">
            <v>Y- whole</v>
          </cell>
        </row>
        <row r="409">
          <cell r="A409" t="str">
            <v>in storage</v>
          </cell>
          <cell r="J409" t="str">
            <v>HGG</v>
          </cell>
          <cell r="L409" t="str">
            <v>F</v>
          </cell>
          <cell r="AO409" t="str">
            <v>N</v>
          </cell>
        </row>
        <row r="410">
          <cell r="A410" t="str">
            <v>in storage</v>
          </cell>
          <cell r="J410" t="str">
            <v>HGG</v>
          </cell>
          <cell r="L410" t="str">
            <v>M</v>
          </cell>
          <cell r="AO410" t="str">
            <v>N</v>
          </cell>
          <cell r="AQ410" t="str">
            <v>Y- whole</v>
          </cell>
        </row>
        <row r="411">
          <cell r="A411" t="str">
            <v>gone</v>
          </cell>
          <cell r="J411" t="str">
            <v>HGG</v>
          </cell>
          <cell r="L411" t="str">
            <v>F</v>
          </cell>
          <cell r="AO411" t="str">
            <v>N</v>
          </cell>
          <cell r="AQ411" t="str">
            <v>Y- whole</v>
          </cell>
        </row>
        <row r="412">
          <cell r="A412" t="str">
            <v>in storage</v>
          </cell>
          <cell r="J412" t="str">
            <v>HGG</v>
          </cell>
          <cell r="L412" t="str">
            <v>F</v>
          </cell>
          <cell r="AO412" t="str">
            <v>N</v>
          </cell>
          <cell r="AQ412" t="str">
            <v>Y- whole</v>
          </cell>
        </row>
        <row r="413">
          <cell r="A413" t="str">
            <v>in storage</v>
          </cell>
          <cell r="J413" t="str">
            <v>HGG</v>
          </cell>
          <cell r="L413" t="str">
            <v>M</v>
          </cell>
          <cell r="AO413" t="str">
            <v>N</v>
          </cell>
          <cell r="AQ413" t="str">
            <v>Y- whole</v>
          </cell>
        </row>
        <row r="414">
          <cell r="A414" t="str">
            <v>in storage</v>
          </cell>
          <cell r="J414" t="str">
            <v>HGG</v>
          </cell>
          <cell r="L414" t="str">
            <v>F</v>
          </cell>
          <cell r="AO414" t="str">
            <v>N</v>
          </cell>
        </row>
        <row r="415">
          <cell r="A415" t="str">
            <v>in storage</v>
          </cell>
          <cell r="J415" t="str">
            <v>HGG</v>
          </cell>
          <cell r="L415" t="str">
            <v>M</v>
          </cell>
          <cell r="AO415" t="str">
            <v>N</v>
          </cell>
        </row>
        <row r="416">
          <cell r="A416" t="str">
            <v>in storage</v>
          </cell>
          <cell r="J416" t="str">
            <v>HGG</v>
          </cell>
          <cell r="L416" t="str">
            <v>F</v>
          </cell>
          <cell r="AO416" t="str">
            <v>N</v>
          </cell>
        </row>
        <row r="417">
          <cell r="A417" t="str">
            <v>in storage</v>
          </cell>
          <cell r="J417" t="str">
            <v>HGG</v>
          </cell>
          <cell r="L417" t="str">
            <v>F</v>
          </cell>
          <cell r="AO417" t="str">
            <v>N</v>
          </cell>
          <cell r="AQ417" t="str">
            <v>Y- whole</v>
          </cell>
        </row>
        <row r="418">
          <cell r="A418" t="str">
            <v>in storage</v>
          </cell>
          <cell r="J418" t="str">
            <v>HGG</v>
          </cell>
          <cell r="L418" t="str">
            <v>M</v>
          </cell>
          <cell r="AO418" t="str">
            <v>Y</v>
          </cell>
        </row>
        <row r="419">
          <cell r="A419" t="str">
            <v>in storage</v>
          </cell>
          <cell r="J419" t="str">
            <v>HGG</v>
          </cell>
          <cell r="L419" t="str">
            <v>F</v>
          </cell>
          <cell r="AO419" t="str">
            <v>N</v>
          </cell>
          <cell r="AQ419" t="str">
            <v>Y- whole</v>
          </cell>
        </row>
        <row r="420">
          <cell r="A420" t="str">
            <v>in storage</v>
          </cell>
          <cell r="J420" t="str">
            <v>HGG</v>
          </cell>
          <cell r="L420" t="str">
            <v>F</v>
          </cell>
          <cell r="AO420" t="str">
            <v>N</v>
          </cell>
          <cell r="AQ420" t="str">
            <v>Y- whole</v>
          </cell>
        </row>
        <row r="421">
          <cell r="A421" t="str">
            <v>in storage</v>
          </cell>
          <cell r="J421" t="str">
            <v>LCAT</v>
          </cell>
          <cell r="L421" t="str">
            <v>F</v>
          </cell>
          <cell r="AO421" t="str">
            <v>Y</v>
          </cell>
        </row>
        <row r="422">
          <cell r="A422" t="str">
            <v>in storage</v>
          </cell>
          <cell r="J422" t="str">
            <v>LCAT</v>
          </cell>
          <cell r="L422" t="str">
            <v>M</v>
          </cell>
          <cell r="AO422" t="str">
            <v>Y</v>
          </cell>
        </row>
        <row r="423">
          <cell r="A423" t="str">
            <v>in storage</v>
          </cell>
          <cell r="J423" t="str">
            <v>LCAT</v>
          </cell>
          <cell r="L423" t="str">
            <v>M</v>
          </cell>
          <cell r="AO423" t="str">
            <v>Y</v>
          </cell>
          <cell r="AQ423" t="str">
            <v>Y- sphenoid bone</v>
          </cell>
        </row>
        <row r="424">
          <cell r="A424" t="str">
            <v>in storage</v>
          </cell>
          <cell r="J424" t="str">
            <v>LCAT</v>
          </cell>
          <cell r="L424" t="str">
            <v>F</v>
          </cell>
          <cell r="AO424" t="str">
            <v>N</v>
          </cell>
          <cell r="AQ424" t="str">
            <v>Y- whole</v>
          </cell>
        </row>
        <row r="425">
          <cell r="A425" t="str">
            <v>in storage</v>
          </cell>
          <cell r="J425" t="str">
            <v>LCAT</v>
          </cell>
          <cell r="L425" t="str">
            <v>ND</v>
          </cell>
          <cell r="AO425" t="str">
            <v>Y</v>
          </cell>
          <cell r="AQ425" t="str">
            <v>Y- sphenoid bone</v>
          </cell>
        </row>
        <row r="426">
          <cell r="A426" t="str">
            <v>in storage</v>
          </cell>
          <cell r="J426" t="str">
            <v>LCAT</v>
          </cell>
          <cell r="L426" t="str">
            <v>F</v>
          </cell>
          <cell r="AO426" t="str">
            <v>Y</v>
          </cell>
        </row>
        <row r="427">
          <cell r="A427" t="str">
            <v>in storage</v>
          </cell>
          <cell r="J427" t="str">
            <v>LCAT</v>
          </cell>
          <cell r="L427" t="str">
            <v>M</v>
          </cell>
          <cell r="AO427" t="str">
            <v>N</v>
          </cell>
          <cell r="AQ427" t="str">
            <v>Y- whole</v>
          </cell>
        </row>
        <row r="428">
          <cell r="A428" t="str">
            <v>in storage</v>
          </cell>
          <cell r="J428" t="str">
            <v>LCAT</v>
          </cell>
          <cell r="L428" t="str">
            <v>F</v>
          </cell>
          <cell r="AO428" t="str">
            <v>Y</v>
          </cell>
        </row>
        <row r="429">
          <cell r="A429" t="str">
            <v>in storage</v>
          </cell>
          <cell r="J429" t="str">
            <v>LCAT</v>
          </cell>
          <cell r="L429" t="str">
            <v>F</v>
          </cell>
          <cell r="AO429" t="str">
            <v>Y</v>
          </cell>
        </row>
        <row r="430">
          <cell r="A430" t="str">
            <v>in storage</v>
          </cell>
          <cell r="J430" t="str">
            <v>LCAT</v>
          </cell>
          <cell r="L430" t="str">
            <v>M</v>
          </cell>
          <cell r="AO430" t="str">
            <v>Y</v>
          </cell>
        </row>
        <row r="431">
          <cell r="A431" t="str">
            <v>in storage</v>
          </cell>
          <cell r="J431" t="str">
            <v>LCAT</v>
          </cell>
          <cell r="L431" t="str">
            <v>F</v>
          </cell>
          <cell r="AO431" t="str">
            <v>Y</v>
          </cell>
        </row>
        <row r="432">
          <cell r="A432" t="str">
            <v>in storage</v>
          </cell>
          <cell r="J432" t="str">
            <v>LCAT</v>
          </cell>
          <cell r="L432" t="str">
            <v>M</v>
          </cell>
          <cell r="AO432" t="str">
            <v>Y</v>
          </cell>
        </row>
        <row r="433">
          <cell r="A433" t="str">
            <v>in storage</v>
          </cell>
          <cell r="J433" t="str">
            <v>LCAT</v>
          </cell>
          <cell r="L433" t="str">
            <v>M</v>
          </cell>
          <cell r="AO433" t="str">
            <v>N</v>
          </cell>
          <cell r="AQ433" t="str">
            <v>Y- whole</v>
          </cell>
        </row>
        <row r="434">
          <cell r="A434" t="str">
            <v>gone</v>
          </cell>
          <cell r="J434" t="str">
            <v>LCAT</v>
          </cell>
          <cell r="L434" t="str">
            <v>F</v>
          </cell>
          <cell r="AO434" t="str">
            <v>N</v>
          </cell>
          <cell r="AQ434" t="str">
            <v>Y- whole</v>
          </cell>
        </row>
        <row r="435">
          <cell r="A435" t="str">
            <v>in storage</v>
          </cell>
          <cell r="J435" t="str">
            <v>LCAT</v>
          </cell>
          <cell r="L435" t="str">
            <v>F</v>
          </cell>
          <cell r="AO435" t="str">
            <v>N</v>
          </cell>
          <cell r="AQ435" t="str">
            <v>Y- whole</v>
          </cell>
        </row>
        <row r="436">
          <cell r="A436" t="str">
            <v>in storage</v>
          </cell>
          <cell r="J436" t="str">
            <v>LCAT</v>
          </cell>
          <cell r="L436" t="str">
            <v>M</v>
          </cell>
          <cell r="AO436" t="str">
            <v>N</v>
          </cell>
          <cell r="AQ436" t="str">
            <v>Y- whole</v>
          </cell>
        </row>
        <row r="437">
          <cell r="A437" t="str">
            <v>in storage</v>
          </cell>
          <cell r="J437" t="str">
            <v>LCAT</v>
          </cell>
          <cell r="L437" t="str">
            <v>F</v>
          </cell>
          <cell r="AO437" t="str">
            <v>N</v>
          </cell>
        </row>
        <row r="438">
          <cell r="A438" t="str">
            <v>in storage</v>
          </cell>
          <cell r="J438" t="str">
            <v>LCAT</v>
          </cell>
          <cell r="L438" t="str">
            <v>M</v>
          </cell>
          <cell r="AO438" t="str">
            <v>N</v>
          </cell>
          <cell r="AQ438" t="str">
            <v>Y- whole w/o head</v>
          </cell>
        </row>
        <row r="439">
          <cell r="A439" t="str">
            <v>in storage</v>
          </cell>
          <cell r="J439" t="str">
            <v>LCAT</v>
          </cell>
          <cell r="L439" t="str">
            <v>F</v>
          </cell>
          <cell r="AO439" t="str">
            <v>N</v>
          </cell>
        </row>
        <row r="440">
          <cell r="A440" t="str">
            <v>in storage</v>
          </cell>
          <cell r="J440" t="str">
            <v>LCAT</v>
          </cell>
          <cell r="L440" t="str">
            <v>M</v>
          </cell>
          <cell r="AO440" t="str">
            <v>N</v>
          </cell>
        </row>
        <row r="441">
          <cell r="A441" t="str">
            <v>in storage</v>
          </cell>
          <cell r="J441" t="str">
            <v>LCAT</v>
          </cell>
          <cell r="L441" t="str">
            <v>M</v>
          </cell>
          <cell r="AO441" t="str">
            <v>Y</v>
          </cell>
        </row>
        <row r="442">
          <cell r="A442" t="str">
            <v>in storage</v>
          </cell>
          <cell r="J442" t="str">
            <v>LCAT</v>
          </cell>
          <cell r="L442" t="str">
            <v>F</v>
          </cell>
          <cell r="AO442" t="str">
            <v>N</v>
          </cell>
        </row>
        <row r="443">
          <cell r="A443" t="str">
            <v>in storage</v>
          </cell>
          <cell r="J443" t="str">
            <v>LCAT</v>
          </cell>
          <cell r="L443" t="str">
            <v>F</v>
          </cell>
          <cell r="AO443" t="str">
            <v>N</v>
          </cell>
        </row>
        <row r="444">
          <cell r="A444" t="str">
            <v>in storage</v>
          </cell>
          <cell r="J444" t="str">
            <v>LCAT</v>
          </cell>
          <cell r="L444" t="str">
            <v>F</v>
          </cell>
          <cell r="AO444" t="str">
            <v>Y</v>
          </cell>
        </row>
        <row r="445">
          <cell r="A445" t="str">
            <v>unk</v>
          </cell>
          <cell r="J445" t="str">
            <v>CMED</v>
          </cell>
          <cell r="L445" t="str">
            <v>F</v>
          </cell>
          <cell r="AO445" t="str">
            <v>N</v>
          </cell>
        </row>
        <row r="446">
          <cell r="A446" t="str">
            <v>gone</v>
          </cell>
          <cell r="J446" t="str">
            <v>MMUR</v>
          </cell>
          <cell r="L446" t="str">
            <v>M</v>
          </cell>
          <cell r="AO446" t="str">
            <v>N</v>
          </cell>
        </row>
        <row r="447">
          <cell r="A447" t="str">
            <v>in storage</v>
          </cell>
          <cell r="J447" t="str">
            <v>LCAT</v>
          </cell>
          <cell r="L447" t="str">
            <v>F</v>
          </cell>
          <cell r="AO447" t="str">
            <v>Y</v>
          </cell>
        </row>
        <row r="448">
          <cell r="A448" t="str">
            <v>in storage</v>
          </cell>
          <cell r="J448" t="str">
            <v>LCAT</v>
          </cell>
          <cell r="L448" t="str">
            <v>M</v>
          </cell>
          <cell r="AO448" t="str">
            <v>Y</v>
          </cell>
        </row>
        <row r="449">
          <cell r="A449" t="str">
            <v>in storage</v>
          </cell>
          <cell r="J449" t="str">
            <v>LTAR</v>
          </cell>
          <cell r="L449" t="str">
            <v>M</v>
          </cell>
          <cell r="AO449" t="str">
            <v>N</v>
          </cell>
          <cell r="AQ449" t="str">
            <v>Y- whole</v>
          </cell>
        </row>
        <row r="450">
          <cell r="A450" t="str">
            <v>in storage</v>
          </cell>
          <cell r="J450" t="str">
            <v>LCAT</v>
          </cell>
          <cell r="L450" t="str">
            <v>F</v>
          </cell>
          <cell r="AO450" t="str">
            <v>N</v>
          </cell>
        </row>
        <row r="451">
          <cell r="A451" t="str">
            <v>in storage</v>
          </cell>
          <cell r="J451" t="str">
            <v>LCAT</v>
          </cell>
          <cell r="L451" t="str">
            <v>F</v>
          </cell>
          <cell r="AO451" t="str">
            <v>Y</v>
          </cell>
        </row>
        <row r="452">
          <cell r="A452" t="str">
            <v>in storage</v>
          </cell>
          <cell r="J452" t="str">
            <v>LCAT</v>
          </cell>
          <cell r="L452" t="str">
            <v>M</v>
          </cell>
          <cell r="AO452" t="str">
            <v>Y</v>
          </cell>
        </row>
        <row r="453">
          <cell r="A453" t="str">
            <v>in storage</v>
          </cell>
          <cell r="J453" t="str">
            <v>LCAT</v>
          </cell>
          <cell r="L453" t="str">
            <v>ND</v>
          </cell>
          <cell r="AO453" t="str">
            <v>Y</v>
          </cell>
        </row>
        <row r="454">
          <cell r="A454" t="str">
            <v>in storage</v>
          </cell>
          <cell r="J454" t="str">
            <v>LCAT</v>
          </cell>
          <cell r="L454" t="str">
            <v>M</v>
          </cell>
          <cell r="AO454" t="str">
            <v>Y</v>
          </cell>
        </row>
        <row r="455">
          <cell r="A455" t="str">
            <v>in storage</v>
          </cell>
          <cell r="J455" t="str">
            <v>LCAT</v>
          </cell>
          <cell r="L455" t="str">
            <v>M</v>
          </cell>
          <cell r="AO455" t="str">
            <v>Y</v>
          </cell>
        </row>
        <row r="456">
          <cell r="A456" t="str">
            <v>in storage</v>
          </cell>
          <cell r="J456" t="str">
            <v>LTAR</v>
          </cell>
          <cell r="L456" t="str">
            <v>M</v>
          </cell>
          <cell r="AO456" t="str">
            <v>N</v>
          </cell>
          <cell r="AQ456" t="str">
            <v>Y- whole</v>
          </cell>
        </row>
        <row r="457">
          <cell r="A457" t="str">
            <v>in storage</v>
          </cell>
          <cell r="J457" t="str">
            <v>LTAR</v>
          </cell>
          <cell r="L457" t="str">
            <v>F</v>
          </cell>
          <cell r="AO457" t="str">
            <v>N</v>
          </cell>
        </row>
        <row r="458">
          <cell r="A458" t="str">
            <v>ARK</v>
          </cell>
          <cell r="J458" t="str">
            <v>ERUB</v>
          </cell>
          <cell r="L458" t="str">
            <v>F</v>
          </cell>
          <cell r="AO458" t="str">
            <v>N</v>
          </cell>
        </row>
        <row r="459">
          <cell r="A459" t="str">
            <v>in storage</v>
          </cell>
          <cell r="J459" t="str">
            <v>LTAR</v>
          </cell>
          <cell r="L459" t="str">
            <v>M</v>
          </cell>
          <cell r="AO459" t="str">
            <v>N</v>
          </cell>
          <cell r="AQ459" t="str">
            <v>Y- whole</v>
          </cell>
        </row>
        <row r="460">
          <cell r="A460" t="str">
            <v>in storage</v>
          </cell>
          <cell r="J460" t="str">
            <v>MMUR</v>
          </cell>
          <cell r="L460" t="str">
            <v>M</v>
          </cell>
          <cell r="AO460" t="str">
            <v>N</v>
          </cell>
          <cell r="AQ460" t="str">
            <v>Y- whole</v>
          </cell>
        </row>
        <row r="461">
          <cell r="A461" t="str">
            <v>gone</v>
          </cell>
          <cell r="J461" t="str">
            <v>MMUR</v>
          </cell>
          <cell r="L461" t="str">
            <v>F</v>
          </cell>
          <cell r="AO461" t="str">
            <v>N</v>
          </cell>
          <cell r="AQ461" t="str">
            <v>Y- whole</v>
          </cell>
        </row>
        <row r="462">
          <cell r="A462" t="str">
            <v>in storage</v>
          </cell>
          <cell r="J462" t="str">
            <v>MMUR</v>
          </cell>
          <cell r="L462" t="str">
            <v>M</v>
          </cell>
          <cell r="AO462" t="str">
            <v>N</v>
          </cell>
          <cell r="AQ462" t="str">
            <v>Y- whole</v>
          </cell>
        </row>
        <row r="463">
          <cell r="A463" t="str">
            <v>in storage</v>
          </cell>
          <cell r="J463" t="str">
            <v>MMUR</v>
          </cell>
          <cell r="L463" t="str">
            <v>M</v>
          </cell>
          <cell r="AO463" t="str">
            <v>N</v>
          </cell>
          <cell r="AQ463" t="str">
            <v>Y- whole</v>
          </cell>
        </row>
        <row r="464">
          <cell r="A464" t="str">
            <v>in storage</v>
          </cell>
          <cell r="J464" t="str">
            <v>MMUR</v>
          </cell>
          <cell r="L464" t="str">
            <v>M</v>
          </cell>
          <cell r="AO464" t="str">
            <v>N</v>
          </cell>
          <cell r="AQ464" t="str">
            <v>Y- whole</v>
          </cell>
        </row>
        <row r="465">
          <cell r="A465" t="str">
            <v>in storage</v>
          </cell>
          <cell r="J465" t="str">
            <v>MMUR</v>
          </cell>
          <cell r="L465" t="str">
            <v>F</v>
          </cell>
          <cell r="AO465" t="str">
            <v>N</v>
          </cell>
          <cell r="AQ465" t="str">
            <v>Y- whole</v>
          </cell>
        </row>
        <row r="466">
          <cell r="A466" t="str">
            <v>in storage</v>
          </cell>
          <cell r="J466" t="str">
            <v>MMUR</v>
          </cell>
          <cell r="L466" t="str">
            <v>F</v>
          </cell>
          <cell r="AO466" t="str">
            <v>N</v>
          </cell>
          <cell r="AQ466" t="str">
            <v>Y- whole</v>
          </cell>
        </row>
        <row r="467">
          <cell r="A467" t="str">
            <v>in storage</v>
          </cell>
          <cell r="J467" t="str">
            <v>MMUR</v>
          </cell>
          <cell r="L467" t="str">
            <v>F</v>
          </cell>
          <cell r="AO467" t="str">
            <v>N</v>
          </cell>
          <cell r="AQ467" t="str">
            <v>Y- whole</v>
          </cell>
        </row>
        <row r="468">
          <cell r="A468" t="str">
            <v>in storage</v>
          </cell>
          <cell r="J468" t="str">
            <v>MMUR</v>
          </cell>
          <cell r="L468" t="str">
            <v>M</v>
          </cell>
          <cell r="AO468" t="str">
            <v>N</v>
          </cell>
          <cell r="AQ468" t="str">
            <v>Y- whole</v>
          </cell>
        </row>
        <row r="469">
          <cell r="A469" t="str">
            <v>on hold</v>
          </cell>
          <cell r="J469" t="str">
            <v>DMAD</v>
          </cell>
          <cell r="L469" t="str">
            <v>F</v>
          </cell>
          <cell r="AO469" t="str">
            <v>N</v>
          </cell>
        </row>
        <row r="470">
          <cell r="A470" t="str">
            <v>in storage</v>
          </cell>
          <cell r="J470" t="str">
            <v>MMUR</v>
          </cell>
          <cell r="L470" t="str">
            <v>F</v>
          </cell>
          <cell r="AO470" t="str">
            <v>N</v>
          </cell>
          <cell r="AQ470" t="str">
            <v>Y- whole</v>
          </cell>
        </row>
        <row r="471">
          <cell r="A471" t="str">
            <v>in storage</v>
          </cell>
          <cell r="J471" t="str">
            <v>MMUR</v>
          </cell>
          <cell r="L471" t="str">
            <v>M</v>
          </cell>
          <cell r="AO471" t="str">
            <v>N</v>
          </cell>
          <cell r="AQ471" t="str">
            <v>Y- whole</v>
          </cell>
        </row>
        <row r="472">
          <cell r="A472" t="str">
            <v>in storage</v>
          </cell>
          <cell r="J472" t="str">
            <v>MMUR</v>
          </cell>
          <cell r="L472" t="str">
            <v>F</v>
          </cell>
          <cell r="AO472" t="str">
            <v>N</v>
          </cell>
        </row>
        <row r="473">
          <cell r="A473" t="str">
            <v>in storage</v>
          </cell>
          <cell r="J473" t="str">
            <v>MMUR</v>
          </cell>
          <cell r="L473" t="str">
            <v>F</v>
          </cell>
          <cell r="AO473" t="str">
            <v>N</v>
          </cell>
          <cell r="AQ473" t="str">
            <v>Y- whole</v>
          </cell>
        </row>
        <row r="474">
          <cell r="A474" t="str">
            <v>in storage</v>
          </cell>
          <cell r="J474" t="str">
            <v>MMUR</v>
          </cell>
          <cell r="L474" t="str">
            <v>F</v>
          </cell>
          <cell r="AO474" t="str">
            <v>N</v>
          </cell>
          <cell r="AQ474" t="str">
            <v>Y- whole</v>
          </cell>
        </row>
        <row r="475">
          <cell r="A475" t="str">
            <v>in storage</v>
          </cell>
          <cell r="J475" t="str">
            <v>MMUR</v>
          </cell>
          <cell r="L475" t="str">
            <v>M</v>
          </cell>
          <cell r="AO475" t="str">
            <v>N</v>
          </cell>
          <cell r="AQ475" t="str">
            <v>Y- whole</v>
          </cell>
        </row>
        <row r="476">
          <cell r="A476" t="str">
            <v>in storage</v>
          </cell>
          <cell r="J476" t="str">
            <v>MMUR</v>
          </cell>
          <cell r="L476" t="str">
            <v>F</v>
          </cell>
          <cell r="AO476" t="str">
            <v>N</v>
          </cell>
        </row>
        <row r="477">
          <cell r="A477" t="str">
            <v>in storage</v>
          </cell>
          <cell r="J477" t="str">
            <v>MMUR</v>
          </cell>
          <cell r="L477" t="str">
            <v>M</v>
          </cell>
          <cell r="AO477" t="str">
            <v>N</v>
          </cell>
        </row>
        <row r="478">
          <cell r="A478" t="str">
            <v>in storage</v>
          </cell>
          <cell r="J478" t="str">
            <v>MMUR</v>
          </cell>
          <cell r="L478" t="str">
            <v>F</v>
          </cell>
          <cell r="AO478" t="str">
            <v>N</v>
          </cell>
        </row>
        <row r="479">
          <cell r="A479" t="str">
            <v>in storage</v>
          </cell>
          <cell r="J479" t="str">
            <v>MMUR</v>
          </cell>
          <cell r="L479" t="str">
            <v>F</v>
          </cell>
          <cell r="AO479" t="str">
            <v>N</v>
          </cell>
        </row>
        <row r="480">
          <cell r="A480" t="str">
            <v>in storage</v>
          </cell>
          <cell r="J480" t="str">
            <v>MMUR</v>
          </cell>
          <cell r="L480" t="str">
            <v>F</v>
          </cell>
          <cell r="AO480" t="str">
            <v>N</v>
          </cell>
        </row>
        <row r="481">
          <cell r="A481" t="str">
            <v>in storage</v>
          </cell>
          <cell r="J481" t="str">
            <v>MMUR</v>
          </cell>
          <cell r="L481" t="str">
            <v>F</v>
          </cell>
          <cell r="AO481" t="str">
            <v>N</v>
          </cell>
        </row>
        <row r="482">
          <cell r="A482" t="str">
            <v>in storage</v>
          </cell>
          <cell r="J482" t="str">
            <v>MMUR</v>
          </cell>
          <cell r="L482" t="str">
            <v>F</v>
          </cell>
          <cell r="AO482" t="str">
            <v>N</v>
          </cell>
        </row>
        <row r="483">
          <cell r="A483" t="str">
            <v>in storage</v>
          </cell>
          <cell r="J483" t="str">
            <v>MMUR</v>
          </cell>
          <cell r="L483" t="str">
            <v>M</v>
          </cell>
          <cell r="AO483" t="str">
            <v>N</v>
          </cell>
        </row>
        <row r="484">
          <cell r="A484" t="str">
            <v>in storage</v>
          </cell>
          <cell r="J484" t="str">
            <v>MMUR</v>
          </cell>
          <cell r="L484" t="str">
            <v>F</v>
          </cell>
          <cell r="AO484" t="str">
            <v>N</v>
          </cell>
        </row>
        <row r="485">
          <cell r="A485" t="str">
            <v>in storage</v>
          </cell>
          <cell r="J485" t="str">
            <v>MMUR</v>
          </cell>
          <cell r="L485" t="str">
            <v>M</v>
          </cell>
          <cell r="AO485" t="str">
            <v>N</v>
          </cell>
          <cell r="AQ485" t="str">
            <v>Y- whole</v>
          </cell>
        </row>
        <row r="486">
          <cell r="A486" t="str">
            <v>in storage</v>
          </cell>
          <cell r="J486" t="str">
            <v>MMUR</v>
          </cell>
          <cell r="L486" t="str">
            <v>M</v>
          </cell>
          <cell r="AO486" t="str">
            <v>N</v>
          </cell>
        </row>
        <row r="487">
          <cell r="A487" t="str">
            <v>in storage</v>
          </cell>
          <cell r="J487" t="str">
            <v>MMUR</v>
          </cell>
          <cell r="L487" t="str">
            <v>M</v>
          </cell>
          <cell r="AO487" t="str">
            <v>N</v>
          </cell>
        </row>
        <row r="488">
          <cell r="A488" t="str">
            <v>in storage</v>
          </cell>
          <cell r="J488" t="str">
            <v>MMUR</v>
          </cell>
          <cell r="L488" t="str">
            <v>F</v>
          </cell>
          <cell r="AO488" t="str">
            <v>N</v>
          </cell>
        </row>
        <row r="489">
          <cell r="A489" t="str">
            <v>in storage</v>
          </cell>
          <cell r="J489" t="str">
            <v>MMUR</v>
          </cell>
          <cell r="L489" t="str">
            <v>M</v>
          </cell>
          <cell r="AO489" t="str">
            <v>N</v>
          </cell>
        </row>
        <row r="490">
          <cell r="A490" t="str">
            <v>in storage</v>
          </cell>
          <cell r="J490" t="str">
            <v>MMUR</v>
          </cell>
          <cell r="L490" t="str">
            <v>M</v>
          </cell>
          <cell r="AO490" t="str">
            <v>N</v>
          </cell>
        </row>
        <row r="491">
          <cell r="A491" t="str">
            <v>in storage</v>
          </cell>
          <cell r="J491" t="str">
            <v>MMUR</v>
          </cell>
          <cell r="L491" t="str">
            <v>M</v>
          </cell>
          <cell r="AO491" t="str">
            <v>N</v>
          </cell>
          <cell r="AQ491" t="str">
            <v>Y- whole</v>
          </cell>
        </row>
        <row r="492">
          <cell r="A492" t="str">
            <v>in storage</v>
          </cell>
          <cell r="J492" t="str">
            <v>MMUR</v>
          </cell>
          <cell r="L492" t="str">
            <v>M</v>
          </cell>
          <cell r="AO492" t="str">
            <v>N</v>
          </cell>
        </row>
        <row r="493">
          <cell r="A493" t="str">
            <v>in storage</v>
          </cell>
          <cell r="J493" t="str">
            <v>MMUR</v>
          </cell>
          <cell r="L493" t="str">
            <v>M</v>
          </cell>
          <cell r="AO493" t="str">
            <v>N</v>
          </cell>
        </row>
        <row r="494">
          <cell r="A494" t="str">
            <v>in storage</v>
          </cell>
          <cell r="J494" t="str">
            <v>MMUR</v>
          </cell>
          <cell r="L494" t="str">
            <v>M</v>
          </cell>
          <cell r="AO494" t="str">
            <v>N</v>
          </cell>
        </row>
        <row r="495">
          <cell r="A495" t="str">
            <v>in storage</v>
          </cell>
          <cell r="J495" t="str">
            <v>MMUR</v>
          </cell>
          <cell r="L495" t="str">
            <v>M</v>
          </cell>
          <cell r="AO495" t="str">
            <v>N</v>
          </cell>
        </row>
        <row r="496">
          <cell r="A496" t="str">
            <v>in storage</v>
          </cell>
          <cell r="J496" t="str">
            <v>MMUR</v>
          </cell>
          <cell r="L496" t="str">
            <v>M</v>
          </cell>
          <cell r="AO496" t="str">
            <v>N</v>
          </cell>
        </row>
        <row r="497">
          <cell r="A497" t="str">
            <v>in storage</v>
          </cell>
          <cell r="J497" t="str">
            <v>MMUR</v>
          </cell>
          <cell r="L497" t="str">
            <v>M</v>
          </cell>
          <cell r="AO497" t="str">
            <v>N</v>
          </cell>
        </row>
        <row r="498">
          <cell r="A498" t="str">
            <v>in storage</v>
          </cell>
          <cell r="J498" t="str">
            <v>MMUR</v>
          </cell>
          <cell r="L498" t="str">
            <v>M</v>
          </cell>
          <cell r="AO498" t="str">
            <v>N</v>
          </cell>
        </row>
        <row r="499">
          <cell r="A499" t="str">
            <v>in storage</v>
          </cell>
          <cell r="J499" t="str">
            <v>MMUR</v>
          </cell>
          <cell r="L499" t="str">
            <v>M</v>
          </cell>
          <cell r="AO499" t="str">
            <v>N</v>
          </cell>
        </row>
        <row r="500">
          <cell r="A500" t="str">
            <v>in storage</v>
          </cell>
          <cell r="J500" t="str">
            <v>MMUR</v>
          </cell>
          <cell r="L500" t="str">
            <v>F</v>
          </cell>
          <cell r="AO500" t="str">
            <v>N</v>
          </cell>
        </row>
        <row r="501">
          <cell r="A501" t="str">
            <v>in storage</v>
          </cell>
          <cell r="J501" t="str">
            <v>MMUR</v>
          </cell>
          <cell r="L501" t="str">
            <v>M</v>
          </cell>
          <cell r="AO501" t="str">
            <v>N</v>
          </cell>
        </row>
        <row r="502">
          <cell r="A502" t="str">
            <v>in storage</v>
          </cell>
          <cell r="J502" t="str">
            <v>MMUR</v>
          </cell>
          <cell r="L502" t="str">
            <v>F</v>
          </cell>
          <cell r="AO502" t="str">
            <v>Y</v>
          </cell>
        </row>
        <row r="503">
          <cell r="A503" t="str">
            <v>in storage</v>
          </cell>
          <cell r="J503" t="str">
            <v>MMUR</v>
          </cell>
          <cell r="L503" t="str">
            <v>M</v>
          </cell>
          <cell r="AO503" t="str">
            <v>N</v>
          </cell>
        </row>
        <row r="504">
          <cell r="A504" t="str">
            <v>in storage</v>
          </cell>
          <cell r="J504" t="str">
            <v>MMUR</v>
          </cell>
          <cell r="L504" t="str">
            <v>M</v>
          </cell>
          <cell r="AO504" t="str">
            <v>N</v>
          </cell>
        </row>
        <row r="505">
          <cell r="A505" t="str">
            <v>in storage</v>
          </cell>
          <cell r="J505" t="str">
            <v>MMUR</v>
          </cell>
          <cell r="L505" t="str">
            <v>ND</v>
          </cell>
          <cell r="AO505" t="str">
            <v>Y</v>
          </cell>
        </row>
        <row r="506">
          <cell r="A506" t="str">
            <v>in storage</v>
          </cell>
          <cell r="J506" t="str">
            <v>MMUR</v>
          </cell>
          <cell r="L506" t="str">
            <v>F</v>
          </cell>
          <cell r="AO506" t="str">
            <v>Y</v>
          </cell>
        </row>
        <row r="507">
          <cell r="A507" t="str">
            <v>gone</v>
          </cell>
          <cell r="J507" t="str">
            <v>LTAR</v>
          </cell>
          <cell r="L507" t="str">
            <v>F</v>
          </cell>
          <cell r="AO507" t="str">
            <v>Y</v>
          </cell>
        </row>
        <row r="508">
          <cell r="A508" t="str">
            <v>in storage</v>
          </cell>
          <cell r="J508" t="str">
            <v>MMUR</v>
          </cell>
          <cell r="L508" t="str">
            <v>M</v>
          </cell>
          <cell r="AO508" t="str">
            <v>N</v>
          </cell>
        </row>
        <row r="509">
          <cell r="A509" t="str">
            <v>in storage</v>
          </cell>
          <cell r="J509" t="str">
            <v>MMUR</v>
          </cell>
          <cell r="L509" t="str">
            <v>M</v>
          </cell>
          <cell r="AO509" t="str">
            <v>N</v>
          </cell>
          <cell r="AQ509" t="str">
            <v>Y- whole</v>
          </cell>
        </row>
        <row r="510">
          <cell r="A510" t="str">
            <v>in storage</v>
          </cell>
          <cell r="J510" t="str">
            <v>MMUR</v>
          </cell>
          <cell r="L510" t="str">
            <v>M</v>
          </cell>
          <cell r="AO510" t="str">
            <v>N</v>
          </cell>
        </row>
        <row r="511">
          <cell r="A511" t="str">
            <v>in storage</v>
          </cell>
          <cell r="J511" t="str">
            <v>MZAZ</v>
          </cell>
          <cell r="L511" t="str">
            <v>F</v>
          </cell>
          <cell r="AO511" t="str">
            <v>N</v>
          </cell>
          <cell r="AQ511" t="str">
            <v>Y- whole</v>
          </cell>
        </row>
        <row r="512">
          <cell r="A512" t="str">
            <v>in storage</v>
          </cell>
          <cell r="J512" t="str">
            <v>MMUR</v>
          </cell>
          <cell r="L512" t="str">
            <v>ND</v>
          </cell>
          <cell r="AO512" t="str">
            <v>N</v>
          </cell>
        </row>
        <row r="513">
          <cell r="A513" t="str">
            <v>in storage</v>
          </cell>
          <cell r="J513" t="str">
            <v>MMUR</v>
          </cell>
          <cell r="L513" t="str">
            <v>ND</v>
          </cell>
          <cell r="AO513" t="str">
            <v>N</v>
          </cell>
        </row>
        <row r="514">
          <cell r="A514" t="str">
            <v>in storage</v>
          </cell>
          <cell r="J514" t="str">
            <v>MMUR</v>
          </cell>
          <cell r="L514" t="str">
            <v>F</v>
          </cell>
          <cell r="AO514" t="str">
            <v>N</v>
          </cell>
        </row>
        <row r="515">
          <cell r="A515" t="str">
            <v>in storage</v>
          </cell>
          <cell r="J515" t="str">
            <v>MMUR</v>
          </cell>
          <cell r="L515" t="str">
            <v>M</v>
          </cell>
          <cell r="AO515" t="str">
            <v>N</v>
          </cell>
        </row>
        <row r="516">
          <cell r="A516" t="str">
            <v>in storage</v>
          </cell>
          <cell r="J516" t="str">
            <v>MMUR</v>
          </cell>
          <cell r="L516" t="str">
            <v>M</v>
          </cell>
          <cell r="AO516" t="str">
            <v>N</v>
          </cell>
        </row>
        <row r="517">
          <cell r="A517" t="str">
            <v>in storage</v>
          </cell>
          <cell r="J517" t="str">
            <v>MMUR</v>
          </cell>
          <cell r="L517" t="str">
            <v>F</v>
          </cell>
          <cell r="AO517" t="str">
            <v>N</v>
          </cell>
        </row>
        <row r="518">
          <cell r="A518" t="str">
            <v>in storage</v>
          </cell>
          <cell r="J518" t="str">
            <v>MMUR</v>
          </cell>
          <cell r="L518" t="str">
            <v>F</v>
          </cell>
          <cell r="AO518" t="str">
            <v>N</v>
          </cell>
        </row>
        <row r="519">
          <cell r="A519" t="str">
            <v>in storage</v>
          </cell>
          <cell r="J519" t="str">
            <v>MZAZ</v>
          </cell>
          <cell r="L519" t="str">
            <v>M</v>
          </cell>
          <cell r="AO519" t="str">
            <v>N</v>
          </cell>
          <cell r="AQ519" t="str">
            <v>Y- whole</v>
          </cell>
        </row>
        <row r="520">
          <cell r="A520" t="str">
            <v>in storage</v>
          </cell>
          <cell r="J520" t="str">
            <v>MZAZ</v>
          </cell>
          <cell r="L520" t="str">
            <v>M</v>
          </cell>
          <cell r="AO520" t="str">
            <v>N</v>
          </cell>
          <cell r="AQ520" t="str">
            <v>Y- whole</v>
          </cell>
        </row>
        <row r="521">
          <cell r="A521" t="str">
            <v>gone</v>
          </cell>
          <cell r="J521" t="str">
            <v>VVV</v>
          </cell>
          <cell r="L521" t="str">
            <v>M</v>
          </cell>
          <cell r="AO521" t="str">
            <v>Y</v>
          </cell>
        </row>
        <row r="522">
          <cell r="A522" t="str">
            <v>in storage</v>
          </cell>
          <cell r="J522" t="str">
            <v>MZAZ</v>
          </cell>
          <cell r="L522" t="str">
            <v>F</v>
          </cell>
          <cell r="AO522" t="str">
            <v>N</v>
          </cell>
          <cell r="AQ522" t="str">
            <v>Y- whole w/o head</v>
          </cell>
        </row>
        <row r="523">
          <cell r="A523" t="str">
            <v>in storage</v>
          </cell>
          <cell r="J523" t="str">
            <v>MZAZ</v>
          </cell>
          <cell r="L523" t="str">
            <v>F</v>
          </cell>
          <cell r="AO523" t="str">
            <v>N</v>
          </cell>
        </row>
        <row r="524">
          <cell r="A524" t="str">
            <v>gone</v>
          </cell>
          <cell r="J524" t="str">
            <v>CMED</v>
          </cell>
          <cell r="L524" t="str">
            <v>M</v>
          </cell>
          <cell r="AO524" t="str">
            <v>Y</v>
          </cell>
        </row>
        <row r="525">
          <cell r="A525" t="str">
            <v>gone</v>
          </cell>
          <cell r="J525" t="str">
            <v>CMED</v>
          </cell>
          <cell r="L525" t="str">
            <v>F</v>
          </cell>
          <cell r="AO525" t="str">
            <v>Y</v>
          </cell>
        </row>
        <row r="526">
          <cell r="A526" t="str">
            <v>missing</v>
          </cell>
          <cell r="J526" t="str">
            <v>CMED</v>
          </cell>
          <cell r="L526" t="str">
            <v>F</v>
          </cell>
          <cell r="AO526" t="str">
            <v>Y</v>
          </cell>
        </row>
        <row r="527">
          <cell r="A527" t="str">
            <v>missing</v>
          </cell>
          <cell r="J527" t="str">
            <v>CMED</v>
          </cell>
          <cell r="L527" t="str">
            <v>ND</v>
          </cell>
          <cell r="AO527" t="str">
            <v>Y</v>
          </cell>
        </row>
        <row r="528">
          <cell r="A528" t="str">
            <v>in storage</v>
          </cell>
          <cell r="J528" t="str">
            <v>MZAZ</v>
          </cell>
          <cell r="L528" t="str">
            <v>M</v>
          </cell>
          <cell r="AO528" t="str">
            <v>N</v>
          </cell>
          <cell r="AQ528" t="str">
            <v>Y- whole</v>
          </cell>
        </row>
        <row r="529">
          <cell r="A529" t="str">
            <v>in storage</v>
          </cell>
          <cell r="J529" t="str">
            <v>MZAZ</v>
          </cell>
          <cell r="L529" t="str">
            <v>M</v>
          </cell>
          <cell r="AO529" t="str">
            <v>Y</v>
          </cell>
        </row>
        <row r="530">
          <cell r="A530" t="str">
            <v>in storage</v>
          </cell>
          <cell r="J530" t="str">
            <v>MZAZ</v>
          </cell>
          <cell r="L530" t="str">
            <v>M</v>
          </cell>
          <cell r="AO530" t="str">
            <v>Y</v>
          </cell>
        </row>
        <row r="531">
          <cell r="A531" t="str">
            <v>in storage</v>
          </cell>
          <cell r="J531" t="str">
            <v>MZAZ</v>
          </cell>
          <cell r="L531" t="str">
            <v>M</v>
          </cell>
          <cell r="AO531" t="str">
            <v>N</v>
          </cell>
          <cell r="AQ531" t="str">
            <v>Y- whole</v>
          </cell>
        </row>
        <row r="532">
          <cell r="A532" t="str">
            <v>in storage</v>
          </cell>
          <cell r="J532" t="str">
            <v>MZAZ</v>
          </cell>
          <cell r="L532" t="str">
            <v>M</v>
          </cell>
          <cell r="AO532" t="str">
            <v>N</v>
          </cell>
          <cell r="AQ532" t="str">
            <v>Y- whole</v>
          </cell>
        </row>
        <row r="533">
          <cell r="A533" t="str">
            <v>gone</v>
          </cell>
          <cell r="J533" t="str">
            <v>NCOU</v>
          </cell>
          <cell r="L533" t="str">
            <v>F</v>
          </cell>
          <cell r="AO533" t="str">
            <v>N</v>
          </cell>
          <cell r="AQ533" t="str">
            <v>Y- whole</v>
          </cell>
        </row>
        <row r="534">
          <cell r="A534" t="str">
            <v>in storage</v>
          </cell>
          <cell r="J534" t="str">
            <v>NCOU</v>
          </cell>
          <cell r="L534" t="str">
            <v>F</v>
          </cell>
          <cell r="AO534" t="str">
            <v>N</v>
          </cell>
          <cell r="AQ534" t="str">
            <v>Y- whole</v>
          </cell>
        </row>
        <row r="535">
          <cell r="A535" t="str">
            <v>gone</v>
          </cell>
          <cell r="J535" t="str">
            <v>ECOR</v>
          </cell>
          <cell r="L535" t="str">
            <v>M</v>
          </cell>
          <cell r="AO535" t="str">
            <v>Y</v>
          </cell>
        </row>
        <row r="536">
          <cell r="A536" t="str">
            <v>gone</v>
          </cell>
          <cell r="J536" t="str">
            <v>ECOR</v>
          </cell>
          <cell r="L536" t="str">
            <v>M</v>
          </cell>
          <cell r="AO536" t="str">
            <v>Y</v>
          </cell>
        </row>
        <row r="537">
          <cell r="A537" t="str">
            <v>in storage</v>
          </cell>
          <cell r="J537" t="str">
            <v>NPYG</v>
          </cell>
          <cell r="L537" t="str">
            <v>ND</v>
          </cell>
          <cell r="AO537" t="str">
            <v>Y</v>
          </cell>
        </row>
        <row r="538">
          <cell r="A538" t="str">
            <v>gone</v>
          </cell>
          <cell r="J538" t="str">
            <v>ECOR</v>
          </cell>
          <cell r="L538" t="str">
            <v>F</v>
          </cell>
          <cell r="AO538" t="str">
            <v>Y</v>
          </cell>
        </row>
        <row r="539">
          <cell r="A539" t="str">
            <v>in storage</v>
          </cell>
          <cell r="J539" t="str">
            <v>NPYG</v>
          </cell>
          <cell r="L539" t="str">
            <v>M</v>
          </cell>
          <cell r="AO539" t="str">
            <v>Y</v>
          </cell>
        </row>
        <row r="540">
          <cell r="A540" t="str">
            <v>gone</v>
          </cell>
          <cell r="J540" t="str">
            <v>ECOR</v>
          </cell>
          <cell r="L540" t="str">
            <v>F</v>
          </cell>
          <cell r="AO540" t="str">
            <v>Y</v>
          </cell>
        </row>
        <row r="541">
          <cell r="A541" t="str">
            <v>in storage</v>
          </cell>
          <cell r="J541" t="str">
            <v>NPYG</v>
          </cell>
          <cell r="L541" t="str">
            <v>F</v>
          </cell>
          <cell r="AO541" t="str">
            <v>N</v>
          </cell>
          <cell r="AQ541" t="str">
            <v>Y- whole</v>
          </cell>
        </row>
        <row r="542">
          <cell r="A542" t="str">
            <v>gone</v>
          </cell>
          <cell r="J542" t="str">
            <v>NPYG</v>
          </cell>
          <cell r="L542" t="str">
            <v>ND</v>
          </cell>
          <cell r="AO542" t="str">
            <v>Y</v>
          </cell>
          <cell r="AQ542" t="str">
            <v>Y- dentition</v>
          </cell>
        </row>
        <row r="543">
          <cell r="A543" t="str">
            <v>in storage</v>
          </cell>
          <cell r="J543" t="str">
            <v>NPYG</v>
          </cell>
          <cell r="L543" t="str">
            <v>M</v>
          </cell>
          <cell r="AO543" t="str">
            <v>N</v>
          </cell>
          <cell r="AQ543" t="str">
            <v>Y- whole</v>
          </cell>
        </row>
        <row r="544">
          <cell r="A544" t="str">
            <v>in storage</v>
          </cell>
          <cell r="J544" t="str">
            <v>NPYG</v>
          </cell>
          <cell r="L544" t="str">
            <v>M</v>
          </cell>
          <cell r="AO544" t="str">
            <v>Y</v>
          </cell>
        </row>
        <row r="545">
          <cell r="A545" t="str">
            <v>in storage</v>
          </cell>
          <cell r="J545" t="str">
            <v>NPYG</v>
          </cell>
          <cell r="L545" t="str">
            <v>M</v>
          </cell>
          <cell r="AO545" t="str">
            <v>N</v>
          </cell>
          <cell r="AQ545" t="str">
            <v>Y- whole</v>
          </cell>
        </row>
        <row r="546">
          <cell r="A546" t="str">
            <v>gone</v>
          </cell>
          <cell r="J546" t="str">
            <v>EFLA</v>
          </cell>
          <cell r="L546" t="str">
            <v>F</v>
          </cell>
          <cell r="AO546" t="str">
            <v>Y</v>
          </cell>
        </row>
        <row r="547">
          <cell r="A547" t="str">
            <v>in storage</v>
          </cell>
          <cell r="J547" t="str">
            <v>NPYG</v>
          </cell>
          <cell r="L547" t="str">
            <v>M</v>
          </cell>
          <cell r="AO547" t="str">
            <v>Y</v>
          </cell>
          <cell r="AQ547" t="str">
            <v>Y- whole</v>
          </cell>
        </row>
        <row r="548">
          <cell r="A548" t="str">
            <v>in storage</v>
          </cell>
          <cell r="J548" t="str">
            <v>NPYG</v>
          </cell>
          <cell r="L548" t="str">
            <v>M</v>
          </cell>
          <cell r="AO548" t="str">
            <v>N</v>
          </cell>
        </row>
        <row r="549">
          <cell r="A549" t="str">
            <v>in storage</v>
          </cell>
          <cell r="J549" t="str">
            <v>OGG</v>
          </cell>
          <cell r="L549" t="str">
            <v>M</v>
          </cell>
          <cell r="AO549" t="str">
            <v>N</v>
          </cell>
        </row>
        <row r="550">
          <cell r="A550" t="str">
            <v>in storage</v>
          </cell>
          <cell r="J550" t="str">
            <v>OGG</v>
          </cell>
          <cell r="L550" t="str">
            <v>M</v>
          </cell>
          <cell r="AO550" t="str">
            <v>Y</v>
          </cell>
        </row>
        <row r="551">
          <cell r="A551" t="str">
            <v>in storage</v>
          </cell>
          <cell r="J551" t="str">
            <v>OGG</v>
          </cell>
          <cell r="L551" t="str">
            <v>ND</v>
          </cell>
          <cell r="AO551" t="str">
            <v>Y</v>
          </cell>
        </row>
        <row r="552">
          <cell r="A552" t="str">
            <v>in storage</v>
          </cell>
          <cell r="J552" t="str">
            <v>OGG</v>
          </cell>
          <cell r="L552" t="str">
            <v>M</v>
          </cell>
          <cell r="AO552" t="str">
            <v>Y</v>
          </cell>
        </row>
        <row r="553">
          <cell r="A553" t="str">
            <v>in storage</v>
          </cell>
          <cell r="J553" t="str">
            <v>OGG</v>
          </cell>
          <cell r="L553" t="str">
            <v>ND</v>
          </cell>
          <cell r="AO553" t="str">
            <v>N</v>
          </cell>
        </row>
        <row r="554">
          <cell r="A554" t="str">
            <v>in storage</v>
          </cell>
          <cell r="J554" t="str">
            <v>OMA</v>
          </cell>
          <cell r="L554" t="str">
            <v>F</v>
          </cell>
          <cell r="AO554" t="str">
            <v>Y</v>
          </cell>
        </row>
        <row r="555">
          <cell r="A555" t="str">
            <v>in storage</v>
          </cell>
          <cell r="J555" t="str">
            <v>OMA</v>
          </cell>
          <cell r="L555" t="str">
            <v>M</v>
          </cell>
          <cell r="AO555" t="str">
            <v>Y</v>
          </cell>
        </row>
        <row r="556">
          <cell r="A556" t="str">
            <v>in storage</v>
          </cell>
          <cell r="J556" t="str">
            <v>OMA</v>
          </cell>
          <cell r="L556" t="str">
            <v>M</v>
          </cell>
          <cell r="AO556" t="str">
            <v>Y</v>
          </cell>
        </row>
        <row r="557">
          <cell r="A557" t="str">
            <v>in storage</v>
          </cell>
          <cell r="J557" t="str">
            <v>OMA</v>
          </cell>
          <cell r="L557" t="str">
            <v>F</v>
          </cell>
          <cell r="AO557" t="str">
            <v>Y</v>
          </cell>
        </row>
        <row r="558">
          <cell r="A558" t="str">
            <v>in storage</v>
          </cell>
          <cell r="J558" t="str">
            <v>OMA</v>
          </cell>
          <cell r="L558" t="str">
            <v>M</v>
          </cell>
          <cell r="AO558" t="str">
            <v>Y</v>
          </cell>
        </row>
        <row r="559">
          <cell r="A559" t="str">
            <v>missing</v>
          </cell>
          <cell r="J559" t="str">
            <v>EMAC</v>
          </cell>
          <cell r="L559" t="str">
            <v>M</v>
          </cell>
          <cell r="AO559" t="str">
            <v>Y</v>
          </cell>
        </row>
        <row r="560">
          <cell r="A560" t="str">
            <v>in storage</v>
          </cell>
          <cell r="J560" t="str">
            <v>OMA</v>
          </cell>
          <cell r="L560" t="str">
            <v>ND</v>
          </cell>
          <cell r="AO560" t="str">
            <v>Y</v>
          </cell>
        </row>
        <row r="561">
          <cell r="A561" t="str">
            <v>gone</v>
          </cell>
          <cell r="J561" t="str">
            <v>EMON</v>
          </cell>
          <cell r="L561" t="str">
            <v>M</v>
          </cell>
          <cell r="AO561" t="str">
            <v>Y</v>
          </cell>
        </row>
        <row r="562">
          <cell r="A562" t="str">
            <v>in storage</v>
          </cell>
          <cell r="J562" t="str">
            <v>OMA</v>
          </cell>
          <cell r="L562" t="str">
            <v>F</v>
          </cell>
          <cell r="AO562" t="str">
            <v>Y</v>
          </cell>
        </row>
        <row r="563">
          <cell r="A563" t="str">
            <v>gone</v>
          </cell>
          <cell r="J563" t="str">
            <v>VVV</v>
          </cell>
          <cell r="L563" t="str">
            <v>M</v>
          </cell>
          <cell r="AO563" t="str">
            <v>N</v>
          </cell>
        </row>
        <row r="564">
          <cell r="A564" t="str">
            <v>gone</v>
          </cell>
          <cell r="J564" t="str">
            <v>EMON</v>
          </cell>
          <cell r="L564" t="str">
            <v>M</v>
          </cell>
          <cell r="AO564" t="str">
            <v>Y</v>
          </cell>
        </row>
        <row r="565">
          <cell r="A565" t="str">
            <v>gone</v>
          </cell>
          <cell r="J565" t="str">
            <v>EMON</v>
          </cell>
          <cell r="L565" t="str">
            <v>M</v>
          </cell>
          <cell r="AO565" t="str">
            <v>Y</v>
          </cell>
        </row>
        <row r="566">
          <cell r="A566" t="str">
            <v>in storage</v>
          </cell>
          <cell r="J566" t="str">
            <v>OMA</v>
          </cell>
          <cell r="L566" t="str">
            <v>F</v>
          </cell>
          <cell r="AO566" t="str">
            <v>Y</v>
          </cell>
        </row>
        <row r="567">
          <cell r="A567" t="str">
            <v>gone</v>
          </cell>
          <cell r="J567" t="str">
            <v>EMON</v>
          </cell>
          <cell r="L567" t="str">
            <v>F</v>
          </cell>
          <cell r="AO567" t="str">
            <v>N</v>
          </cell>
        </row>
        <row r="568">
          <cell r="A568" t="str">
            <v>in storage</v>
          </cell>
          <cell r="J568" t="str">
            <v>OMA</v>
          </cell>
          <cell r="L568" t="str">
            <v>F</v>
          </cell>
          <cell r="AO568" t="str">
            <v>Y</v>
          </cell>
        </row>
        <row r="569">
          <cell r="A569" t="str">
            <v>in storage</v>
          </cell>
          <cell r="J569" t="str">
            <v>OMA</v>
          </cell>
          <cell r="L569" t="str">
            <v>ND</v>
          </cell>
          <cell r="AO569" t="str">
            <v>Y</v>
          </cell>
        </row>
        <row r="570">
          <cell r="A570" t="str">
            <v>in storage</v>
          </cell>
          <cell r="J570" t="str">
            <v>OMA</v>
          </cell>
          <cell r="L570" t="str">
            <v>M</v>
          </cell>
          <cell r="AO570" t="str">
            <v>Y</v>
          </cell>
        </row>
        <row r="571">
          <cell r="A571" t="str">
            <v>gone</v>
          </cell>
          <cell r="J571" t="str">
            <v>ERUF</v>
          </cell>
          <cell r="L571" t="str">
            <v>F</v>
          </cell>
          <cell r="AO571" t="str">
            <v>Y</v>
          </cell>
        </row>
        <row r="572">
          <cell r="A572" t="str">
            <v>in storage</v>
          </cell>
          <cell r="J572" t="str">
            <v>OMA</v>
          </cell>
          <cell r="L572" t="str">
            <v>M</v>
          </cell>
          <cell r="AO572" t="str">
            <v>Y</v>
          </cell>
        </row>
        <row r="573">
          <cell r="A573" t="str">
            <v>in storage</v>
          </cell>
          <cell r="J573" t="str">
            <v>OMA</v>
          </cell>
          <cell r="L573" t="str">
            <v>F</v>
          </cell>
          <cell r="AO573" t="str">
            <v>Y</v>
          </cell>
        </row>
        <row r="574">
          <cell r="A574" t="str">
            <v>gone</v>
          </cell>
          <cell r="J574" t="str">
            <v>ERUF</v>
          </cell>
          <cell r="L574" t="str">
            <v>M</v>
          </cell>
          <cell r="AO574" t="str">
            <v>Y</v>
          </cell>
        </row>
        <row r="575">
          <cell r="A575" t="str">
            <v>ARK</v>
          </cell>
          <cell r="J575" t="str">
            <v>ERUF</v>
          </cell>
          <cell r="L575" t="str">
            <v>F</v>
          </cell>
          <cell r="AO575" t="str">
            <v>N</v>
          </cell>
        </row>
        <row r="576">
          <cell r="A576" t="str">
            <v>missing</v>
          </cell>
          <cell r="J576" t="str">
            <v>ERUF</v>
          </cell>
          <cell r="L576" t="str">
            <v>M</v>
          </cell>
          <cell r="AO576" t="str">
            <v>Y</v>
          </cell>
        </row>
        <row r="577">
          <cell r="A577" t="str">
            <v>in storage</v>
          </cell>
          <cell r="J577" t="str">
            <v>OMA</v>
          </cell>
          <cell r="L577" t="str">
            <v>M</v>
          </cell>
          <cell r="AO577" t="str">
            <v>Y</v>
          </cell>
        </row>
        <row r="578">
          <cell r="A578" t="str">
            <v>in storage</v>
          </cell>
          <cell r="J578" t="str">
            <v>OMA</v>
          </cell>
          <cell r="L578" t="str">
            <v>M</v>
          </cell>
          <cell r="AO578" t="str">
            <v>Y</v>
          </cell>
        </row>
        <row r="579">
          <cell r="A579" t="str">
            <v>in storage</v>
          </cell>
          <cell r="J579" t="str">
            <v>OMA</v>
          </cell>
          <cell r="L579" t="str">
            <v>ND</v>
          </cell>
          <cell r="AO579" t="str">
            <v>N</v>
          </cell>
        </row>
        <row r="580">
          <cell r="A580" t="str">
            <v>in storage</v>
          </cell>
          <cell r="J580" t="str">
            <v>OMA</v>
          </cell>
          <cell r="L580" t="str">
            <v>F</v>
          </cell>
          <cell r="AO580" t="str">
            <v>y</v>
          </cell>
        </row>
        <row r="581">
          <cell r="A581" t="str">
            <v>gone</v>
          </cell>
          <cell r="J581" t="str">
            <v>EUL</v>
          </cell>
          <cell r="L581" t="str">
            <v>F</v>
          </cell>
          <cell r="AO581" t="str">
            <v>Y</v>
          </cell>
        </row>
        <row r="582">
          <cell r="A582" t="str">
            <v>in storage</v>
          </cell>
          <cell r="J582" t="str">
            <v>OMON</v>
          </cell>
          <cell r="L582" t="str">
            <v>F</v>
          </cell>
          <cell r="AO582" t="str">
            <v>Y</v>
          </cell>
        </row>
        <row r="583">
          <cell r="A583" t="str">
            <v>in storage</v>
          </cell>
          <cell r="J583" t="str">
            <v>OMON</v>
          </cell>
          <cell r="L583" t="str">
            <v>M</v>
          </cell>
          <cell r="AO583" t="str">
            <v>UNK</v>
          </cell>
        </row>
        <row r="584">
          <cell r="A584" t="str">
            <v>in storage</v>
          </cell>
          <cell r="J584" t="str">
            <v>OMON</v>
          </cell>
          <cell r="L584" t="str">
            <v>M</v>
          </cell>
          <cell r="AO584" t="str">
            <v>Y</v>
          </cell>
        </row>
        <row r="585">
          <cell r="A585" t="str">
            <v>in storage</v>
          </cell>
          <cell r="J585" t="str">
            <v>OMON</v>
          </cell>
          <cell r="L585" t="str">
            <v>F</v>
          </cell>
          <cell r="AO585" t="str">
            <v>Y</v>
          </cell>
        </row>
        <row r="586">
          <cell r="A586" t="str">
            <v>gone</v>
          </cell>
          <cell r="J586" t="str">
            <v>EUL</v>
          </cell>
          <cell r="L586" t="str">
            <v>F</v>
          </cell>
          <cell r="AO586" t="str">
            <v>Y</v>
          </cell>
        </row>
        <row r="587">
          <cell r="A587" t="str">
            <v>in storage</v>
          </cell>
          <cell r="J587" t="str">
            <v>OMON</v>
          </cell>
          <cell r="L587" t="str">
            <v>F</v>
          </cell>
          <cell r="AO587" t="str">
            <v>Y</v>
          </cell>
        </row>
        <row r="588">
          <cell r="A588" t="str">
            <v>in storage</v>
          </cell>
          <cell r="J588" t="str">
            <v>OMON</v>
          </cell>
          <cell r="L588" t="str">
            <v>M</v>
          </cell>
          <cell r="AO588" t="str">
            <v>Y</v>
          </cell>
        </row>
        <row r="589">
          <cell r="A589" t="str">
            <v>in storage</v>
          </cell>
          <cell r="J589" t="str">
            <v>OMON</v>
          </cell>
          <cell r="L589" t="str">
            <v>ND</v>
          </cell>
          <cell r="AO589" t="str">
            <v>Y</v>
          </cell>
        </row>
        <row r="590">
          <cell r="A590" t="str">
            <v>in storage</v>
          </cell>
          <cell r="J590" t="str">
            <v>OMON</v>
          </cell>
          <cell r="L590" t="str">
            <v>ND</v>
          </cell>
          <cell r="AO590" t="str">
            <v>Y</v>
          </cell>
        </row>
        <row r="591">
          <cell r="A591" t="str">
            <v>in storage</v>
          </cell>
          <cell r="J591" t="str">
            <v>PCOQ</v>
          </cell>
          <cell r="L591" t="str">
            <v>ND</v>
          </cell>
          <cell r="AO591" t="str">
            <v>Y</v>
          </cell>
        </row>
        <row r="592">
          <cell r="A592" t="str">
            <v>in storage</v>
          </cell>
          <cell r="J592" t="str">
            <v>PCOQ</v>
          </cell>
          <cell r="L592" t="str">
            <v>F</v>
          </cell>
          <cell r="AO592" t="str">
            <v>N</v>
          </cell>
        </row>
        <row r="593">
          <cell r="A593" t="str">
            <v>in storage</v>
          </cell>
          <cell r="J593" t="str">
            <v>PCOQ</v>
          </cell>
          <cell r="L593" t="str">
            <v>M</v>
          </cell>
          <cell r="AO593" t="str">
            <v>N</v>
          </cell>
        </row>
        <row r="594">
          <cell r="A594" t="str">
            <v>in storage</v>
          </cell>
          <cell r="J594" t="str">
            <v>PCOQ</v>
          </cell>
          <cell r="L594" t="str">
            <v>M</v>
          </cell>
          <cell r="AO594" t="str">
            <v>Y</v>
          </cell>
        </row>
        <row r="595">
          <cell r="A595" t="str">
            <v>in storage</v>
          </cell>
          <cell r="J595" t="str">
            <v>PCOQ</v>
          </cell>
          <cell r="L595" t="str">
            <v>M</v>
          </cell>
          <cell r="AO595" t="str">
            <v>N</v>
          </cell>
        </row>
        <row r="596">
          <cell r="A596" t="str">
            <v>in storage</v>
          </cell>
          <cell r="J596" t="str">
            <v>PCOQ</v>
          </cell>
          <cell r="L596" t="str">
            <v>M</v>
          </cell>
          <cell r="AO596" t="str">
            <v>N</v>
          </cell>
        </row>
        <row r="597">
          <cell r="A597" t="str">
            <v>ARK</v>
          </cell>
          <cell r="J597" t="str">
            <v>EUL</v>
          </cell>
          <cell r="L597" t="str">
            <v>M</v>
          </cell>
          <cell r="AO597" t="str">
            <v>Y</v>
          </cell>
        </row>
        <row r="598">
          <cell r="A598" t="str">
            <v>in storage</v>
          </cell>
          <cell r="J598" t="str">
            <v>PCOQ</v>
          </cell>
          <cell r="L598" t="str">
            <v>M</v>
          </cell>
          <cell r="AO598" t="str">
            <v>N</v>
          </cell>
        </row>
        <row r="599">
          <cell r="A599" t="str">
            <v>in storage</v>
          </cell>
          <cell r="J599" t="str">
            <v>PCOQ</v>
          </cell>
          <cell r="L599" t="str">
            <v>M</v>
          </cell>
          <cell r="AO599" t="str">
            <v>Y</v>
          </cell>
        </row>
        <row r="600">
          <cell r="A600" t="str">
            <v>in storage</v>
          </cell>
          <cell r="J600" t="str">
            <v>PCOQ</v>
          </cell>
          <cell r="L600" t="str">
            <v>M</v>
          </cell>
          <cell r="AO600" t="str">
            <v>Y</v>
          </cell>
        </row>
        <row r="601">
          <cell r="A601" t="str">
            <v>gone</v>
          </cell>
          <cell r="J601" t="str">
            <v>EUL</v>
          </cell>
          <cell r="L601" t="str">
            <v>F</v>
          </cell>
          <cell r="AO601" t="str">
            <v>Y</v>
          </cell>
        </row>
        <row r="602">
          <cell r="A602" t="str">
            <v>gone</v>
          </cell>
          <cell r="J602" t="str">
            <v>EUL</v>
          </cell>
          <cell r="L602" t="str">
            <v>M</v>
          </cell>
          <cell r="AO602" t="str">
            <v>Y</v>
          </cell>
        </row>
        <row r="603">
          <cell r="A603" t="str">
            <v>in storage</v>
          </cell>
          <cell r="J603" t="str">
            <v>PCOQ</v>
          </cell>
          <cell r="L603" t="str">
            <v>F</v>
          </cell>
          <cell r="AO603" t="str">
            <v>Y</v>
          </cell>
        </row>
        <row r="604">
          <cell r="A604" t="str">
            <v>gone</v>
          </cell>
          <cell r="J604" t="str">
            <v>EUL</v>
          </cell>
          <cell r="L604" t="str">
            <v>F</v>
          </cell>
          <cell r="AO604" t="str">
            <v>Y</v>
          </cell>
        </row>
        <row r="605">
          <cell r="A605" t="str">
            <v>unk</v>
          </cell>
          <cell r="J605" t="str">
            <v>EUL</v>
          </cell>
          <cell r="L605" t="str">
            <v>F</v>
          </cell>
          <cell r="AO605" t="str">
            <v>N</v>
          </cell>
        </row>
        <row r="606">
          <cell r="A606" t="str">
            <v>in storage</v>
          </cell>
          <cell r="J606" t="str">
            <v>PCOQ</v>
          </cell>
          <cell r="L606" t="str">
            <v>F</v>
          </cell>
          <cell r="AO606" t="str">
            <v>N</v>
          </cell>
        </row>
        <row r="607">
          <cell r="A607" t="str">
            <v>in storage</v>
          </cell>
          <cell r="J607" t="str">
            <v>PCOQ</v>
          </cell>
          <cell r="L607" t="str">
            <v>M</v>
          </cell>
          <cell r="AO607" t="str">
            <v>Y</v>
          </cell>
        </row>
        <row r="608">
          <cell r="A608" t="str">
            <v>in storage</v>
          </cell>
          <cell r="J608" t="str">
            <v>PCOQ</v>
          </cell>
          <cell r="L608" t="str">
            <v>M</v>
          </cell>
          <cell r="AO608" t="str">
            <v>Y</v>
          </cell>
        </row>
        <row r="609">
          <cell r="A609" t="str">
            <v>in storage</v>
          </cell>
          <cell r="J609" t="str">
            <v>PCOQ</v>
          </cell>
          <cell r="L609" t="str">
            <v>M</v>
          </cell>
          <cell r="AO609" t="str">
            <v>N</v>
          </cell>
        </row>
        <row r="610">
          <cell r="A610" t="str">
            <v>in storage</v>
          </cell>
          <cell r="J610" t="str">
            <v>PCOQ</v>
          </cell>
          <cell r="L610" t="str">
            <v>M</v>
          </cell>
          <cell r="AO610" t="str">
            <v>Y</v>
          </cell>
        </row>
        <row r="611">
          <cell r="A611" t="str">
            <v>in storage</v>
          </cell>
          <cell r="J611" t="str">
            <v>PCOQ</v>
          </cell>
          <cell r="L611" t="str">
            <v>M</v>
          </cell>
          <cell r="AO611" t="str">
            <v>Y</v>
          </cell>
        </row>
        <row r="612">
          <cell r="A612" t="str">
            <v>gone</v>
          </cell>
          <cell r="J612" t="str">
            <v>EUL</v>
          </cell>
          <cell r="L612" t="str">
            <v>F</v>
          </cell>
          <cell r="AO612" t="str">
            <v>Y</v>
          </cell>
        </row>
        <row r="613">
          <cell r="A613" t="str">
            <v>in storage</v>
          </cell>
          <cell r="J613" t="str">
            <v>PCOQ</v>
          </cell>
          <cell r="L613" t="str">
            <v>M</v>
          </cell>
          <cell r="AO613" t="str">
            <v>N</v>
          </cell>
        </row>
        <row r="614">
          <cell r="A614" t="str">
            <v>in storage</v>
          </cell>
          <cell r="J614" t="str">
            <v>PCOQ</v>
          </cell>
          <cell r="L614" t="str">
            <v>ND</v>
          </cell>
          <cell r="AO614" t="str">
            <v>Y</v>
          </cell>
        </row>
        <row r="615">
          <cell r="A615" t="str">
            <v>gone</v>
          </cell>
          <cell r="J615" t="str">
            <v>GDEM</v>
          </cell>
          <cell r="L615" t="str">
            <v>F</v>
          </cell>
          <cell r="AO615" t="str">
            <v>N</v>
          </cell>
        </row>
        <row r="616">
          <cell r="A616" t="str">
            <v>in storage</v>
          </cell>
          <cell r="J616" t="str">
            <v>PCOQ</v>
          </cell>
          <cell r="L616" t="str">
            <v>M</v>
          </cell>
          <cell r="AO616" t="str">
            <v>N</v>
          </cell>
        </row>
        <row r="617">
          <cell r="A617" t="str">
            <v>ARK</v>
          </cell>
          <cell r="J617" t="str">
            <v>GDEM</v>
          </cell>
          <cell r="L617" t="str">
            <v>M</v>
          </cell>
          <cell r="AO617" t="str">
            <v>N</v>
          </cell>
        </row>
        <row r="618">
          <cell r="A618" t="str">
            <v>ARK</v>
          </cell>
          <cell r="J618" t="str">
            <v>GDEM</v>
          </cell>
          <cell r="L618" t="str">
            <v>F</v>
          </cell>
          <cell r="AO618" t="str">
            <v>N</v>
          </cell>
          <cell r="AQ618" t="str">
            <v>Y- whole</v>
          </cell>
        </row>
        <row r="619">
          <cell r="A619" t="str">
            <v>in storage</v>
          </cell>
          <cell r="J619" t="str">
            <v>PCOQ</v>
          </cell>
          <cell r="L619" t="str">
            <v>M</v>
          </cell>
          <cell r="AO619" t="str">
            <v>N</v>
          </cell>
        </row>
        <row r="620">
          <cell r="A620" t="str">
            <v>in storage</v>
          </cell>
          <cell r="J620" t="str">
            <v>PCOQ</v>
          </cell>
          <cell r="L620" t="str">
            <v>M</v>
          </cell>
          <cell r="AO620" t="str">
            <v>N</v>
          </cell>
        </row>
        <row r="621">
          <cell r="A621" t="str">
            <v>in storage</v>
          </cell>
          <cell r="J621" t="str">
            <v>PCOQ</v>
          </cell>
          <cell r="L621" t="str">
            <v>M</v>
          </cell>
          <cell r="AO621" t="str">
            <v>Y</v>
          </cell>
        </row>
        <row r="622">
          <cell r="A622" t="str">
            <v>in storage</v>
          </cell>
          <cell r="J622" t="str">
            <v>PCOQ</v>
          </cell>
          <cell r="L622" t="str">
            <v>F</v>
          </cell>
          <cell r="AO622" t="str">
            <v>N</v>
          </cell>
        </row>
        <row r="623">
          <cell r="A623" t="str">
            <v>gone</v>
          </cell>
          <cell r="J623" t="str">
            <v>GMOH</v>
          </cell>
          <cell r="L623" t="str">
            <v>F</v>
          </cell>
          <cell r="AO623" t="str">
            <v>N</v>
          </cell>
        </row>
        <row r="624">
          <cell r="A624" t="str">
            <v>gone</v>
          </cell>
          <cell r="J624" t="str">
            <v>GMOH</v>
          </cell>
          <cell r="L624" t="str">
            <v>F</v>
          </cell>
          <cell r="AO624" t="str">
            <v>Y</v>
          </cell>
        </row>
        <row r="625">
          <cell r="A625" t="str">
            <v>ARK</v>
          </cell>
          <cell r="J625" t="str">
            <v>OCRA</v>
          </cell>
          <cell r="L625" t="str">
            <v>F</v>
          </cell>
          <cell r="AO625" t="str">
            <v>N</v>
          </cell>
          <cell r="AQ625" t="str">
            <v>Y- whole</v>
          </cell>
        </row>
        <row r="626">
          <cell r="A626" t="str">
            <v>in storage</v>
          </cell>
          <cell r="J626" t="str">
            <v>PCOQ</v>
          </cell>
          <cell r="L626" t="str">
            <v>M</v>
          </cell>
          <cell r="AO626" t="str">
            <v>Y</v>
          </cell>
        </row>
        <row r="627">
          <cell r="A627" t="str">
            <v>in storage</v>
          </cell>
          <cell r="J627" t="str">
            <v>PCOQ</v>
          </cell>
          <cell r="L627" t="str">
            <v>M</v>
          </cell>
          <cell r="AO627" t="str">
            <v>Y</v>
          </cell>
        </row>
        <row r="628">
          <cell r="A628" t="str">
            <v>gone</v>
          </cell>
          <cell r="J628" t="str">
            <v>GMOH</v>
          </cell>
          <cell r="L628" t="str">
            <v>M</v>
          </cell>
          <cell r="AO628" t="str">
            <v>Y</v>
          </cell>
        </row>
        <row r="629">
          <cell r="A629" t="str">
            <v>gone</v>
          </cell>
          <cell r="J629" t="str">
            <v>GMOH</v>
          </cell>
          <cell r="L629" t="str">
            <v>M</v>
          </cell>
          <cell r="AO629" t="str">
            <v>N</v>
          </cell>
        </row>
        <row r="630">
          <cell r="A630" t="str">
            <v>in storage</v>
          </cell>
          <cell r="J630" t="str">
            <v>PCOQ</v>
          </cell>
          <cell r="L630" t="str">
            <v>M</v>
          </cell>
          <cell r="AO630" t="str">
            <v>Y</v>
          </cell>
        </row>
        <row r="631">
          <cell r="A631" t="str">
            <v>in storage</v>
          </cell>
          <cell r="J631" t="str">
            <v>PCOQ</v>
          </cell>
          <cell r="L631" t="str">
            <v>M</v>
          </cell>
          <cell r="AO631" t="str">
            <v>N</v>
          </cell>
        </row>
        <row r="632">
          <cell r="A632" t="str">
            <v>in storage</v>
          </cell>
          <cell r="J632" t="str">
            <v>PCOQ</v>
          </cell>
          <cell r="L632" t="str">
            <v>F</v>
          </cell>
          <cell r="AO632" t="str">
            <v>N</v>
          </cell>
        </row>
        <row r="633">
          <cell r="A633" t="str">
            <v>gone</v>
          </cell>
          <cell r="J633" t="str">
            <v>GMOH</v>
          </cell>
          <cell r="L633" t="str">
            <v>F</v>
          </cell>
          <cell r="AO633" t="str">
            <v>Y</v>
          </cell>
        </row>
        <row r="634">
          <cell r="A634" t="str">
            <v>gone</v>
          </cell>
          <cell r="J634" t="str">
            <v>OMON</v>
          </cell>
          <cell r="L634" t="str">
            <v>ND</v>
          </cell>
          <cell r="AO634" t="str">
            <v>Y</v>
          </cell>
          <cell r="AQ634" t="str">
            <v>Y- dentition</v>
          </cell>
        </row>
        <row r="635">
          <cell r="A635" t="str">
            <v>in storage</v>
          </cell>
          <cell r="J635" t="str">
            <v>PCOQ</v>
          </cell>
          <cell r="L635" t="str">
            <v>M</v>
          </cell>
          <cell r="AO635" t="str">
            <v>N</v>
          </cell>
        </row>
        <row r="636">
          <cell r="A636" t="str">
            <v>in storage</v>
          </cell>
          <cell r="J636" t="str">
            <v>PCOQ</v>
          </cell>
          <cell r="L636" t="str">
            <v>F</v>
          </cell>
          <cell r="AO636" t="str">
            <v>Y</v>
          </cell>
        </row>
        <row r="637">
          <cell r="A637" t="str">
            <v>ARK</v>
          </cell>
          <cell r="J637" t="str">
            <v>GMOH</v>
          </cell>
          <cell r="L637" t="str">
            <v>M</v>
          </cell>
          <cell r="AO637" t="str">
            <v>N</v>
          </cell>
          <cell r="AQ637" t="str">
            <v>Y- whole</v>
          </cell>
        </row>
        <row r="638">
          <cell r="A638" t="str">
            <v>gone</v>
          </cell>
          <cell r="J638" t="str">
            <v>GMOH</v>
          </cell>
          <cell r="L638" t="str">
            <v>M</v>
          </cell>
          <cell r="AO638" t="str">
            <v>Y</v>
          </cell>
        </row>
        <row r="639">
          <cell r="A639" t="str">
            <v>unk</v>
          </cell>
          <cell r="J639" t="str">
            <v>PCOQ</v>
          </cell>
          <cell r="L639" t="str">
            <v>M</v>
          </cell>
          <cell r="AO639" t="str">
            <v>N</v>
          </cell>
          <cell r="AQ639" t="str">
            <v>Y- feet, hands, cranium, hamate</v>
          </cell>
        </row>
        <row r="640">
          <cell r="A640" t="str">
            <v>in storage</v>
          </cell>
          <cell r="J640" t="str">
            <v>PCOQ</v>
          </cell>
          <cell r="L640" t="str">
            <v>M</v>
          </cell>
          <cell r="AO640" t="str">
            <v>Y</v>
          </cell>
        </row>
        <row r="641">
          <cell r="A641" t="str">
            <v>in storage</v>
          </cell>
          <cell r="J641" t="str">
            <v>PCOQ</v>
          </cell>
          <cell r="L641" t="str">
            <v>M</v>
          </cell>
          <cell r="AO641" t="str">
            <v>Y</v>
          </cell>
        </row>
        <row r="642">
          <cell r="A642" t="str">
            <v>in storage</v>
          </cell>
          <cell r="J642" t="str">
            <v>PCOQ</v>
          </cell>
          <cell r="L642" t="str">
            <v>M</v>
          </cell>
          <cell r="AO642" t="str">
            <v>N</v>
          </cell>
        </row>
        <row r="643">
          <cell r="A643" t="str">
            <v>gone</v>
          </cell>
          <cell r="J643" t="str">
            <v>GMOH</v>
          </cell>
          <cell r="L643" t="str">
            <v>M</v>
          </cell>
          <cell r="AO643" t="str">
            <v>Y</v>
          </cell>
        </row>
        <row r="644">
          <cell r="A644" t="str">
            <v>gone</v>
          </cell>
          <cell r="J644" t="str">
            <v>GMOH</v>
          </cell>
          <cell r="L644" t="str">
            <v>M</v>
          </cell>
          <cell r="AO644" t="str">
            <v>N</v>
          </cell>
        </row>
        <row r="645">
          <cell r="A645" t="str">
            <v>in storage</v>
          </cell>
          <cell r="J645" t="str">
            <v>PCOQ</v>
          </cell>
          <cell r="L645" t="str">
            <v>F</v>
          </cell>
          <cell r="AO645" t="str">
            <v>Y</v>
          </cell>
          <cell r="AQ645" t="str">
            <v>Y- whole</v>
          </cell>
        </row>
        <row r="646">
          <cell r="A646" t="str">
            <v>gone</v>
          </cell>
          <cell r="J646" t="str">
            <v>GMOH</v>
          </cell>
          <cell r="L646" t="str">
            <v>M</v>
          </cell>
          <cell r="AO646" t="str">
            <v>Y</v>
          </cell>
        </row>
        <row r="647">
          <cell r="A647" t="str">
            <v>gone</v>
          </cell>
          <cell r="J647" t="str">
            <v>PCOQ</v>
          </cell>
          <cell r="L647" t="str">
            <v>F</v>
          </cell>
          <cell r="AO647" t="str">
            <v>Y</v>
          </cell>
          <cell r="AQ647" t="str">
            <v>Y- dentition</v>
          </cell>
        </row>
        <row r="648">
          <cell r="A648" t="str">
            <v>gone</v>
          </cell>
          <cell r="J648" t="str">
            <v>GMOH</v>
          </cell>
          <cell r="L648" t="str">
            <v>F</v>
          </cell>
          <cell r="AO648" t="str">
            <v>Y</v>
          </cell>
        </row>
        <row r="649">
          <cell r="A649" t="str">
            <v>in storage</v>
          </cell>
          <cell r="J649" t="str">
            <v>PCOQ</v>
          </cell>
          <cell r="L649" t="str">
            <v>F</v>
          </cell>
          <cell r="AO649" t="str">
            <v>N</v>
          </cell>
        </row>
        <row r="650">
          <cell r="A650" t="str">
            <v>gone</v>
          </cell>
          <cell r="J650" t="str">
            <v>GMOH</v>
          </cell>
          <cell r="L650" t="str">
            <v>F</v>
          </cell>
          <cell r="AO650" t="str">
            <v>Y</v>
          </cell>
        </row>
        <row r="651">
          <cell r="A651" t="str">
            <v>gone</v>
          </cell>
          <cell r="J651" t="str">
            <v>GMOH</v>
          </cell>
          <cell r="L651" t="str">
            <v>M</v>
          </cell>
          <cell r="AO651" t="str">
            <v>Y</v>
          </cell>
        </row>
        <row r="652">
          <cell r="A652" t="str">
            <v>gone</v>
          </cell>
          <cell r="J652" t="str">
            <v>GMOH</v>
          </cell>
          <cell r="L652" t="str">
            <v>M</v>
          </cell>
          <cell r="AO652" t="str">
            <v>Y</v>
          </cell>
        </row>
        <row r="653">
          <cell r="A653" t="str">
            <v>in storage</v>
          </cell>
          <cell r="J653" t="str">
            <v>PCOQ</v>
          </cell>
          <cell r="L653" t="str">
            <v>F</v>
          </cell>
          <cell r="AO653" t="str">
            <v>N</v>
          </cell>
        </row>
        <row r="654">
          <cell r="A654" t="str">
            <v>gone</v>
          </cell>
          <cell r="J654" t="str">
            <v>GMOH</v>
          </cell>
          <cell r="L654" t="str">
            <v>ND</v>
          </cell>
          <cell r="AO654" t="str">
            <v>N</v>
          </cell>
        </row>
        <row r="655">
          <cell r="A655" t="str">
            <v>gone</v>
          </cell>
          <cell r="J655" t="str">
            <v>GMOH</v>
          </cell>
          <cell r="L655" t="str">
            <v>ND</v>
          </cell>
          <cell r="AO655" t="str">
            <v>N</v>
          </cell>
        </row>
        <row r="656">
          <cell r="A656" t="str">
            <v>in storage</v>
          </cell>
          <cell r="J656" t="str">
            <v>PCOQ</v>
          </cell>
          <cell r="L656" t="str">
            <v>M</v>
          </cell>
          <cell r="AO656" t="str">
            <v>N</v>
          </cell>
        </row>
        <row r="657">
          <cell r="A657" t="str">
            <v>in storage</v>
          </cell>
          <cell r="J657" t="str">
            <v>PCOQ</v>
          </cell>
          <cell r="L657" t="str">
            <v>F</v>
          </cell>
          <cell r="AO657" t="str">
            <v>Y</v>
          </cell>
        </row>
        <row r="658">
          <cell r="A658" t="str">
            <v>gone</v>
          </cell>
          <cell r="J658" t="str">
            <v>GMOH</v>
          </cell>
          <cell r="L658" t="str">
            <v>F</v>
          </cell>
          <cell r="AO658" t="str">
            <v>Y</v>
          </cell>
        </row>
        <row r="659">
          <cell r="A659" t="str">
            <v>in storage</v>
          </cell>
          <cell r="J659" t="str">
            <v>PCOQ</v>
          </cell>
          <cell r="L659" t="str">
            <v>F</v>
          </cell>
          <cell r="AO659" t="str">
            <v>N</v>
          </cell>
        </row>
        <row r="660">
          <cell r="A660" t="str">
            <v>in storage</v>
          </cell>
          <cell r="J660" t="str">
            <v>PCOQ</v>
          </cell>
          <cell r="L660" t="str">
            <v>M</v>
          </cell>
          <cell r="AO660" t="str">
            <v>N</v>
          </cell>
        </row>
        <row r="661">
          <cell r="A661" t="str">
            <v>in storage</v>
          </cell>
          <cell r="J661" t="str">
            <v>PCOQ</v>
          </cell>
          <cell r="L661" t="str">
            <v>F</v>
          </cell>
          <cell r="AO661" t="str">
            <v>Y</v>
          </cell>
        </row>
        <row r="662">
          <cell r="A662" t="str">
            <v>missing</v>
          </cell>
          <cell r="J662" t="str">
            <v>PCOQ</v>
          </cell>
          <cell r="L662" t="str">
            <v>M</v>
          </cell>
          <cell r="AO662" t="str">
            <v>N</v>
          </cell>
          <cell r="AQ662" t="str">
            <v>Y- Foot, hand, cranium, hamate, talus, calcaneus</v>
          </cell>
        </row>
        <row r="663">
          <cell r="A663" t="str">
            <v>gone</v>
          </cell>
          <cell r="J663" t="str">
            <v>HGG</v>
          </cell>
          <cell r="L663" t="str">
            <v>M</v>
          </cell>
          <cell r="AO663" t="str">
            <v>Y</v>
          </cell>
        </row>
        <row r="664">
          <cell r="A664" t="str">
            <v>gone</v>
          </cell>
          <cell r="J664" t="str">
            <v>HGG</v>
          </cell>
          <cell r="L664" t="str">
            <v>M</v>
          </cell>
          <cell r="AO664" t="str">
            <v>Y</v>
          </cell>
        </row>
        <row r="665">
          <cell r="A665" t="str">
            <v>gone</v>
          </cell>
          <cell r="J665" t="str">
            <v>HGG</v>
          </cell>
          <cell r="L665" t="str">
            <v>M</v>
          </cell>
          <cell r="AO665" t="str">
            <v>N</v>
          </cell>
        </row>
        <row r="666">
          <cell r="A666" t="str">
            <v>gone</v>
          </cell>
          <cell r="J666" t="str">
            <v>LCAT</v>
          </cell>
          <cell r="L666" t="str">
            <v>ND</v>
          </cell>
          <cell r="AO666" t="str">
            <v>Y</v>
          </cell>
        </row>
        <row r="667">
          <cell r="A667" t="str">
            <v>in storage</v>
          </cell>
          <cell r="J667" t="str">
            <v>PCOQ</v>
          </cell>
          <cell r="L667" t="str">
            <v>F</v>
          </cell>
          <cell r="AO667" t="str">
            <v>Y</v>
          </cell>
        </row>
        <row r="668">
          <cell r="A668" t="str">
            <v>gone</v>
          </cell>
          <cell r="J668" t="str">
            <v>LCAT</v>
          </cell>
          <cell r="L668" t="str">
            <v>F</v>
          </cell>
          <cell r="AO668" t="str">
            <v>Y</v>
          </cell>
        </row>
        <row r="669">
          <cell r="A669" t="str">
            <v>in storage</v>
          </cell>
          <cell r="J669" t="str">
            <v>PCOQ</v>
          </cell>
          <cell r="L669" t="str">
            <v>M</v>
          </cell>
          <cell r="AO669" t="str">
            <v>Y</v>
          </cell>
        </row>
        <row r="670">
          <cell r="A670" t="str">
            <v>gone</v>
          </cell>
          <cell r="J670" t="str">
            <v>LCAT</v>
          </cell>
          <cell r="L670" t="str">
            <v>F</v>
          </cell>
          <cell r="AO670" t="str">
            <v>Y</v>
          </cell>
        </row>
        <row r="671">
          <cell r="A671" t="str">
            <v>gone</v>
          </cell>
          <cell r="J671" t="str">
            <v>LCAT</v>
          </cell>
          <cell r="L671" t="str">
            <v>M</v>
          </cell>
          <cell r="AO671" t="str">
            <v>Y</v>
          </cell>
        </row>
        <row r="672">
          <cell r="A672" t="str">
            <v>gone</v>
          </cell>
          <cell r="J672" t="str">
            <v>LCAT</v>
          </cell>
          <cell r="L672" t="str">
            <v>M</v>
          </cell>
          <cell r="AO672" t="str">
            <v>Y</v>
          </cell>
        </row>
        <row r="673">
          <cell r="A673" t="str">
            <v>gone</v>
          </cell>
          <cell r="J673" t="str">
            <v>LCAT</v>
          </cell>
          <cell r="L673" t="str">
            <v>M</v>
          </cell>
          <cell r="AO673" t="str">
            <v>Y</v>
          </cell>
        </row>
        <row r="674">
          <cell r="A674" t="str">
            <v>gone</v>
          </cell>
          <cell r="J674" t="str">
            <v>LCAT</v>
          </cell>
          <cell r="L674" t="str">
            <v>M</v>
          </cell>
          <cell r="AO674" t="str">
            <v>Y</v>
          </cell>
        </row>
        <row r="675">
          <cell r="A675" t="str">
            <v>gone</v>
          </cell>
          <cell r="J675" t="str">
            <v>LCAT</v>
          </cell>
          <cell r="L675" t="str">
            <v>F</v>
          </cell>
          <cell r="AO675" t="str">
            <v>Y</v>
          </cell>
        </row>
        <row r="676">
          <cell r="A676" t="str">
            <v>gone</v>
          </cell>
          <cell r="J676" t="str">
            <v>LCAT</v>
          </cell>
          <cell r="L676" t="str">
            <v>ND</v>
          </cell>
          <cell r="AO676" t="str">
            <v>N</v>
          </cell>
        </row>
        <row r="677">
          <cell r="A677" t="str">
            <v>in storage</v>
          </cell>
          <cell r="J677" t="str">
            <v>PCOQ</v>
          </cell>
          <cell r="L677" t="str">
            <v>F</v>
          </cell>
          <cell r="AO677" t="str">
            <v>N</v>
          </cell>
        </row>
        <row r="678">
          <cell r="A678" t="str">
            <v>gone</v>
          </cell>
          <cell r="J678" t="str">
            <v>MMUR</v>
          </cell>
          <cell r="L678" t="str">
            <v>M</v>
          </cell>
          <cell r="AO678" t="str">
            <v>N</v>
          </cell>
        </row>
        <row r="679">
          <cell r="A679" t="str">
            <v>in storage</v>
          </cell>
          <cell r="J679" t="str">
            <v>PCOQ</v>
          </cell>
          <cell r="L679" t="str">
            <v>F</v>
          </cell>
          <cell r="AO679" t="str">
            <v>N</v>
          </cell>
        </row>
        <row r="680">
          <cell r="A680" t="str">
            <v>gone</v>
          </cell>
          <cell r="J680" t="str">
            <v>MMUR</v>
          </cell>
          <cell r="L680" t="str">
            <v>F</v>
          </cell>
          <cell r="AO680" t="str">
            <v>N</v>
          </cell>
        </row>
        <row r="681">
          <cell r="A681" t="str">
            <v>gone</v>
          </cell>
          <cell r="J681" t="str">
            <v>MMUR</v>
          </cell>
          <cell r="L681" t="str">
            <v>F</v>
          </cell>
          <cell r="AO681" t="str">
            <v>N</v>
          </cell>
        </row>
        <row r="682">
          <cell r="A682" t="str">
            <v>gone</v>
          </cell>
          <cell r="J682" t="str">
            <v>MMUR</v>
          </cell>
          <cell r="L682" t="str">
            <v>M</v>
          </cell>
          <cell r="AO682" t="str">
            <v>N</v>
          </cell>
        </row>
        <row r="683">
          <cell r="A683" t="str">
            <v>gone</v>
          </cell>
          <cell r="J683" t="str">
            <v>MMUR</v>
          </cell>
          <cell r="L683" t="str">
            <v>M</v>
          </cell>
          <cell r="AO683" t="str">
            <v>N</v>
          </cell>
        </row>
        <row r="684">
          <cell r="A684" t="str">
            <v>in storage</v>
          </cell>
          <cell r="J684" t="str">
            <v>PCOQ</v>
          </cell>
          <cell r="L684" t="str">
            <v>M</v>
          </cell>
          <cell r="AO684" t="str">
            <v>N</v>
          </cell>
        </row>
        <row r="685">
          <cell r="A685" t="str">
            <v>in storage</v>
          </cell>
          <cell r="J685" t="str">
            <v>PCOQ</v>
          </cell>
          <cell r="L685" t="str">
            <v>M</v>
          </cell>
          <cell r="AO685" t="str">
            <v>Y</v>
          </cell>
        </row>
        <row r="686">
          <cell r="A686" t="str">
            <v>missing</v>
          </cell>
          <cell r="J686" t="str">
            <v>MZAZ</v>
          </cell>
          <cell r="L686" t="str">
            <v>M</v>
          </cell>
          <cell r="AO686" t="str">
            <v>Y</v>
          </cell>
        </row>
        <row r="687">
          <cell r="A687" t="str">
            <v>in storage</v>
          </cell>
          <cell r="J687" t="str">
            <v>PCOQ</v>
          </cell>
          <cell r="L687" t="str">
            <v>M</v>
          </cell>
          <cell r="AO687" t="str">
            <v>N</v>
          </cell>
          <cell r="AQ687" t="str">
            <v>Y- feet, hands, cranium</v>
          </cell>
        </row>
        <row r="688">
          <cell r="A688" t="str">
            <v>gone</v>
          </cell>
          <cell r="J688" t="str">
            <v>NPYG</v>
          </cell>
          <cell r="L688" t="str">
            <v>ND</v>
          </cell>
          <cell r="AO688" t="str">
            <v>Y</v>
          </cell>
        </row>
        <row r="689">
          <cell r="A689" t="str">
            <v>missing</v>
          </cell>
          <cell r="J689" t="str">
            <v>OGG</v>
          </cell>
          <cell r="L689" t="str">
            <v>ND</v>
          </cell>
          <cell r="AO689" t="str">
            <v>Y</v>
          </cell>
        </row>
        <row r="690">
          <cell r="A690" t="str">
            <v>gone</v>
          </cell>
          <cell r="J690" t="str">
            <v>OGG</v>
          </cell>
          <cell r="L690" t="str">
            <v>F</v>
          </cell>
          <cell r="AO690" t="str">
            <v>Y</v>
          </cell>
        </row>
        <row r="691">
          <cell r="A691" t="str">
            <v>in storage</v>
          </cell>
          <cell r="J691" t="str">
            <v>PCOQ</v>
          </cell>
          <cell r="L691" t="str">
            <v>F</v>
          </cell>
          <cell r="AO691" t="str">
            <v>N</v>
          </cell>
          <cell r="AQ691" t="str">
            <v>Y- feet, hands, cranium, hamate</v>
          </cell>
        </row>
        <row r="692">
          <cell r="A692" t="str">
            <v>in storage</v>
          </cell>
          <cell r="J692" t="str">
            <v>PCOQ</v>
          </cell>
          <cell r="L692" t="str">
            <v>M</v>
          </cell>
          <cell r="AO692" t="str">
            <v>Y</v>
          </cell>
        </row>
        <row r="693">
          <cell r="A693" t="str">
            <v>gone</v>
          </cell>
          <cell r="J693" t="str">
            <v>OGG</v>
          </cell>
          <cell r="L693" t="str">
            <v>M</v>
          </cell>
          <cell r="AO693" t="str">
            <v>Y</v>
          </cell>
        </row>
        <row r="694">
          <cell r="A694" t="str">
            <v>ARK</v>
          </cell>
          <cell r="J694" t="str">
            <v>OGG</v>
          </cell>
          <cell r="L694" t="str">
            <v>M</v>
          </cell>
          <cell r="AO694" t="str">
            <v>N</v>
          </cell>
        </row>
        <row r="695">
          <cell r="A695" t="str">
            <v>in storage</v>
          </cell>
          <cell r="J695" t="str">
            <v>PCOQ</v>
          </cell>
          <cell r="L695" t="str">
            <v>M</v>
          </cell>
          <cell r="AO695" t="str">
            <v>Y</v>
          </cell>
        </row>
        <row r="696">
          <cell r="A696" t="str">
            <v>gone</v>
          </cell>
          <cell r="J696" t="str">
            <v>OGG</v>
          </cell>
          <cell r="L696" t="str">
            <v>ND</v>
          </cell>
          <cell r="AO696" t="str">
            <v>N</v>
          </cell>
        </row>
        <row r="697">
          <cell r="A697" t="str">
            <v>in storage</v>
          </cell>
          <cell r="J697" t="str">
            <v>PCOQ</v>
          </cell>
          <cell r="L697" t="str">
            <v>M</v>
          </cell>
          <cell r="AO697" t="str">
            <v>Y</v>
          </cell>
        </row>
        <row r="698">
          <cell r="A698" t="str">
            <v>in storage</v>
          </cell>
          <cell r="J698" t="str">
            <v>PCOQ</v>
          </cell>
          <cell r="L698" t="str">
            <v>M</v>
          </cell>
          <cell r="AO698" t="str">
            <v>Y</v>
          </cell>
        </row>
        <row r="699">
          <cell r="A699" t="str">
            <v>ARK</v>
          </cell>
          <cell r="J699" t="str">
            <v>OMA</v>
          </cell>
          <cell r="L699" t="str">
            <v>F</v>
          </cell>
          <cell r="AO699" t="str">
            <v>N</v>
          </cell>
        </row>
        <row r="700">
          <cell r="A700" t="str">
            <v>gone</v>
          </cell>
          <cell r="J700" t="str">
            <v>PPOT</v>
          </cell>
          <cell r="L700" t="str">
            <v>M</v>
          </cell>
          <cell r="AO700" t="str">
            <v>N</v>
          </cell>
          <cell r="AQ700" t="str">
            <v>Y- whole</v>
          </cell>
        </row>
        <row r="701">
          <cell r="A701" t="str">
            <v>in storage</v>
          </cell>
          <cell r="J701" t="str">
            <v>PCOQ</v>
          </cell>
          <cell r="L701" t="str">
            <v>M</v>
          </cell>
          <cell r="AO701" t="str">
            <v>N</v>
          </cell>
        </row>
        <row r="702">
          <cell r="A702" t="str">
            <v>in storage</v>
          </cell>
          <cell r="J702" t="str">
            <v>PCOQ</v>
          </cell>
          <cell r="L702" t="str">
            <v>F</v>
          </cell>
          <cell r="AO702" t="str">
            <v>N</v>
          </cell>
        </row>
        <row r="703">
          <cell r="A703" t="str">
            <v>in storage</v>
          </cell>
          <cell r="J703" t="str">
            <v>PCOQ</v>
          </cell>
          <cell r="L703" t="str">
            <v>M</v>
          </cell>
          <cell r="AO703" t="str">
            <v>N</v>
          </cell>
        </row>
        <row r="704">
          <cell r="A704" t="str">
            <v>in storage</v>
          </cell>
          <cell r="J704" t="str">
            <v>PCOQ</v>
          </cell>
          <cell r="L704" t="str">
            <v>M</v>
          </cell>
          <cell r="AO704" t="str">
            <v>N</v>
          </cell>
        </row>
        <row r="705">
          <cell r="A705" t="str">
            <v>in storage</v>
          </cell>
          <cell r="J705" t="str">
            <v>PCOQ</v>
          </cell>
          <cell r="L705" t="str">
            <v>M</v>
          </cell>
          <cell r="AO705" t="str">
            <v>y</v>
          </cell>
        </row>
        <row r="706">
          <cell r="A706" t="str">
            <v>gone</v>
          </cell>
          <cell r="J706" t="str">
            <v>OMA</v>
          </cell>
          <cell r="L706" t="str">
            <v>F</v>
          </cell>
          <cell r="AO706" t="str">
            <v>N</v>
          </cell>
        </row>
        <row r="707">
          <cell r="A707" t="str">
            <v>in storage</v>
          </cell>
          <cell r="J707" t="str">
            <v>PCOQ</v>
          </cell>
          <cell r="L707" t="str">
            <v>F</v>
          </cell>
          <cell r="AO707" t="str">
            <v>Y</v>
          </cell>
        </row>
        <row r="708">
          <cell r="A708" t="str">
            <v>in storage</v>
          </cell>
          <cell r="J708" t="str">
            <v>PCOQ</v>
          </cell>
          <cell r="L708" t="str">
            <v>M</v>
          </cell>
          <cell r="AO708" t="str">
            <v>N</v>
          </cell>
        </row>
        <row r="709">
          <cell r="A709" t="str">
            <v>in storage</v>
          </cell>
          <cell r="J709" t="str">
            <v>PCOQ</v>
          </cell>
          <cell r="L709" t="str">
            <v>F</v>
          </cell>
          <cell r="AO709" t="str">
            <v>N</v>
          </cell>
        </row>
        <row r="710">
          <cell r="A710" t="str">
            <v>in storage</v>
          </cell>
          <cell r="J710" t="str">
            <v>PCOQ</v>
          </cell>
          <cell r="L710" t="str">
            <v>F</v>
          </cell>
          <cell r="AO710" t="str">
            <v>Y</v>
          </cell>
        </row>
        <row r="711">
          <cell r="A711" t="str">
            <v>unk</v>
          </cell>
          <cell r="J711" t="str">
            <v>OMA</v>
          </cell>
          <cell r="L711" t="str">
            <v>ND</v>
          </cell>
          <cell r="AO711" t="str">
            <v>y</v>
          </cell>
        </row>
        <row r="712">
          <cell r="A712" t="str">
            <v>in storage</v>
          </cell>
          <cell r="J712" t="str">
            <v>PCOQ</v>
          </cell>
          <cell r="L712" t="str">
            <v>M</v>
          </cell>
          <cell r="AO712" t="str">
            <v>Y</v>
          </cell>
        </row>
        <row r="713">
          <cell r="A713" t="str">
            <v>in storage</v>
          </cell>
          <cell r="J713" t="str">
            <v>PCOQ</v>
          </cell>
          <cell r="L713" t="str">
            <v>M</v>
          </cell>
          <cell r="AO713" t="str">
            <v>N</v>
          </cell>
        </row>
        <row r="714">
          <cell r="A714" t="str">
            <v>in storage</v>
          </cell>
          <cell r="J714" t="str">
            <v>PCOQ</v>
          </cell>
          <cell r="L714" t="str">
            <v>ND</v>
          </cell>
          <cell r="AO714" t="str">
            <v>y</v>
          </cell>
        </row>
        <row r="715">
          <cell r="A715" t="str">
            <v>in storage</v>
          </cell>
          <cell r="J715" t="str">
            <v>PCOQ</v>
          </cell>
          <cell r="L715" t="str">
            <v>ND</v>
          </cell>
          <cell r="AO715" t="str">
            <v>N</v>
          </cell>
        </row>
        <row r="716">
          <cell r="A716" t="str">
            <v>unk</v>
          </cell>
          <cell r="J716" t="str">
            <v>OMA</v>
          </cell>
          <cell r="L716" t="str">
            <v>ND</v>
          </cell>
          <cell r="AO716" t="str">
            <v>y</v>
          </cell>
        </row>
        <row r="717">
          <cell r="A717" t="str">
            <v>in storage</v>
          </cell>
          <cell r="J717" t="str">
            <v>PCOQ</v>
          </cell>
          <cell r="L717" t="str">
            <v>F</v>
          </cell>
          <cell r="AO717" t="str">
            <v>N</v>
          </cell>
        </row>
        <row r="718">
          <cell r="A718" t="str">
            <v>in storage</v>
          </cell>
          <cell r="J718" t="str">
            <v>PCOQ</v>
          </cell>
          <cell r="L718" t="str">
            <v>M</v>
          </cell>
          <cell r="AO718" t="str">
            <v>Y</v>
          </cell>
        </row>
        <row r="719">
          <cell r="A719" t="str">
            <v>in storage</v>
          </cell>
          <cell r="J719" t="str">
            <v>PCOQ</v>
          </cell>
          <cell r="L719" t="str">
            <v>M</v>
          </cell>
          <cell r="AO719" t="str">
            <v>N</v>
          </cell>
        </row>
        <row r="720">
          <cell r="A720" t="str">
            <v>in storage</v>
          </cell>
          <cell r="J720" t="str">
            <v>PCOQ</v>
          </cell>
          <cell r="L720" t="str">
            <v>F</v>
          </cell>
          <cell r="AO720" t="str">
            <v>Y</v>
          </cell>
        </row>
        <row r="721">
          <cell r="A721" t="str">
            <v>in storage</v>
          </cell>
          <cell r="J721" t="str">
            <v>PPOT</v>
          </cell>
          <cell r="L721" t="str">
            <v>ND</v>
          </cell>
          <cell r="AO721" t="str">
            <v>N</v>
          </cell>
        </row>
        <row r="722">
          <cell r="A722" t="str">
            <v>unk</v>
          </cell>
          <cell r="J722" t="e">
            <v>#N/A</v>
          </cell>
          <cell r="L722" t="e">
            <v>#N/A</v>
          </cell>
        </row>
        <row r="723">
          <cell r="A723" t="str">
            <v>gone</v>
          </cell>
          <cell r="J723" t="str">
            <v>OMON</v>
          </cell>
          <cell r="L723" t="str">
            <v>ND</v>
          </cell>
          <cell r="AO723" t="str">
            <v>Y</v>
          </cell>
        </row>
        <row r="724">
          <cell r="A724" t="str">
            <v>ARK</v>
          </cell>
          <cell r="J724" t="str">
            <v>TBAN</v>
          </cell>
          <cell r="L724" t="str">
            <v>M</v>
          </cell>
          <cell r="AO724" t="str">
            <v>N</v>
          </cell>
          <cell r="AQ724" t="str">
            <v>Y- whole</v>
          </cell>
        </row>
        <row r="725">
          <cell r="A725" t="str">
            <v>in storage</v>
          </cell>
          <cell r="J725" t="str">
            <v>PPOT</v>
          </cell>
          <cell r="L725" t="str">
            <v>ND</v>
          </cell>
          <cell r="AO725" t="str">
            <v>N</v>
          </cell>
        </row>
        <row r="726">
          <cell r="A726" t="str">
            <v>gone</v>
          </cell>
          <cell r="J726" t="str">
            <v>OMON</v>
          </cell>
          <cell r="L726" t="str">
            <v>M</v>
          </cell>
          <cell r="AO726" t="str">
            <v>Y</v>
          </cell>
        </row>
        <row r="727">
          <cell r="A727" t="str">
            <v>in storage</v>
          </cell>
          <cell r="J727" t="str">
            <v>Prop sp</v>
          </cell>
          <cell r="L727" t="str">
            <v>ND</v>
          </cell>
        </row>
        <row r="728">
          <cell r="A728" t="str">
            <v>in storage</v>
          </cell>
          <cell r="J728" t="str">
            <v>PTAT</v>
          </cell>
          <cell r="L728" t="str">
            <v>M</v>
          </cell>
          <cell r="AO728" t="str">
            <v>Y</v>
          </cell>
        </row>
        <row r="729">
          <cell r="A729" t="str">
            <v>gone</v>
          </cell>
          <cell r="J729" t="str">
            <v>OMON</v>
          </cell>
          <cell r="L729" t="str">
            <v>M</v>
          </cell>
          <cell r="AO729" t="str">
            <v>Y</v>
          </cell>
        </row>
        <row r="730">
          <cell r="A730" t="str">
            <v>missing</v>
          </cell>
          <cell r="J730" t="str">
            <v>OMON</v>
          </cell>
          <cell r="L730" t="str">
            <v>F</v>
          </cell>
          <cell r="AO730" t="str">
            <v>UNK</v>
          </cell>
        </row>
        <row r="731">
          <cell r="A731" t="str">
            <v>missing</v>
          </cell>
          <cell r="J731" t="str">
            <v>OMON</v>
          </cell>
          <cell r="L731" t="str">
            <v>M</v>
          </cell>
          <cell r="AO731" t="str">
            <v>UNK</v>
          </cell>
        </row>
        <row r="732">
          <cell r="A732" t="str">
            <v>ARK</v>
          </cell>
          <cell r="J732" t="str">
            <v>OMON</v>
          </cell>
          <cell r="L732" t="str">
            <v>M</v>
          </cell>
          <cell r="AO732" t="str">
            <v>N</v>
          </cell>
        </row>
        <row r="733">
          <cell r="A733" t="str">
            <v>in storage</v>
          </cell>
          <cell r="J733" t="str">
            <v>PTAT</v>
          </cell>
          <cell r="L733" t="str">
            <v>F</v>
          </cell>
          <cell r="AO733" t="str">
            <v>N</v>
          </cell>
        </row>
        <row r="734">
          <cell r="A734" t="str">
            <v>gone</v>
          </cell>
          <cell r="J734" t="str">
            <v>PCOQ</v>
          </cell>
          <cell r="L734" t="str">
            <v>M</v>
          </cell>
          <cell r="AO734" t="str">
            <v>Y</v>
          </cell>
        </row>
        <row r="735">
          <cell r="A735" t="str">
            <v>in storage</v>
          </cell>
          <cell r="J735" t="str">
            <v>PTAT</v>
          </cell>
          <cell r="L735" t="str">
            <v>M</v>
          </cell>
          <cell r="AO735" t="str">
            <v>N</v>
          </cell>
        </row>
        <row r="736">
          <cell r="A736" t="str">
            <v>in storage</v>
          </cell>
          <cell r="J736" t="str">
            <v>PTAT</v>
          </cell>
          <cell r="L736" t="str">
            <v>M</v>
          </cell>
          <cell r="AO736" t="str">
            <v>N</v>
          </cell>
        </row>
        <row r="737">
          <cell r="A737" t="str">
            <v>gone</v>
          </cell>
          <cell r="J737" t="str">
            <v>PCOQ</v>
          </cell>
          <cell r="L737" t="str">
            <v>F</v>
          </cell>
          <cell r="AO737" t="str">
            <v>N</v>
          </cell>
        </row>
        <row r="738">
          <cell r="A738" t="str">
            <v>in storage</v>
          </cell>
          <cell r="J738" t="str">
            <v>unknown</v>
          </cell>
          <cell r="L738" t="str">
            <v>ND</v>
          </cell>
          <cell r="AO738" t="str">
            <v>UNK</v>
          </cell>
        </row>
        <row r="739">
          <cell r="A739" t="str">
            <v>gone</v>
          </cell>
          <cell r="J739" t="str">
            <v>PCOQ</v>
          </cell>
          <cell r="L739" t="str">
            <v>M</v>
          </cell>
          <cell r="AO739" t="str">
            <v>N</v>
          </cell>
        </row>
        <row r="740">
          <cell r="A740" t="str">
            <v>in storage</v>
          </cell>
          <cell r="J740" t="str">
            <v>unknown</v>
          </cell>
          <cell r="L740" t="str">
            <v>ND</v>
          </cell>
          <cell r="AO740" t="str">
            <v>UNK</v>
          </cell>
        </row>
        <row r="741">
          <cell r="A741" t="str">
            <v>gone</v>
          </cell>
          <cell r="J741" t="str">
            <v>PCOQ</v>
          </cell>
          <cell r="L741" t="str">
            <v>F</v>
          </cell>
          <cell r="AO741" t="str">
            <v>N</v>
          </cell>
        </row>
        <row r="742">
          <cell r="A742" t="str">
            <v>gone</v>
          </cell>
          <cell r="J742" t="str">
            <v>PCOQ</v>
          </cell>
          <cell r="L742" t="str">
            <v>F</v>
          </cell>
          <cell r="AO742" t="str">
            <v>Y</v>
          </cell>
        </row>
        <row r="743">
          <cell r="A743" t="str">
            <v>in storage</v>
          </cell>
          <cell r="J743" t="str">
            <v>VAR</v>
          </cell>
          <cell r="L743" t="str">
            <v>F</v>
          </cell>
          <cell r="AO743" t="str">
            <v>N</v>
          </cell>
        </row>
        <row r="744">
          <cell r="A744" t="str">
            <v>in storage</v>
          </cell>
          <cell r="J744" t="str">
            <v>VRUB</v>
          </cell>
          <cell r="L744" t="str">
            <v>F</v>
          </cell>
          <cell r="AO744" t="str">
            <v>Y</v>
          </cell>
        </row>
        <row r="745">
          <cell r="A745" t="str">
            <v>gone</v>
          </cell>
          <cell r="J745" t="str">
            <v>PCOQ</v>
          </cell>
          <cell r="L745" t="str">
            <v>F</v>
          </cell>
          <cell r="AO745" t="str">
            <v>Y</v>
          </cell>
        </row>
        <row r="746">
          <cell r="A746" t="str">
            <v>in storage</v>
          </cell>
          <cell r="J746" t="str">
            <v>VRUB</v>
          </cell>
          <cell r="L746" t="str">
            <v>F</v>
          </cell>
        </row>
        <row r="747">
          <cell r="A747" t="str">
            <v>gone</v>
          </cell>
          <cell r="J747" t="str">
            <v>PCOQ</v>
          </cell>
          <cell r="L747" t="str">
            <v>F</v>
          </cell>
          <cell r="AO747" t="str">
            <v>Y</v>
          </cell>
        </row>
        <row r="748">
          <cell r="A748" t="str">
            <v>gone</v>
          </cell>
          <cell r="J748" t="str">
            <v>PCOQ</v>
          </cell>
          <cell r="L748" t="str">
            <v>ND</v>
          </cell>
          <cell r="AO748" t="str">
            <v>Y</v>
          </cell>
        </row>
        <row r="749">
          <cell r="A749" t="str">
            <v>gone</v>
          </cell>
          <cell r="J749" t="str">
            <v>PCOQ</v>
          </cell>
          <cell r="L749" t="str">
            <v>F</v>
          </cell>
          <cell r="AO749" t="str">
            <v>Y</v>
          </cell>
        </row>
        <row r="750">
          <cell r="A750" t="str">
            <v>gone</v>
          </cell>
          <cell r="J750" t="str">
            <v>PCOQ</v>
          </cell>
          <cell r="L750" t="str">
            <v>ND</v>
          </cell>
          <cell r="AO750" t="str">
            <v>Y</v>
          </cell>
        </row>
        <row r="751">
          <cell r="A751" t="str">
            <v>in storage</v>
          </cell>
          <cell r="J751" t="str">
            <v>VRUB</v>
          </cell>
          <cell r="L751" t="str">
            <v>F</v>
          </cell>
          <cell r="AO751" t="str">
            <v>N</v>
          </cell>
        </row>
        <row r="752">
          <cell r="A752" t="str">
            <v>in storage</v>
          </cell>
          <cell r="J752" t="str">
            <v>VRUB</v>
          </cell>
          <cell r="L752" t="str">
            <v>F</v>
          </cell>
          <cell r="AO752" t="str">
            <v>Y</v>
          </cell>
        </row>
        <row r="753">
          <cell r="A753" t="str">
            <v>gone</v>
          </cell>
          <cell r="J753" t="str">
            <v>PCOQ</v>
          </cell>
          <cell r="L753" t="str">
            <v>F</v>
          </cell>
          <cell r="AO753" t="str">
            <v>Y</v>
          </cell>
        </row>
        <row r="754">
          <cell r="A754" t="str">
            <v>in storage</v>
          </cell>
          <cell r="J754" t="str">
            <v>VRUB</v>
          </cell>
          <cell r="L754" t="str">
            <v>M</v>
          </cell>
          <cell r="AO754" t="str">
            <v>Y</v>
          </cell>
        </row>
        <row r="755">
          <cell r="A755" t="str">
            <v>in storage</v>
          </cell>
          <cell r="J755" t="str">
            <v>VRUB</v>
          </cell>
          <cell r="L755" t="str">
            <v>M</v>
          </cell>
          <cell r="AO755" t="str">
            <v>Y</v>
          </cell>
        </row>
        <row r="756">
          <cell r="A756" t="str">
            <v>gone</v>
          </cell>
          <cell r="J756" t="str">
            <v>PCOQ</v>
          </cell>
          <cell r="L756" t="str">
            <v>M</v>
          </cell>
          <cell r="AO756" t="str">
            <v>N</v>
          </cell>
        </row>
        <row r="757">
          <cell r="A757" t="str">
            <v>in storage</v>
          </cell>
          <cell r="J757" t="str">
            <v>VRUB</v>
          </cell>
          <cell r="L757" t="str">
            <v>M</v>
          </cell>
          <cell r="AO757" t="str">
            <v>Y</v>
          </cell>
        </row>
        <row r="758">
          <cell r="A758" t="str">
            <v>in storage</v>
          </cell>
          <cell r="J758" t="str">
            <v>VRUB</v>
          </cell>
          <cell r="L758" t="str">
            <v>F</v>
          </cell>
          <cell r="AO758" t="str">
            <v>N</v>
          </cell>
        </row>
        <row r="759">
          <cell r="A759" t="str">
            <v>in storage</v>
          </cell>
          <cell r="J759" t="str">
            <v>VRUB</v>
          </cell>
          <cell r="L759" t="str">
            <v>M</v>
          </cell>
          <cell r="AO759" t="str">
            <v>Y</v>
          </cell>
        </row>
        <row r="760">
          <cell r="A760" t="str">
            <v>ARK</v>
          </cell>
          <cell r="J760" t="str">
            <v>TSYR</v>
          </cell>
          <cell r="L760" t="str">
            <v>F</v>
          </cell>
          <cell r="AO760" t="str">
            <v>N</v>
          </cell>
          <cell r="AQ760" t="str">
            <v>Y- whole</v>
          </cell>
        </row>
        <row r="761">
          <cell r="A761" t="str">
            <v>ARK</v>
          </cell>
          <cell r="J761" t="str">
            <v>TSYR</v>
          </cell>
          <cell r="L761" t="str">
            <v>M</v>
          </cell>
          <cell r="AO761" t="str">
            <v>N</v>
          </cell>
          <cell r="AQ761" t="str">
            <v>Y- Foot, hand, cranium, hamate, talus, calcaneus</v>
          </cell>
        </row>
        <row r="762">
          <cell r="A762" t="str">
            <v>gone</v>
          </cell>
          <cell r="J762" t="str">
            <v>VRUB</v>
          </cell>
          <cell r="L762" t="str">
            <v>M</v>
          </cell>
          <cell r="AO762" t="str">
            <v>Y</v>
          </cell>
          <cell r="AQ762" t="str">
            <v>Y- sphenoid bone</v>
          </cell>
        </row>
        <row r="763">
          <cell r="A763" t="str">
            <v>in storage</v>
          </cell>
          <cell r="J763" t="str">
            <v>VRUB</v>
          </cell>
          <cell r="L763" t="str">
            <v>M</v>
          </cell>
          <cell r="AO763" t="str">
            <v>N</v>
          </cell>
        </row>
        <row r="764">
          <cell r="A764" t="str">
            <v>in storage</v>
          </cell>
          <cell r="J764" t="str">
            <v>VRUB</v>
          </cell>
          <cell r="L764" t="str">
            <v>M</v>
          </cell>
          <cell r="AO764" t="str">
            <v>N</v>
          </cell>
        </row>
        <row r="765">
          <cell r="A765" t="str">
            <v>gone</v>
          </cell>
          <cell r="J765" t="str">
            <v>PTAT</v>
          </cell>
          <cell r="L765" t="str">
            <v>M</v>
          </cell>
          <cell r="AO765" t="str">
            <v>Y</v>
          </cell>
        </row>
        <row r="766">
          <cell r="A766" t="str">
            <v>gone</v>
          </cell>
          <cell r="J766" t="str">
            <v>PTAT</v>
          </cell>
          <cell r="L766" t="str">
            <v>F</v>
          </cell>
          <cell r="AO766" t="str">
            <v>N</v>
          </cell>
        </row>
        <row r="767">
          <cell r="A767" t="str">
            <v>ARK</v>
          </cell>
          <cell r="J767" t="str">
            <v>PTAT</v>
          </cell>
          <cell r="L767" t="str">
            <v>M</v>
          </cell>
          <cell r="AO767" t="str">
            <v>Y</v>
          </cell>
        </row>
        <row r="768">
          <cell r="A768" t="str">
            <v>ARK</v>
          </cell>
          <cell r="J768" t="str">
            <v>PVV</v>
          </cell>
          <cell r="L768" t="str">
            <v>M</v>
          </cell>
          <cell r="AO768" t="str">
            <v>N</v>
          </cell>
        </row>
        <row r="769">
          <cell r="A769" t="str">
            <v>gone</v>
          </cell>
          <cell r="J769" t="str">
            <v>PVV</v>
          </cell>
          <cell r="L769" t="str">
            <v>M</v>
          </cell>
          <cell r="AO769" t="str">
            <v>Y</v>
          </cell>
        </row>
        <row r="770">
          <cell r="A770" t="str">
            <v>gone</v>
          </cell>
          <cell r="J770" t="str">
            <v>PVV</v>
          </cell>
          <cell r="L770" t="str">
            <v>F</v>
          </cell>
          <cell r="AO770" t="str">
            <v>Y</v>
          </cell>
        </row>
        <row r="771">
          <cell r="A771" t="str">
            <v>in storage</v>
          </cell>
          <cell r="J771" t="str">
            <v>Sang.Mid</v>
          </cell>
          <cell r="L771" t="str">
            <v>M</v>
          </cell>
          <cell r="AO771" t="str">
            <v>Y</v>
          </cell>
        </row>
        <row r="772">
          <cell r="A772" t="str">
            <v>ARK</v>
          </cell>
          <cell r="J772" t="str">
            <v>VRUB</v>
          </cell>
          <cell r="L772" t="str">
            <v>F</v>
          </cell>
          <cell r="AO772" t="str">
            <v>N</v>
          </cell>
          <cell r="AQ772" t="str">
            <v>Y- whole</v>
          </cell>
        </row>
        <row r="773">
          <cell r="A773" t="str">
            <v>in storage</v>
          </cell>
          <cell r="J773" t="str">
            <v>VRUB</v>
          </cell>
          <cell r="L773" t="str">
            <v>F</v>
          </cell>
          <cell r="AO773" t="str">
            <v>N</v>
          </cell>
          <cell r="AQ773" t="str">
            <v>Y- whole</v>
          </cell>
        </row>
        <row r="774">
          <cell r="A774" t="str">
            <v>in storage</v>
          </cell>
          <cell r="J774" t="str">
            <v>VRUB</v>
          </cell>
          <cell r="L774" t="str">
            <v>M</v>
          </cell>
          <cell r="AO774" t="str">
            <v>N</v>
          </cell>
        </row>
        <row r="775">
          <cell r="A775" t="str">
            <v>in storage</v>
          </cell>
          <cell r="J775" t="str">
            <v>VRUB</v>
          </cell>
          <cell r="L775" t="str">
            <v>M</v>
          </cell>
          <cell r="AO775" t="str">
            <v>N</v>
          </cell>
        </row>
        <row r="776">
          <cell r="A776" t="str">
            <v>in storage</v>
          </cell>
          <cell r="J776" t="str">
            <v>VRUB</v>
          </cell>
          <cell r="L776" t="str">
            <v>M</v>
          </cell>
          <cell r="AO776" t="str">
            <v>N</v>
          </cell>
        </row>
        <row r="777">
          <cell r="A777" t="str">
            <v>gone</v>
          </cell>
          <cell r="J777" t="str">
            <v>VRUB</v>
          </cell>
          <cell r="L777" t="str">
            <v>M</v>
          </cell>
          <cell r="AO777" t="str">
            <v>N</v>
          </cell>
        </row>
        <row r="778">
          <cell r="A778" t="str">
            <v>in storage</v>
          </cell>
          <cell r="J778" t="str">
            <v>VRUB</v>
          </cell>
          <cell r="L778" t="str">
            <v>M</v>
          </cell>
          <cell r="AO778" t="str">
            <v>N</v>
          </cell>
        </row>
        <row r="779">
          <cell r="A779" t="str">
            <v>in storage</v>
          </cell>
          <cell r="J779" t="str">
            <v>VRUB</v>
          </cell>
          <cell r="L779" t="str">
            <v>F</v>
          </cell>
          <cell r="AO779" t="str">
            <v>N</v>
          </cell>
          <cell r="AQ779" t="str">
            <v>Y- hand, cranium, hamate</v>
          </cell>
        </row>
        <row r="780">
          <cell r="A780" t="str">
            <v>gone</v>
          </cell>
          <cell r="J780" t="str">
            <v>VRUB</v>
          </cell>
          <cell r="L780" t="str">
            <v>F</v>
          </cell>
          <cell r="AO780" t="str">
            <v>Y</v>
          </cell>
        </row>
        <row r="781">
          <cell r="A781" t="str">
            <v>in storage</v>
          </cell>
          <cell r="J781" t="str">
            <v>VRUB</v>
          </cell>
          <cell r="L781" t="str">
            <v>ND</v>
          </cell>
          <cell r="AO781" t="str">
            <v>Y</v>
          </cell>
        </row>
        <row r="782">
          <cell r="A782" t="str">
            <v>gone</v>
          </cell>
          <cell r="J782" t="str">
            <v>VRUB</v>
          </cell>
          <cell r="L782" t="str">
            <v>ND</v>
          </cell>
          <cell r="AO782" t="str">
            <v>N</v>
          </cell>
        </row>
        <row r="783">
          <cell r="A783" t="str">
            <v>gone</v>
          </cell>
          <cell r="J783" t="str">
            <v>VVV</v>
          </cell>
          <cell r="L783" t="str">
            <v>M</v>
          </cell>
          <cell r="AO783" t="str">
            <v>Y</v>
          </cell>
          <cell r="AQ783" t="str">
            <v>Y- sphenoid bone</v>
          </cell>
        </row>
        <row r="784">
          <cell r="A784" t="str">
            <v>gone</v>
          </cell>
          <cell r="J784" t="str">
            <v>VVV</v>
          </cell>
          <cell r="L784" t="str">
            <v>M</v>
          </cell>
          <cell r="AO784" t="str">
            <v>Y</v>
          </cell>
        </row>
        <row r="785">
          <cell r="A785" t="str">
            <v>gone</v>
          </cell>
          <cell r="J785" t="str">
            <v>VVV</v>
          </cell>
          <cell r="L785" t="str">
            <v>M</v>
          </cell>
          <cell r="AO785" t="str">
            <v>Y</v>
          </cell>
        </row>
        <row r="786">
          <cell r="A786" t="str">
            <v>in storage</v>
          </cell>
          <cell r="J786" t="str">
            <v>VVV</v>
          </cell>
          <cell r="L786" t="str">
            <v>M</v>
          </cell>
          <cell r="AO786" t="str">
            <v>Y</v>
          </cell>
        </row>
        <row r="787">
          <cell r="A787" t="str">
            <v>gone</v>
          </cell>
          <cell r="J787" t="str">
            <v>VVV</v>
          </cell>
          <cell r="L787" t="str">
            <v>F</v>
          </cell>
          <cell r="AO787" t="str">
            <v>Y</v>
          </cell>
        </row>
        <row r="788">
          <cell r="A788" t="str">
            <v>in storage</v>
          </cell>
          <cell r="J788" t="str">
            <v>VVV</v>
          </cell>
          <cell r="L788" t="str">
            <v>M</v>
          </cell>
          <cell r="AO788" t="str">
            <v>N</v>
          </cell>
          <cell r="AQ788" t="str">
            <v>Y- foot, hand, cranium</v>
          </cell>
        </row>
        <row r="789">
          <cell r="A789" t="str">
            <v>gone</v>
          </cell>
          <cell r="J789" t="str">
            <v>VVV</v>
          </cell>
          <cell r="L789" t="str">
            <v>F</v>
          </cell>
          <cell r="AO789" t="str">
            <v>Y</v>
          </cell>
        </row>
        <row r="790">
          <cell r="J790" t="e">
            <v>#N/A</v>
          </cell>
          <cell r="L790" t="e">
            <v>#N/A</v>
          </cell>
          <cell r="AO790" t="str">
            <v>Y</v>
          </cell>
        </row>
        <row r="791">
          <cell r="A791" t="str">
            <v>in storage</v>
          </cell>
          <cell r="J791" t="str">
            <v>VVV</v>
          </cell>
          <cell r="L791" t="str">
            <v>M</v>
          </cell>
          <cell r="AO791" t="str">
            <v>Y</v>
          </cell>
        </row>
        <row r="792">
          <cell r="A792" t="str">
            <v>in storage</v>
          </cell>
          <cell r="J792" t="str">
            <v>VVV</v>
          </cell>
          <cell r="L792" t="str">
            <v>M</v>
          </cell>
          <cell r="AO792" t="str">
            <v>N</v>
          </cell>
        </row>
        <row r="793">
          <cell r="A793" t="str">
            <v>in storage</v>
          </cell>
          <cell r="J793" t="str">
            <v>VVV</v>
          </cell>
          <cell r="L793" t="str">
            <v>F</v>
          </cell>
          <cell r="AO793" t="str">
            <v>N</v>
          </cell>
        </row>
        <row r="794">
          <cell r="A794" t="str">
            <v>in storage</v>
          </cell>
          <cell r="J794" t="str">
            <v>VVV</v>
          </cell>
          <cell r="L794" t="str">
            <v>F</v>
          </cell>
          <cell r="AO794" t="str">
            <v>N</v>
          </cell>
        </row>
        <row r="795">
          <cell r="A795" t="str">
            <v>unk</v>
          </cell>
          <cell r="J795" t="e">
            <v>#N/A</v>
          </cell>
          <cell r="L795" t="e">
            <v>#N/A</v>
          </cell>
        </row>
        <row r="796">
          <cell r="A796" t="str">
            <v>in storage</v>
          </cell>
          <cell r="J796" t="str">
            <v>VVV</v>
          </cell>
          <cell r="L796" t="str">
            <v>M</v>
          </cell>
          <cell r="AO796" t="str">
            <v>N</v>
          </cell>
        </row>
        <row r="797">
          <cell r="A797" t="str">
            <v>in storage</v>
          </cell>
          <cell r="J797" t="str">
            <v>VVV</v>
          </cell>
          <cell r="L797" t="str">
            <v>M</v>
          </cell>
          <cell r="AO797" t="str">
            <v>Y</v>
          </cell>
        </row>
        <row r="798">
          <cell r="A798" t="str">
            <v>in storage</v>
          </cell>
          <cell r="J798" t="str">
            <v>VVV</v>
          </cell>
          <cell r="L798" t="str">
            <v>M</v>
          </cell>
          <cell r="AO798" t="str">
            <v>Y</v>
          </cell>
        </row>
        <row r="799">
          <cell r="A799" t="str">
            <v>in storage</v>
          </cell>
          <cell r="J799" t="str">
            <v>VVV</v>
          </cell>
          <cell r="L799" t="str">
            <v>F</v>
          </cell>
          <cell r="AO799" t="str">
            <v>Y</v>
          </cell>
        </row>
        <row r="800">
          <cell r="A800" t="str">
            <v>in storage</v>
          </cell>
          <cell r="J800" t="str">
            <v>VVV</v>
          </cell>
          <cell r="L800" t="str">
            <v>M</v>
          </cell>
          <cell r="AO800" t="str">
            <v>N</v>
          </cell>
        </row>
        <row r="801">
          <cell r="A801" t="str">
            <v>in storage</v>
          </cell>
          <cell r="J801" t="str">
            <v>VVV</v>
          </cell>
          <cell r="L801" t="str">
            <v>F</v>
          </cell>
          <cell r="AO801" t="str">
            <v>y</v>
          </cell>
        </row>
        <row r="802">
          <cell r="A802" t="str">
            <v>in storage</v>
          </cell>
          <cell r="J802" t="str">
            <v>VVV</v>
          </cell>
          <cell r="L802" t="str">
            <v>M</v>
          </cell>
          <cell r="AO802" t="str">
            <v>y</v>
          </cell>
        </row>
        <row r="803">
          <cell r="A803" t="str">
            <v>in storage</v>
          </cell>
          <cell r="J803" t="str">
            <v>VVV</v>
          </cell>
          <cell r="L803" t="str">
            <v>M</v>
          </cell>
          <cell r="AO803" t="str">
            <v>Y</v>
          </cell>
        </row>
        <row r="804">
          <cell r="A804" t="str">
            <v>in storage</v>
          </cell>
          <cell r="J804" t="e">
            <v>#N/A</v>
          </cell>
          <cell r="L804" t="e">
            <v>#N/A</v>
          </cell>
          <cell r="AO804" t="str">
            <v>Y</v>
          </cell>
        </row>
        <row r="805">
          <cell r="A805" t="str">
            <v>in storage</v>
          </cell>
          <cell r="J805" t="e">
            <v>#N/A</v>
          </cell>
          <cell r="L805" t="e">
            <v>#N/A</v>
          </cell>
          <cell r="AO805" t="str">
            <v>Y</v>
          </cell>
        </row>
        <row r="806">
          <cell r="A806" t="str">
            <v>in storage</v>
          </cell>
          <cell r="J806" t="str">
            <v>GMOH</v>
          </cell>
          <cell r="L806" t="str">
            <v>ND</v>
          </cell>
          <cell r="AO806" t="str">
            <v>y</v>
          </cell>
        </row>
        <row r="807">
          <cell r="A807" t="str">
            <v>in storage</v>
          </cell>
          <cell r="J807" t="str">
            <v>OMA</v>
          </cell>
          <cell r="L807" t="str">
            <v>F</v>
          </cell>
          <cell r="AO807" t="str">
            <v>Y</v>
          </cell>
        </row>
        <row r="808">
          <cell r="A808" t="str">
            <v>in storage</v>
          </cell>
          <cell r="J808" t="e">
            <v>#N/A</v>
          </cell>
          <cell r="L808" t="e">
            <v>#N/A</v>
          </cell>
          <cell r="AO808" t="str">
            <v>Y</v>
          </cell>
        </row>
        <row r="809">
          <cell r="A809" t="str">
            <v>in storage</v>
          </cell>
          <cell r="J809" t="e">
            <v>#N/A</v>
          </cell>
          <cell r="L809" t="e">
            <v>#N/A</v>
          </cell>
          <cell r="AO809" t="str">
            <v>y</v>
          </cell>
        </row>
        <row r="810">
          <cell r="A810" t="str">
            <v>in storage</v>
          </cell>
          <cell r="J810" t="e">
            <v>#N/A</v>
          </cell>
          <cell r="L810" t="e">
            <v>#N/A</v>
          </cell>
          <cell r="AO810" t="str">
            <v>y</v>
          </cell>
        </row>
        <row r="811">
          <cell r="A811" t="str">
            <v>in storage</v>
          </cell>
          <cell r="J811" t="e">
            <v>#N/A</v>
          </cell>
          <cell r="L811" t="e">
            <v>#N/A</v>
          </cell>
        </row>
        <row r="812">
          <cell r="A812" t="str">
            <v>in storage</v>
          </cell>
          <cell r="J812" t="str">
            <v>MMUR</v>
          </cell>
          <cell r="L812" t="str">
            <v>F</v>
          </cell>
          <cell r="AO812" t="str">
            <v>N</v>
          </cell>
        </row>
        <row r="813">
          <cell r="A813" t="str">
            <v>unk</v>
          </cell>
          <cell r="J813" t="str">
            <v>VVV</v>
          </cell>
          <cell r="L813" t="str">
            <v>M</v>
          </cell>
          <cell r="AO813" t="str">
            <v>Y</v>
          </cell>
        </row>
        <row r="814">
          <cell r="A814" t="str">
            <v>unk</v>
          </cell>
          <cell r="J814" t="str">
            <v>PCOQ</v>
          </cell>
          <cell r="L814" t="str">
            <v>M</v>
          </cell>
          <cell r="AO814" t="str">
            <v>N</v>
          </cell>
        </row>
        <row r="815">
          <cell r="A815" t="str">
            <v>in storage</v>
          </cell>
          <cell r="J815" t="str">
            <v>MMUR</v>
          </cell>
          <cell r="L815" t="str">
            <v>M</v>
          </cell>
          <cell r="AO815" t="str">
            <v>N</v>
          </cell>
        </row>
        <row r="816">
          <cell r="A816" t="str">
            <v>in storage</v>
          </cell>
          <cell r="J816" t="str">
            <v>MMUR</v>
          </cell>
          <cell r="L816" t="str">
            <v>M</v>
          </cell>
          <cell r="AO816" t="str">
            <v>N</v>
          </cell>
        </row>
        <row r="817">
          <cell r="A817" t="str">
            <v>in storage</v>
          </cell>
          <cell r="J817" t="str">
            <v>NPYG</v>
          </cell>
          <cell r="L817" t="str">
            <v>F</v>
          </cell>
          <cell r="AO817" t="str">
            <v>N</v>
          </cell>
          <cell r="AQ817" t="str">
            <v>Y- whole</v>
          </cell>
        </row>
        <row r="818">
          <cell r="A818" t="str">
            <v>in storage</v>
          </cell>
          <cell r="J818" t="str">
            <v>OGG</v>
          </cell>
          <cell r="L818" t="str">
            <v>F</v>
          </cell>
          <cell r="AO818" t="str">
            <v>N</v>
          </cell>
        </row>
        <row r="819">
          <cell r="A819" t="str">
            <v>in storage</v>
          </cell>
          <cell r="J819" t="str">
            <v>LCAT</v>
          </cell>
          <cell r="L819" t="str">
            <v>F</v>
          </cell>
          <cell r="AO819" t="str">
            <v>N</v>
          </cell>
        </row>
        <row r="820">
          <cell r="A820" t="str">
            <v>in storage</v>
          </cell>
          <cell r="J820" t="str">
            <v>HGG</v>
          </cell>
          <cell r="L820" t="str">
            <v>F</v>
          </cell>
        </row>
        <row r="821">
          <cell r="A821" t="str">
            <v>in storage</v>
          </cell>
          <cell r="J821" t="str">
            <v>PVV</v>
          </cell>
          <cell r="L821" t="str">
            <v>M</v>
          </cell>
        </row>
        <row r="822">
          <cell r="A822" t="str">
            <v>in storage</v>
          </cell>
          <cell r="J822" t="str">
            <v>EFLA</v>
          </cell>
          <cell r="L822" t="str">
            <v>M</v>
          </cell>
          <cell r="AO822" t="str">
            <v>Y</v>
          </cell>
        </row>
        <row r="823">
          <cell r="A823" t="str">
            <v>in storage</v>
          </cell>
          <cell r="J823" t="str">
            <v>EMON</v>
          </cell>
          <cell r="L823" t="str">
            <v>M</v>
          </cell>
          <cell r="AO823" t="str">
            <v>Y</v>
          </cell>
        </row>
        <row r="824">
          <cell r="A824" t="str">
            <v>in storage</v>
          </cell>
          <cell r="J824" t="str">
            <v>LCAT</v>
          </cell>
          <cell r="L824" t="str">
            <v>F</v>
          </cell>
          <cell r="AO824" t="str">
            <v>Y</v>
          </cell>
        </row>
        <row r="825">
          <cell r="A825" t="str">
            <v>in storage</v>
          </cell>
          <cell r="J825" t="str">
            <v>EMON</v>
          </cell>
          <cell r="L825" t="str">
            <v>M</v>
          </cell>
          <cell r="AO825" t="str">
            <v>Y</v>
          </cell>
        </row>
        <row r="826">
          <cell r="A826" t="str">
            <v>in storage</v>
          </cell>
          <cell r="J826" t="str">
            <v>MMUR</v>
          </cell>
          <cell r="L826" t="str">
            <v>F</v>
          </cell>
          <cell r="AO826" t="str">
            <v>N</v>
          </cell>
        </row>
        <row r="827">
          <cell r="A827" t="str">
            <v>in storage</v>
          </cell>
          <cell r="J827" t="str">
            <v>MMUR</v>
          </cell>
          <cell r="L827" t="str">
            <v>F</v>
          </cell>
          <cell r="AO827" t="str">
            <v>Y</v>
          </cell>
        </row>
        <row r="828">
          <cell r="A828" t="str">
            <v>in storage</v>
          </cell>
          <cell r="J828" t="str">
            <v>MMUR</v>
          </cell>
          <cell r="L828" t="str">
            <v>F</v>
          </cell>
          <cell r="AO828" t="str">
            <v>N</v>
          </cell>
        </row>
        <row r="829">
          <cell r="A829" t="str">
            <v>in storage</v>
          </cell>
          <cell r="J829" t="str">
            <v>GMOH</v>
          </cell>
          <cell r="L829" t="str">
            <v>F</v>
          </cell>
        </row>
        <row r="830">
          <cell r="A830" t="str">
            <v>in storage</v>
          </cell>
          <cell r="J830" t="str">
            <v>PCOQ</v>
          </cell>
          <cell r="L830" t="str">
            <v>F</v>
          </cell>
          <cell r="AO830" t="str">
            <v>N</v>
          </cell>
        </row>
        <row r="831">
          <cell r="A831" t="str">
            <v>in storage</v>
          </cell>
          <cell r="J831" t="str">
            <v>LCAT</v>
          </cell>
          <cell r="L831" t="str">
            <v>M</v>
          </cell>
          <cell r="AO831" t="str">
            <v>N</v>
          </cell>
        </row>
        <row r="832">
          <cell r="A832" t="str">
            <v>ARK</v>
          </cell>
          <cell r="J832" t="str">
            <v>EFLA</v>
          </cell>
          <cell r="L832" t="str">
            <v>F</v>
          </cell>
          <cell r="AO832" t="str">
            <v>N</v>
          </cell>
          <cell r="AQ832" t="str">
            <v>Y- hands, cranium</v>
          </cell>
        </row>
        <row r="833">
          <cell r="A833" t="str">
            <v>in storage</v>
          </cell>
          <cell r="J833" t="str">
            <v>EFLA</v>
          </cell>
          <cell r="L833" t="str">
            <v>M</v>
          </cell>
          <cell r="AO833" t="str">
            <v>N</v>
          </cell>
        </row>
        <row r="834">
          <cell r="A834" t="str">
            <v>in storage</v>
          </cell>
          <cell r="J834" t="str">
            <v>MMUR</v>
          </cell>
          <cell r="L834" t="str">
            <v>unk</v>
          </cell>
          <cell r="AO834" t="str">
            <v>Y</v>
          </cell>
        </row>
        <row r="835">
          <cell r="A835" t="str">
            <v>in storage</v>
          </cell>
          <cell r="J835" t="str">
            <v>MMUR</v>
          </cell>
          <cell r="L835" t="str">
            <v>F</v>
          </cell>
          <cell r="AO835" t="str">
            <v>N</v>
          </cell>
        </row>
        <row r="836">
          <cell r="A836" t="str">
            <v>in storage</v>
          </cell>
          <cell r="J836" t="str">
            <v>MMUR</v>
          </cell>
          <cell r="L836" t="str">
            <v>F</v>
          </cell>
          <cell r="AO836" t="str">
            <v>N</v>
          </cell>
        </row>
        <row r="837">
          <cell r="A837" t="str">
            <v>in storage</v>
          </cell>
          <cell r="J837" t="str">
            <v>PCOQ</v>
          </cell>
          <cell r="L837" t="str">
            <v>F</v>
          </cell>
          <cell r="AO837" t="str">
            <v>N</v>
          </cell>
        </row>
        <row r="838">
          <cell r="A838" t="str">
            <v>in storage</v>
          </cell>
          <cell r="J838" t="str">
            <v>MMUR</v>
          </cell>
          <cell r="L838" t="str">
            <v>M</v>
          </cell>
          <cell r="AO838" t="str">
            <v>N</v>
          </cell>
        </row>
        <row r="839">
          <cell r="A839" t="str">
            <v>in storage</v>
          </cell>
          <cell r="J839" t="str">
            <v>MMUR</v>
          </cell>
          <cell r="L839" t="str">
            <v>F</v>
          </cell>
          <cell r="AO839" t="str">
            <v>N</v>
          </cell>
        </row>
        <row r="840">
          <cell r="A840" t="str">
            <v>in storage</v>
          </cell>
          <cell r="J840" t="str">
            <v>MMUR</v>
          </cell>
          <cell r="L840" t="str">
            <v>F</v>
          </cell>
        </row>
        <row r="841">
          <cell r="A841" t="str">
            <v>unk</v>
          </cell>
          <cell r="J841" t="str">
            <v>MMUR</v>
          </cell>
          <cell r="L841" t="str">
            <v>M</v>
          </cell>
          <cell r="AO841" t="str">
            <v>N</v>
          </cell>
        </row>
        <row r="842">
          <cell r="A842" t="str">
            <v>in storage</v>
          </cell>
          <cell r="J842" t="str">
            <v>MMUR</v>
          </cell>
          <cell r="L842" t="str">
            <v>F</v>
          </cell>
          <cell r="AO842" t="str">
            <v>N</v>
          </cell>
        </row>
        <row r="843">
          <cell r="A843" t="str">
            <v>in storage</v>
          </cell>
          <cell r="J843" t="str">
            <v>MMUR</v>
          </cell>
          <cell r="L843" t="str">
            <v>F</v>
          </cell>
        </row>
        <row r="844">
          <cell r="A844" t="str">
            <v>in storage</v>
          </cell>
          <cell r="J844" t="str">
            <v>MMUR</v>
          </cell>
          <cell r="L844" t="str">
            <v>F</v>
          </cell>
        </row>
        <row r="845">
          <cell r="A845" t="str">
            <v>in storage</v>
          </cell>
          <cell r="J845" t="str">
            <v>ERUF</v>
          </cell>
          <cell r="L845" t="str">
            <v>M</v>
          </cell>
          <cell r="AO845" t="str">
            <v>N</v>
          </cell>
        </row>
        <row r="846">
          <cell r="A846" t="str">
            <v>in storage</v>
          </cell>
          <cell r="J846" t="str">
            <v>PCOQ</v>
          </cell>
          <cell r="L846" t="str">
            <v>M</v>
          </cell>
          <cell r="AO846" t="str">
            <v>Y</v>
          </cell>
        </row>
        <row r="847">
          <cell r="A847" t="str">
            <v>in storage</v>
          </cell>
          <cell r="J847" t="str">
            <v>PCOQ</v>
          </cell>
          <cell r="L847" t="str">
            <v>M</v>
          </cell>
          <cell r="AO847" t="str">
            <v>Y</v>
          </cell>
        </row>
        <row r="848">
          <cell r="A848" t="str">
            <v>in storage</v>
          </cell>
          <cell r="J848" t="str">
            <v>MMUR</v>
          </cell>
          <cell r="L848" t="str">
            <v>M</v>
          </cell>
          <cell r="AO848" t="str">
            <v>N</v>
          </cell>
        </row>
        <row r="849">
          <cell r="A849" t="str">
            <v>in storage</v>
          </cell>
          <cell r="J849" t="str">
            <v>PCOQ</v>
          </cell>
          <cell r="L849" t="str">
            <v>F</v>
          </cell>
          <cell r="AO849" t="str">
            <v>Y</v>
          </cell>
        </row>
        <row r="850">
          <cell r="A850" t="str">
            <v>in storage</v>
          </cell>
          <cell r="J850" t="str">
            <v>EFLA</v>
          </cell>
          <cell r="L850" t="str">
            <v>F</v>
          </cell>
          <cell r="AO850" t="str">
            <v>N</v>
          </cell>
        </row>
        <row r="851">
          <cell r="A851" t="str">
            <v>in storage</v>
          </cell>
          <cell r="J851" t="str">
            <v>PCOQ</v>
          </cell>
          <cell r="L851" t="str">
            <v>M</v>
          </cell>
          <cell r="AO851" t="str">
            <v>N</v>
          </cell>
        </row>
        <row r="852">
          <cell r="A852" t="str">
            <v>in storage</v>
          </cell>
          <cell r="J852" t="str">
            <v>EFLA</v>
          </cell>
          <cell r="L852" t="str">
            <v>M</v>
          </cell>
          <cell r="AO852" t="str">
            <v>Y</v>
          </cell>
        </row>
        <row r="853">
          <cell r="A853" t="str">
            <v>in storage</v>
          </cell>
          <cell r="J853" t="str">
            <v>CMED</v>
          </cell>
          <cell r="L853" t="str">
            <v>F</v>
          </cell>
          <cell r="AO853" t="str">
            <v>N</v>
          </cell>
        </row>
        <row r="854">
          <cell r="A854" t="str">
            <v>gone</v>
          </cell>
          <cell r="J854" t="str">
            <v>PCOQ</v>
          </cell>
          <cell r="L854" t="str">
            <v>M</v>
          </cell>
          <cell r="AO854" t="str">
            <v>N</v>
          </cell>
        </row>
        <row r="855">
          <cell r="A855" t="str">
            <v>in storage</v>
          </cell>
          <cell r="J855" t="str">
            <v>PCOQ</v>
          </cell>
          <cell r="L855" t="str">
            <v>M</v>
          </cell>
          <cell r="AO855" t="str">
            <v>N</v>
          </cell>
        </row>
        <row r="856">
          <cell r="A856" t="str">
            <v>gone</v>
          </cell>
          <cell r="J856" t="str">
            <v>PCOQ</v>
          </cell>
          <cell r="L856" t="str">
            <v>F</v>
          </cell>
          <cell r="AO856" t="str">
            <v>N</v>
          </cell>
        </row>
        <row r="857">
          <cell r="A857" t="str">
            <v>in storage</v>
          </cell>
          <cell r="J857" t="str">
            <v>MMUR</v>
          </cell>
          <cell r="L857" t="str">
            <v>M</v>
          </cell>
          <cell r="AO857" t="str">
            <v>N</v>
          </cell>
        </row>
        <row r="858">
          <cell r="A858" t="str">
            <v>in storage</v>
          </cell>
          <cell r="J858" t="str">
            <v>CMED</v>
          </cell>
          <cell r="L858" t="str">
            <v>F</v>
          </cell>
          <cell r="AO858" t="str">
            <v>N</v>
          </cell>
        </row>
        <row r="859">
          <cell r="A859" t="str">
            <v>in storage</v>
          </cell>
          <cell r="J859" t="str">
            <v>MMUR</v>
          </cell>
          <cell r="L859" t="str">
            <v>F</v>
          </cell>
          <cell r="AO859" t="str">
            <v>N</v>
          </cell>
        </row>
        <row r="860">
          <cell r="A860" t="str">
            <v>in storage</v>
          </cell>
          <cell r="J860" t="str">
            <v>EFLA</v>
          </cell>
          <cell r="L860" t="str">
            <v>F</v>
          </cell>
          <cell r="AO860" t="str">
            <v>Y</v>
          </cell>
        </row>
        <row r="861">
          <cell r="A861" t="str">
            <v>in storage</v>
          </cell>
          <cell r="J861" t="str">
            <v>PCOQ</v>
          </cell>
          <cell r="L861" t="str">
            <v>M</v>
          </cell>
          <cell r="AO861" t="str">
            <v>N</v>
          </cell>
        </row>
        <row r="862">
          <cell r="A862" t="str">
            <v>in storage</v>
          </cell>
          <cell r="J862" t="str">
            <v>PCOQ</v>
          </cell>
          <cell r="L862" t="str">
            <v>F</v>
          </cell>
          <cell r="AO862" t="str">
            <v>N</v>
          </cell>
        </row>
        <row r="863">
          <cell r="A863" t="str">
            <v>in storage</v>
          </cell>
          <cell r="J863" t="str">
            <v>MMUR</v>
          </cell>
          <cell r="L863" t="str">
            <v>F</v>
          </cell>
          <cell r="AO863" t="str">
            <v>N</v>
          </cell>
        </row>
        <row r="864">
          <cell r="A864" t="str">
            <v>in storage</v>
          </cell>
          <cell r="J864" t="str">
            <v>EMON</v>
          </cell>
          <cell r="L864" t="str">
            <v>M</v>
          </cell>
          <cell r="AO864" t="str">
            <v>Y</v>
          </cell>
        </row>
        <row r="865">
          <cell r="A865" t="str">
            <v>in storage</v>
          </cell>
          <cell r="J865" t="str">
            <v>LCAT</v>
          </cell>
          <cell r="L865" t="str">
            <v>M</v>
          </cell>
          <cell r="AO865" t="str">
            <v>N</v>
          </cell>
        </row>
        <row r="866">
          <cell r="A866" t="str">
            <v>in storage</v>
          </cell>
          <cell r="J866" t="str">
            <v>EFLA</v>
          </cell>
          <cell r="L866" t="str">
            <v>F</v>
          </cell>
          <cell r="AO866" t="str">
            <v>Y</v>
          </cell>
        </row>
        <row r="867">
          <cell r="A867" t="str">
            <v>in storage</v>
          </cell>
          <cell r="J867" t="str">
            <v>PCOQ</v>
          </cell>
          <cell r="L867" t="str">
            <v>M</v>
          </cell>
          <cell r="AO867" t="str">
            <v>Y</v>
          </cell>
        </row>
        <row r="868">
          <cell r="A868" t="str">
            <v>in storage</v>
          </cell>
          <cell r="J868" t="str">
            <v>MMUR</v>
          </cell>
          <cell r="L868" t="str">
            <v>F</v>
          </cell>
          <cell r="AO868" t="str">
            <v>N</v>
          </cell>
        </row>
        <row r="869">
          <cell r="A869" t="str">
            <v>in storage</v>
          </cell>
          <cell r="J869" t="str">
            <v>MMUR</v>
          </cell>
          <cell r="L869" t="str">
            <v>M</v>
          </cell>
          <cell r="AO869" t="str">
            <v>N</v>
          </cell>
        </row>
        <row r="870">
          <cell r="A870" t="str">
            <v>in storage</v>
          </cell>
          <cell r="J870" t="str">
            <v>LCAT</v>
          </cell>
          <cell r="L870" t="str">
            <v>F</v>
          </cell>
          <cell r="AO870" t="str">
            <v>N</v>
          </cell>
        </row>
        <row r="871">
          <cell r="A871" t="str">
            <v>in storage</v>
          </cell>
          <cell r="J871" t="str">
            <v>PCOQ</v>
          </cell>
          <cell r="L871" t="str">
            <v>M</v>
          </cell>
          <cell r="AO871" t="str">
            <v>N</v>
          </cell>
        </row>
        <row r="872">
          <cell r="A872" t="str">
            <v>in storage</v>
          </cell>
          <cell r="J872" t="str">
            <v>PCOQ</v>
          </cell>
          <cell r="L872" t="str">
            <v>F</v>
          </cell>
          <cell r="AO872" t="str">
            <v>N</v>
          </cell>
        </row>
        <row r="873">
          <cell r="A873" t="str">
            <v>in storage</v>
          </cell>
          <cell r="J873" t="str">
            <v>MMUR</v>
          </cell>
          <cell r="L873" t="str">
            <v>F</v>
          </cell>
          <cell r="AO873" t="str">
            <v>N</v>
          </cell>
        </row>
        <row r="874">
          <cell r="A874" t="str">
            <v>in storage</v>
          </cell>
          <cell r="J874" t="str">
            <v>LCAT</v>
          </cell>
          <cell r="L874" t="str">
            <v>F</v>
          </cell>
          <cell r="AO874" t="str">
            <v>N</v>
          </cell>
        </row>
        <row r="875">
          <cell r="A875" t="str">
            <v>in storage</v>
          </cell>
          <cell r="J875" t="str">
            <v>DMAD</v>
          </cell>
          <cell r="L875" t="str">
            <v>M</v>
          </cell>
          <cell r="AO875" t="str">
            <v>N</v>
          </cell>
        </row>
        <row r="876">
          <cell r="A876" t="str">
            <v>in storage</v>
          </cell>
          <cell r="J876" t="str">
            <v>DMAD</v>
          </cell>
          <cell r="L876" t="str">
            <v>M</v>
          </cell>
        </row>
        <row r="877">
          <cell r="A877" t="str">
            <v>in storage</v>
          </cell>
          <cell r="J877" t="str">
            <v>EFLA</v>
          </cell>
          <cell r="L877" t="str">
            <v>M</v>
          </cell>
          <cell r="AO877" t="str">
            <v>Y</v>
          </cell>
        </row>
        <row r="878">
          <cell r="A878" t="str">
            <v>in storage</v>
          </cell>
          <cell r="J878" t="str">
            <v>EFLA</v>
          </cell>
          <cell r="L878" t="str">
            <v>M</v>
          </cell>
          <cell r="AO878" t="str">
            <v>Y</v>
          </cell>
        </row>
        <row r="879">
          <cell r="A879" t="str">
            <v>in storage</v>
          </cell>
          <cell r="J879" t="str">
            <v>ECOR</v>
          </cell>
          <cell r="L879" t="str">
            <v>M</v>
          </cell>
          <cell r="AO879" t="str">
            <v>Y</v>
          </cell>
        </row>
        <row r="880">
          <cell r="A880" t="str">
            <v>in storage</v>
          </cell>
          <cell r="J880" t="str">
            <v>EFLA</v>
          </cell>
          <cell r="L880" t="str">
            <v>M</v>
          </cell>
          <cell r="AO880" t="str">
            <v>Y</v>
          </cell>
        </row>
        <row r="881">
          <cell r="A881" t="str">
            <v>in storage</v>
          </cell>
          <cell r="J881" t="str">
            <v>PCOQ</v>
          </cell>
          <cell r="L881" t="str">
            <v>F</v>
          </cell>
          <cell r="AO881" t="str">
            <v>Y</v>
          </cell>
        </row>
        <row r="882">
          <cell r="A882" t="str">
            <v>in storage</v>
          </cell>
          <cell r="J882" t="str">
            <v>CMED</v>
          </cell>
          <cell r="L882" t="str">
            <v>M</v>
          </cell>
          <cell r="AO882" t="str">
            <v>N</v>
          </cell>
        </row>
        <row r="883">
          <cell r="A883" t="str">
            <v>in storage</v>
          </cell>
          <cell r="J883" t="str">
            <v>MMUR</v>
          </cell>
          <cell r="L883" t="str">
            <v>M</v>
          </cell>
          <cell r="AO883" t="str">
            <v>N</v>
          </cell>
        </row>
        <row r="884">
          <cell r="A884" t="str">
            <v>in storage</v>
          </cell>
          <cell r="J884" t="str">
            <v>GMOH</v>
          </cell>
          <cell r="L884" t="str">
            <v>F</v>
          </cell>
          <cell r="AO884" t="str">
            <v>N</v>
          </cell>
        </row>
        <row r="885">
          <cell r="A885" t="str">
            <v>in storage</v>
          </cell>
          <cell r="J885" t="str">
            <v>PCOQ</v>
          </cell>
          <cell r="L885" t="str">
            <v>F</v>
          </cell>
          <cell r="AO885" t="str">
            <v>N</v>
          </cell>
        </row>
        <row r="886">
          <cell r="J886" t="e">
            <v>#N/A</v>
          </cell>
          <cell r="L886" t="e">
            <v>#N/A</v>
          </cell>
        </row>
        <row r="887">
          <cell r="J887" t="e">
            <v>#N/A</v>
          </cell>
          <cell r="L887" t="e">
            <v>#N/A</v>
          </cell>
        </row>
        <row r="888">
          <cell r="J888" t="e">
            <v>#N/A</v>
          </cell>
          <cell r="L888" t="e">
            <v>#N/A</v>
          </cell>
        </row>
        <row r="889">
          <cell r="J889" t="e">
            <v>#N/A</v>
          </cell>
          <cell r="L889" t="e">
            <v>#N/A</v>
          </cell>
        </row>
        <row r="890">
          <cell r="J890" t="e">
            <v>#N/A</v>
          </cell>
          <cell r="L890" t="e">
            <v>#N/A</v>
          </cell>
        </row>
        <row r="891">
          <cell r="J891" t="e">
            <v>#N/A</v>
          </cell>
          <cell r="L891" t="e">
            <v>#N/A</v>
          </cell>
        </row>
        <row r="892">
          <cell r="J892" t="e">
            <v>#N/A</v>
          </cell>
          <cell r="L892" t="e">
            <v>#N/A</v>
          </cell>
        </row>
        <row r="893">
          <cell r="J893" t="e">
            <v>#N/A</v>
          </cell>
          <cell r="L893" t="e">
            <v>#N/A</v>
          </cell>
        </row>
        <row r="894">
          <cell r="J894" t="e">
            <v>#N/A</v>
          </cell>
          <cell r="L894" t="e">
            <v>#N/A</v>
          </cell>
        </row>
        <row r="895">
          <cell r="J895" t="e">
            <v>#N/A</v>
          </cell>
          <cell r="L895" t="e">
            <v>#N/A</v>
          </cell>
        </row>
        <row r="896">
          <cell r="J896" t="e">
            <v>#N/A</v>
          </cell>
          <cell r="L896" t="e">
            <v>#N/A</v>
          </cell>
        </row>
        <row r="897">
          <cell r="J897" t="e">
            <v>#N/A</v>
          </cell>
          <cell r="L897" t="e">
            <v>#N/A</v>
          </cell>
        </row>
        <row r="898">
          <cell r="J898" t="e">
            <v>#N/A</v>
          </cell>
          <cell r="L898" t="e">
            <v>#N/A</v>
          </cell>
        </row>
        <row r="899">
          <cell r="J899" t="e">
            <v>#N/A</v>
          </cell>
          <cell r="L899" t="e">
            <v>#N/A</v>
          </cell>
        </row>
        <row r="900">
          <cell r="J900" t="e">
            <v>#N/A</v>
          </cell>
          <cell r="L900" t="e">
            <v>#N/A</v>
          </cell>
        </row>
        <row r="901">
          <cell r="J901" t="e">
            <v>#N/A</v>
          </cell>
          <cell r="L901" t="e">
            <v>#N/A</v>
          </cell>
        </row>
        <row r="902">
          <cell r="J902" t="e">
            <v>#N/A</v>
          </cell>
          <cell r="L902" t="e">
            <v>#N/A</v>
          </cell>
        </row>
        <row r="903">
          <cell r="J903" t="e">
            <v>#N/A</v>
          </cell>
          <cell r="L903" t="e">
            <v>#N/A</v>
          </cell>
        </row>
        <row r="904">
          <cell r="J904" t="e">
            <v>#N/A</v>
          </cell>
          <cell r="L904" t="e">
            <v>#N/A</v>
          </cell>
        </row>
        <row r="905">
          <cell r="J905" t="e">
            <v>#N/A</v>
          </cell>
          <cell r="L905" t="e">
            <v>#N/A</v>
          </cell>
        </row>
        <row r="906">
          <cell r="J906" t="e">
            <v>#N/A</v>
          </cell>
          <cell r="L906" t="e">
            <v>#N/A</v>
          </cell>
        </row>
        <row r="907">
          <cell r="J907" t="e">
            <v>#N/A</v>
          </cell>
          <cell r="L907" t="e">
            <v>#N/A</v>
          </cell>
        </row>
        <row r="908">
          <cell r="J908" t="e">
            <v>#N/A</v>
          </cell>
          <cell r="L908" t="e">
            <v>#N/A</v>
          </cell>
        </row>
        <row r="909">
          <cell r="J909" t="e">
            <v>#N/A</v>
          </cell>
          <cell r="L909" t="e">
            <v>#N/A</v>
          </cell>
        </row>
        <row r="910">
          <cell r="J910" t="e">
            <v>#N/A</v>
          </cell>
          <cell r="L910" t="e">
            <v>#N/A</v>
          </cell>
        </row>
        <row r="911">
          <cell r="J911" t="e">
            <v>#N/A</v>
          </cell>
          <cell r="L911" t="e">
            <v>#N/A</v>
          </cell>
        </row>
        <row r="912">
          <cell r="J912" t="e">
            <v>#N/A</v>
          </cell>
          <cell r="L912" t="e">
            <v>#N/A</v>
          </cell>
        </row>
        <row r="913">
          <cell r="J913" t="e">
            <v>#N/A</v>
          </cell>
          <cell r="L913" t="e">
            <v>#N/A</v>
          </cell>
        </row>
        <row r="914">
          <cell r="J914" t="e">
            <v>#N/A</v>
          </cell>
          <cell r="L914" t="e">
            <v>#N/A</v>
          </cell>
        </row>
        <row r="915">
          <cell r="J915" t="e">
            <v>#N/A</v>
          </cell>
          <cell r="L915" t="e">
            <v>#N/A</v>
          </cell>
        </row>
        <row r="916">
          <cell r="J916" t="e">
            <v>#N/A</v>
          </cell>
          <cell r="L916" t="e">
            <v>#N/A</v>
          </cell>
        </row>
        <row r="917">
          <cell r="J917" t="e">
            <v>#N/A</v>
          </cell>
          <cell r="L917" t="e">
            <v>#N/A</v>
          </cell>
        </row>
        <row r="918">
          <cell r="J918" t="e">
            <v>#N/A</v>
          </cell>
          <cell r="L918" t="e">
            <v>#N/A</v>
          </cell>
        </row>
        <row r="919">
          <cell r="J919" t="e">
            <v>#N/A</v>
          </cell>
          <cell r="L919" t="e">
            <v>#N/A</v>
          </cell>
        </row>
        <row r="920">
          <cell r="J920" t="e">
            <v>#N/A</v>
          </cell>
          <cell r="L920" t="e">
            <v>#N/A</v>
          </cell>
        </row>
        <row r="921">
          <cell r="J921" t="e">
            <v>#N/A</v>
          </cell>
          <cell r="L921" t="e">
            <v>#N/A</v>
          </cell>
        </row>
        <row r="922">
          <cell r="J922" t="e">
            <v>#N/A</v>
          </cell>
          <cell r="L922" t="e">
            <v>#N/A</v>
          </cell>
        </row>
        <row r="923">
          <cell r="J923" t="e">
            <v>#N/A</v>
          </cell>
          <cell r="L923" t="e">
            <v>#N/A</v>
          </cell>
        </row>
        <row r="924">
          <cell r="J924" t="e">
            <v>#N/A</v>
          </cell>
          <cell r="L924" t="e">
            <v>#N/A</v>
          </cell>
        </row>
        <row r="925">
          <cell r="J925" t="e">
            <v>#N/A</v>
          </cell>
          <cell r="L925" t="e">
            <v>#N/A</v>
          </cell>
        </row>
        <row r="926">
          <cell r="J926" t="e">
            <v>#N/A</v>
          </cell>
          <cell r="L926" t="e">
            <v>#N/A</v>
          </cell>
        </row>
        <row r="927">
          <cell r="J927" t="e">
            <v>#N/A</v>
          </cell>
          <cell r="L927" t="e">
            <v>#N/A</v>
          </cell>
        </row>
        <row r="928">
          <cell r="J928" t="e">
            <v>#N/A</v>
          </cell>
          <cell r="L928" t="e">
            <v>#N/A</v>
          </cell>
        </row>
        <row r="929">
          <cell r="J929" t="e">
            <v>#N/A</v>
          </cell>
          <cell r="L929" t="e">
            <v>#N/A</v>
          </cell>
        </row>
        <row r="930">
          <cell r="J930" t="e">
            <v>#N/A</v>
          </cell>
          <cell r="L930" t="e">
            <v>#N/A</v>
          </cell>
        </row>
        <row r="931">
          <cell r="J931" t="e">
            <v>#N/A</v>
          </cell>
          <cell r="L931" t="e">
            <v>#N/A</v>
          </cell>
        </row>
        <row r="932">
          <cell r="J932" t="e">
            <v>#N/A</v>
          </cell>
          <cell r="L932" t="e">
            <v>#N/A</v>
          </cell>
        </row>
        <row r="933">
          <cell r="J933" t="e">
            <v>#N/A</v>
          </cell>
          <cell r="L933" t="e">
            <v>#N/A</v>
          </cell>
        </row>
        <row r="934">
          <cell r="J934" t="e">
            <v>#N/A</v>
          </cell>
          <cell r="L934" t="e">
            <v>#N/A</v>
          </cell>
        </row>
        <row r="935">
          <cell r="J935" t="e">
            <v>#N/A</v>
          </cell>
          <cell r="L935" t="e">
            <v>#N/A</v>
          </cell>
        </row>
        <row r="936">
          <cell r="J936" t="e">
            <v>#N/A</v>
          </cell>
          <cell r="L936" t="e">
            <v>#N/A</v>
          </cell>
        </row>
        <row r="937">
          <cell r="J937" t="e">
            <v>#N/A</v>
          </cell>
          <cell r="L937" t="e">
            <v>#N/A</v>
          </cell>
        </row>
        <row r="938">
          <cell r="J938" t="e">
            <v>#N/A</v>
          </cell>
          <cell r="L938" t="e">
            <v>#N/A</v>
          </cell>
        </row>
        <row r="939">
          <cell r="J939" t="e">
            <v>#N/A</v>
          </cell>
          <cell r="L939" t="e">
            <v>#N/A</v>
          </cell>
        </row>
        <row r="940">
          <cell r="J940" t="e">
            <v>#N/A</v>
          </cell>
          <cell r="L940" t="e">
            <v>#N/A</v>
          </cell>
        </row>
        <row r="941">
          <cell r="J941" t="e">
            <v>#N/A</v>
          </cell>
          <cell r="L941" t="e">
            <v>#N/A</v>
          </cell>
        </row>
        <row r="942">
          <cell r="J942" t="e">
            <v>#N/A</v>
          </cell>
          <cell r="L942" t="e">
            <v>#N/A</v>
          </cell>
        </row>
      </sheetData>
      <sheetData sheetId="6"/>
      <sheetData sheetId="7">
        <row r="1">
          <cell r="A1" t="str">
            <v>Name</v>
          </cell>
        </row>
        <row r="2">
          <cell r="A2" t="str">
            <v>307A</v>
          </cell>
        </row>
        <row r="3">
          <cell r="A3" t="str">
            <v>AARON</v>
          </cell>
        </row>
        <row r="4">
          <cell r="A4" t="str">
            <v>ABA</v>
          </cell>
        </row>
        <row r="5">
          <cell r="A5" t="str">
            <v>ABAS</v>
          </cell>
        </row>
        <row r="6">
          <cell r="A6" t="str">
            <v>ABASI</v>
          </cell>
        </row>
        <row r="7">
          <cell r="A7" t="str">
            <v>ABDI</v>
          </cell>
        </row>
        <row r="8">
          <cell r="A8" t="str">
            <v>ABDUL</v>
          </cell>
        </row>
        <row r="9">
          <cell r="A9" t="str">
            <v>ABDULLA</v>
          </cell>
        </row>
        <row r="10">
          <cell r="A10" t="str">
            <v>ABE</v>
          </cell>
        </row>
        <row r="11">
          <cell r="A11" t="str">
            <v>ABEDNIGO</v>
          </cell>
        </row>
        <row r="12">
          <cell r="A12" t="str">
            <v>ABEL</v>
          </cell>
        </row>
        <row r="13">
          <cell r="A13" t="str">
            <v>Abel (non-DLC)</v>
          </cell>
        </row>
        <row r="14">
          <cell r="A14" t="str">
            <v>ABENA</v>
          </cell>
        </row>
        <row r="15">
          <cell r="A15" t="str">
            <v>ABIGAIL</v>
          </cell>
        </row>
        <row r="16">
          <cell r="A16" t="str">
            <v>ABNER</v>
          </cell>
        </row>
        <row r="17">
          <cell r="A17" t="str">
            <v>ABSALOM</v>
          </cell>
        </row>
        <row r="18">
          <cell r="A18" t="str">
            <v>ABSINTHE</v>
          </cell>
        </row>
        <row r="19">
          <cell r="A19" t="str">
            <v>Abu</v>
          </cell>
        </row>
        <row r="20">
          <cell r="A20" t="str">
            <v>Abu-A</v>
          </cell>
        </row>
        <row r="21">
          <cell r="A21" t="str">
            <v>Abu-B</v>
          </cell>
        </row>
        <row r="22">
          <cell r="A22" t="str">
            <v>ABUBAKAR</v>
          </cell>
        </row>
        <row r="23">
          <cell r="A23" t="str">
            <v>ABUDU</v>
          </cell>
        </row>
        <row r="24">
          <cell r="A24" t="str">
            <v>ACACIA</v>
          </cell>
        </row>
        <row r="25">
          <cell r="A25" t="str">
            <v>ACHERNAR</v>
          </cell>
        </row>
        <row r="26">
          <cell r="A26" t="str">
            <v>ACHILLES</v>
          </cell>
        </row>
        <row r="27">
          <cell r="A27" t="str">
            <v>ACHMED</v>
          </cell>
        </row>
        <row r="28">
          <cell r="A28" t="str">
            <v>ACHSAH</v>
          </cell>
        </row>
        <row r="29">
          <cell r="A29" t="str">
            <v>ACMITE</v>
          </cell>
        </row>
        <row r="30">
          <cell r="A30" t="str">
            <v>ACRUX</v>
          </cell>
        </row>
        <row r="31">
          <cell r="A31" t="str">
            <v>ADAH</v>
          </cell>
        </row>
        <row r="32">
          <cell r="A32" t="str">
            <v>ADAM</v>
          </cell>
        </row>
        <row r="33">
          <cell r="A33" t="str">
            <v>ADAMANTIUM</v>
          </cell>
        </row>
        <row r="34">
          <cell r="A34" t="str">
            <v>ADEA</v>
          </cell>
        </row>
        <row r="35">
          <cell r="A35" t="str">
            <v>Adea-A</v>
          </cell>
        </row>
        <row r="36">
          <cell r="A36" t="str">
            <v>Adelaide</v>
          </cell>
        </row>
        <row r="37">
          <cell r="A37" t="str">
            <v>ADHARA</v>
          </cell>
        </row>
        <row r="38">
          <cell r="A38" t="str">
            <v>ADITI</v>
          </cell>
        </row>
        <row r="39">
          <cell r="A39" t="str">
            <v>ADMETE</v>
          </cell>
        </row>
        <row r="40">
          <cell r="A40" t="str">
            <v>ADONIS</v>
          </cell>
        </row>
        <row r="41">
          <cell r="A41" t="str">
            <v>ADRI</v>
          </cell>
        </row>
        <row r="42">
          <cell r="A42" t="str">
            <v>ADRIANA</v>
          </cell>
        </row>
        <row r="43">
          <cell r="A43" t="str">
            <v>ADRIANA-A</v>
          </cell>
        </row>
        <row r="44">
          <cell r="A44" t="str">
            <v>ADRIANA-B</v>
          </cell>
        </row>
        <row r="45">
          <cell r="A45" t="str">
            <v>Adrianna</v>
          </cell>
        </row>
        <row r="46">
          <cell r="A46" t="str">
            <v>ADULARIN</v>
          </cell>
        </row>
        <row r="47">
          <cell r="A47" t="str">
            <v>AEGEUS</v>
          </cell>
        </row>
        <row r="48">
          <cell r="A48" t="str">
            <v>AEGYPTUS</v>
          </cell>
        </row>
        <row r="49">
          <cell r="A49" t="str">
            <v>Aemilia</v>
          </cell>
        </row>
        <row r="50">
          <cell r="A50" t="str">
            <v>AENEAS</v>
          </cell>
        </row>
        <row r="51">
          <cell r="A51" t="str">
            <v>AEOLUS</v>
          </cell>
        </row>
        <row r="52">
          <cell r="A52" t="str">
            <v>AESCHYLUS</v>
          </cell>
        </row>
        <row r="53">
          <cell r="A53" t="str">
            <v>AESON</v>
          </cell>
        </row>
        <row r="54">
          <cell r="A54" t="str">
            <v>AFIYA</v>
          </cell>
        </row>
        <row r="55">
          <cell r="A55" t="str">
            <v>AFIYA-A</v>
          </cell>
        </row>
        <row r="56">
          <cell r="A56" t="str">
            <v>AFIYA-B</v>
          </cell>
        </row>
        <row r="57">
          <cell r="A57" t="str">
            <v>Afo</v>
          </cell>
        </row>
        <row r="58">
          <cell r="A58" t="str">
            <v>AGATE</v>
          </cell>
        </row>
        <row r="59">
          <cell r="A59" t="str">
            <v>Agatha (DMAD)</v>
          </cell>
        </row>
        <row r="60">
          <cell r="A60" t="str">
            <v>AGATHA (LCAT)</v>
          </cell>
        </row>
        <row r="61">
          <cell r="A61" t="str">
            <v>Agathon</v>
          </cell>
        </row>
        <row r="62">
          <cell r="A62" t="str">
            <v>Agave</v>
          </cell>
        </row>
        <row r="63">
          <cell r="A63" t="str">
            <v>AGNI</v>
          </cell>
        </row>
        <row r="64">
          <cell r="A64" t="str">
            <v>AGNOSTES</v>
          </cell>
        </row>
        <row r="65">
          <cell r="A65" t="str">
            <v>Agnus</v>
          </cell>
        </row>
        <row r="66">
          <cell r="A66" t="str">
            <v>Agnus-A</v>
          </cell>
        </row>
        <row r="67">
          <cell r="A67" t="str">
            <v>AGRIPPA</v>
          </cell>
        </row>
        <row r="68">
          <cell r="A68" t="str">
            <v>Agrippina</v>
          </cell>
        </row>
        <row r="69">
          <cell r="A69" t="str">
            <v>Agrippina-D</v>
          </cell>
        </row>
        <row r="70">
          <cell r="A70" t="str">
            <v>AHAB</v>
          </cell>
        </row>
        <row r="71">
          <cell r="A71" t="str">
            <v>AHMOSE</v>
          </cell>
        </row>
        <row r="72">
          <cell r="A72" t="str">
            <v>AIMEE</v>
          </cell>
        </row>
        <row r="73">
          <cell r="A73" t="str">
            <v>AIMEE-A</v>
          </cell>
        </row>
        <row r="74">
          <cell r="A74" t="str">
            <v>AIMEE-B</v>
          </cell>
        </row>
        <row r="75">
          <cell r="A75" t="str">
            <v>Ajax</v>
          </cell>
        </row>
        <row r="76">
          <cell r="A76" t="str">
            <v>AJIT</v>
          </cell>
        </row>
        <row r="77">
          <cell r="A77" t="str">
            <v>AKAKO</v>
          </cell>
        </row>
        <row r="78">
          <cell r="A78" t="str">
            <v>AKAKY</v>
          </cell>
        </row>
        <row r="79">
          <cell r="A79" t="str">
            <v>AKHENATEN</v>
          </cell>
        </row>
        <row r="80">
          <cell r="A80" t="str">
            <v>Akroyd</v>
          </cell>
        </row>
        <row r="81">
          <cell r="A81" t="str">
            <v>Al</v>
          </cell>
        </row>
        <row r="82">
          <cell r="A82" t="str">
            <v>ALABASTER</v>
          </cell>
        </row>
        <row r="83">
          <cell r="A83" t="str">
            <v>ALADDIN</v>
          </cell>
        </row>
        <row r="84">
          <cell r="A84" t="str">
            <v>ALADFAR</v>
          </cell>
        </row>
        <row r="85">
          <cell r="A85" t="str">
            <v>ALAIN</v>
          </cell>
        </row>
        <row r="86">
          <cell r="A86" t="str">
            <v>Alastor</v>
          </cell>
        </row>
        <row r="87">
          <cell r="A87" t="str">
            <v>Albatross</v>
          </cell>
        </row>
        <row r="88">
          <cell r="A88" t="str">
            <v>ALBERICH</v>
          </cell>
        </row>
        <row r="89">
          <cell r="A89" t="str">
            <v>Albert</v>
          </cell>
        </row>
        <row r="90">
          <cell r="A90" t="str">
            <v>ALBION</v>
          </cell>
        </row>
        <row r="91">
          <cell r="A91" t="str">
            <v>Albus</v>
          </cell>
        </row>
        <row r="92">
          <cell r="A92" t="str">
            <v>ALCAEUS</v>
          </cell>
        </row>
        <row r="93">
          <cell r="A93" t="str">
            <v>ALCIBIADES</v>
          </cell>
        </row>
        <row r="94">
          <cell r="A94" t="str">
            <v>ALCMENE</v>
          </cell>
        </row>
        <row r="95">
          <cell r="A95" t="str">
            <v>ALCMENE-A</v>
          </cell>
        </row>
        <row r="96">
          <cell r="A96" t="str">
            <v>ALCMENE-B</v>
          </cell>
        </row>
        <row r="97">
          <cell r="A97" t="str">
            <v>ALCMENE-C</v>
          </cell>
        </row>
        <row r="98">
          <cell r="A98" t="str">
            <v>ALCMENE-D</v>
          </cell>
        </row>
        <row r="99">
          <cell r="A99" t="str">
            <v>ALCMENE-E</v>
          </cell>
        </row>
        <row r="100">
          <cell r="A100" t="str">
            <v>ALCOBA</v>
          </cell>
        </row>
        <row r="101">
          <cell r="A101" t="str">
            <v>ALCOBA-A</v>
          </cell>
        </row>
        <row r="102">
          <cell r="A102" t="str">
            <v>ALCOR</v>
          </cell>
        </row>
        <row r="103">
          <cell r="A103" t="str">
            <v>ALDEBERA</v>
          </cell>
        </row>
        <row r="104">
          <cell r="A104" t="str">
            <v>ALDEBERAN</v>
          </cell>
        </row>
        <row r="105">
          <cell r="A105" t="str">
            <v>ALDER</v>
          </cell>
        </row>
        <row r="106">
          <cell r="A106" t="str">
            <v>Alec</v>
          </cell>
        </row>
        <row r="107">
          <cell r="A107" t="str">
            <v>Alejandro</v>
          </cell>
        </row>
        <row r="108">
          <cell r="A108" t="str">
            <v>Alena</v>
          </cell>
        </row>
        <row r="109">
          <cell r="A109" t="str">
            <v>Alena-A</v>
          </cell>
        </row>
        <row r="110">
          <cell r="A110" t="str">
            <v>Alena-B</v>
          </cell>
        </row>
        <row r="111">
          <cell r="A111" t="str">
            <v>Alexander</v>
          </cell>
        </row>
        <row r="112">
          <cell r="A112" t="str">
            <v>ALEXANDRA</v>
          </cell>
        </row>
        <row r="113">
          <cell r="A113" t="str">
            <v>ALEXANDROS</v>
          </cell>
        </row>
        <row r="114">
          <cell r="A114" t="str">
            <v>ALEXIANUS</v>
          </cell>
        </row>
        <row r="115">
          <cell r="A115" t="str">
            <v>Alfalfa</v>
          </cell>
        </row>
        <row r="116">
          <cell r="A116" t="str">
            <v>ALGER</v>
          </cell>
        </row>
        <row r="117">
          <cell r="A117" t="str">
            <v>ALGOL</v>
          </cell>
        </row>
        <row r="118">
          <cell r="A118" t="str">
            <v>ALHENA</v>
          </cell>
        </row>
        <row r="119">
          <cell r="A119" t="str">
            <v>ALI</v>
          </cell>
        </row>
        <row r="120">
          <cell r="A120" t="str">
            <v>ALIANTHUS</v>
          </cell>
        </row>
        <row r="121">
          <cell r="A121" t="str">
            <v>ALIANTHUS-A</v>
          </cell>
        </row>
        <row r="122">
          <cell r="A122" t="str">
            <v>ALIANTHUS-B</v>
          </cell>
        </row>
        <row r="123">
          <cell r="A123" t="str">
            <v>ALIANTHUS-C</v>
          </cell>
        </row>
        <row r="124">
          <cell r="A124" t="str">
            <v>ALICE</v>
          </cell>
        </row>
        <row r="125">
          <cell r="A125" t="str">
            <v>ALICE-A</v>
          </cell>
        </row>
        <row r="126">
          <cell r="A126" t="str">
            <v>Alice-B</v>
          </cell>
        </row>
        <row r="127">
          <cell r="A127" t="str">
            <v>ALINDA</v>
          </cell>
        </row>
        <row r="128">
          <cell r="A128" t="str">
            <v>ALIOTSY</v>
          </cell>
        </row>
        <row r="129">
          <cell r="A129" t="str">
            <v>ALIPIO</v>
          </cell>
        </row>
        <row r="130">
          <cell r="A130" t="str">
            <v>ALIZARIN</v>
          </cell>
        </row>
        <row r="131">
          <cell r="A131" t="str">
            <v>ALKESTIS</v>
          </cell>
        </row>
        <row r="132">
          <cell r="A132" t="str">
            <v>Alley</v>
          </cell>
        </row>
        <row r="133">
          <cell r="A133" t="str">
            <v>ALLSPICE</v>
          </cell>
        </row>
        <row r="134">
          <cell r="A134" t="str">
            <v>ALLSPICE-A</v>
          </cell>
        </row>
        <row r="135">
          <cell r="A135" t="str">
            <v>ALLSPICE-B</v>
          </cell>
        </row>
        <row r="136">
          <cell r="A136" t="str">
            <v>ALLSPICE-C</v>
          </cell>
        </row>
        <row r="137">
          <cell r="A137" t="str">
            <v>ALLSPICE-D</v>
          </cell>
        </row>
        <row r="138">
          <cell r="A138" t="str">
            <v>Almirena</v>
          </cell>
        </row>
        <row r="139">
          <cell r="A139" t="str">
            <v>Almirena-B</v>
          </cell>
        </row>
        <row r="140">
          <cell r="A140" t="str">
            <v>ALMUT</v>
          </cell>
        </row>
        <row r="141">
          <cell r="A141" t="str">
            <v>ALOE</v>
          </cell>
        </row>
        <row r="142">
          <cell r="A142" t="str">
            <v>ALPHA</v>
          </cell>
        </row>
        <row r="143">
          <cell r="A143" t="str">
            <v>ALPHA CENTAURI</v>
          </cell>
        </row>
        <row r="144">
          <cell r="A144" t="str">
            <v>ALPHABET</v>
          </cell>
        </row>
        <row r="145">
          <cell r="A145" t="str">
            <v>Alphard</v>
          </cell>
        </row>
        <row r="146">
          <cell r="A146" t="str">
            <v>ALPHECCA</v>
          </cell>
        </row>
        <row r="147">
          <cell r="A147" t="str">
            <v>Alphonse</v>
          </cell>
        </row>
        <row r="148">
          <cell r="A148" t="str">
            <v>ALTAIR</v>
          </cell>
        </row>
        <row r="149">
          <cell r="A149" t="str">
            <v>ALUDRA</v>
          </cell>
        </row>
        <row r="150">
          <cell r="A150" t="str">
            <v>AMALTHEA</v>
          </cell>
        </row>
        <row r="151">
          <cell r="A151" t="str">
            <v>AMALTHEA-A</v>
          </cell>
        </row>
        <row r="152">
          <cell r="A152" t="str">
            <v>AMALTHEA-B</v>
          </cell>
        </row>
        <row r="153">
          <cell r="A153" t="str">
            <v>AMALTHEA-C</v>
          </cell>
        </row>
        <row r="154">
          <cell r="A154" t="str">
            <v>AMAZONIA</v>
          </cell>
        </row>
        <row r="155">
          <cell r="A155" t="str">
            <v>AMBER</v>
          </cell>
        </row>
        <row r="156">
          <cell r="A156" t="str">
            <v>AMBIKA</v>
          </cell>
        </row>
        <row r="157">
          <cell r="A157" t="str">
            <v>AMBIKA-A</v>
          </cell>
        </row>
        <row r="158">
          <cell r="A158" t="str">
            <v>AMBRETTE</v>
          </cell>
        </row>
        <row r="159">
          <cell r="A159" t="str">
            <v>AMBROSIA</v>
          </cell>
        </row>
        <row r="160">
          <cell r="A160" t="str">
            <v>AMELIA</v>
          </cell>
        </row>
        <row r="161">
          <cell r="A161" t="str">
            <v>AMENHOTEP</v>
          </cell>
        </row>
        <row r="162">
          <cell r="A162" t="str">
            <v>AMITHA</v>
          </cell>
        </row>
        <row r="163">
          <cell r="A163" t="str">
            <v>AMNON</v>
          </cell>
        </row>
        <row r="164">
          <cell r="A164" t="str">
            <v>AMO DULOM</v>
          </cell>
        </row>
        <row r="165">
          <cell r="A165" t="str">
            <v>Amor</v>
          </cell>
        </row>
        <row r="166">
          <cell r="A166" t="str">
            <v>Amor Jr.</v>
          </cell>
        </row>
        <row r="167">
          <cell r="A167" t="str">
            <v>AMOS</v>
          </cell>
        </row>
        <row r="168">
          <cell r="A168" t="str">
            <v>AMPLIA</v>
          </cell>
        </row>
        <row r="169">
          <cell r="A169" t="str">
            <v>Amun Ra</v>
          </cell>
        </row>
        <row r="170">
          <cell r="A170" t="str">
            <v>AMY</v>
          </cell>
        </row>
        <row r="171">
          <cell r="A171" t="str">
            <v>AMYRIS</v>
          </cell>
        </row>
        <row r="172">
          <cell r="A172" t="str">
            <v>ANA</v>
          </cell>
        </row>
        <row r="173">
          <cell r="A173" t="str">
            <v>ANA-A</v>
          </cell>
        </row>
        <row r="174">
          <cell r="A174" t="str">
            <v>ANACREON</v>
          </cell>
        </row>
        <row r="175">
          <cell r="A175" t="str">
            <v>ANANKE</v>
          </cell>
        </row>
        <row r="176">
          <cell r="A176" t="str">
            <v>ANAQVA</v>
          </cell>
        </row>
        <row r="177">
          <cell r="A177" t="str">
            <v>Anastasia</v>
          </cell>
        </row>
        <row r="178">
          <cell r="A178" t="str">
            <v>Anastasia-B</v>
          </cell>
        </row>
        <row r="179">
          <cell r="A179" t="str">
            <v>ANATASE</v>
          </cell>
        </row>
        <row r="180">
          <cell r="A180" t="str">
            <v>Anaxo</v>
          </cell>
        </row>
        <row r="181">
          <cell r="A181" t="str">
            <v>ANCHA</v>
          </cell>
        </row>
        <row r="182">
          <cell r="A182" t="str">
            <v>ANDRE</v>
          </cell>
        </row>
        <row r="183">
          <cell r="A183" t="str">
            <v>ANDREAS</v>
          </cell>
        </row>
        <row r="184">
          <cell r="A184" t="str">
            <v>ANDRETA</v>
          </cell>
        </row>
        <row r="185">
          <cell r="A185" t="str">
            <v>ANDREW</v>
          </cell>
        </row>
        <row r="186">
          <cell r="A186" t="str">
            <v>Andri</v>
          </cell>
        </row>
        <row r="187">
          <cell r="A187" t="str">
            <v>Andromeda</v>
          </cell>
        </row>
        <row r="188">
          <cell r="A188" t="str">
            <v>ANDROMEDA-A</v>
          </cell>
        </row>
        <row r="189">
          <cell r="A189" t="str">
            <v>ANDROMEDA-B</v>
          </cell>
        </row>
        <row r="190">
          <cell r="A190" t="str">
            <v>ANDRY</v>
          </cell>
        </row>
        <row r="191">
          <cell r="A191" t="str">
            <v>ANDY</v>
          </cell>
        </row>
        <row r="192">
          <cell r="A192" t="str">
            <v>Andy (Ogg)</v>
          </cell>
        </row>
        <row r="193">
          <cell r="A193" t="str">
            <v>ANDY II</v>
          </cell>
        </row>
        <row r="194">
          <cell r="A194" t="str">
            <v>ANEMONE</v>
          </cell>
        </row>
        <row r="195">
          <cell r="A195" t="str">
            <v>Angela</v>
          </cell>
        </row>
        <row r="196">
          <cell r="A196" t="str">
            <v>ANGELICA</v>
          </cell>
        </row>
        <row r="197">
          <cell r="A197" t="str">
            <v>Angelique</v>
          </cell>
        </row>
        <row r="198">
          <cell r="A198" t="str">
            <v>ANGOLY</v>
          </cell>
        </row>
        <row r="199">
          <cell r="A199" t="str">
            <v>Anhotep</v>
          </cell>
        </row>
        <row r="200">
          <cell r="A200" t="str">
            <v>ANIL</v>
          </cell>
        </row>
        <row r="201">
          <cell r="A201" t="str">
            <v>ANILA</v>
          </cell>
        </row>
        <row r="202">
          <cell r="A202" t="str">
            <v>ANISE</v>
          </cell>
        </row>
        <row r="203">
          <cell r="A203" t="str">
            <v>ANITA</v>
          </cell>
        </row>
        <row r="204">
          <cell r="A204" t="str">
            <v>ANJALI</v>
          </cell>
        </row>
        <row r="205">
          <cell r="A205" t="str">
            <v>ANKANA</v>
          </cell>
        </row>
        <row r="206">
          <cell r="A206" t="str">
            <v>Ankana-A</v>
          </cell>
        </row>
        <row r="207">
          <cell r="A207" t="str">
            <v>Ankana-B</v>
          </cell>
        </row>
        <row r="208">
          <cell r="A208" t="str">
            <v>Ankana-C</v>
          </cell>
        </row>
        <row r="209">
          <cell r="A209" t="str">
            <v>ANN</v>
          </cell>
        </row>
        <row r="210">
          <cell r="A210" t="str">
            <v>ANNA</v>
          </cell>
        </row>
        <row r="211">
          <cell r="A211" t="str">
            <v>ANNA-A</v>
          </cell>
        </row>
        <row r="212">
          <cell r="A212" t="str">
            <v>ANNABEL LEE</v>
          </cell>
        </row>
        <row r="213">
          <cell r="A213" t="str">
            <v>ANNATO</v>
          </cell>
        </row>
        <row r="214">
          <cell r="A214" t="str">
            <v>ANNIA</v>
          </cell>
        </row>
        <row r="215">
          <cell r="A215" t="str">
            <v>ANTARES</v>
          </cell>
        </row>
        <row r="216">
          <cell r="A216" t="str">
            <v>Anthony</v>
          </cell>
        </row>
        <row r="217">
          <cell r="A217" t="str">
            <v>ANTICLEA</v>
          </cell>
        </row>
        <row r="218">
          <cell r="A218" t="str">
            <v>ANTIGONE</v>
          </cell>
        </row>
        <row r="219">
          <cell r="A219" t="str">
            <v>Antika</v>
          </cell>
        </row>
        <row r="220">
          <cell r="A220" t="str">
            <v>ANTIMONY</v>
          </cell>
        </row>
        <row r="221">
          <cell r="A221" t="str">
            <v>ANTIMONY-A</v>
          </cell>
        </row>
        <row r="222">
          <cell r="A222" t="str">
            <v>ANTIMONY-B</v>
          </cell>
        </row>
        <row r="223">
          <cell r="A223" t="str">
            <v>ANTIOPE</v>
          </cell>
        </row>
        <row r="224">
          <cell r="A224" t="str">
            <v>ANTIPA</v>
          </cell>
        </row>
        <row r="225">
          <cell r="A225" t="str">
            <v>ANTIPHON</v>
          </cell>
        </row>
        <row r="226">
          <cell r="A226" t="str">
            <v>ANTLIA</v>
          </cell>
        </row>
        <row r="227">
          <cell r="A227" t="str">
            <v>ANTOINE</v>
          </cell>
        </row>
        <row r="228">
          <cell r="A228" t="str">
            <v>Antonia</v>
          </cell>
        </row>
        <row r="229">
          <cell r="A229" t="str">
            <v>Antonia-A</v>
          </cell>
        </row>
        <row r="230">
          <cell r="A230" t="str">
            <v>ANUBIS</v>
          </cell>
        </row>
        <row r="231">
          <cell r="A231" t="str">
            <v>ANWAR</v>
          </cell>
        </row>
        <row r="232">
          <cell r="A232" t="str">
            <v>ANYTE</v>
          </cell>
        </row>
        <row r="233">
          <cell r="A233" t="str">
            <v>APACHE</v>
          </cell>
        </row>
        <row r="234">
          <cell r="A234" t="str">
            <v>APAMA</v>
          </cell>
        </row>
        <row r="235">
          <cell r="A235" t="str">
            <v>APATITE</v>
          </cell>
        </row>
        <row r="236">
          <cell r="A236" t="str">
            <v>APHID</v>
          </cell>
        </row>
        <row r="237">
          <cell r="A237" t="str">
            <v>APHRODITE</v>
          </cell>
        </row>
        <row r="238">
          <cell r="A238" t="str">
            <v>APHRODITE-A</v>
          </cell>
        </row>
        <row r="239">
          <cell r="A239" t="str">
            <v>APHRODITE-B</v>
          </cell>
        </row>
        <row r="240">
          <cell r="A240" t="str">
            <v>APHRODITE-C</v>
          </cell>
        </row>
        <row r="241">
          <cell r="A241" t="str">
            <v>APHRODITE-D</v>
          </cell>
        </row>
        <row r="242">
          <cell r="A242" t="str">
            <v>APHRODITE-E</v>
          </cell>
        </row>
        <row r="243">
          <cell r="A243" t="str">
            <v>APHRODITE-F</v>
          </cell>
        </row>
        <row r="244">
          <cell r="A244" t="str">
            <v>APO</v>
          </cell>
        </row>
        <row r="245">
          <cell r="A245" t="str">
            <v>APOLLO</v>
          </cell>
        </row>
        <row r="246">
          <cell r="A246" t="str">
            <v>APOLLONUS</v>
          </cell>
        </row>
        <row r="247">
          <cell r="A247" t="str">
            <v>Apollonus-A</v>
          </cell>
        </row>
        <row r="248">
          <cell r="A248" t="str">
            <v>Apollonus-B</v>
          </cell>
        </row>
        <row r="249">
          <cell r="A249" t="str">
            <v>APPHIA</v>
          </cell>
        </row>
        <row r="250">
          <cell r="A250" t="str">
            <v>APPLE</v>
          </cell>
        </row>
        <row r="251">
          <cell r="A251" t="str">
            <v>AQUAMARINE</v>
          </cell>
        </row>
        <row r="252">
          <cell r="A252" t="str">
            <v>AQUAMARINE-A</v>
          </cell>
        </row>
        <row r="253">
          <cell r="A253" t="str">
            <v>AQUARIUS</v>
          </cell>
        </row>
        <row r="254">
          <cell r="A254" t="str">
            <v>AQUILA</v>
          </cell>
        </row>
        <row r="255">
          <cell r="A255" t="str">
            <v>AQUILAMITE-A</v>
          </cell>
        </row>
        <row r="256">
          <cell r="A256" t="str">
            <v>AQUILARITE</v>
          </cell>
        </row>
        <row r="257">
          <cell r="A257" t="str">
            <v>ARA</v>
          </cell>
        </row>
        <row r="258">
          <cell r="A258" t="str">
            <v>ARACHNE</v>
          </cell>
        </row>
        <row r="259">
          <cell r="A259" t="str">
            <v>Aracus</v>
          </cell>
        </row>
        <row r="260">
          <cell r="A260" t="str">
            <v>ARALES</v>
          </cell>
        </row>
        <row r="261">
          <cell r="A261" t="str">
            <v>ARAPAHOE</v>
          </cell>
        </row>
        <row r="262">
          <cell r="A262" t="str">
            <v>ARBORVITAE</v>
          </cell>
        </row>
        <row r="263">
          <cell r="A263" t="str">
            <v>ARBUTUS</v>
          </cell>
        </row>
        <row r="264">
          <cell r="A264" t="str">
            <v>Arcadia</v>
          </cell>
        </row>
        <row r="265">
          <cell r="A265" t="str">
            <v>Arcadia-A</v>
          </cell>
        </row>
        <row r="266">
          <cell r="A266" t="str">
            <v>Arche</v>
          </cell>
        </row>
        <row r="267">
          <cell r="A267" t="str">
            <v>ARCHIMEDES</v>
          </cell>
        </row>
        <row r="268">
          <cell r="A268" t="str">
            <v>ARCTOS</v>
          </cell>
        </row>
        <row r="269">
          <cell r="A269" t="str">
            <v>ARCTURUS</v>
          </cell>
        </row>
        <row r="270">
          <cell r="A270" t="str">
            <v>Ardrey</v>
          </cell>
        </row>
        <row r="271">
          <cell r="A271" t="str">
            <v>Ardrey-A</v>
          </cell>
        </row>
        <row r="272">
          <cell r="A272" t="str">
            <v>Ares</v>
          </cell>
        </row>
        <row r="273">
          <cell r="A273" t="str">
            <v>ARETE</v>
          </cell>
        </row>
        <row r="274">
          <cell r="A274" t="str">
            <v>ARGENTITE</v>
          </cell>
        </row>
        <row r="275">
          <cell r="A275" t="str">
            <v>ARGO</v>
          </cell>
        </row>
        <row r="276">
          <cell r="A276" t="str">
            <v>ARGON</v>
          </cell>
        </row>
        <row r="277">
          <cell r="A277" t="str">
            <v>Aria</v>
          </cell>
        </row>
        <row r="278">
          <cell r="A278" t="str">
            <v>ARIANE</v>
          </cell>
        </row>
        <row r="279">
          <cell r="A279" t="str">
            <v>ARIEL</v>
          </cell>
        </row>
        <row r="280">
          <cell r="A280" t="str">
            <v>Aries</v>
          </cell>
        </row>
        <row r="281">
          <cell r="A281" t="str">
            <v>ARIL</v>
          </cell>
        </row>
        <row r="282">
          <cell r="A282" t="str">
            <v>Aristides</v>
          </cell>
        </row>
        <row r="283">
          <cell r="A283" t="str">
            <v>ARJUNA</v>
          </cell>
        </row>
        <row r="284">
          <cell r="A284" t="str">
            <v>ARKOSE</v>
          </cell>
        </row>
        <row r="285">
          <cell r="A285" t="str">
            <v>ARLETTE</v>
          </cell>
        </row>
        <row r="286">
          <cell r="A286" t="str">
            <v>ARLO</v>
          </cell>
        </row>
        <row r="287">
          <cell r="A287" t="str">
            <v>Arnica</v>
          </cell>
        </row>
        <row r="288">
          <cell r="A288" t="str">
            <v>AROSY</v>
          </cell>
        </row>
        <row r="289">
          <cell r="A289" t="str">
            <v>ARROWWOOD</v>
          </cell>
        </row>
        <row r="290">
          <cell r="A290" t="str">
            <v>ARSENIC</v>
          </cell>
        </row>
        <row r="291">
          <cell r="A291" t="str">
            <v>ARSINOE</v>
          </cell>
        </row>
        <row r="292">
          <cell r="A292" t="str">
            <v>Artemesia</v>
          </cell>
        </row>
        <row r="293">
          <cell r="A293" t="str">
            <v>ARTEMIS</v>
          </cell>
        </row>
        <row r="294">
          <cell r="A294" t="str">
            <v>ARTHUR</v>
          </cell>
        </row>
        <row r="295">
          <cell r="A295" t="str">
            <v>ARTYSTONE</v>
          </cell>
        </row>
        <row r="296">
          <cell r="A296" t="str">
            <v>ARUSI</v>
          </cell>
        </row>
        <row r="297">
          <cell r="A297" t="str">
            <v>ARUSI-A</v>
          </cell>
        </row>
        <row r="298">
          <cell r="A298" t="str">
            <v>ARUSI-B</v>
          </cell>
        </row>
        <row r="299">
          <cell r="A299" t="str">
            <v>ARUSI-C</v>
          </cell>
        </row>
        <row r="300">
          <cell r="A300" t="str">
            <v>ASA</v>
          </cell>
        </row>
        <row r="301">
          <cell r="A301" t="str">
            <v>ASH</v>
          </cell>
        </row>
        <row r="302">
          <cell r="A302" t="str">
            <v>ASHA</v>
          </cell>
        </row>
        <row r="303">
          <cell r="A303" t="str">
            <v>ASHA-A</v>
          </cell>
        </row>
        <row r="304">
          <cell r="A304" t="str">
            <v>ASHANTI</v>
          </cell>
        </row>
        <row r="305">
          <cell r="A305" t="str">
            <v>Ashley</v>
          </cell>
        </row>
        <row r="306">
          <cell r="A306" t="str">
            <v>ASHWANI</v>
          </cell>
        </row>
        <row r="307">
          <cell r="A307" t="str">
            <v>ASIDY</v>
          </cell>
        </row>
        <row r="308">
          <cell r="A308" t="str">
            <v>ASK</v>
          </cell>
        </row>
        <row r="309">
          <cell r="A309" t="str">
            <v>Asparagus</v>
          </cell>
        </row>
        <row r="310">
          <cell r="A310" t="str">
            <v>ASPASIA</v>
          </cell>
        </row>
        <row r="311">
          <cell r="A311" t="str">
            <v>ASPASIA II</v>
          </cell>
        </row>
        <row r="312">
          <cell r="A312" t="str">
            <v>ASPEN</v>
          </cell>
        </row>
        <row r="313">
          <cell r="A313" t="str">
            <v>ASTARTE</v>
          </cell>
        </row>
        <row r="314">
          <cell r="A314" t="str">
            <v>Aster</v>
          </cell>
        </row>
        <row r="315">
          <cell r="A315" t="str">
            <v>ASTRA</v>
          </cell>
        </row>
        <row r="316">
          <cell r="A316" t="str">
            <v>ASTRAEA</v>
          </cell>
        </row>
        <row r="317">
          <cell r="A317" t="str">
            <v>ASTRO</v>
          </cell>
        </row>
        <row r="318">
          <cell r="A318" t="str">
            <v>ASURA</v>
          </cell>
        </row>
        <row r="319">
          <cell r="A319" t="str">
            <v>ASURA-A</v>
          </cell>
        </row>
        <row r="320">
          <cell r="A320" t="str">
            <v>ASYA</v>
          </cell>
        </row>
        <row r="321">
          <cell r="A321" t="str">
            <v>ATA</v>
          </cell>
        </row>
        <row r="322">
          <cell r="A322" t="str">
            <v>ATALANTA</v>
          </cell>
        </row>
        <row r="323">
          <cell r="A323" t="str">
            <v>ATEN</v>
          </cell>
        </row>
        <row r="324">
          <cell r="A324" t="str">
            <v>ATHALIA</v>
          </cell>
        </row>
        <row r="325">
          <cell r="A325" t="str">
            <v>ATHENE-A</v>
          </cell>
        </row>
        <row r="326">
          <cell r="A326" t="str">
            <v>ATIA</v>
          </cell>
        </row>
        <row r="327">
          <cell r="A327" t="str">
            <v>ATLAS</v>
          </cell>
        </row>
        <row r="328">
          <cell r="A328" t="str">
            <v>ATLI</v>
          </cell>
        </row>
        <row r="329">
          <cell r="A329" t="str">
            <v>ATOSSA</v>
          </cell>
        </row>
        <row r="330">
          <cell r="A330" t="str">
            <v>ATOSSA-A</v>
          </cell>
        </row>
        <row r="331">
          <cell r="A331" t="str">
            <v>ATOSSA-B</v>
          </cell>
        </row>
        <row r="332">
          <cell r="A332" t="str">
            <v>ATRIA</v>
          </cell>
        </row>
        <row r="333">
          <cell r="A333" t="str">
            <v>ATTHIS</v>
          </cell>
        </row>
        <row r="334">
          <cell r="A334" t="str">
            <v>ATTHIS-A</v>
          </cell>
        </row>
        <row r="335">
          <cell r="A335" t="str">
            <v>Atticus</v>
          </cell>
        </row>
        <row r="336">
          <cell r="A336" t="str">
            <v>ATTIS</v>
          </cell>
        </row>
        <row r="337">
          <cell r="A337" t="str">
            <v>AUBURN</v>
          </cell>
        </row>
        <row r="338">
          <cell r="A338" t="str">
            <v>AUDEN</v>
          </cell>
        </row>
        <row r="339">
          <cell r="A339" t="str">
            <v>AUGUSTUS</v>
          </cell>
        </row>
        <row r="340">
          <cell r="A340" t="str">
            <v>AUGUSTUS II</v>
          </cell>
        </row>
        <row r="341">
          <cell r="A341" t="str">
            <v>Auklet</v>
          </cell>
        </row>
        <row r="342">
          <cell r="A342" t="str">
            <v>AURELIA</v>
          </cell>
        </row>
        <row r="343">
          <cell r="A343" t="str">
            <v>AUREOLE</v>
          </cell>
        </row>
        <row r="344">
          <cell r="A344" t="str">
            <v>AURIGA</v>
          </cell>
        </row>
        <row r="345">
          <cell r="A345" t="str">
            <v>AURORA</v>
          </cell>
        </row>
        <row r="346">
          <cell r="A346" t="str">
            <v>Avatar</v>
          </cell>
        </row>
        <row r="347">
          <cell r="A347" t="str">
            <v>AVINASH</v>
          </cell>
        </row>
        <row r="348">
          <cell r="A348" t="str">
            <v>Avior</v>
          </cell>
        </row>
        <row r="349">
          <cell r="A349" t="str">
            <v>Avita</v>
          </cell>
        </row>
        <row r="350">
          <cell r="A350" t="str">
            <v>AVOCET</v>
          </cell>
        </row>
        <row r="351">
          <cell r="A351" t="str">
            <v>AYUBA</v>
          </cell>
        </row>
        <row r="352">
          <cell r="A352" t="str">
            <v>Azalea</v>
          </cell>
        </row>
        <row r="353">
          <cell r="A353" t="str">
            <v>Azalea-A</v>
          </cell>
        </row>
        <row r="354">
          <cell r="A354" t="str">
            <v>AZIZA</v>
          </cell>
        </row>
        <row r="355">
          <cell r="A355" t="str">
            <v>AZIZA-A</v>
          </cell>
        </row>
        <row r="356">
          <cell r="A356" t="str">
            <v>AZIZI</v>
          </cell>
        </row>
        <row r="357">
          <cell r="A357" t="str">
            <v>AZUBAH</v>
          </cell>
        </row>
        <row r="358">
          <cell r="A358" t="str">
            <v>AZUBAH-A</v>
          </cell>
        </row>
        <row r="359">
          <cell r="A359" t="str">
            <v>AZUBAH-B</v>
          </cell>
        </row>
        <row r="360">
          <cell r="A360" t="str">
            <v>BAAL</v>
          </cell>
        </row>
        <row r="361">
          <cell r="A361" t="str">
            <v>BABEL</v>
          </cell>
        </row>
        <row r="362">
          <cell r="A362" t="str">
            <v>BABEL-A</v>
          </cell>
        </row>
        <row r="363">
          <cell r="A363" t="str">
            <v>Babel-B</v>
          </cell>
        </row>
        <row r="364">
          <cell r="A364" t="str">
            <v>BABEL-C</v>
          </cell>
        </row>
        <row r="365">
          <cell r="A365" t="str">
            <v>BABEL-D</v>
          </cell>
        </row>
        <row r="366">
          <cell r="A366" t="str">
            <v>BABEL-E</v>
          </cell>
        </row>
        <row r="367">
          <cell r="A367" t="str">
            <v>BABEL-F</v>
          </cell>
        </row>
        <row r="368">
          <cell r="A368" t="str">
            <v>BABEL-G</v>
          </cell>
        </row>
        <row r="369">
          <cell r="A369" t="str">
            <v>BABEL-H</v>
          </cell>
        </row>
        <row r="370">
          <cell r="A370" t="str">
            <v>BABEL-I</v>
          </cell>
        </row>
        <row r="371">
          <cell r="A371" t="str">
            <v>BABEL-J</v>
          </cell>
        </row>
        <row r="372">
          <cell r="A372" t="str">
            <v>BABEL-K</v>
          </cell>
        </row>
        <row r="373">
          <cell r="A373" t="str">
            <v>BABETTE</v>
          </cell>
        </row>
        <row r="374">
          <cell r="A374" t="str">
            <v>BABETTE-A</v>
          </cell>
        </row>
        <row r="375">
          <cell r="A375" t="str">
            <v>BABY BOOTS</v>
          </cell>
        </row>
        <row r="376">
          <cell r="A376" t="str">
            <v>BACALL</v>
          </cell>
        </row>
        <row r="377">
          <cell r="A377" t="str">
            <v>BACALL-A</v>
          </cell>
        </row>
        <row r="378">
          <cell r="A378" t="str">
            <v>BACCHUS</v>
          </cell>
        </row>
        <row r="379">
          <cell r="A379" t="str">
            <v>Bacon</v>
          </cell>
        </row>
        <row r="380">
          <cell r="A380" t="str">
            <v>BADIAN</v>
          </cell>
        </row>
        <row r="381">
          <cell r="A381" t="str">
            <v>BADJAO</v>
          </cell>
        </row>
        <row r="382">
          <cell r="A382" t="str">
            <v>BADRA</v>
          </cell>
        </row>
        <row r="383">
          <cell r="A383" t="str">
            <v>BADRU</v>
          </cell>
        </row>
        <row r="384">
          <cell r="A384" t="str">
            <v>BADRU-A</v>
          </cell>
        </row>
        <row r="385">
          <cell r="A385" t="str">
            <v>BAEZ</v>
          </cell>
        </row>
        <row r="386">
          <cell r="A386" t="str">
            <v>BAGOBO</v>
          </cell>
        </row>
        <row r="387">
          <cell r="A387" t="str">
            <v>BAGOBO-A</v>
          </cell>
        </row>
        <row r="388">
          <cell r="A388" t="str">
            <v>BAGOBO-B</v>
          </cell>
        </row>
        <row r="389">
          <cell r="A389" t="str">
            <v>BAHATI</v>
          </cell>
        </row>
        <row r="390">
          <cell r="A390" t="str">
            <v>BAHATI-A</v>
          </cell>
        </row>
        <row r="391">
          <cell r="A391" t="str">
            <v>BAHATI-B</v>
          </cell>
        </row>
        <row r="392">
          <cell r="A392" t="str">
            <v>BAHATI-C</v>
          </cell>
        </row>
        <row r="393">
          <cell r="A393" t="str">
            <v>BAKARI</v>
          </cell>
        </row>
        <row r="394">
          <cell r="A394" t="str">
            <v>BAKARI-A</v>
          </cell>
        </row>
        <row r="395">
          <cell r="A395" t="str">
            <v>BAKARI-B</v>
          </cell>
        </row>
        <row r="396">
          <cell r="A396" t="str">
            <v>BAKARI-C</v>
          </cell>
        </row>
        <row r="397">
          <cell r="A397" t="str">
            <v>BAKARI-D</v>
          </cell>
        </row>
        <row r="398">
          <cell r="A398" t="str">
            <v>BAKO</v>
          </cell>
        </row>
        <row r="399">
          <cell r="A399" t="str">
            <v>BALA</v>
          </cell>
        </row>
        <row r="400">
          <cell r="A400" t="str">
            <v>BALA-A</v>
          </cell>
        </row>
        <row r="401">
          <cell r="A401" t="str">
            <v>BALBIR</v>
          </cell>
        </row>
        <row r="402">
          <cell r="A402" t="str">
            <v>BALDER</v>
          </cell>
        </row>
        <row r="403">
          <cell r="A403" t="str">
            <v>BALIN</v>
          </cell>
        </row>
        <row r="404">
          <cell r="A404" t="str">
            <v>BALIN-A</v>
          </cell>
        </row>
        <row r="405">
          <cell r="A405" t="str">
            <v>BALIN-B</v>
          </cell>
        </row>
        <row r="406">
          <cell r="A406" t="str">
            <v>BALSA</v>
          </cell>
        </row>
        <row r="407">
          <cell r="A407" t="str">
            <v>BALU</v>
          </cell>
        </row>
        <row r="408">
          <cell r="A408" t="str">
            <v>BAMBOO</v>
          </cell>
        </row>
        <row r="409">
          <cell r="A409" t="str">
            <v>BAMBOO-A</v>
          </cell>
        </row>
        <row r="410">
          <cell r="A410" t="str">
            <v>BANDRO</v>
          </cell>
        </row>
        <row r="411">
          <cell r="A411" t="str">
            <v>BANDU</v>
          </cell>
        </row>
        <row r="412">
          <cell r="A412" t="str">
            <v>BANYAN</v>
          </cell>
        </row>
        <row r="413">
          <cell r="A413" t="str">
            <v>BAO</v>
          </cell>
        </row>
        <row r="414">
          <cell r="A414" t="str">
            <v>BAOBAB</v>
          </cell>
        </row>
        <row r="415">
          <cell r="A415" t="str">
            <v>Baobab II</v>
          </cell>
        </row>
        <row r="416">
          <cell r="A416" t="str">
            <v>BARAKA</v>
          </cell>
        </row>
        <row r="417">
          <cell r="A417" t="str">
            <v>BARBAROSA</v>
          </cell>
        </row>
        <row r="418">
          <cell r="A418" t="str">
            <v>BARBAROSA-A</v>
          </cell>
        </row>
        <row r="419">
          <cell r="A419" t="str">
            <v>BARBAROSA-B</v>
          </cell>
        </row>
        <row r="420">
          <cell r="A420" t="str">
            <v>BARDOT</v>
          </cell>
        </row>
        <row r="421">
          <cell r="A421" t="str">
            <v>BARITE</v>
          </cell>
        </row>
        <row r="422">
          <cell r="A422" t="str">
            <v>BARIUM</v>
          </cell>
        </row>
        <row r="423">
          <cell r="A423" t="str">
            <v>BARIUM-A</v>
          </cell>
        </row>
        <row r="424">
          <cell r="A424" t="str">
            <v>Barley</v>
          </cell>
        </row>
        <row r="425">
          <cell r="A425" t="str">
            <v>BARNABAS</v>
          </cell>
        </row>
        <row r="426">
          <cell r="A426" t="str">
            <v>BARNABY</v>
          </cell>
        </row>
        <row r="427">
          <cell r="A427" t="str">
            <v>BARRYMORE</v>
          </cell>
        </row>
        <row r="428">
          <cell r="A428" t="str">
            <v>BARSINE</v>
          </cell>
        </row>
        <row r="429">
          <cell r="A429" t="str">
            <v>BARTHOLOMEW</v>
          </cell>
        </row>
        <row r="430">
          <cell r="A430" t="str">
            <v>BASANTI</v>
          </cell>
        </row>
        <row r="431">
          <cell r="A431" t="str">
            <v>BASANTI-A</v>
          </cell>
        </row>
        <row r="432">
          <cell r="A432" t="str">
            <v>BASIE</v>
          </cell>
        </row>
        <row r="433">
          <cell r="A433" t="str">
            <v>Basil</v>
          </cell>
        </row>
        <row r="434">
          <cell r="A434" t="str">
            <v>BASILAN</v>
          </cell>
        </row>
        <row r="435">
          <cell r="A435" t="str">
            <v>BASILIA</v>
          </cell>
        </row>
        <row r="436">
          <cell r="A436" t="str">
            <v>BASSWOOD</v>
          </cell>
        </row>
        <row r="437">
          <cell r="A437" t="str">
            <v>Bastet</v>
          </cell>
        </row>
        <row r="438">
          <cell r="A438" t="str">
            <v>BASTET-A</v>
          </cell>
        </row>
        <row r="439">
          <cell r="A439" t="str">
            <v>BASTET-B</v>
          </cell>
        </row>
        <row r="440">
          <cell r="A440" t="str">
            <v>BASTET-C</v>
          </cell>
        </row>
        <row r="441">
          <cell r="A441" t="str">
            <v>BASTET-D</v>
          </cell>
        </row>
        <row r="442">
          <cell r="A442" t="str">
            <v>BASTET-E</v>
          </cell>
        </row>
        <row r="443">
          <cell r="A443" t="str">
            <v>BASTET-F</v>
          </cell>
        </row>
        <row r="444">
          <cell r="A444" t="str">
            <v>BATEA</v>
          </cell>
        </row>
        <row r="445">
          <cell r="A445" t="str">
            <v>BATHSHEBA</v>
          </cell>
        </row>
        <row r="446">
          <cell r="A446" t="str">
            <v>BATHSHEBA-A</v>
          </cell>
        </row>
        <row r="447">
          <cell r="A447" t="str">
            <v>BATHSHEBA-B</v>
          </cell>
        </row>
        <row r="448">
          <cell r="A448" t="str">
            <v>BATHSHEBA-C</v>
          </cell>
        </row>
        <row r="449">
          <cell r="A449" t="str">
            <v>BATHSHEBA-D</v>
          </cell>
        </row>
        <row r="450">
          <cell r="A450" t="str">
            <v>BATHSHEBA-E</v>
          </cell>
        </row>
        <row r="451">
          <cell r="A451" t="str">
            <v>BATHSHEBA-F</v>
          </cell>
        </row>
        <row r="452">
          <cell r="A452" t="str">
            <v>BATHSHEBA-G</v>
          </cell>
        </row>
        <row r="453">
          <cell r="A453" t="str">
            <v>BATHSHEBA-H</v>
          </cell>
        </row>
        <row r="454">
          <cell r="A454" t="str">
            <v>BATHSHEBA-I</v>
          </cell>
        </row>
        <row r="455">
          <cell r="A455" t="str">
            <v>BATHSHEBA-J</v>
          </cell>
        </row>
        <row r="456">
          <cell r="A456" t="str">
            <v>BATHSHEBA-K</v>
          </cell>
        </row>
        <row r="457">
          <cell r="A457" t="str">
            <v>BAUCIS</v>
          </cell>
        </row>
        <row r="458">
          <cell r="A458" t="str">
            <v>BAUXITE</v>
          </cell>
        </row>
        <row r="459">
          <cell r="A459" t="str">
            <v>BAYBERRY</v>
          </cell>
        </row>
        <row r="460">
          <cell r="A460" t="str">
            <v>BAYBERRY-A</v>
          </cell>
        </row>
        <row r="461">
          <cell r="A461" t="str">
            <v>BAYBERRY-B</v>
          </cell>
        </row>
        <row r="462">
          <cell r="A462" t="str">
            <v>BAYRUM</v>
          </cell>
        </row>
        <row r="463">
          <cell r="A463" t="str">
            <v>Beamish</v>
          </cell>
        </row>
        <row r="464">
          <cell r="A464" t="str">
            <v>BEAN</v>
          </cell>
        </row>
        <row r="465">
          <cell r="A465" t="str">
            <v>Beans</v>
          </cell>
        </row>
        <row r="466">
          <cell r="A466" t="str">
            <v>BEAR</v>
          </cell>
        </row>
        <row r="467">
          <cell r="A467" t="str">
            <v>BEAROAK</v>
          </cell>
        </row>
        <row r="468">
          <cell r="A468" t="str">
            <v>BEATLE</v>
          </cell>
        </row>
        <row r="469">
          <cell r="A469" t="str">
            <v>BEATNIK</v>
          </cell>
        </row>
        <row r="470">
          <cell r="A470" t="str">
            <v>Beatrice</v>
          </cell>
        </row>
        <row r="471">
          <cell r="A471" t="str">
            <v>Beatrice of Swabia</v>
          </cell>
        </row>
        <row r="472">
          <cell r="A472" t="str">
            <v>BEAUTY</v>
          </cell>
        </row>
        <row r="473">
          <cell r="A473" t="str">
            <v>BEAUTY-A</v>
          </cell>
        </row>
        <row r="474">
          <cell r="A474" t="str">
            <v>BEAVER</v>
          </cell>
        </row>
        <row r="475">
          <cell r="A475" t="str">
            <v>Beavis</v>
          </cell>
        </row>
        <row r="476">
          <cell r="A476" t="str">
            <v>BEBOP</v>
          </cell>
        </row>
        <row r="477">
          <cell r="A477" t="str">
            <v>BEBY</v>
          </cell>
        </row>
        <row r="478">
          <cell r="A478" t="str">
            <v>BECALMED</v>
          </cell>
        </row>
        <row r="479">
          <cell r="A479" t="str">
            <v>BECLOUDED</v>
          </cell>
        </row>
        <row r="480">
          <cell r="A480" t="str">
            <v>BECLOUDED-A</v>
          </cell>
        </row>
        <row r="481">
          <cell r="A481" t="str">
            <v>BECLOUDED-B</v>
          </cell>
        </row>
        <row r="482">
          <cell r="A482" t="str">
            <v>BECLOUDED-C</v>
          </cell>
        </row>
        <row r="483">
          <cell r="A483" t="str">
            <v>Becool</v>
          </cell>
        </row>
        <row r="484">
          <cell r="A484" t="str">
            <v>BEDAZZELED</v>
          </cell>
        </row>
        <row r="485">
          <cell r="A485" t="str">
            <v>BEDEVILED</v>
          </cell>
        </row>
        <row r="486">
          <cell r="A486" t="str">
            <v>BEDIDDLEY</v>
          </cell>
        </row>
        <row r="487">
          <cell r="A487" t="str">
            <v>BEDOUIN</v>
          </cell>
        </row>
        <row r="488">
          <cell r="A488" t="str">
            <v>Bee Balm</v>
          </cell>
        </row>
        <row r="489">
          <cell r="A489" t="str">
            <v>BEECH</v>
          </cell>
        </row>
        <row r="490">
          <cell r="A490" t="str">
            <v>BEECH-A</v>
          </cell>
        </row>
        <row r="491">
          <cell r="A491" t="str">
            <v>BEECH-B</v>
          </cell>
        </row>
        <row r="492">
          <cell r="A492" t="str">
            <v>BEECH-C</v>
          </cell>
        </row>
        <row r="493">
          <cell r="A493" t="str">
            <v>BEECH-D</v>
          </cell>
        </row>
        <row r="494">
          <cell r="A494" t="str">
            <v>BEECHER</v>
          </cell>
        </row>
        <row r="495">
          <cell r="A495" t="str">
            <v>BEEJAY</v>
          </cell>
        </row>
        <row r="496">
          <cell r="A496" t="str">
            <v>Beeper</v>
          </cell>
        </row>
        <row r="497">
          <cell r="A497" t="str">
            <v>BEET</v>
          </cell>
        </row>
        <row r="498">
          <cell r="A498" t="str">
            <v>BEETREE</v>
          </cell>
        </row>
        <row r="499">
          <cell r="A499" t="str">
            <v>BEFRIENDED</v>
          </cell>
        </row>
        <row r="500">
          <cell r="A500" t="str">
            <v>BEFRIENDED-A</v>
          </cell>
        </row>
        <row r="501">
          <cell r="A501" t="str">
            <v>BEFRIENDED-B</v>
          </cell>
        </row>
        <row r="502">
          <cell r="A502" t="str">
            <v>BEFRIENDED-C</v>
          </cell>
        </row>
        <row r="503">
          <cell r="A503" t="str">
            <v>BEFRIENDED-D</v>
          </cell>
        </row>
        <row r="504">
          <cell r="A504" t="str">
            <v>BEFUDDELED</v>
          </cell>
        </row>
        <row r="505">
          <cell r="A505" t="str">
            <v>Begonia</v>
          </cell>
        </row>
        <row r="506">
          <cell r="A506" t="str">
            <v>BEGOTTEN</v>
          </cell>
        </row>
        <row r="507">
          <cell r="A507" t="str">
            <v>BEGUILED</v>
          </cell>
        </row>
        <row r="508">
          <cell r="A508" t="str">
            <v>BEHAVE</v>
          </cell>
        </row>
        <row r="509">
          <cell r="A509" t="str">
            <v>BEHEMOTH</v>
          </cell>
        </row>
        <row r="510">
          <cell r="A510" t="str">
            <v>BEHEMOTH-A</v>
          </cell>
        </row>
        <row r="511">
          <cell r="A511" t="str">
            <v>BEHEMOTH-B</v>
          </cell>
        </row>
        <row r="512">
          <cell r="A512" t="str">
            <v>BEHIND</v>
          </cell>
        </row>
        <row r="513">
          <cell r="A513" t="str">
            <v>BEHIND-A</v>
          </cell>
        </row>
        <row r="514">
          <cell r="A514" t="str">
            <v>BEHIND-B</v>
          </cell>
        </row>
        <row r="515">
          <cell r="A515" t="str">
            <v>BEHIND-C</v>
          </cell>
        </row>
        <row r="516">
          <cell r="A516" t="str">
            <v>BEHOLD</v>
          </cell>
        </row>
        <row r="517">
          <cell r="A517" t="str">
            <v>BEIDELMAN</v>
          </cell>
        </row>
        <row r="518">
          <cell r="A518" t="str">
            <v>BEJEEBERS</v>
          </cell>
        </row>
        <row r="519">
          <cell r="A519" t="str">
            <v>BEJEWELED</v>
          </cell>
        </row>
        <row r="520">
          <cell r="A520" t="str">
            <v>BELITTLE</v>
          </cell>
        </row>
        <row r="521">
          <cell r="A521" t="str">
            <v>BELLA</v>
          </cell>
        </row>
        <row r="522">
          <cell r="A522" t="str">
            <v>Bellatrix</v>
          </cell>
        </row>
        <row r="523">
          <cell r="A523" t="str">
            <v>Bellatrix-A</v>
          </cell>
        </row>
        <row r="524">
          <cell r="A524" t="str">
            <v>Bellatrix-B</v>
          </cell>
        </row>
        <row r="525">
          <cell r="A525" t="str">
            <v>Bellatrix-C</v>
          </cell>
        </row>
        <row r="526">
          <cell r="A526" t="str">
            <v>BELLE</v>
          </cell>
        </row>
        <row r="527">
          <cell r="A527" t="str">
            <v>BELLONA</v>
          </cell>
        </row>
        <row r="528">
          <cell r="A528" t="str">
            <v>BELLTREE</v>
          </cell>
        </row>
        <row r="529">
          <cell r="A529" t="str">
            <v>BELLWOOD</v>
          </cell>
        </row>
        <row r="530">
          <cell r="A530" t="str">
            <v>BELOVED</v>
          </cell>
        </row>
        <row r="531">
          <cell r="A531" t="str">
            <v>BELTANE</v>
          </cell>
        </row>
        <row r="532">
          <cell r="A532" t="str">
            <v>BELUS</v>
          </cell>
        </row>
        <row r="533">
          <cell r="A533" t="str">
            <v>Belushi</v>
          </cell>
        </row>
        <row r="534">
          <cell r="A534" t="str">
            <v>BEMERRY</v>
          </cell>
        </row>
        <row r="535">
          <cell r="A535" t="str">
            <v>BEMUSED</v>
          </cell>
        </row>
        <row r="536">
          <cell r="A536" t="str">
            <v>Benevolent</v>
          </cell>
        </row>
        <row r="537">
          <cell r="A537" t="str">
            <v>BENEVOLENT-A</v>
          </cell>
        </row>
        <row r="538">
          <cell r="A538" t="str">
            <v>BENEVOLENT-B</v>
          </cell>
        </row>
        <row r="539">
          <cell r="A539" t="str">
            <v>BENIMBLE</v>
          </cell>
        </row>
        <row r="540">
          <cell r="A540" t="str">
            <v>BENIN</v>
          </cell>
        </row>
        <row r="541">
          <cell r="A541" t="str">
            <v>BENJAMIN</v>
          </cell>
        </row>
        <row r="542">
          <cell r="A542" t="str">
            <v>BENVENUTO</v>
          </cell>
        </row>
        <row r="543">
          <cell r="A543" t="str">
            <v>BEOWULF</v>
          </cell>
        </row>
        <row r="544">
          <cell r="A544" t="str">
            <v>BEPIPA</v>
          </cell>
        </row>
        <row r="545">
          <cell r="A545" t="str">
            <v>BEQUICK</v>
          </cell>
        </row>
        <row r="546">
          <cell r="A546" t="str">
            <v>BEQUICK-A</v>
          </cell>
        </row>
        <row r="547">
          <cell r="A547" t="str">
            <v>BERA</v>
          </cell>
        </row>
        <row r="548">
          <cell r="A548" t="str">
            <v>BEREFT</v>
          </cell>
        </row>
        <row r="549">
          <cell r="A549" t="str">
            <v>BERENICE</v>
          </cell>
        </row>
        <row r="550">
          <cell r="A550" t="str">
            <v>BERENICES</v>
          </cell>
        </row>
        <row r="551">
          <cell r="A551" t="str">
            <v>BERGAMOT</v>
          </cell>
        </row>
        <row r="552">
          <cell r="A552" t="str">
            <v>BERIDDELED</v>
          </cell>
        </row>
        <row r="553">
          <cell r="A553" t="str">
            <v>Berisades</v>
          </cell>
        </row>
        <row r="554">
          <cell r="A554" t="str">
            <v>BERKELIUM</v>
          </cell>
        </row>
        <row r="555">
          <cell r="A555" t="str">
            <v>BERNICE</v>
          </cell>
        </row>
        <row r="556">
          <cell r="A556" t="str">
            <v>BERNICE-A</v>
          </cell>
        </row>
        <row r="557">
          <cell r="A557" t="str">
            <v>BERNIE</v>
          </cell>
        </row>
        <row r="558">
          <cell r="A558" t="str">
            <v>BERRYLIUM-A</v>
          </cell>
        </row>
        <row r="559">
          <cell r="A559" t="str">
            <v>Bertarido</v>
          </cell>
        </row>
        <row r="560">
          <cell r="A560" t="str">
            <v>Bertha of Sulzbach</v>
          </cell>
        </row>
        <row r="561">
          <cell r="A561" t="str">
            <v>BERYLLIUM</v>
          </cell>
        </row>
        <row r="562">
          <cell r="A562" t="str">
            <v>BES</v>
          </cell>
        </row>
        <row r="563">
          <cell r="A563" t="str">
            <v>Beserk</v>
          </cell>
        </row>
        <row r="564">
          <cell r="A564" t="str">
            <v>BESSIE</v>
          </cell>
        </row>
        <row r="565">
          <cell r="A565" t="str">
            <v>BESTLA</v>
          </cell>
        </row>
        <row r="566">
          <cell r="A566" t="str">
            <v>BETA</v>
          </cell>
        </row>
        <row r="567">
          <cell r="A567" t="str">
            <v>BETELGEUSE</v>
          </cell>
        </row>
        <row r="568">
          <cell r="A568" t="str">
            <v>BETELGEUSE II</v>
          </cell>
        </row>
        <row r="569">
          <cell r="A569" t="str">
            <v>BETI</v>
          </cell>
        </row>
        <row r="570">
          <cell r="A570" t="str">
            <v>BETI-A</v>
          </cell>
        </row>
        <row r="571">
          <cell r="A571" t="str">
            <v>BETONY</v>
          </cell>
        </row>
        <row r="572">
          <cell r="A572" t="str">
            <v>BETONY-A</v>
          </cell>
        </row>
        <row r="573">
          <cell r="A573" t="str">
            <v>BETSIK</v>
          </cell>
        </row>
        <row r="574">
          <cell r="A574" t="str">
            <v>BETWEEN</v>
          </cell>
        </row>
        <row r="575">
          <cell r="A575" t="str">
            <v>BETWIXT</v>
          </cell>
        </row>
        <row r="576">
          <cell r="A576" t="str">
            <v>BEULAH</v>
          </cell>
        </row>
        <row r="577">
          <cell r="A577" t="str">
            <v>BEWARE</v>
          </cell>
        </row>
        <row r="578">
          <cell r="A578" t="str">
            <v>BEWHISKERED</v>
          </cell>
        </row>
        <row r="579">
          <cell r="A579" t="str">
            <v>BEWILDERED</v>
          </cell>
        </row>
        <row r="580">
          <cell r="A580" t="str">
            <v>BEWITCHED</v>
          </cell>
        </row>
        <row r="581">
          <cell r="A581" t="str">
            <v>BEWITCHED-A</v>
          </cell>
        </row>
        <row r="582">
          <cell r="A582" t="str">
            <v>Bewitched-B</v>
          </cell>
        </row>
        <row r="583">
          <cell r="A583" t="str">
            <v>BEYOUNG</v>
          </cell>
        </row>
        <row r="584">
          <cell r="A584" t="str">
            <v>BEZZO</v>
          </cell>
        </row>
        <row r="585">
          <cell r="A585" t="str">
            <v>BHIMA</v>
          </cell>
        </row>
        <row r="586">
          <cell r="A586" t="str">
            <v>BIANCA</v>
          </cell>
        </row>
        <row r="587">
          <cell r="A587" t="str">
            <v>BIAS</v>
          </cell>
        </row>
        <row r="588">
          <cell r="A588" t="str">
            <v>BIAS-A</v>
          </cell>
        </row>
        <row r="589">
          <cell r="A589" t="str">
            <v>BIBI</v>
          </cell>
        </row>
        <row r="590">
          <cell r="A590" t="str">
            <v>BIDI</v>
          </cell>
        </row>
        <row r="591">
          <cell r="A591" t="str">
            <v>Bijou</v>
          </cell>
        </row>
        <row r="592">
          <cell r="A592" t="str">
            <v>BILAR</v>
          </cell>
        </row>
        <row r="593">
          <cell r="A593" t="str">
            <v>BILBO</v>
          </cell>
        </row>
        <row r="594">
          <cell r="A594" t="str">
            <v>BILL</v>
          </cell>
        </row>
        <row r="595">
          <cell r="A595" t="str">
            <v>BILLY</v>
          </cell>
        </row>
        <row r="596">
          <cell r="A596" t="str">
            <v>Binx</v>
          </cell>
        </row>
        <row r="597">
          <cell r="A597" t="str">
            <v>BIRCH</v>
          </cell>
        </row>
        <row r="598">
          <cell r="A598" t="str">
            <v>BIRY</v>
          </cell>
        </row>
        <row r="599">
          <cell r="A599" t="str">
            <v>BISBEEITE</v>
          </cell>
        </row>
        <row r="600">
          <cell r="A600" t="str">
            <v>BISMUTH</v>
          </cell>
        </row>
        <row r="601">
          <cell r="A601" t="str">
            <v>BITTERBUSH</v>
          </cell>
        </row>
        <row r="602">
          <cell r="A602" t="str">
            <v>BITTERS</v>
          </cell>
        </row>
        <row r="603">
          <cell r="A603" t="str">
            <v>BJ</v>
          </cell>
        </row>
        <row r="604">
          <cell r="A604" t="str">
            <v>BJORN</v>
          </cell>
        </row>
        <row r="605">
          <cell r="A605" t="str">
            <v>BLACK HAW</v>
          </cell>
        </row>
        <row r="606">
          <cell r="A606" t="str">
            <v>BLACKBEAD</v>
          </cell>
        </row>
        <row r="607">
          <cell r="A607" t="str">
            <v>Blackberry</v>
          </cell>
        </row>
        <row r="608">
          <cell r="A608" t="str">
            <v>BLACKOAK</v>
          </cell>
        </row>
        <row r="609">
          <cell r="A609" t="str">
            <v>BLANCA</v>
          </cell>
        </row>
        <row r="610">
          <cell r="A610" t="str">
            <v>BLANCHE</v>
          </cell>
        </row>
        <row r="611">
          <cell r="A611" t="str">
            <v>BLAZE</v>
          </cell>
        </row>
        <row r="612">
          <cell r="A612" t="str">
            <v>BLINKIN</v>
          </cell>
        </row>
        <row r="613">
          <cell r="A613" t="str">
            <v>BLINKIN-A</v>
          </cell>
        </row>
        <row r="614">
          <cell r="A614" t="str">
            <v>BLOLLY</v>
          </cell>
        </row>
        <row r="615">
          <cell r="A615" t="str">
            <v>BLUE DEVIL</v>
          </cell>
        </row>
        <row r="616">
          <cell r="A616" t="str">
            <v>Bluebell</v>
          </cell>
        </row>
        <row r="617">
          <cell r="A617" t="str">
            <v>BLUEBIRD</v>
          </cell>
        </row>
        <row r="618">
          <cell r="A618" t="str">
            <v>BLUEBLOSSOM</v>
          </cell>
        </row>
        <row r="619">
          <cell r="A619" t="str">
            <v>BLUEOAK</v>
          </cell>
        </row>
        <row r="620">
          <cell r="A620" t="str">
            <v>BLUSH</v>
          </cell>
        </row>
        <row r="621">
          <cell r="A621" t="str">
            <v>BOAKY</v>
          </cell>
        </row>
        <row r="622">
          <cell r="A622" t="str">
            <v>BOATMAN</v>
          </cell>
        </row>
        <row r="623">
          <cell r="A623" t="str">
            <v>BOAZ</v>
          </cell>
        </row>
        <row r="624">
          <cell r="A624" t="str">
            <v>BOBAKE</v>
          </cell>
        </row>
        <row r="625">
          <cell r="A625" t="str">
            <v>Bobby</v>
          </cell>
        </row>
        <row r="626">
          <cell r="A626" t="str">
            <v>BOBOLINK</v>
          </cell>
        </row>
        <row r="627">
          <cell r="A627" t="str">
            <v>BOBWHITE</v>
          </cell>
        </row>
        <row r="628">
          <cell r="A628" t="str">
            <v>Bode</v>
          </cell>
        </row>
        <row r="629">
          <cell r="A629" t="str">
            <v>BODO</v>
          </cell>
        </row>
        <row r="630">
          <cell r="A630" t="str">
            <v>BODO-A</v>
          </cell>
        </row>
        <row r="631">
          <cell r="A631" t="str">
            <v>BOGART</v>
          </cell>
        </row>
        <row r="632">
          <cell r="A632" t="str">
            <v>BOHOL</v>
          </cell>
        </row>
        <row r="633">
          <cell r="A633" t="str">
            <v>BOLOKY</v>
          </cell>
        </row>
        <row r="634">
          <cell r="A634" t="str">
            <v>BOMBAX</v>
          </cell>
        </row>
        <row r="635">
          <cell r="A635" t="str">
            <v>BONES</v>
          </cell>
        </row>
        <row r="636">
          <cell r="A636" t="str">
            <v>Bonita</v>
          </cell>
        </row>
        <row r="637">
          <cell r="A637" t="str">
            <v>Bonsai</v>
          </cell>
        </row>
        <row r="638">
          <cell r="A638" t="str">
            <v>BOOBY</v>
          </cell>
        </row>
        <row r="639">
          <cell r="A639" t="str">
            <v>BOOTES</v>
          </cell>
        </row>
        <row r="640">
          <cell r="A640" t="str">
            <v>BOPP</v>
          </cell>
        </row>
        <row r="641">
          <cell r="A641" t="str">
            <v>BOR</v>
          </cell>
        </row>
        <row r="642">
          <cell r="A642" t="str">
            <v>BORAGE</v>
          </cell>
        </row>
        <row r="643">
          <cell r="A643" t="str">
            <v>Borealis</v>
          </cell>
        </row>
        <row r="644">
          <cell r="A644" t="str">
            <v>BOREAS</v>
          </cell>
        </row>
        <row r="645">
          <cell r="A645" t="str">
            <v>BORETA</v>
          </cell>
        </row>
        <row r="646">
          <cell r="A646" t="str">
            <v>BORGIA</v>
          </cell>
        </row>
        <row r="647">
          <cell r="A647" t="str">
            <v>BORI</v>
          </cell>
        </row>
        <row r="648">
          <cell r="A648" t="str">
            <v>BOSSA</v>
          </cell>
        </row>
        <row r="649">
          <cell r="A649" t="str">
            <v>BOTHERED</v>
          </cell>
        </row>
        <row r="650">
          <cell r="A650" t="str">
            <v>BOTHERED-A</v>
          </cell>
        </row>
        <row r="651">
          <cell r="A651" t="str">
            <v>BOTTOM</v>
          </cell>
        </row>
        <row r="652">
          <cell r="A652" t="str">
            <v>BOXWOOD</v>
          </cell>
        </row>
        <row r="653">
          <cell r="A653" t="str">
            <v>BOZY</v>
          </cell>
        </row>
        <row r="654">
          <cell r="A654" t="str">
            <v>Brady</v>
          </cell>
        </row>
        <row r="655">
          <cell r="A655" t="str">
            <v>BRAHMA</v>
          </cell>
        </row>
        <row r="656">
          <cell r="A656" t="str">
            <v>BRANDO</v>
          </cell>
        </row>
        <row r="657">
          <cell r="A657" t="str">
            <v>BRANT</v>
          </cell>
        </row>
        <row r="658">
          <cell r="A658" t="str">
            <v>BRASS</v>
          </cell>
        </row>
        <row r="659">
          <cell r="A659" t="str">
            <v>BRECCIA</v>
          </cell>
        </row>
        <row r="660">
          <cell r="A660" t="str">
            <v>BRENNUS</v>
          </cell>
        </row>
        <row r="661">
          <cell r="A661" t="str">
            <v>BRETT</v>
          </cell>
        </row>
        <row r="662">
          <cell r="A662" t="str">
            <v>BRIARWOOD</v>
          </cell>
        </row>
        <row r="663">
          <cell r="A663" t="str">
            <v>BRIGHAM</v>
          </cell>
        </row>
        <row r="664">
          <cell r="A664" t="str">
            <v>Brigitta</v>
          </cell>
        </row>
        <row r="665">
          <cell r="A665" t="str">
            <v>BRIGITTE</v>
          </cell>
        </row>
        <row r="666">
          <cell r="A666" t="str">
            <v>Briony</v>
          </cell>
        </row>
        <row r="667">
          <cell r="A667" t="str">
            <v>BRISTLE CONE</v>
          </cell>
        </row>
        <row r="668">
          <cell r="A668" t="str">
            <v>BROMINE</v>
          </cell>
        </row>
        <row r="669">
          <cell r="A669" t="str">
            <v>BRONZE</v>
          </cell>
        </row>
        <row r="670">
          <cell r="A670" t="str">
            <v>BROOKITE</v>
          </cell>
        </row>
        <row r="671">
          <cell r="A671" t="str">
            <v>BRUCE</v>
          </cell>
        </row>
        <row r="672">
          <cell r="A672" t="str">
            <v>BRUCITE</v>
          </cell>
        </row>
        <row r="673">
          <cell r="A673" t="str">
            <v>BRUIN</v>
          </cell>
        </row>
        <row r="674">
          <cell r="A674" t="str">
            <v>BRUISER</v>
          </cell>
        </row>
        <row r="675">
          <cell r="A675" t="str">
            <v>BRUNHILD</v>
          </cell>
        </row>
        <row r="676">
          <cell r="A676" t="str">
            <v>Bruno</v>
          </cell>
        </row>
        <row r="677">
          <cell r="A677" t="str">
            <v>Brutus</v>
          </cell>
        </row>
        <row r="678">
          <cell r="A678" t="str">
            <v>BUBA</v>
          </cell>
        </row>
        <row r="679">
          <cell r="A679" t="str">
            <v>BUCKEYE</v>
          </cell>
        </row>
        <row r="680">
          <cell r="A680" t="str">
            <v>Buckwheat</v>
          </cell>
        </row>
        <row r="681">
          <cell r="A681" t="str">
            <v>BUD</v>
          </cell>
        </row>
        <row r="682">
          <cell r="A682" t="str">
            <v>BUDDHA</v>
          </cell>
        </row>
        <row r="683">
          <cell r="A683" t="str">
            <v>Buddy (EFLA)</v>
          </cell>
        </row>
        <row r="684">
          <cell r="A684" t="str">
            <v>Buddy (MZAZ)</v>
          </cell>
        </row>
        <row r="685">
          <cell r="A685" t="str">
            <v>BUFFALO BLUE</v>
          </cell>
        </row>
        <row r="686">
          <cell r="A686" t="str">
            <v>BUFFY</v>
          </cell>
        </row>
        <row r="687">
          <cell r="A687" t="str">
            <v>BUFFY-A</v>
          </cell>
        </row>
        <row r="688">
          <cell r="A688" t="str">
            <v>BUFFY-B</v>
          </cell>
        </row>
        <row r="689">
          <cell r="A689" t="str">
            <v>BUJANG</v>
          </cell>
        </row>
        <row r="690">
          <cell r="A690" t="str">
            <v>Bulrush</v>
          </cell>
        </row>
        <row r="691">
          <cell r="A691" t="str">
            <v>BUMELIAS</v>
          </cell>
        </row>
        <row r="692">
          <cell r="A692" t="str">
            <v>BUNCHBERRY</v>
          </cell>
        </row>
        <row r="693">
          <cell r="A693" t="str">
            <v>BUNTING</v>
          </cell>
        </row>
        <row r="694">
          <cell r="A694" t="str">
            <v>BURGUNDY</v>
          </cell>
        </row>
        <row r="695">
          <cell r="A695" t="str">
            <v>BURIAN</v>
          </cell>
        </row>
        <row r="696">
          <cell r="A696" t="str">
            <v>BURNET</v>
          </cell>
        </row>
        <row r="697">
          <cell r="A697" t="str">
            <v>BURNINGBUSH</v>
          </cell>
        </row>
        <row r="698">
          <cell r="A698" t="str">
            <v>BUROAK</v>
          </cell>
        </row>
        <row r="699">
          <cell r="A699" t="str">
            <v>BUSCHA</v>
          </cell>
        </row>
        <row r="700">
          <cell r="A700" t="str">
            <v>Bustard</v>
          </cell>
        </row>
        <row r="701">
          <cell r="A701" t="str">
            <v>BUSTIC</v>
          </cell>
        </row>
        <row r="702">
          <cell r="A702" t="str">
            <v>Butterbur</v>
          </cell>
        </row>
        <row r="703">
          <cell r="A703" t="str">
            <v>BUTTERCUP</v>
          </cell>
        </row>
        <row r="704">
          <cell r="A704" t="str">
            <v>Butternut</v>
          </cell>
        </row>
        <row r="705">
          <cell r="A705" t="str">
            <v>Buzz</v>
          </cell>
        </row>
        <row r="706">
          <cell r="A706" t="str">
            <v>CACUS</v>
          </cell>
        </row>
        <row r="707">
          <cell r="A707" t="str">
            <v>CADMUS</v>
          </cell>
        </row>
        <row r="708">
          <cell r="A708" t="str">
            <v>CAESAR</v>
          </cell>
        </row>
        <row r="709">
          <cell r="A709" t="str">
            <v>CAGNEY</v>
          </cell>
        </row>
        <row r="710">
          <cell r="A710" t="str">
            <v>Cai</v>
          </cell>
        </row>
        <row r="711">
          <cell r="A711" t="str">
            <v>CAIN</v>
          </cell>
        </row>
        <row r="712">
          <cell r="A712" t="str">
            <v>CAIN</v>
          </cell>
        </row>
        <row r="713">
          <cell r="A713" t="str">
            <v>Cain (non-DLC)</v>
          </cell>
        </row>
        <row r="714">
          <cell r="A714" t="str">
            <v>CALAMINE</v>
          </cell>
        </row>
        <row r="715">
          <cell r="A715" t="str">
            <v>CALAMINE-A</v>
          </cell>
        </row>
        <row r="716">
          <cell r="A716" t="str">
            <v>CALCITE</v>
          </cell>
        </row>
        <row r="717">
          <cell r="A717" t="str">
            <v>CALCIUM</v>
          </cell>
        </row>
        <row r="718">
          <cell r="A718" t="str">
            <v>CALENDULA</v>
          </cell>
        </row>
        <row r="719">
          <cell r="A719" t="str">
            <v>CALIBAN</v>
          </cell>
        </row>
        <row r="720">
          <cell r="A720" t="str">
            <v>CALIGULA</v>
          </cell>
        </row>
        <row r="721">
          <cell r="A721" t="str">
            <v>CALISTA</v>
          </cell>
        </row>
        <row r="722">
          <cell r="A722" t="str">
            <v>CALLA</v>
          </cell>
        </row>
        <row r="723">
          <cell r="A723" t="str">
            <v>Calliandra</v>
          </cell>
        </row>
        <row r="724">
          <cell r="A724" t="str">
            <v>CALLIAS</v>
          </cell>
        </row>
        <row r="725">
          <cell r="A725" t="str">
            <v>CALLIOPE</v>
          </cell>
        </row>
        <row r="726">
          <cell r="A726" t="str">
            <v>CALLISTO</v>
          </cell>
        </row>
        <row r="727">
          <cell r="A727" t="str">
            <v>CALLISTO-A</v>
          </cell>
        </row>
        <row r="728">
          <cell r="A728" t="str">
            <v>CALLISTO-B</v>
          </cell>
        </row>
        <row r="729">
          <cell r="A729" t="str">
            <v>CALO</v>
          </cell>
        </row>
        <row r="730">
          <cell r="A730" t="str">
            <v>CALO-B</v>
          </cell>
        </row>
        <row r="731">
          <cell r="A731" t="str">
            <v>CALO-C</v>
          </cell>
        </row>
        <row r="732">
          <cell r="A732" t="str">
            <v>CALO-D</v>
          </cell>
        </row>
        <row r="733">
          <cell r="A733" t="str">
            <v>CALO-E</v>
          </cell>
        </row>
        <row r="734">
          <cell r="A734" t="str">
            <v>CALO-F</v>
          </cell>
        </row>
        <row r="735">
          <cell r="A735" t="str">
            <v>CALO-G</v>
          </cell>
        </row>
        <row r="736">
          <cell r="A736" t="str">
            <v>CALPURNIA</v>
          </cell>
        </row>
        <row r="737">
          <cell r="A737" t="str">
            <v>CALPURNIA II</v>
          </cell>
        </row>
        <row r="738">
          <cell r="A738" t="str">
            <v>Calpurnia II-A</v>
          </cell>
        </row>
        <row r="739">
          <cell r="A739" t="str">
            <v>Calpurnia II-B</v>
          </cell>
        </row>
        <row r="740">
          <cell r="A740" t="str">
            <v>Calpurnia III</v>
          </cell>
        </row>
        <row r="741">
          <cell r="A741" t="str">
            <v>CALPURNIA-A</v>
          </cell>
        </row>
        <row r="742">
          <cell r="A742" t="str">
            <v>CALPURNIA-B</v>
          </cell>
        </row>
        <row r="743">
          <cell r="A743" t="str">
            <v>CALPURNIA-C</v>
          </cell>
        </row>
        <row r="744">
          <cell r="A744" t="str">
            <v>CALYPSO</v>
          </cell>
        </row>
        <row r="745">
          <cell r="A745" t="str">
            <v>CALYPSO-A</v>
          </cell>
        </row>
        <row r="746">
          <cell r="A746" t="str">
            <v>Camilla</v>
          </cell>
        </row>
        <row r="747">
          <cell r="A747" t="str">
            <v>CAMPHOR</v>
          </cell>
        </row>
        <row r="748">
          <cell r="A748" t="str">
            <v>Canada Dry</v>
          </cell>
        </row>
        <row r="749">
          <cell r="A749" t="str">
            <v>CANARY</v>
          </cell>
        </row>
        <row r="750">
          <cell r="A750" t="str">
            <v>CANDACE</v>
          </cell>
        </row>
        <row r="751">
          <cell r="A751" t="str">
            <v>CANDACE-A</v>
          </cell>
        </row>
        <row r="752">
          <cell r="A752" t="str">
            <v>CANELLA</v>
          </cell>
        </row>
        <row r="753">
          <cell r="A753" t="str">
            <v>CANIS</v>
          </cell>
        </row>
        <row r="754">
          <cell r="A754" t="str">
            <v>CANOPUS</v>
          </cell>
        </row>
        <row r="755">
          <cell r="A755" t="str">
            <v>CANOTIA</v>
          </cell>
        </row>
        <row r="756">
          <cell r="A756" t="str">
            <v>CANTIK BOTA</v>
          </cell>
        </row>
        <row r="757">
          <cell r="A757" t="str">
            <v>Cap N' Lee</v>
          </cell>
        </row>
        <row r="758">
          <cell r="A758" t="str">
            <v>CAPELLA</v>
          </cell>
        </row>
        <row r="759">
          <cell r="A759" t="str">
            <v>CAPERS</v>
          </cell>
        </row>
        <row r="760">
          <cell r="A760" t="str">
            <v>CAPH</v>
          </cell>
        </row>
        <row r="761">
          <cell r="A761" t="str">
            <v>Capri Sun</v>
          </cell>
        </row>
        <row r="762">
          <cell r="A762" t="str">
            <v>CAPYS</v>
          </cell>
        </row>
        <row r="763">
          <cell r="A763" t="str">
            <v>CARAWAY</v>
          </cell>
        </row>
        <row r="764">
          <cell r="A764" t="str">
            <v>CARAWAY-A</v>
          </cell>
        </row>
        <row r="765">
          <cell r="A765" t="str">
            <v>CARAWAY-B</v>
          </cell>
        </row>
        <row r="766">
          <cell r="A766" t="str">
            <v>CARBON</v>
          </cell>
        </row>
        <row r="767">
          <cell r="A767" t="str">
            <v>CARBON-A</v>
          </cell>
        </row>
        <row r="768">
          <cell r="A768" t="str">
            <v>CARBON-B</v>
          </cell>
        </row>
        <row r="769">
          <cell r="A769" t="str">
            <v>CARDAMON</v>
          </cell>
        </row>
        <row r="770">
          <cell r="A770" t="str">
            <v>Cardinal</v>
          </cell>
        </row>
        <row r="771">
          <cell r="A771" t="str">
            <v>Carina</v>
          </cell>
        </row>
        <row r="772">
          <cell r="A772" t="str">
            <v>Carlo</v>
          </cell>
        </row>
        <row r="773">
          <cell r="A773" t="str">
            <v>Carme II</v>
          </cell>
        </row>
        <row r="774">
          <cell r="A774" t="str">
            <v>CARMEN</v>
          </cell>
        </row>
        <row r="775">
          <cell r="A775" t="str">
            <v>CARMEN-A</v>
          </cell>
        </row>
        <row r="776">
          <cell r="A776" t="str">
            <v>CARMEN-B</v>
          </cell>
        </row>
        <row r="777">
          <cell r="A777" t="str">
            <v>CARMINE</v>
          </cell>
        </row>
        <row r="778">
          <cell r="A778" t="str">
            <v>Carolina</v>
          </cell>
        </row>
        <row r="779">
          <cell r="A779" t="str">
            <v>Carolina-A</v>
          </cell>
        </row>
        <row r="780">
          <cell r="A780" t="str">
            <v>Carolina-B</v>
          </cell>
        </row>
        <row r="781">
          <cell r="A781" t="str">
            <v>Carolina-C</v>
          </cell>
        </row>
        <row r="782">
          <cell r="A782" t="str">
            <v>Carolina-D</v>
          </cell>
        </row>
        <row r="783">
          <cell r="A783" t="str">
            <v>CAROSELLA</v>
          </cell>
        </row>
        <row r="784">
          <cell r="A784" t="str">
            <v>CAROTENE</v>
          </cell>
        </row>
        <row r="785">
          <cell r="A785" t="str">
            <v>CARPUS</v>
          </cell>
        </row>
        <row r="786">
          <cell r="A786" t="str">
            <v>CASCARILLA</v>
          </cell>
        </row>
        <row r="787">
          <cell r="A787" t="str">
            <v>CASHEW</v>
          </cell>
        </row>
        <row r="788">
          <cell r="A788" t="str">
            <v>Cassandra</v>
          </cell>
        </row>
        <row r="789">
          <cell r="A789" t="str">
            <v>CASSANDRA II</v>
          </cell>
        </row>
        <row r="790">
          <cell r="A790" t="str">
            <v>CASSANDRA-A</v>
          </cell>
        </row>
        <row r="791">
          <cell r="A791" t="str">
            <v>CASSIA</v>
          </cell>
        </row>
        <row r="792">
          <cell r="A792" t="str">
            <v>Cassia (PCOQ)</v>
          </cell>
        </row>
        <row r="793">
          <cell r="A793" t="str">
            <v>Cassiopea</v>
          </cell>
        </row>
        <row r="794">
          <cell r="A794" t="str">
            <v>Cassiopeia</v>
          </cell>
        </row>
        <row r="795">
          <cell r="A795" t="str">
            <v>CASSIUS</v>
          </cell>
        </row>
        <row r="796">
          <cell r="A796" t="str">
            <v>Castor</v>
          </cell>
        </row>
        <row r="797">
          <cell r="A797" t="str">
            <v>CATALPA</v>
          </cell>
        </row>
        <row r="798">
          <cell r="A798" t="str">
            <v>CATHERINE</v>
          </cell>
        </row>
        <row r="799">
          <cell r="A799" t="str">
            <v>CATNIP</v>
          </cell>
        </row>
        <row r="800">
          <cell r="A800" t="str">
            <v>CATO</v>
          </cell>
        </row>
        <row r="801">
          <cell r="A801" t="str">
            <v>Cavill</v>
          </cell>
        </row>
        <row r="802">
          <cell r="A802" t="str">
            <v>Cayenne</v>
          </cell>
        </row>
        <row r="803">
          <cell r="A803" t="str">
            <v>Cebes</v>
          </cell>
        </row>
        <row r="804">
          <cell r="A804" t="str">
            <v>Cecelia</v>
          </cell>
        </row>
        <row r="805">
          <cell r="A805" t="str">
            <v>CECELIA-A</v>
          </cell>
        </row>
        <row r="806">
          <cell r="A806" t="str">
            <v>CEDAR (GMOH)</v>
          </cell>
        </row>
        <row r="807">
          <cell r="A807" t="str">
            <v>Cedar (MMUR)</v>
          </cell>
        </row>
        <row r="808">
          <cell r="A808" t="str">
            <v>CELERY</v>
          </cell>
        </row>
        <row r="809">
          <cell r="A809" t="str">
            <v>Celeste</v>
          </cell>
        </row>
        <row r="810">
          <cell r="A810" t="str">
            <v>Celine</v>
          </cell>
        </row>
        <row r="811">
          <cell r="A811" t="str">
            <v>CENTAURIA</v>
          </cell>
        </row>
        <row r="812">
          <cell r="A812" t="str">
            <v>CENTAURUS</v>
          </cell>
        </row>
        <row r="813">
          <cell r="A813" t="str">
            <v>CEPHAS</v>
          </cell>
        </row>
        <row r="814">
          <cell r="A814" t="str">
            <v>CEPHEUS</v>
          </cell>
        </row>
        <row r="815">
          <cell r="A815" t="str">
            <v>CERCOLAS</v>
          </cell>
        </row>
        <row r="816">
          <cell r="A816" t="str">
            <v>CERCOPS</v>
          </cell>
        </row>
        <row r="817">
          <cell r="A817" t="str">
            <v>CESAR</v>
          </cell>
        </row>
        <row r="818">
          <cell r="A818" t="str">
            <v>CESENA</v>
          </cell>
        </row>
        <row r="819">
          <cell r="A819" t="str">
            <v>CETO</v>
          </cell>
        </row>
        <row r="820">
          <cell r="A820" t="str">
            <v>CETUS</v>
          </cell>
        </row>
        <row r="821">
          <cell r="A821" t="str">
            <v>CHAGGA</v>
          </cell>
        </row>
        <row r="822">
          <cell r="A822" t="str">
            <v>CHAI</v>
          </cell>
        </row>
        <row r="823">
          <cell r="A823" t="str">
            <v>CHAKULA</v>
          </cell>
        </row>
        <row r="824">
          <cell r="A824" t="str">
            <v>CHALK</v>
          </cell>
        </row>
        <row r="825">
          <cell r="A825" t="str">
            <v>CHAMAELEON</v>
          </cell>
        </row>
        <row r="826">
          <cell r="A826" t="str">
            <v>CHAMOMILE</v>
          </cell>
        </row>
        <row r="827">
          <cell r="A827" t="str">
            <v>Chandler</v>
          </cell>
        </row>
        <row r="828">
          <cell r="A828" t="str">
            <v>CHANDRA</v>
          </cell>
        </row>
        <row r="829">
          <cell r="A829" t="str">
            <v>CHANI</v>
          </cell>
        </row>
        <row r="830">
          <cell r="A830" t="str">
            <v>CHANTAL</v>
          </cell>
        </row>
        <row r="831">
          <cell r="A831" t="str">
            <v>Charias</v>
          </cell>
        </row>
        <row r="832">
          <cell r="A832" t="str">
            <v>CHARISSA</v>
          </cell>
        </row>
        <row r="833">
          <cell r="A833" t="str">
            <v>Charissa-A</v>
          </cell>
        </row>
        <row r="834">
          <cell r="A834" t="str">
            <v>Charlemagne</v>
          </cell>
        </row>
        <row r="835">
          <cell r="A835" t="str">
            <v>Charlie</v>
          </cell>
        </row>
        <row r="836">
          <cell r="A836" t="str">
            <v>CHARLIE BROWN</v>
          </cell>
        </row>
        <row r="837">
          <cell r="A837" t="str">
            <v>CHARLIE CHAPLIN</v>
          </cell>
        </row>
        <row r="838">
          <cell r="A838" t="str">
            <v>CHARLOTTE</v>
          </cell>
        </row>
        <row r="839">
          <cell r="A839" t="str">
            <v>CHARLOTTE-A</v>
          </cell>
        </row>
        <row r="840">
          <cell r="A840" t="str">
            <v>CHARLOTTE-B</v>
          </cell>
        </row>
        <row r="841">
          <cell r="A841" t="str">
            <v>CHARLOTTE-C</v>
          </cell>
        </row>
        <row r="842">
          <cell r="A842" t="str">
            <v>CHARON</v>
          </cell>
        </row>
        <row r="843">
          <cell r="A843" t="str">
            <v>CHAROPS</v>
          </cell>
        </row>
        <row r="844">
          <cell r="A844" t="str">
            <v>CHARYBDIS</v>
          </cell>
        </row>
        <row r="845">
          <cell r="A845" t="str">
            <v>CHAT</v>
          </cell>
        </row>
        <row r="846">
          <cell r="A846" t="str">
            <v>CHAWI</v>
          </cell>
        </row>
        <row r="847">
          <cell r="A847" t="str">
            <v>CHE</v>
          </cell>
        </row>
        <row r="848">
          <cell r="A848" t="str">
            <v>CHECKERBERRY</v>
          </cell>
        </row>
        <row r="849">
          <cell r="A849" t="str">
            <v>CHEECH</v>
          </cell>
        </row>
        <row r="850">
          <cell r="A850" t="str">
            <v>CHERIE</v>
          </cell>
        </row>
        <row r="851">
          <cell r="A851" t="str">
            <v>CHEROKEE</v>
          </cell>
        </row>
        <row r="852">
          <cell r="A852" t="str">
            <v>CHERT</v>
          </cell>
        </row>
        <row r="853">
          <cell r="A853" t="str">
            <v>CHESTNUT</v>
          </cell>
        </row>
        <row r="854">
          <cell r="A854" t="str">
            <v>CHESTNUT-A</v>
          </cell>
        </row>
        <row r="855">
          <cell r="A855" t="str">
            <v>CHEUSI</v>
          </cell>
        </row>
        <row r="856">
          <cell r="A856" t="str">
            <v>CHEUSI-A</v>
          </cell>
        </row>
        <row r="857">
          <cell r="A857" t="str">
            <v>CHEUSI-B</v>
          </cell>
        </row>
        <row r="858">
          <cell r="A858" t="str">
            <v>Cheyenne</v>
          </cell>
        </row>
        <row r="859">
          <cell r="A859" t="str">
            <v>Chiarti</v>
          </cell>
        </row>
        <row r="860">
          <cell r="A860" t="str">
            <v>CHICKADEE</v>
          </cell>
        </row>
        <row r="861">
          <cell r="A861" t="str">
            <v>CHICLETTE</v>
          </cell>
        </row>
        <row r="862">
          <cell r="A862" t="str">
            <v>CHICO</v>
          </cell>
        </row>
        <row r="863">
          <cell r="A863" t="str">
            <v>CHICORY</v>
          </cell>
        </row>
        <row r="864">
          <cell r="A864" t="str">
            <v>CHIGGER</v>
          </cell>
        </row>
        <row r="865">
          <cell r="A865" t="str">
            <v>CHIKU</v>
          </cell>
        </row>
        <row r="866">
          <cell r="A866" t="str">
            <v>CHIKU-A</v>
          </cell>
        </row>
        <row r="867">
          <cell r="A867" t="str">
            <v>CHIKU-B</v>
          </cell>
        </row>
        <row r="868">
          <cell r="A868" t="str">
            <v>CHIMAERA</v>
          </cell>
        </row>
        <row r="869">
          <cell r="A869" t="str">
            <v>CHINQUAPIN</v>
          </cell>
        </row>
        <row r="870">
          <cell r="A870" t="str">
            <v>CHINQUAPIN-A</v>
          </cell>
        </row>
        <row r="871">
          <cell r="A871" t="str">
            <v>CHINQUAPIN-B</v>
          </cell>
        </row>
        <row r="872">
          <cell r="A872" t="str">
            <v>CHINQUAPIN-C</v>
          </cell>
        </row>
        <row r="873">
          <cell r="A873" t="str">
            <v>CHIQUITA</v>
          </cell>
        </row>
        <row r="874">
          <cell r="A874" t="str">
            <v>CHIQUITA-A</v>
          </cell>
        </row>
        <row r="875">
          <cell r="A875" t="str">
            <v>CHIQUITA-B</v>
          </cell>
        </row>
        <row r="876">
          <cell r="A876" t="str">
            <v>CHIQUITA-C</v>
          </cell>
        </row>
        <row r="877">
          <cell r="A877" t="str">
            <v>CHIQUITA-D</v>
          </cell>
        </row>
        <row r="878">
          <cell r="A878" t="str">
            <v>CHIVES</v>
          </cell>
        </row>
        <row r="879">
          <cell r="A879" t="str">
            <v>Chloris</v>
          </cell>
        </row>
        <row r="880">
          <cell r="A880" t="str">
            <v>CHLORIS-A</v>
          </cell>
        </row>
        <row r="881">
          <cell r="A881" t="str">
            <v>CHLORIS-B</v>
          </cell>
        </row>
        <row r="882">
          <cell r="A882" t="str">
            <v>Cholla</v>
          </cell>
        </row>
        <row r="883">
          <cell r="A883" t="str">
            <v>Cholula</v>
          </cell>
        </row>
        <row r="884">
          <cell r="A884" t="str">
            <v>CHONG</v>
          </cell>
        </row>
        <row r="885">
          <cell r="A885" t="str">
            <v>CHOO</v>
          </cell>
        </row>
        <row r="886">
          <cell r="A886" t="str">
            <v>CHOROA</v>
          </cell>
        </row>
        <row r="887">
          <cell r="A887" t="str">
            <v>Chris</v>
          </cell>
        </row>
        <row r="888">
          <cell r="A888" t="str">
            <v>Chris-A</v>
          </cell>
        </row>
        <row r="889">
          <cell r="A889" t="str">
            <v>Chris-B</v>
          </cell>
        </row>
        <row r="890">
          <cell r="A890" t="str">
            <v>Christina</v>
          </cell>
        </row>
        <row r="891">
          <cell r="A891" t="str">
            <v>CHRISTOPHER ROBI</v>
          </cell>
        </row>
        <row r="892">
          <cell r="A892" t="str">
            <v>CHRYSES</v>
          </cell>
        </row>
        <row r="893">
          <cell r="A893" t="str">
            <v>CHRYSOCOLLA</v>
          </cell>
        </row>
        <row r="894">
          <cell r="A894" t="str">
            <v>CHUI</v>
          </cell>
        </row>
        <row r="895">
          <cell r="A895" t="str">
            <v>CHUKI</v>
          </cell>
        </row>
        <row r="896">
          <cell r="A896" t="str">
            <v>CICADA</v>
          </cell>
        </row>
        <row r="897">
          <cell r="A897" t="str">
            <v>CICADA-A</v>
          </cell>
        </row>
        <row r="898">
          <cell r="A898" t="str">
            <v>CICADA-B</v>
          </cell>
        </row>
        <row r="899">
          <cell r="A899" t="str">
            <v>CICERO</v>
          </cell>
        </row>
        <row r="900">
          <cell r="A900" t="str">
            <v>Cilantro</v>
          </cell>
        </row>
        <row r="901">
          <cell r="A901" t="str">
            <v>CIMON</v>
          </cell>
        </row>
        <row r="902">
          <cell r="A902" t="str">
            <v>CINCHONA</v>
          </cell>
        </row>
        <row r="903">
          <cell r="A903" t="str">
            <v>CINDER</v>
          </cell>
        </row>
        <row r="904">
          <cell r="A904" t="str">
            <v>CINDERELLA</v>
          </cell>
        </row>
        <row r="905">
          <cell r="A905" t="str">
            <v>CINNABAR</v>
          </cell>
        </row>
        <row r="906">
          <cell r="A906" t="str">
            <v>Cinnabar moth</v>
          </cell>
        </row>
        <row r="907">
          <cell r="A907" t="str">
            <v>CINNABAR-A</v>
          </cell>
        </row>
        <row r="908">
          <cell r="A908" t="str">
            <v>CINNAMON</v>
          </cell>
        </row>
        <row r="909">
          <cell r="A909" t="str">
            <v>CIO-CIO</v>
          </cell>
        </row>
        <row r="910">
          <cell r="A910" t="str">
            <v>CIRCE</v>
          </cell>
        </row>
        <row r="911">
          <cell r="A911" t="str">
            <v>CIRCINUS</v>
          </cell>
        </row>
        <row r="912">
          <cell r="A912" t="str">
            <v>CITRONELLA</v>
          </cell>
        </row>
        <row r="913">
          <cell r="A913" t="str">
            <v>CLAIRE</v>
          </cell>
        </row>
        <row r="914">
          <cell r="A914" t="str">
            <v>Clancy</v>
          </cell>
        </row>
        <row r="915">
          <cell r="A915" t="str">
            <v>CLARA</v>
          </cell>
        </row>
        <row r="916">
          <cell r="A916" t="str">
            <v>CLARENCE</v>
          </cell>
        </row>
        <row r="917">
          <cell r="A917" t="str">
            <v>CLARISSA</v>
          </cell>
        </row>
        <row r="918">
          <cell r="A918" t="str">
            <v>CLARY</v>
          </cell>
        </row>
        <row r="919">
          <cell r="A919" t="str">
            <v>CLAUDETTE</v>
          </cell>
        </row>
        <row r="920">
          <cell r="A920" t="str">
            <v>CLAUDETTE-A</v>
          </cell>
        </row>
        <row r="921">
          <cell r="A921" t="str">
            <v>Claudia</v>
          </cell>
        </row>
        <row r="922">
          <cell r="A922" t="str">
            <v>CLAUDIA (Pcoq)</v>
          </cell>
        </row>
        <row r="923">
          <cell r="A923" t="str">
            <v>CLAUDIUS</v>
          </cell>
        </row>
        <row r="924">
          <cell r="A924" t="str">
            <v>CLAY</v>
          </cell>
        </row>
        <row r="925">
          <cell r="A925" t="str">
            <v>CLEANDER</v>
          </cell>
        </row>
        <row r="926">
          <cell r="A926" t="str">
            <v>CLEIS</v>
          </cell>
        </row>
        <row r="927">
          <cell r="A927" t="str">
            <v>CLEIS-A</v>
          </cell>
        </row>
        <row r="928">
          <cell r="A928" t="str">
            <v>CLEIS-B</v>
          </cell>
        </row>
        <row r="929">
          <cell r="A929" t="str">
            <v>Cleis-C</v>
          </cell>
        </row>
        <row r="930">
          <cell r="A930" t="str">
            <v>Cleis-D</v>
          </cell>
        </row>
        <row r="931">
          <cell r="A931" t="str">
            <v>CLEMENT</v>
          </cell>
        </row>
        <row r="932">
          <cell r="A932" t="str">
            <v>Clementine</v>
          </cell>
        </row>
        <row r="933">
          <cell r="A933" t="str">
            <v>CLEMENTINE-A</v>
          </cell>
        </row>
        <row r="934">
          <cell r="A934" t="str">
            <v>CLEOBULUS</v>
          </cell>
        </row>
        <row r="935">
          <cell r="A935" t="str">
            <v>CLEOMEDON</v>
          </cell>
        </row>
        <row r="936">
          <cell r="A936" t="str">
            <v>CLEOMENIS</v>
          </cell>
        </row>
        <row r="937">
          <cell r="A937" t="str">
            <v>CLEOPATRA</v>
          </cell>
        </row>
        <row r="938">
          <cell r="A938" t="str">
            <v>CLICKER</v>
          </cell>
        </row>
        <row r="939">
          <cell r="A939" t="str">
            <v>CLIFFROSE</v>
          </cell>
        </row>
        <row r="940">
          <cell r="A940" t="str">
            <v>CLIO</v>
          </cell>
        </row>
        <row r="941">
          <cell r="A941" t="str">
            <v>CLOE</v>
          </cell>
        </row>
        <row r="942">
          <cell r="A942" t="str">
            <v>CLOE-A</v>
          </cell>
        </row>
        <row r="943">
          <cell r="A943" t="str">
            <v>CLOTHO</v>
          </cell>
        </row>
        <row r="944">
          <cell r="A944" t="str">
            <v>CLOTHO-A</v>
          </cell>
        </row>
        <row r="945">
          <cell r="A945" t="str">
            <v>CLOTHO-B</v>
          </cell>
        </row>
        <row r="946">
          <cell r="A946" t="str">
            <v>CLOTHO-C</v>
          </cell>
        </row>
        <row r="947">
          <cell r="A947" t="str">
            <v>CLOVE</v>
          </cell>
        </row>
        <row r="948">
          <cell r="A948" t="str">
            <v>CLOVER</v>
          </cell>
        </row>
        <row r="949">
          <cell r="A949" t="str">
            <v>CLYTEMNESTR</v>
          </cell>
        </row>
        <row r="950">
          <cell r="A950" t="str">
            <v>CLYTEMNESTRA-A</v>
          </cell>
        </row>
        <row r="951">
          <cell r="A951" t="str">
            <v>CLYTEMNESTRA-B</v>
          </cell>
        </row>
        <row r="952">
          <cell r="A952" t="str">
            <v>CLYTEMNESTRA-C</v>
          </cell>
        </row>
        <row r="953">
          <cell r="A953" t="str">
            <v>CLYTEMNESTRA-D</v>
          </cell>
        </row>
        <row r="954">
          <cell r="A954" t="str">
            <v>CLYTIE</v>
          </cell>
        </row>
        <row r="955">
          <cell r="A955" t="str">
            <v>COBALT</v>
          </cell>
        </row>
        <row r="956">
          <cell r="A956" t="str">
            <v>COBWEB</v>
          </cell>
        </row>
        <row r="957">
          <cell r="A957" t="str">
            <v>COBWEB-A</v>
          </cell>
        </row>
        <row r="958">
          <cell r="A958" t="str">
            <v>COCA</v>
          </cell>
        </row>
        <row r="959">
          <cell r="A959" t="str">
            <v>COCA-A</v>
          </cell>
        </row>
        <row r="960">
          <cell r="A960" t="str">
            <v>COCA-B</v>
          </cell>
        </row>
        <row r="961">
          <cell r="A961" t="str">
            <v>COCHINEAL</v>
          </cell>
        </row>
        <row r="962">
          <cell r="A962" t="str">
            <v>COCKSPUR</v>
          </cell>
        </row>
        <row r="963">
          <cell r="A963" t="str">
            <v>Coconut Palm</v>
          </cell>
        </row>
        <row r="964">
          <cell r="A964" t="str">
            <v>COEUS</v>
          </cell>
        </row>
        <row r="965">
          <cell r="A965" t="str">
            <v>COFFEETREE</v>
          </cell>
        </row>
        <row r="966">
          <cell r="A966" t="str">
            <v>COLENE</v>
          </cell>
        </row>
        <row r="967">
          <cell r="A967" t="str">
            <v>COLENE-A</v>
          </cell>
        </row>
        <row r="968">
          <cell r="A968" t="str">
            <v>COLETTE</v>
          </cell>
        </row>
        <row r="969">
          <cell r="A969" t="str">
            <v>COLETTE II</v>
          </cell>
        </row>
        <row r="970">
          <cell r="A970" t="str">
            <v>COLETTE-A</v>
          </cell>
        </row>
        <row r="971">
          <cell r="A971" t="str">
            <v>COLETTE-B</v>
          </cell>
        </row>
        <row r="972">
          <cell r="A972" t="str">
            <v>COLORADO</v>
          </cell>
        </row>
        <row r="973">
          <cell r="A973" t="str">
            <v>COLUMBA</v>
          </cell>
        </row>
        <row r="974">
          <cell r="A974" t="str">
            <v>COLUMBINE</v>
          </cell>
        </row>
        <row r="975">
          <cell r="A975" t="str">
            <v>COMA</v>
          </cell>
        </row>
        <row r="976">
          <cell r="A976" t="str">
            <v>COMA-A</v>
          </cell>
        </row>
        <row r="977">
          <cell r="A977" t="str">
            <v>COMANCHE</v>
          </cell>
        </row>
        <row r="978">
          <cell r="A978" t="str">
            <v>Comet</v>
          </cell>
        </row>
        <row r="979">
          <cell r="A979" t="str">
            <v>Commodus</v>
          </cell>
        </row>
        <row r="980">
          <cell r="A980" t="str">
            <v>CONCEPCION</v>
          </cell>
        </row>
        <row r="981">
          <cell r="A981" t="str">
            <v>CONCEPCION-A</v>
          </cell>
        </row>
        <row r="982">
          <cell r="A982" t="str">
            <v>CONCEPCION-B</v>
          </cell>
        </row>
        <row r="983">
          <cell r="A983" t="str">
            <v>Conrad</v>
          </cell>
        </row>
        <row r="984">
          <cell r="A984" t="str">
            <v>CONSORT</v>
          </cell>
        </row>
        <row r="985">
          <cell r="A985" t="str">
            <v>CONSTANTINE</v>
          </cell>
        </row>
        <row r="986">
          <cell r="A986" t="str">
            <v>CONSUELA</v>
          </cell>
        </row>
        <row r="987">
          <cell r="A987" t="str">
            <v>COOT</v>
          </cell>
        </row>
        <row r="988">
          <cell r="A988" t="str">
            <v>COPPER</v>
          </cell>
        </row>
        <row r="989">
          <cell r="A989" t="str">
            <v>Coquie</v>
          </cell>
        </row>
        <row r="990">
          <cell r="A990" t="str">
            <v>CORAL</v>
          </cell>
        </row>
        <row r="991">
          <cell r="A991" t="str">
            <v>CORALBEAN</v>
          </cell>
        </row>
        <row r="992">
          <cell r="A992" t="str">
            <v>CORCAROLI</v>
          </cell>
        </row>
        <row r="993">
          <cell r="A993" t="str">
            <v>Cordelia</v>
          </cell>
        </row>
        <row r="994">
          <cell r="A994" t="str">
            <v>CORDIERITE</v>
          </cell>
        </row>
        <row r="995">
          <cell r="A995" t="str">
            <v>CORELLI</v>
          </cell>
        </row>
        <row r="996">
          <cell r="A996" t="str">
            <v>CORIANDER</v>
          </cell>
        </row>
        <row r="997">
          <cell r="A997" t="str">
            <v>CORIN</v>
          </cell>
        </row>
        <row r="998">
          <cell r="A998" t="str">
            <v>CORINNA</v>
          </cell>
        </row>
        <row r="999">
          <cell r="A999" t="str">
            <v>CORINNA-A</v>
          </cell>
        </row>
        <row r="1000">
          <cell r="A1000" t="str">
            <v>CORK</v>
          </cell>
        </row>
        <row r="1001">
          <cell r="A1001" t="str">
            <v>CORLEY</v>
          </cell>
        </row>
        <row r="1002">
          <cell r="A1002" t="str">
            <v>CORNEL</v>
          </cell>
        </row>
        <row r="1003">
          <cell r="A1003" t="str">
            <v>CORNELIA</v>
          </cell>
        </row>
        <row r="1004">
          <cell r="A1004" t="str">
            <v>CORNELIA-A</v>
          </cell>
        </row>
        <row r="1005">
          <cell r="A1005" t="str">
            <v>CORNELIA-B</v>
          </cell>
        </row>
        <row r="1006">
          <cell r="A1006" t="str">
            <v>CORNELIA-C</v>
          </cell>
        </row>
        <row r="1007">
          <cell r="A1007" t="str">
            <v>Cornelia-D</v>
          </cell>
        </row>
        <row r="1008">
          <cell r="A1008" t="str">
            <v>CORNELIUS</v>
          </cell>
        </row>
        <row r="1009">
          <cell r="A1009" t="str">
            <v>CORNSILK</v>
          </cell>
        </row>
        <row r="1010">
          <cell r="A1010" t="str">
            <v>CORONA</v>
          </cell>
        </row>
        <row r="1011">
          <cell r="A1011" t="str">
            <v>CORUNDUM</v>
          </cell>
        </row>
        <row r="1012">
          <cell r="A1012" t="str">
            <v>CORVUS</v>
          </cell>
        </row>
        <row r="1013">
          <cell r="A1013" t="str">
            <v>Cosmo</v>
          </cell>
        </row>
        <row r="1014">
          <cell r="A1014" t="str">
            <v>COSMOS</v>
          </cell>
        </row>
        <row r="1015">
          <cell r="A1015" t="str">
            <v>COTABATO</v>
          </cell>
        </row>
        <row r="1016">
          <cell r="A1016" t="str">
            <v>COTABATO-A</v>
          </cell>
        </row>
        <row r="1017">
          <cell r="A1017" t="str">
            <v>COTABATO-B</v>
          </cell>
        </row>
        <row r="1018">
          <cell r="A1018" t="str">
            <v>COTOBATO-C</v>
          </cell>
        </row>
        <row r="1019">
          <cell r="A1019" t="str">
            <v>COTTONWOOD</v>
          </cell>
        </row>
        <row r="1020">
          <cell r="A1020" t="str">
            <v>COTTONWOOD-A</v>
          </cell>
        </row>
        <row r="1021">
          <cell r="A1021" t="str">
            <v>COTTONWOOD-B</v>
          </cell>
        </row>
        <row r="1022">
          <cell r="A1022" t="str">
            <v>COWSLIP</v>
          </cell>
        </row>
        <row r="1023">
          <cell r="A1023" t="str">
            <v>CRABAPPLE</v>
          </cell>
        </row>
        <row r="1024">
          <cell r="A1024" t="str">
            <v>CRANBERRY</v>
          </cell>
        </row>
        <row r="1025">
          <cell r="A1025" t="str">
            <v>CRATER</v>
          </cell>
        </row>
        <row r="1026">
          <cell r="A1026" t="str">
            <v>CREE</v>
          </cell>
        </row>
        <row r="1027">
          <cell r="A1027" t="str">
            <v>Creeping Jenny</v>
          </cell>
        </row>
        <row r="1028">
          <cell r="A1028" t="str">
            <v>CREON</v>
          </cell>
        </row>
        <row r="1029">
          <cell r="A1029" t="str">
            <v>CREPE</v>
          </cell>
        </row>
        <row r="1030">
          <cell r="A1030" t="str">
            <v>CRESCENS</v>
          </cell>
        </row>
        <row r="1031">
          <cell r="A1031" t="str">
            <v>CRESS</v>
          </cell>
        </row>
        <row r="1032">
          <cell r="A1032" t="str">
            <v>CRESSIDA</v>
          </cell>
        </row>
        <row r="1033">
          <cell r="A1033" t="str">
            <v>CRETIA</v>
          </cell>
        </row>
        <row r="1034">
          <cell r="A1034" t="str">
            <v>CREUSA</v>
          </cell>
        </row>
        <row r="1035">
          <cell r="A1035" t="str">
            <v>CRICKET</v>
          </cell>
        </row>
        <row r="1036">
          <cell r="A1036" t="str">
            <v>CRIMSON</v>
          </cell>
        </row>
        <row r="1037">
          <cell r="A1037" t="str">
            <v>CRIMSON-A</v>
          </cell>
        </row>
        <row r="1038">
          <cell r="A1038" t="str">
            <v>CRIMSON-B</v>
          </cell>
        </row>
        <row r="1039">
          <cell r="A1039" t="str">
            <v>CRIMSON-C</v>
          </cell>
        </row>
        <row r="1040">
          <cell r="A1040" t="str">
            <v>CRIMSON-D</v>
          </cell>
        </row>
        <row r="1041">
          <cell r="A1041" t="str">
            <v>CRISPINA</v>
          </cell>
        </row>
        <row r="1042">
          <cell r="A1042" t="str">
            <v>Crispus</v>
          </cell>
        </row>
        <row r="1043">
          <cell r="A1043" t="str">
            <v>Crispus Caesar</v>
          </cell>
        </row>
        <row r="1044">
          <cell r="A1044" t="str">
            <v>CRITO</v>
          </cell>
        </row>
        <row r="1045">
          <cell r="A1045" t="str">
            <v>CROESUS</v>
          </cell>
        </row>
        <row r="1046">
          <cell r="A1046" t="str">
            <v>CRONUS</v>
          </cell>
        </row>
        <row r="1047">
          <cell r="A1047" t="str">
            <v>CROTON</v>
          </cell>
        </row>
        <row r="1048">
          <cell r="A1048" t="str">
            <v>Crow</v>
          </cell>
        </row>
        <row r="1049">
          <cell r="A1049" t="str">
            <v>CRUELLA</v>
          </cell>
        </row>
        <row r="1050">
          <cell r="A1050" t="str">
            <v>CRUISE</v>
          </cell>
        </row>
        <row r="1051">
          <cell r="A1051" t="str">
            <v>CRUX</v>
          </cell>
        </row>
        <row r="1052">
          <cell r="A1052" t="str">
            <v>CRYSTAL</v>
          </cell>
        </row>
        <row r="1053">
          <cell r="A1053" t="str">
            <v>Crystal Light</v>
          </cell>
        </row>
        <row r="1054">
          <cell r="A1054" t="str">
            <v>CUB</v>
          </cell>
        </row>
        <row r="1055">
          <cell r="A1055" t="str">
            <v>Cuckoo</v>
          </cell>
        </row>
        <row r="1056">
          <cell r="A1056" t="str">
            <v>CUMIN</v>
          </cell>
        </row>
        <row r="1057">
          <cell r="A1057" t="str">
            <v>Cupid</v>
          </cell>
        </row>
        <row r="1058">
          <cell r="A1058" t="str">
            <v>CURIO</v>
          </cell>
        </row>
        <row r="1059">
          <cell r="A1059" t="str">
            <v>CURIUM</v>
          </cell>
        </row>
        <row r="1060">
          <cell r="A1060" t="str">
            <v>CURRY</v>
          </cell>
        </row>
        <row r="1061">
          <cell r="A1061" t="str">
            <v>CYCAD</v>
          </cell>
        </row>
        <row r="1062">
          <cell r="A1062" t="str">
            <v>CYGNUS</v>
          </cell>
        </row>
        <row r="1063">
          <cell r="A1063" t="str">
            <v>CYNISCA</v>
          </cell>
        </row>
        <row r="1064">
          <cell r="A1064" t="str">
            <v>CYNTHIA</v>
          </cell>
        </row>
        <row r="1065">
          <cell r="A1065" t="str">
            <v>CYNTHIA-A</v>
          </cell>
        </row>
        <row r="1066">
          <cell r="A1066" t="str">
            <v>CYNTHIA-B</v>
          </cell>
        </row>
        <row r="1067">
          <cell r="A1067" t="str">
            <v>CYNTHIA-C</v>
          </cell>
        </row>
        <row r="1068">
          <cell r="A1068" t="str">
            <v>CYNTHIA-D</v>
          </cell>
        </row>
        <row r="1069">
          <cell r="A1069" t="str">
            <v>CYPRESS</v>
          </cell>
        </row>
        <row r="1070">
          <cell r="A1070" t="str">
            <v>CYRILLA</v>
          </cell>
        </row>
        <row r="1071">
          <cell r="A1071" t="str">
            <v>Cyrus</v>
          </cell>
        </row>
        <row r="1072">
          <cell r="A1072" t="str">
            <v>DADA</v>
          </cell>
        </row>
        <row r="1073">
          <cell r="A1073" t="str">
            <v>DADARA</v>
          </cell>
        </row>
        <row r="1074">
          <cell r="A1074" t="str">
            <v>Daffodil</v>
          </cell>
        </row>
        <row r="1075">
          <cell r="A1075" t="str">
            <v>DAHOON</v>
          </cell>
        </row>
        <row r="1076">
          <cell r="A1076" t="str">
            <v>Daikon</v>
          </cell>
        </row>
        <row r="1077">
          <cell r="A1077" t="str">
            <v>Dalia</v>
          </cell>
        </row>
        <row r="1078">
          <cell r="A1078" t="str">
            <v>DAMARIS</v>
          </cell>
        </row>
        <row r="1079">
          <cell r="A1079" t="str">
            <v>DAMASK ROSE</v>
          </cell>
        </row>
        <row r="1080">
          <cell r="A1080" t="str">
            <v>DAMON</v>
          </cell>
        </row>
        <row r="1081">
          <cell r="A1081" t="str">
            <v>DANAE</v>
          </cell>
        </row>
        <row r="1082">
          <cell r="A1082" t="str">
            <v>DANAE-A</v>
          </cell>
        </row>
        <row r="1083">
          <cell r="A1083" t="str">
            <v>DANAE-B</v>
          </cell>
        </row>
        <row r="1084">
          <cell r="A1084" t="str">
            <v>DANAE-C</v>
          </cell>
        </row>
        <row r="1085">
          <cell r="A1085" t="str">
            <v>DANAE-D</v>
          </cell>
        </row>
        <row r="1086">
          <cell r="A1086" t="str">
            <v>DANDELION</v>
          </cell>
        </row>
        <row r="1087">
          <cell r="A1087" t="str">
            <v>DANGORO</v>
          </cell>
        </row>
        <row r="1088">
          <cell r="A1088" t="str">
            <v>DANIEL</v>
          </cell>
        </row>
        <row r="1089">
          <cell r="A1089" t="str">
            <v>DANIELLE</v>
          </cell>
        </row>
        <row r="1090">
          <cell r="A1090" t="str">
            <v>DANU</v>
          </cell>
        </row>
        <row r="1091">
          <cell r="A1091" t="str">
            <v>DANU-A</v>
          </cell>
        </row>
        <row r="1092">
          <cell r="A1092" t="str">
            <v>DANU-B</v>
          </cell>
        </row>
        <row r="1093">
          <cell r="A1093" t="str">
            <v>DAPHNE</v>
          </cell>
        </row>
        <row r="1094">
          <cell r="A1094" t="str">
            <v>DARA</v>
          </cell>
        </row>
        <row r="1095">
          <cell r="A1095" t="str">
            <v>DARDANA</v>
          </cell>
        </row>
        <row r="1096">
          <cell r="A1096" t="str">
            <v>DARLINGPLUM</v>
          </cell>
        </row>
        <row r="1097">
          <cell r="A1097" t="str">
            <v>Darlingplum-A</v>
          </cell>
        </row>
        <row r="1098">
          <cell r="A1098" t="str">
            <v>Darlingplum-B</v>
          </cell>
        </row>
        <row r="1099">
          <cell r="A1099" t="str">
            <v>Darlingplum-C</v>
          </cell>
        </row>
        <row r="1100">
          <cell r="A1100" t="str">
            <v>DARWIN</v>
          </cell>
        </row>
        <row r="1101">
          <cell r="A1101" t="str">
            <v>DATIS</v>
          </cell>
        </row>
        <row r="1102">
          <cell r="A1102" t="str">
            <v>DAUD</v>
          </cell>
        </row>
        <row r="1103">
          <cell r="A1103" t="str">
            <v>DAUDI</v>
          </cell>
        </row>
        <row r="1104">
          <cell r="A1104" t="str">
            <v>DAVAO</v>
          </cell>
        </row>
        <row r="1105">
          <cell r="A1105" t="str">
            <v>DAVID</v>
          </cell>
        </row>
        <row r="1106">
          <cell r="A1106" t="str">
            <v>DAVIDA</v>
          </cell>
        </row>
        <row r="1107">
          <cell r="A1107" t="str">
            <v>DAWA</v>
          </cell>
        </row>
        <row r="1108">
          <cell r="A1108" t="str">
            <v>DAWN</v>
          </cell>
        </row>
        <row r="1109">
          <cell r="A1109" t="str">
            <v>Dean</v>
          </cell>
        </row>
        <row r="1110">
          <cell r="A1110" t="str">
            <v>Deborah</v>
          </cell>
        </row>
        <row r="1111">
          <cell r="A1111" t="str">
            <v>DEDALUS</v>
          </cell>
        </row>
        <row r="1112">
          <cell r="A1112" t="str">
            <v>DEGAULLE</v>
          </cell>
        </row>
        <row r="1113">
          <cell r="A1113" t="str">
            <v>DEIMOS</v>
          </cell>
        </row>
        <row r="1114">
          <cell r="A1114" t="str">
            <v>DELIA</v>
          </cell>
        </row>
        <row r="1115">
          <cell r="A1115" t="str">
            <v>DELILAH</v>
          </cell>
        </row>
        <row r="1116">
          <cell r="A1116" t="str">
            <v>DELTA</v>
          </cell>
        </row>
        <row r="1117">
          <cell r="A1117" t="str">
            <v>DEMAS</v>
          </cell>
        </row>
        <row r="1118">
          <cell r="A1118" t="str">
            <v>DEMBOWSKA</v>
          </cell>
        </row>
        <row r="1119">
          <cell r="A1119" t="str">
            <v>DEMETER</v>
          </cell>
        </row>
        <row r="1120">
          <cell r="A1120" t="str">
            <v>DEMETER-A</v>
          </cell>
        </row>
        <row r="1121">
          <cell r="A1121" t="str">
            <v>DEMI</v>
          </cell>
        </row>
        <row r="1122">
          <cell r="A1122" t="str">
            <v>DEMICIRCLE</v>
          </cell>
        </row>
        <row r="1123">
          <cell r="A1123" t="str">
            <v>DEMIGOD</v>
          </cell>
        </row>
        <row r="1124">
          <cell r="A1124" t="str">
            <v>DEMIHEUR</v>
          </cell>
        </row>
        <row r="1125">
          <cell r="A1125" t="str">
            <v>DEMIJON</v>
          </cell>
        </row>
        <row r="1126">
          <cell r="A1126" t="str">
            <v>DEMILUNE</v>
          </cell>
        </row>
        <row r="1127">
          <cell r="A1127" t="str">
            <v>DEMIMONDE</v>
          </cell>
        </row>
        <row r="1128">
          <cell r="A1128" t="str">
            <v>DEMIPIQUE</v>
          </cell>
        </row>
        <row r="1129">
          <cell r="A1129" t="str">
            <v>DEMIQUAVER</v>
          </cell>
        </row>
        <row r="1130">
          <cell r="A1130" t="str">
            <v>DEMIQUAVER-A</v>
          </cell>
        </row>
        <row r="1131">
          <cell r="A1131" t="str">
            <v>DEMIREP</v>
          </cell>
        </row>
        <row r="1132">
          <cell r="A1132" t="str">
            <v>DEMIREP-A</v>
          </cell>
        </row>
        <row r="1133">
          <cell r="A1133" t="str">
            <v>DEMITASSE</v>
          </cell>
        </row>
        <row r="1134">
          <cell r="A1134" t="str">
            <v>DEMITASSE-A</v>
          </cell>
        </row>
        <row r="1135">
          <cell r="A1135" t="str">
            <v>DEMITEINTE</v>
          </cell>
        </row>
        <row r="1136">
          <cell r="A1136" t="str">
            <v>DEMITEINTE-A</v>
          </cell>
        </row>
        <row r="1137">
          <cell r="A1137" t="str">
            <v>DEMITON</v>
          </cell>
        </row>
        <row r="1138">
          <cell r="A1138" t="str">
            <v>DEMITOUR</v>
          </cell>
        </row>
        <row r="1139">
          <cell r="A1139" t="str">
            <v>DEMIURGE</v>
          </cell>
        </row>
        <row r="1140">
          <cell r="A1140" t="str">
            <v>DEMIVOLT</v>
          </cell>
        </row>
        <row r="1141">
          <cell r="A1141" t="str">
            <v>DEMIWORLD</v>
          </cell>
        </row>
        <row r="1142">
          <cell r="A1142" t="str">
            <v>DEMOCRITUS</v>
          </cell>
        </row>
        <row r="1143">
          <cell r="A1143" t="str">
            <v>Demonax</v>
          </cell>
        </row>
        <row r="1144">
          <cell r="A1144" t="str">
            <v>DENEB</v>
          </cell>
        </row>
        <row r="1145">
          <cell r="A1145" t="str">
            <v>DENEBOLA</v>
          </cell>
        </row>
        <row r="1146">
          <cell r="A1146" t="str">
            <v>DENIS</v>
          </cell>
        </row>
        <row r="1147">
          <cell r="A1147" t="str">
            <v>DERA</v>
          </cell>
        </row>
        <row r="1148">
          <cell r="A1148" t="str">
            <v>DERN</v>
          </cell>
        </row>
        <row r="1149">
          <cell r="A1149" t="str">
            <v>DESDEMONA</v>
          </cell>
        </row>
        <row r="1150">
          <cell r="A1150" t="str">
            <v>Deucalion</v>
          </cell>
        </row>
        <row r="1151">
          <cell r="A1151" t="str">
            <v>DEVA</v>
          </cell>
        </row>
        <row r="1152">
          <cell r="A1152" t="str">
            <v>DEVAKI</v>
          </cell>
        </row>
        <row r="1153">
          <cell r="A1153" t="str">
            <v>DEVILWOOD</v>
          </cell>
        </row>
        <row r="1154">
          <cell r="A1154" t="str">
            <v>DEWDROP</v>
          </cell>
        </row>
        <row r="1155">
          <cell r="A1155" t="str">
            <v>Dharma</v>
          </cell>
        </row>
        <row r="1156">
          <cell r="A1156" t="str">
            <v>DIABLA</v>
          </cell>
        </row>
        <row r="1157">
          <cell r="A1157" t="str">
            <v>DIANA</v>
          </cell>
        </row>
        <row r="1158">
          <cell r="A1158" t="str">
            <v>DIANTHUS</v>
          </cell>
        </row>
        <row r="1159">
          <cell r="A1159" t="str">
            <v>DIAS</v>
          </cell>
        </row>
        <row r="1160">
          <cell r="A1160" t="str">
            <v>DIAS-A</v>
          </cell>
        </row>
        <row r="1161">
          <cell r="A1161" t="str">
            <v>DIAS-B</v>
          </cell>
        </row>
        <row r="1162">
          <cell r="A1162" t="str">
            <v>DIAS-C</v>
          </cell>
        </row>
        <row r="1163">
          <cell r="A1163" t="str">
            <v>DIAS-D</v>
          </cell>
        </row>
        <row r="1164">
          <cell r="A1164" t="str">
            <v>DIAS-E</v>
          </cell>
        </row>
        <row r="1165">
          <cell r="A1165" t="str">
            <v>DIAS-F</v>
          </cell>
        </row>
        <row r="1166">
          <cell r="A1166" t="str">
            <v>DIAS-G</v>
          </cell>
        </row>
        <row r="1167">
          <cell r="A1167" t="str">
            <v>DIAS-H</v>
          </cell>
        </row>
        <row r="1168">
          <cell r="A1168" t="str">
            <v>DIAS-I</v>
          </cell>
        </row>
        <row r="1169">
          <cell r="A1169" t="str">
            <v>DIAS-J</v>
          </cell>
        </row>
        <row r="1170">
          <cell r="A1170" t="str">
            <v>DIAS-K</v>
          </cell>
        </row>
        <row r="1171">
          <cell r="A1171" t="str">
            <v>DIAS-L</v>
          </cell>
        </row>
        <row r="1172">
          <cell r="A1172" t="str">
            <v>DIAS-M</v>
          </cell>
        </row>
        <row r="1173">
          <cell r="A1173" t="str">
            <v>DIAS-N</v>
          </cell>
        </row>
        <row r="1174">
          <cell r="A1174" t="str">
            <v>DIAS-O</v>
          </cell>
        </row>
        <row r="1175">
          <cell r="A1175" t="str">
            <v>DIAS-P</v>
          </cell>
        </row>
        <row r="1176">
          <cell r="A1176" t="str">
            <v>DIAS-Q</v>
          </cell>
        </row>
        <row r="1177">
          <cell r="A1177" t="str">
            <v>DiCaprio</v>
          </cell>
        </row>
        <row r="1178">
          <cell r="A1178" t="str">
            <v>DICKCISSEL</v>
          </cell>
        </row>
        <row r="1179">
          <cell r="A1179" t="str">
            <v>DIDI</v>
          </cell>
        </row>
        <row r="1180">
          <cell r="A1180" t="str">
            <v>DIDIUS</v>
          </cell>
        </row>
        <row r="1181">
          <cell r="A1181" t="str">
            <v>DIDO</v>
          </cell>
        </row>
        <row r="1182">
          <cell r="A1182" t="str">
            <v>DIDO II</v>
          </cell>
        </row>
        <row r="1183">
          <cell r="A1183" t="str">
            <v>DIDO-A</v>
          </cell>
        </row>
        <row r="1184">
          <cell r="A1184" t="str">
            <v>DIETRICH</v>
          </cell>
        </row>
        <row r="1185">
          <cell r="A1185" t="str">
            <v>DILL</v>
          </cell>
        </row>
        <row r="1186">
          <cell r="A1186" t="str">
            <v>DIOCLETIAN</v>
          </cell>
        </row>
        <row r="1187">
          <cell r="A1187" t="str">
            <v>DIOGENES</v>
          </cell>
        </row>
        <row r="1188">
          <cell r="A1188" t="str">
            <v>DION</v>
          </cell>
        </row>
        <row r="1189">
          <cell r="A1189" t="str">
            <v>DIONE-A</v>
          </cell>
        </row>
        <row r="1190">
          <cell r="A1190" t="str">
            <v>DIONYSUS</v>
          </cell>
        </row>
        <row r="1191">
          <cell r="A1191" t="str">
            <v>DIPHDA</v>
          </cell>
        </row>
        <row r="1192">
          <cell r="A1192" t="str">
            <v>Dirt Dauber</v>
          </cell>
        </row>
        <row r="1193">
          <cell r="A1193" t="str">
            <v>DIS</v>
          </cell>
        </row>
        <row r="1194">
          <cell r="A1194" t="str">
            <v>DITTANY</v>
          </cell>
        </row>
        <row r="1195">
          <cell r="A1195" t="str">
            <v>DIVINA</v>
          </cell>
        </row>
        <row r="1196">
          <cell r="A1196" t="str">
            <v>DIZI</v>
          </cell>
        </row>
        <row r="1197">
          <cell r="A1197" t="str">
            <v>DIZI-A</v>
          </cell>
        </row>
        <row r="1198">
          <cell r="A1198" t="str">
            <v>DIZI-B</v>
          </cell>
        </row>
        <row r="1199">
          <cell r="A1199" t="str">
            <v>DIZI-C</v>
          </cell>
        </row>
        <row r="1200">
          <cell r="A1200" t="str">
            <v>DIZI-D</v>
          </cell>
        </row>
        <row r="1201">
          <cell r="A1201" t="str">
            <v>Dodo</v>
          </cell>
        </row>
        <row r="1202">
          <cell r="A1202" t="str">
            <v>DOG ROSE</v>
          </cell>
        </row>
        <row r="1203">
          <cell r="A1203" t="str">
            <v>Dogbane</v>
          </cell>
        </row>
        <row r="1204">
          <cell r="A1204" t="str">
            <v>DOGWOOD</v>
          </cell>
        </row>
        <row r="1205">
          <cell r="A1205" t="str">
            <v>Domestic Chicken</v>
          </cell>
        </row>
        <row r="1206">
          <cell r="A1206" t="str">
            <v>DOMINIQUE</v>
          </cell>
        </row>
        <row r="1207">
          <cell r="A1207" t="str">
            <v>Dominique Chicken</v>
          </cell>
        </row>
        <row r="1208">
          <cell r="A1208" t="str">
            <v>DOMITIAN</v>
          </cell>
        </row>
        <row r="1209">
          <cell r="A1209" t="str">
            <v>Doodlebug</v>
          </cell>
        </row>
        <row r="1210">
          <cell r="A1210" t="str">
            <v>DOPEY</v>
          </cell>
        </row>
        <row r="1211">
          <cell r="A1211" t="str">
            <v>DORADO</v>
          </cell>
        </row>
        <row r="1212">
          <cell r="A1212" t="str">
            <v>DORCAS</v>
          </cell>
        </row>
        <row r="1213">
          <cell r="A1213" t="str">
            <v>DORCAS-A</v>
          </cell>
        </row>
        <row r="1214">
          <cell r="A1214" t="str">
            <v>DORCAS-B</v>
          </cell>
        </row>
        <row r="1215">
          <cell r="A1215" t="str">
            <v>DORIAN GRAY</v>
          </cell>
        </row>
        <row r="1216">
          <cell r="A1216" t="str">
            <v>DORIAN GRAY-A</v>
          </cell>
        </row>
        <row r="1217">
          <cell r="A1217" t="str">
            <v>Dorieus</v>
          </cell>
        </row>
        <row r="1218">
          <cell r="A1218" t="str">
            <v>Dorieus-A</v>
          </cell>
        </row>
        <row r="1219">
          <cell r="A1219" t="str">
            <v>Dorieus-B</v>
          </cell>
        </row>
        <row r="1220">
          <cell r="A1220" t="str">
            <v>Dorieus-C</v>
          </cell>
        </row>
        <row r="1221">
          <cell r="A1221" t="str">
            <v>Dorieus-D</v>
          </cell>
        </row>
        <row r="1222">
          <cell r="A1222" t="str">
            <v>Dorieus-E</v>
          </cell>
        </row>
        <row r="1223">
          <cell r="A1223" t="str">
            <v>Dorieus-F</v>
          </cell>
        </row>
        <row r="1224">
          <cell r="A1224" t="str">
            <v>Dorothy</v>
          </cell>
        </row>
        <row r="1225">
          <cell r="A1225" t="str">
            <v>Dory</v>
          </cell>
        </row>
        <row r="1226">
          <cell r="A1226" t="str">
            <v>Dory-A</v>
          </cell>
        </row>
        <row r="1227">
          <cell r="A1227" t="str">
            <v>DOT</v>
          </cell>
        </row>
        <row r="1228">
          <cell r="A1228" t="str">
            <v>DOVE</v>
          </cell>
        </row>
        <row r="1229">
          <cell r="A1229" t="str">
            <v>DOVEPLUM</v>
          </cell>
        </row>
        <row r="1230">
          <cell r="A1230" t="str">
            <v>Dozier</v>
          </cell>
        </row>
        <row r="1231">
          <cell r="A1231" t="str">
            <v>DRACO</v>
          </cell>
        </row>
        <row r="1232">
          <cell r="A1232" t="str">
            <v>DRAGONFLY</v>
          </cell>
        </row>
        <row r="1233">
          <cell r="A1233" t="str">
            <v>DRAKY</v>
          </cell>
        </row>
        <row r="1234">
          <cell r="A1234" t="str">
            <v>DRAUPIDI</v>
          </cell>
        </row>
        <row r="1235">
          <cell r="A1235" t="str">
            <v>DRAVITE</v>
          </cell>
        </row>
        <row r="1236">
          <cell r="A1236" t="str">
            <v>DRONGA</v>
          </cell>
        </row>
        <row r="1237">
          <cell r="A1237" t="str">
            <v>Drusilla</v>
          </cell>
        </row>
        <row r="1238">
          <cell r="A1238" t="str">
            <v>Drusilla-A</v>
          </cell>
        </row>
        <row r="1239">
          <cell r="A1239" t="str">
            <v>Drusilla-B</v>
          </cell>
        </row>
        <row r="1240">
          <cell r="A1240" t="str">
            <v>DUBHE</v>
          </cell>
        </row>
        <row r="1241">
          <cell r="A1241" t="str">
            <v>Duggan</v>
          </cell>
        </row>
        <row r="1242">
          <cell r="A1242" t="str">
            <v>DUGU</v>
          </cell>
        </row>
        <row r="1243">
          <cell r="A1243" t="str">
            <v>DUN</v>
          </cell>
        </row>
        <row r="1244">
          <cell r="A1244" t="str">
            <v>Dunlin</v>
          </cell>
        </row>
        <row r="1245">
          <cell r="A1245" t="str">
            <v>DURGA</v>
          </cell>
        </row>
        <row r="1246">
          <cell r="A1246" t="str">
            <v>DUVAL</v>
          </cell>
        </row>
        <row r="1247">
          <cell r="A1247" t="str">
            <v>Dweezil</v>
          </cell>
        </row>
        <row r="1248">
          <cell r="A1248" t="str">
            <v>DYLAN</v>
          </cell>
        </row>
        <row r="1249">
          <cell r="A1249" t="str">
            <v>EARTH</v>
          </cell>
        </row>
        <row r="1250">
          <cell r="A1250" t="str">
            <v>EARTH II</v>
          </cell>
        </row>
        <row r="1251">
          <cell r="A1251" t="str">
            <v>EARTHA</v>
          </cell>
        </row>
        <row r="1252">
          <cell r="A1252" t="str">
            <v>EBONY</v>
          </cell>
        </row>
        <row r="1253">
          <cell r="A1253" t="str">
            <v>Echo</v>
          </cell>
        </row>
        <row r="1254">
          <cell r="A1254" t="str">
            <v>Edelweiss</v>
          </cell>
        </row>
        <row r="1255">
          <cell r="A1255" t="str">
            <v>EDITH</v>
          </cell>
        </row>
        <row r="1256">
          <cell r="A1256" t="str">
            <v>EDUARDO</v>
          </cell>
        </row>
        <row r="1257">
          <cell r="A1257" t="str">
            <v>EEYORE</v>
          </cell>
        </row>
        <row r="1258">
          <cell r="A1258" t="str">
            <v>Egeria</v>
          </cell>
        </row>
        <row r="1259">
          <cell r="A1259" t="str">
            <v>EGLANTINE</v>
          </cell>
        </row>
        <row r="1260">
          <cell r="A1260" t="str">
            <v>Eider</v>
          </cell>
        </row>
        <row r="1261">
          <cell r="A1261" t="str">
            <v>Elagabalus</v>
          </cell>
        </row>
        <row r="1262">
          <cell r="A1262" t="str">
            <v>ELARA</v>
          </cell>
        </row>
        <row r="1263">
          <cell r="A1263" t="str">
            <v>ELBAITE</v>
          </cell>
        </row>
        <row r="1264">
          <cell r="A1264" t="str">
            <v>Eleanor</v>
          </cell>
        </row>
        <row r="1265">
          <cell r="A1265" t="str">
            <v>Eleanor of Portugal</v>
          </cell>
        </row>
        <row r="1266">
          <cell r="A1266" t="str">
            <v>Eleanor-A</v>
          </cell>
        </row>
        <row r="1267">
          <cell r="A1267" t="str">
            <v>ELECTRA</v>
          </cell>
        </row>
        <row r="1268">
          <cell r="A1268" t="str">
            <v>ELECTRYON</v>
          </cell>
        </row>
        <row r="1269">
          <cell r="A1269" t="str">
            <v>ELENA</v>
          </cell>
        </row>
        <row r="1270">
          <cell r="A1270" t="str">
            <v>Elephant Bird</v>
          </cell>
        </row>
        <row r="1271">
          <cell r="A1271" t="str">
            <v>ELFU</v>
          </cell>
        </row>
        <row r="1272">
          <cell r="A1272" t="str">
            <v>ELI</v>
          </cell>
        </row>
        <row r="1273">
          <cell r="A1273" t="str">
            <v>ELIZABETH</v>
          </cell>
        </row>
        <row r="1274">
          <cell r="A1274" t="str">
            <v>ELKWOOD</v>
          </cell>
        </row>
        <row r="1275">
          <cell r="A1275" t="str">
            <v>ELLA</v>
          </cell>
        </row>
        <row r="1276">
          <cell r="A1276" t="str">
            <v>ELLA-A</v>
          </cell>
        </row>
        <row r="1277">
          <cell r="A1277" t="str">
            <v>Elliot</v>
          </cell>
        </row>
        <row r="1278">
          <cell r="A1278" t="str">
            <v>ELLIOTTIA</v>
          </cell>
        </row>
        <row r="1279">
          <cell r="A1279" t="str">
            <v>ELM</v>
          </cell>
        </row>
        <row r="1280">
          <cell r="A1280" t="str">
            <v>ELON</v>
          </cell>
        </row>
        <row r="1281">
          <cell r="A1281" t="str">
            <v>Elphaba</v>
          </cell>
        </row>
        <row r="1282">
          <cell r="A1282" t="str">
            <v>ELPINICE</v>
          </cell>
        </row>
        <row r="1283">
          <cell r="A1283" t="str">
            <v>Elvira</v>
          </cell>
        </row>
        <row r="1284">
          <cell r="A1284" t="str">
            <v>EMBER</v>
          </cell>
        </row>
        <row r="1285">
          <cell r="A1285" t="str">
            <v>EMBLA</v>
          </cell>
        </row>
        <row r="1286">
          <cell r="A1286" t="str">
            <v>EMERALD</v>
          </cell>
        </row>
        <row r="1287">
          <cell r="A1287" t="str">
            <v>EMERALD-A</v>
          </cell>
        </row>
        <row r="1288">
          <cell r="A1288" t="str">
            <v>EMERY</v>
          </cell>
        </row>
        <row r="1289">
          <cell r="A1289" t="str">
            <v>EMILE</v>
          </cell>
        </row>
        <row r="1290">
          <cell r="A1290" t="str">
            <v>Emilia</v>
          </cell>
        </row>
        <row r="1291">
          <cell r="A1291" t="str">
            <v>EMILY II</v>
          </cell>
        </row>
        <row r="1292">
          <cell r="A1292" t="str">
            <v>Emu</v>
          </cell>
        </row>
        <row r="1293">
          <cell r="A1293" t="str">
            <v>ENCELADUS</v>
          </cell>
        </row>
        <row r="1294">
          <cell r="A1294" t="str">
            <v>Endora</v>
          </cell>
        </row>
        <row r="1295">
          <cell r="A1295" t="str">
            <v>ENDRIKA</v>
          </cell>
        </row>
        <row r="1296">
          <cell r="A1296" t="str">
            <v>ENDRIKA-A</v>
          </cell>
        </row>
        <row r="1297">
          <cell r="A1297" t="str">
            <v>ENDRIKA-B</v>
          </cell>
        </row>
        <row r="1298">
          <cell r="A1298" t="str">
            <v>ENDRIKA-C</v>
          </cell>
        </row>
        <row r="1299">
          <cell r="A1299" t="str">
            <v>ENDRIKA-D</v>
          </cell>
        </row>
        <row r="1300">
          <cell r="A1300" t="str">
            <v>ENIF</v>
          </cell>
        </row>
        <row r="1301">
          <cell r="A1301" t="str">
            <v>ENO</v>
          </cell>
        </row>
        <row r="1302">
          <cell r="A1302" t="str">
            <v>ENRIQUE</v>
          </cell>
        </row>
        <row r="1303">
          <cell r="A1303" t="str">
            <v>ENRIQUE II</v>
          </cell>
        </row>
        <row r="1304">
          <cell r="A1304" t="str">
            <v>Eowyn</v>
          </cell>
        </row>
        <row r="1305">
          <cell r="A1305" t="str">
            <v>EPAMINONDAS</v>
          </cell>
        </row>
        <row r="1306">
          <cell r="A1306" t="str">
            <v>EPHIALTES</v>
          </cell>
        </row>
        <row r="1307">
          <cell r="A1307" t="str">
            <v>EPHORUS</v>
          </cell>
        </row>
        <row r="1308">
          <cell r="A1308" t="str">
            <v>EPIMETHEUS</v>
          </cell>
        </row>
        <row r="1309">
          <cell r="A1309" t="str">
            <v>EPSILON</v>
          </cell>
        </row>
        <row r="1310">
          <cell r="A1310" t="str">
            <v>EPSOMITE</v>
          </cell>
        </row>
        <row r="1311">
          <cell r="A1311" t="str">
            <v>ERANTHE</v>
          </cell>
        </row>
        <row r="1312">
          <cell r="A1312" t="str">
            <v>ERANTHE-A</v>
          </cell>
        </row>
        <row r="1313">
          <cell r="A1313" t="str">
            <v>ERASTUS</v>
          </cell>
        </row>
        <row r="1314">
          <cell r="A1314" t="str">
            <v>ERATO</v>
          </cell>
        </row>
        <row r="1315">
          <cell r="A1315" t="str">
            <v>ERBIUM</v>
          </cell>
        </row>
        <row r="1316">
          <cell r="A1316" t="str">
            <v>ERETRIA</v>
          </cell>
        </row>
        <row r="1317">
          <cell r="A1317" t="str">
            <v>ERIDANUS</v>
          </cell>
        </row>
        <row r="1318">
          <cell r="A1318" t="str">
            <v>ERINNA</v>
          </cell>
        </row>
        <row r="1319">
          <cell r="A1319" t="str">
            <v>ERME</v>
          </cell>
        </row>
        <row r="1320">
          <cell r="A1320" t="str">
            <v>Ernestine</v>
          </cell>
        </row>
        <row r="1321">
          <cell r="A1321" t="str">
            <v>Ernesto</v>
          </cell>
        </row>
        <row r="1322">
          <cell r="A1322" t="str">
            <v>Eros</v>
          </cell>
        </row>
        <row r="1323">
          <cell r="A1323" t="str">
            <v>Eros JR</v>
          </cell>
        </row>
        <row r="1324">
          <cell r="A1324" t="str">
            <v>ESAU</v>
          </cell>
        </row>
        <row r="1325">
          <cell r="A1325" t="str">
            <v>ESI</v>
          </cell>
        </row>
        <row r="1326">
          <cell r="A1326" t="str">
            <v>ESLE</v>
          </cell>
        </row>
        <row r="1327">
          <cell r="A1327" t="str">
            <v>ESPERANZA</v>
          </cell>
        </row>
        <row r="1328">
          <cell r="A1328" t="str">
            <v>ESTELLA</v>
          </cell>
        </row>
        <row r="1329">
          <cell r="A1329" t="str">
            <v>Esther</v>
          </cell>
        </row>
        <row r="1330">
          <cell r="A1330" t="str">
            <v>ETA</v>
          </cell>
        </row>
        <row r="1331">
          <cell r="A1331" t="str">
            <v>ETHAN</v>
          </cell>
        </row>
        <row r="1332">
          <cell r="A1332" t="str">
            <v>ETHEL</v>
          </cell>
        </row>
        <row r="1333">
          <cell r="A1333" t="str">
            <v>ETIENNE</v>
          </cell>
        </row>
        <row r="1334">
          <cell r="A1334" t="str">
            <v>ETSOA</v>
          </cell>
        </row>
        <row r="1335">
          <cell r="A1335" t="str">
            <v>ETSOA-A</v>
          </cell>
        </row>
        <row r="1336">
          <cell r="A1336" t="str">
            <v>ETSOA-B</v>
          </cell>
        </row>
        <row r="1337">
          <cell r="A1337" t="str">
            <v>ETSOA-C</v>
          </cell>
        </row>
        <row r="1338">
          <cell r="A1338" t="str">
            <v>ETSOA-D</v>
          </cell>
        </row>
        <row r="1339">
          <cell r="A1339" t="str">
            <v>ETSOA-E</v>
          </cell>
        </row>
        <row r="1340">
          <cell r="A1340" t="str">
            <v>EUCALYPTUS</v>
          </cell>
        </row>
        <row r="1341">
          <cell r="A1341" t="str">
            <v>EUCLID</v>
          </cell>
        </row>
        <row r="1342">
          <cell r="A1342" t="str">
            <v>EUDOXIA</v>
          </cell>
        </row>
        <row r="1343">
          <cell r="A1343" t="str">
            <v>Eugene</v>
          </cell>
        </row>
        <row r="1344">
          <cell r="A1344" t="str">
            <v>EUGENIA</v>
          </cell>
        </row>
        <row r="1345">
          <cell r="A1345" t="str">
            <v>EUGENIA-A</v>
          </cell>
        </row>
        <row r="1346">
          <cell r="A1346" t="str">
            <v>Eugenius</v>
          </cell>
        </row>
        <row r="1347">
          <cell r="A1347" t="str">
            <v>EUNICE</v>
          </cell>
        </row>
        <row r="1348">
          <cell r="A1348" t="str">
            <v>EUNOMIA</v>
          </cell>
        </row>
        <row r="1349">
          <cell r="A1349" t="str">
            <v>EUODIA</v>
          </cell>
        </row>
        <row r="1350">
          <cell r="A1350" t="str">
            <v>EUODIA-A</v>
          </cell>
        </row>
        <row r="1351">
          <cell r="A1351" t="str">
            <v>EUODIA-B</v>
          </cell>
        </row>
        <row r="1352">
          <cell r="A1352" t="str">
            <v>EUODIA-C</v>
          </cell>
        </row>
        <row r="1353">
          <cell r="A1353" t="str">
            <v>EUODIA-D</v>
          </cell>
        </row>
        <row r="1354">
          <cell r="A1354" t="str">
            <v>Euphemia</v>
          </cell>
        </row>
        <row r="1355">
          <cell r="A1355" t="str">
            <v>Euphemia-A</v>
          </cell>
        </row>
        <row r="1356">
          <cell r="A1356" t="str">
            <v>EURIPIDES</v>
          </cell>
        </row>
        <row r="1357">
          <cell r="A1357" t="str">
            <v>Europa</v>
          </cell>
        </row>
        <row r="1358">
          <cell r="A1358" t="str">
            <v>EUROPIUM</v>
          </cell>
        </row>
        <row r="1359">
          <cell r="A1359" t="str">
            <v>EURY</v>
          </cell>
        </row>
        <row r="1360">
          <cell r="A1360" t="str">
            <v>EURYDICE</v>
          </cell>
        </row>
        <row r="1361">
          <cell r="A1361" t="str">
            <v>EURYDICE-A</v>
          </cell>
        </row>
        <row r="1362">
          <cell r="A1362" t="str">
            <v>EURYDICE-B</v>
          </cell>
        </row>
        <row r="1363">
          <cell r="A1363" t="str">
            <v>EURYDICE-C</v>
          </cell>
        </row>
        <row r="1364">
          <cell r="A1364" t="str">
            <v>Eustace</v>
          </cell>
        </row>
        <row r="1365">
          <cell r="A1365" t="str">
            <v>EVA</v>
          </cell>
        </row>
        <row r="1366">
          <cell r="A1366" t="str">
            <v>EVANGELINE</v>
          </cell>
        </row>
        <row r="1367">
          <cell r="A1367" t="str">
            <v>EVE</v>
          </cell>
        </row>
        <row r="1368">
          <cell r="A1368" t="str">
            <v>EVE A</v>
          </cell>
        </row>
        <row r="1369">
          <cell r="A1369" t="str">
            <v>Evelyn</v>
          </cell>
        </row>
        <row r="1370">
          <cell r="A1370" t="str">
            <v>EVERLASTING</v>
          </cell>
        </row>
        <row r="1371">
          <cell r="A1371" t="str">
            <v>EVITA</v>
          </cell>
        </row>
        <row r="1372">
          <cell r="A1372" t="str">
            <v>EZRA</v>
          </cell>
        </row>
        <row r="1373">
          <cell r="A1373" t="str">
            <v>FABIO</v>
          </cell>
        </row>
        <row r="1374">
          <cell r="A1374" t="str">
            <v>Fady</v>
          </cell>
        </row>
        <row r="1375">
          <cell r="A1375" t="str">
            <v>FAIRBANKS SR.</v>
          </cell>
        </row>
        <row r="1376">
          <cell r="A1376" t="str">
            <v>FAIRBANKS,JR.</v>
          </cell>
        </row>
        <row r="1377">
          <cell r="A1377" t="str">
            <v>FAIRCHILD</v>
          </cell>
        </row>
        <row r="1378">
          <cell r="A1378" t="str">
            <v>FALSTAFF</v>
          </cell>
        </row>
        <row r="1379">
          <cell r="A1379" t="str">
            <v>FALY</v>
          </cell>
        </row>
        <row r="1380">
          <cell r="A1380" t="str">
            <v>FANDRASA</v>
          </cell>
        </row>
        <row r="1381">
          <cell r="A1381" t="str">
            <v>FANDRASA-A</v>
          </cell>
        </row>
        <row r="1382">
          <cell r="A1382" t="str">
            <v>FANDRASA-B</v>
          </cell>
        </row>
        <row r="1383">
          <cell r="A1383" t="str">
            <v>FANDRASA-C</v>
          </cell>
        </row>
        <row r="1384">
          <cell r="A1384" t="str">
            <v>FANDRASA-D</v>
          </cell>
        </row>
        <row r="1385">
          <cell r="A1385" t="str">
            <v>FANDRASA-E</v>
          </cell>
        </row>
        <row r="1386">
          <cell r="A1386" t="str">
            <v>FANDRASA-F</v>
          </cell>
        </row>
        <row r="1387">
          <cell r="A1387" t="str">
            <v>FANINDRY</v>
          </cell>
        </row>
        <row r="1388">
          <cell r="A1388" t="str">
            <v>Fanta</v>
          </cell>
        </row>
        <row r="1389">
          <cell r="A1389" t="str">
            <v>FANYA</v>
          </cell>
        </row>
        <row r="1390">
          <cell r="A1390" t="str">
            <v>Fara (ESAN)</v>
          </cell>
        </row>
        <row r="1391">
          <cell r="A1391" t="str">
            <v>FARA (EUL)</v>
          </cell>
        </row>
        <row r="1392">
          <cell r="A1392" t="str">
            <v>FARAVAZA</v>
          </cell>
        </row>
        <row r="1393">
          <cell r="A1393" t="str">
            <v>Farkleberry</v>
          </cell>
        </row>
        <row r="1394">
          <cell r="A1394" t="str">
            <v>FARU</v>
          </cell>
        </row>
        <row r="1395">
          <cell r="A1395" t="str">
            <v>FATIMA</v>
          </cell>
        </row>
        <row r="1396">
          <cell r="A1396" t="str">
            <v>FATIMA-A</v>
          </cell>
        </row>
        <row r="1397">
          <cell r="A1397" t="str">
            <v>FATIMA-B</v>
          </cell>
        </row>
        <row r="1398">
          <cell r="A1398" t="str">
            <v>Fauna</v>
          </cell>
        </row>
        <row r="1399">
          <cell r="A1399" t="str">
            <v>FAUSTINA</v>
          </cell>
        </row>
        <row r="1400">
          <cell r="A1400" t="str">
            <v>Faustina-A</v>
          </cell>
        </row>
        <row r="1401">
          <cell r="A1401" t="str">
            <v>Faustina-B</v>
          </cell>
        </row>
        <row r="1402">
          <cell r="A1402" t="str">
            <v>Faustina-C</v>
          </cell>
        </row>
        <row r="1403">
          <cell r="A1403" t="str">
            <v>Faustina-D</v>
          </cell>
        </row>
        <row r="1404">
          <cell r="A1404" t="str">
            <v>Felicia</v>
          </cell>
        </row>
        <row r="1405">
          <cell r="A1405" t="str">
            <v>Felipe</v>
          </cell>
        </row>
        <row r="1406">
          <cell r="A1406" t="str">
            <v>Felix (CMED)</v>
          </cell>
        </row>
        <row r="1407">
          <cell r="A1407" t="str">
            <v>Felix (EMON)</v>
          </cell>
        </row>
        <row r="1408">
          <cell r="A1408" t="str">
            <v>Felix (PCOQ)</v>
          </cell>
        </row>
        <row r="1409">
          <cell r="A1409" t="str">
            <v>Female #3</v>
          </cell>
        </row>
        <row r="1410">
          <cell r="A1410" t="str">
            <v>FENNEL</v>
          </cell>
        </row>
        <row r="1411">
          <cell r="A1411" t="str">
            <v>Ferdinand</v>
          </cell>
        </row>
        <row r="1412">
          <cell r="A1412" t="str">
            <v>FERMINA</v>
          </cell>
        </row>
        <row r="1413">
          <cell r="A1413" t="str">
            <v>Fern</v>
          </cell>
        </row>
        <row r="1414">
          <cell r="A1414" t="str">
            <v>Fernanda</v>
          </cell>
        </row>
        <row r="1415">
          <cell r="A1415" t="str">
            <v>FESTUS</v>
          </cell>
        </row>
        <row r="1416">
          <cell r="A1416" t="str">
            <v>FIDDLEWOOD</v>
          </cell>
        </row>
        <row r="1417">
          <cell r="A1417" t="str">
            <v>FIDEL</v>
          </cell>
        </row>
        <row r="1418">
          <cell r="A1418" t="str">
            <v>Fiery</v>
          </cell>
        </row>
        <row r="1419">
          <cell r="A1419" t="str">
            <v>FIG</v>
          </cell>
        </row>
        <row r="1420">
          <cell r="A1420" t="str">
            <v>FIGARO</v>
          </cell>
        </row>
        <row r="1421">
          <cell r="A1421" t="str">
            <v>Filbert</v>
          </cell>
        </row>
        <row r="1422">
          <cell r="A1422" t="str">
            <v>FINCH</v>
          </cell>
        </row>
        <row r="1423">
          <cell r="A1423" t="str">
            <v>FINNOCHIO</v>
          </cell>
        </row>
        <row r="1424">
          <cell r="A1424" t="str">
            <v>FIR</v>
          </cell>
        </row>
        <row r="1425">
          <cell r="A1425" t="str">
            <v>FIRASA</v>
          </cell>
        </row>
        <row r="1426">
          <cell r="A1426" t="str">
            <v>FIREFLY</v>
          </cell>
        </row>
        <row r="1427">
          <cell r="A1427" t="str">
            <v>Firefly-A</v>
          </cell>
        </row>
        <row r="1428">
          <cell r="A1428" t="str">
            <v>Firefly-B</v>
          </cell>
        </row>
        <row r="1429">
          <cell r="A1429" t="str">
            <v>FIREFLY-C</v>
          </cell>
        </row>
        <row r="1430">
          <cell r="A1430" t="str">
            <v>FITATSY</v>
          </cell>
        </row>
        <row r="1431">
          <cell r="A1431" t="str">
            <v>Fitily</v>
          </cell>
        </row>
        <row r="1432">
          <cell r="A1432" t="str">
            <v>FITSY</v>
          </cell>
        </row>
        <row r="1433">
          <cell r="A1433" t="str">
            <v>FLAME</v>
          </cell>
        </row>
        <row r="1434">
          <cell r="A1434" t="str">
            <v>Flame Thorn</v>
          </cell>
        </row>
        <row r="1435">
          <cell r="A1435" t="str">
            <v>FLARE</v>
          </cell>
        </row>
        <row r="1436">
          <cell r="A1436" t="str">
            <v>FLARE-A</v>
          </cell>
        </row>
        <row r="1437">
          <cell r="A1437" t="str">
            <v>FLASH</v>
          </cell>
        </row>
        <row r="1438">
          <cell r="A1438" t="str">
            <v>FLAVIA</v>
          </cell>
        </row>
        <row r="1439">
          <cell r="A1439" t="str">
            <v>FLAVIA-A</v>
          </cell>
        </row>
        <row r="1440">
          <cell r="A1440" t="str">
            <v>FLAVIA-B</v>
          </cell>
        </row>
        <row r="1441">
          <cell r="A1441" t="str">
            <v>Flavia-C</v>
          </cell>
        </row>
        <row r="1442">
          <cell r="A1442" t="str">
            <v>Flavia-D</v>
          </cell>
        </row>
        <row r="1443">
          <cell r="A1443" t="str">
            <v>Flea</v>
          </cell>
        </row>
        <row r="1444">
          <cell r="A1444" t="str">
            <v>FLEABANE</v>
          </cell>
        </row>
        <row r="1445">
          <cell r="A1445" t="str">
            <v>FLICKA</v>
          </cell>
        </row>
        <row r="1446">
          <cell r="A1446" t="str">
            <v>FLICKER</v>
          </cell>
        </row>
        <row r="1447">
          <cell r="A1447" t="str">
            <v>FLINT</v>
          </cell>
        </row>
        <row r="1448">
          <cell r="A1448" t="str">
            <v>Flip</v>
          </cell>
        </row>
        <row r="1449">
          <cell r="A1449" t="str">
            <v>FLO</v>
          </cell>
        </row>
        <row r="1450">
          <cell r="A1450" t="str">
            <v>Flor</v>
          </cell>
        </row>
        <row r="1451">
          <cell r="A1451" t="str">
            <v>FLORA</v>
          </cell>
        </row>
        <row r="1452">
          <cell r="A1452" t="str">
            <v>FLORENCE</v>
          </cell>
        </row>
        <row r="1453">
          <cell r="A1453" t="str">
            <v>Floretta</v>
          </cell>
        </row>
        <row r="1454">
          <cell r="A1454" t="str">
            <v>FLORETTE</v>
          </cell>
        </row>
        <row r="1455">
          <cell r="A1455" t="str">
            <v>Florette-A</v>
          </cell>
        </row>
        <row r="1456">
          <cell r="A1456" t="str">
            <v>Florette-B</v>
          </cell>
        </row>
        <row r="1457">
          <cell r="A1457" t="str">
            <v>Florette-C</v>
          </cell>
        </row>
        <row r="1458">
          <cell r="A1458" t="str">
            <v>FLUTE</v>
          </cell>
        </row>
        <row r="1459">
          <cell r="A1459" t="str">
            <v>FODY</v>
          </cell>
        </row>
        <row r="1460">
          <cell r="A1460" t="str">
            <v>FODY-A</v>
          </cell>
        </row>
        <row r="1461">
          <cell r="A1461" t="str">
            <v>FODY-B</v>
          </cell>
        </row>
        <row r="1462">
          <cell r="A1462" t="str">
            <v>FODY-C</v>
          </cell>
        </row>
        <row r="1463">
          <cell r="A1463" t="str">
            <v>FOGO</v>
          </cell>
        </row>
        <row r="1464">
          <cell r="A1464" t="str">
            <v>FONDI</v>
          </cell>
        </row>
        <row r="1465">
          <cell r="A1465" t="str">
            <v>FORTUNA</v>
          </cell>
        </row>
        <row r="1466">
          <cell r="A1466" t="str">
            <v>Foster</v>
          </cell>
        </row>
        <row r="1467">
          <cell r="A1467" t="str">
            <v>Foster-A</v>
          </cell>
        </row>
        <row r="1468">
          <cell r="A1468" t="str">
            <v>Foster-B</v>
          </cell>
        </row>
        <row r="1469">
          <cell r="A1469" t="str">
            <v>Foster-C</v>
          </cell>
        </row>
        <row r="1470">
          <cell r="A1470" t="str">
            <v>Foster-D</v>
          </cell>
        </row>
        <row r="1471">
          <cell r="A1471" t="str">
            <v>Foster-E</v>
          </cell>
        </row>
        <row r="1472">
          <cell r="A1472" t="str">
            <v>Fox</v>
          </cell>
        </row>
        <row r="1473">
          <cell r="A1473" t="str">
            <v>Foxglove</v>
          </cell>
        </row>
        <row r="1474">
          <cell r="A1474" t="str">
            <v>Francesca</v>
          </cell>
        </row>
        <row r="1475">
          <cell r="A1475" t="str">
            <v>Francesca-A</v>
          </cell>
        </row>
        <row r="1476">
          <cell r="A1476" t="str">
            <v>Francoise</v>
          </cell>
        </row>
        <row r="1477">
          <cell r="A1477" t="str">
            <v>Francolin</v>
          </cell>
        </row>
        <row r="1478">
          <cell r="A1478" t="str">
            <v>FRANKINCENS</v>
          </cell>
        </row>
        <row r="1479">
          <cell r="A1479" t="str">
            <v>FRED</v>
          </cell>
        </row>
        <row r="1480">
          <cell r="A1480" t="str">
            <v>FREDAGAR</v>
          </cell>
        </row>
        <row r="1481">
          <cell r="A1481" t="str">
            <v>Freddie</v>
          </cell>
        </row>
        <row r="1482">
          <cell r="A1482" t="str">
            <v>Fresca</v>
          </cell>
        </row>
        <row r="1483">
          <cell r="A1483" t="str">
            <v>FREYA</v>
          </cell>
        </row>
        <row r="1484">
          <cell r="A1484" t="str">
            <v>FREYA-A</v>
          </cell>
        </row>
        <row r="1485">
          <cell r="A1485" t="str">
            <v>FREYA-B</v>
          </cell>
        </row>
        <row r="1486">
          <cell r="A1486" t="str">
            <v>Frigga</v>
          </cell>
        </row>
        <row r="1487">
          <cell r="A1487" t="str">
            <v>FRIGGA-A</v>
          </cell>
        </row>
        <row r="1488">
          <cell r="A1488" t="str">
            <v>Fritz</v>
          </cell>
        </row>
        <row r="1489">
          <cell r="A1489" t="str">
            <v>Frizzle Chicken</v>
          </cell>
        </row>
        <row r="1490">
          <cell r="A1490" t="str">
            <v>Frodo</v>
          </cell>
        </row>
        <row r="1491">
          <cell r="A1491" t="str">
            <v>FRODO-A</v>
          </cell>
        </row>
        <row r="1492">
          <cell r="A1492" t="str">
            <v>FRODO-B</v>
          </cell>
        </row>
        <row r="1493">
          <cell r="A1493" t="str">
            <v>Fuggles</v>
          </cell>
        </row>
        <row r="1494">
          <cell r="A1494" t="str">
            <v>FULANI</v>
          </cell>
        </row>
        <row r="1495">
          <cell r="A1495" t="str">
            <v>FULANI-A</v>
          </cell>
        </row>
        <row r="1496">
          <cell r="A1496" t="str">
            <v>Furia</v>
          </cell>
        </row>
        <row r="1497">
          <cell r="A1497" t="str">
            <v>Furia-A</v>
          </cell>
        </row>
        <row r="1498">
          <cell r="A1498" t="str">
            <v>Furia-B</v>
          </cell>
        </row>
        <row r="1499">
          <cell r="A1499" t="str">
            <v>Fuzzy Wuzzy</v>
          </cell>
        </row>
        <row r="1500">
          <cell r="A1500" t="str">
            <v>GABRIEL</v>
          </cell>
        </row>
        <row r="1501">
          <cell r="A1501" t="str">
            <v>GAEA</v>
          </cell>
        </row>
        <row r="1502">
          <cell r="A1502" t="str">
            <v>GAIA</v>
          </cell>
        </row>
        <row r="1503">
          <cell r="A1503" t="str">
            <v>GAIUS</v>
          </cell>
        </row>
        <row r="1504">
          <cell r="A1504" t="str">
            <v>Gaius Galerus</v>
          </cell>
        </row>
        <row r="1505">
          <cell r="A1505" t="str">
            <v>GAIUS-JULIUS</v>
          </cell>
        </row>
        <row r="1506">
          <cell r="A1506" t="str">
            <v>GAKA</v>
          </cell>
        </row>
        <row r="1507">
          <cell r="A1507" t="str">
            <v>GALAGOIDES</v>
          </cell>
        </row>
        <row r="1508">
          <cell r="A1508" t="str">
            <v>GALAHAD</v>
          </cell>
        </row>
        <row r="1509">
          <cell r="A1509" t="str">
            <v>GALATEA</v>
          </cell>
        </row>
        <row r="1510">
          <cell r="A1510" t="str">
            <v>Galaxy</v>
          </cell>
        </row>
        <row r="1511">
          <cell r="A1511" t="str">
            <v>GALBANUM</v>
          </cell>
        </row>
        <row r="1512">
          <cell r="A1512" t="str">
            <v>GALENA</v>
          </cell>
        </row>
        <row r="1513">
          <cell r="A1513" t="str">
            <v>GALERIA</v>
          </cell>
        </row>
        <row r="1514">
          <cell r="A1514" t="str">
            <v>GALLIUM</v>
          </cell>
        </row>
        <row r="1515">
          <cell r="A1515" t="str">
            <v>GALLIUM-A</v>
          </cell>
        </row>
        <row r="1516">
          <cell r="A1516" t="str">
            <v>GAMAL</v>
          </cell>
        </row>
        <row r="1517">
          <cell r="A1517" t="str">
            <v>GAMALIEL</v>
          </cell>
        </row>
        <row r="1518">
          <cell r="A1518" t="str">
            <v>GAMGEE</v>
          </cell>
        </row>
        <row r="1519">
          <cell r="A1519" t="str">
            <v>GAMMA</v>
          </cell>
        </row>
        <row r="1520">
          <cell r="A1520" t="str">
            <v>GANDHARI</v>
          </cell>
        </row>
        <row r="1521">
          <cell r="A1521" t="str">
            <v>GANDHARI-A</v>
          </cell>
        </row>
        <row r="1522">
          <cell r="A1522" t="str">
            <v>GANESH</v>
          </cell>
        </row>
        <row r="1523">
          <cell r="A1523" t="str">
            <v>GANNET</v>
          </cell>
        </row>
        <row r="1524">
          <cell r="A1524" t="str">
            <v>GANYMEDE</v>
          </cell>
        </row>
        <row r="1525">
          <cell r="A1525" t="str">
            <v>GARBO</v>
          </cell>
        </row>
        <row r="1526">
          <cell r="A1526" t="str">
            <v>GARFIELD</v>
          </cell>
        </row>
        <row r="1527">
          <cell r="A1527" t="str">
            <v>GARLAND</v>
          </cell>
        </row>
        <row r="1528">
          <cell r="A1528" t="str">
            <v>GARLAND-A</v>
          </cell>
        </row>
        <row r="1529">
          <cell r="A1529" t="str">
            <v>GARLIC</v>
          </cell>
        </row>
        <row r="1530">
          <cell r="A1530" t="str">
            <v>GARNET</v>
          </cell>
        </row>
        <row r="1531">
          <cell r="A1531" t="str">
            <v>GARTH</v>
          </cell>
        </row>
        <row r="1532">
          <cell r="A1532" t="str">
            <v>GASA</v>
          </cell>
        </row>
        <row r="1533">
          <cell r="A1533" t="str">
            <v>GASTON</v>
          </cell>
        </row>
        <row r="1534">
          <cell r="A1534" t="str">
            <v>GATSBY</v>
          </cell>
        </row>
        <row r="1535">
          <cell r="A1535" t="str">
            <v>GE</v>
          </cell>
        </row>
        <row r="1536">
          <cell r="A1536" t="str">
            <v>Geb</v>
          </cell>
        </row>
        <row r="1537">
          <cell r="A1537" t="str">
            <v>GEETHA</v>
          </cell>
        </row>
        <row r="1538">
          <cell r="A1538" t="str">
            <v>Gellar</v>
          </cell>
        </row>
        <row r="1539">
          <cell r="A1539" t="str">
            <v>GELON</v>
          </cell>
        </row>
        <row r="1540">
          <cell r="A1540" t="str">
            <v>Gemina</v>
          </cell>
        </row>
        <row r="1541">
          <cell r="A1541" t="str">
            <v>Gemina-B</v>
          </cell>
        </row>
        <row r="1542">
          <cell r="A1542" t="str">
            <v>GEMINI</v>
          </cell>
        </row>
        <row r="1543">
          <cell r="A1543" t="str">
            <v>GENTLE BEN</v>
          </cell>
        </row>
        <row r="1544">
          <cell r="A1544" t="str">
            <v>GEO</v>
          </cell>
        </row>
        <row r="1545">
          <cell r="A1545" t="str">
            <v>GEODE</v>
          </cell>
        </row>
        <row r="1546">
          <cell r="A1546" t="str">
            <v>George</v>
          </cell>
        </row>
        <row r="1547">
          <cell r="A1547" t="str">
            <v>Georges</v>
          </cell>
        </row>
        <row r="1548">
          <cell r="A1548" t="str">
            <v>GEOS</v>
          </cell>
        </row>
        <row r="1549">
          <cell r="A1549" t="str">
            <v>GEPETTO</v>
          </cell>
        </row>
        <row r="1550">
          <cell r="A1550" t="str">
            <v>Geraldine</v>
          </cell>
        </row>
        <row r="1551">
          <cell r="A1551" t="str">
            <v>GERARD</v>
          </cell>
        </row>
        <row r="1552">
          <cell r="A1552" t="str">
            <v>Gertrude</v>
          </cell>
        </row>
        <row r="1553">
          <cell r="A1553" t="str">
            <v>Gertrude-A</v>
          </cell>
        </row>
        <row r="1554">
          <cell r="A1554" t="str">
            <v>Gertrude-B</v>
          </cell>
        </row>
        <row r="1555">
          <cell r="A1555" t="str">
            <v>Gertrude-C</v>
          </cell>
        </row>
        <row r="1556">
          <cell r="A1556" t="str">
            <v>Geta</v>
          </cell>
        </row>
        <row r="1557">
          <cell r="A1557" t="str">
            <v>GETHRO</v>
          </cell>
        </row>
        <row r="1558">
          <cell r="A1558" t="str">
            <v>GHF23-00416</v>
          </cell>
        </row>
        <row r="1559">
          <cell r="A1559" t="str">
            <v>GIBSON</v>
          </cell>
        </row>
        <row r="1560">
          <cell r="A1560" t="str">
            <v>GIDEON</v>
          </cell>
        </row>
        <row r="1561">
          <cell r="A1561" t="str">
            <v>Gidro</v>
          </cell>
        </row>
        <row r="1562">
          <cell r="A1562" t="str">
            <v>GILLES</v>
          </cell>
        </row>
        <row r="1563">
          <cell r="A1563" t="str">
            <v>Ginger</v>
          </cell>
        </row>
        <row r="1564">
          <cell r="A1564" t="str">
            <v>GINGER-A</v>
          </cell>
        </row>
        <row r="1565">
          <cell r="A1565" t="str">
            <v>GINGY</v>
          </cell>
        </row>
        <row r="1566">
          <cell r="A1566" t="str">
            <v>GINKO</v>
          </cell>
        </row>
        <row r="1567">
          <cell r="A1567" t="str">
            <v>GINKO-A</v>
          </cell>
        </row>
        <row r="1568">
          <cell r="A1568" t="str">
            <v>GINKO-B</v>
          </cell>
        </row>
        <row r="1569">
          <cell r="A1569" t="str">
            <v>GINKO-C</v>
          </cell>
        </row>
        <row r="1570">
          <cell r="A1570" t="str">
            <v>GINSBERG</v>
          </cell>
        </row>
        <row r="1571">
          <cell r="A1571" t="str">
            <v>Giscard</v>
          </cell>
        </row>
        <row r="1572">
          <cell r="A1572" t="str">
            <v>Gisela</v>
          </cell>
        </row>
        <row r="1573">
          <cell r="A1573" t="str">
            <v>Gisela-A</v>
          </cell>
        </row>
        <row r="1574">
          <cell r="A1574" t="str">
            <v>GLAUCON</v>
          </cell>
        </row>
        <row r="1575">
          <cell r="A1575" t="str">
            <v>GLOBIN</v>
          </cell>
        </row>
        <row r="1576">
          <cell r="A1576" t="str">
            <v>GNA</v>
          </cell>
        </row>
        <row r="1577">
          <cell r="A1577" t="str">
            <v>GNAT</v>
          </cell>
        </row>
        <row r="1578">
          <cell r="A1578" t="str">
            <v>Goblin</v>
          </cell>
        </row>
        <row r="1579">
          <cell r="A1579" t="str">
            <v>Gobo</v>
          </cell>
        </row>
        <row r="1580">
          <cell r="A1580" t="str">
            <v>Goldie</v>
          </cell>
        </row>
        <row r="1581">
          <cell r="A1581" t="str">
            <v>GOLIATH</v>
          </cell>
        </row>
        <row r="1582">
          <cell r="A1582" t="str">
            <v>GOMER</v>
          </cell>
        </row>
        <row r="1583">
          <cell r="A1583" t="str">
            <v>Gongyla</v>
          </cell>
        </row>
        <row r="1584">
          <cell r="A1584" t="str">
            <v>GONZO</v>
          </cell>
        </row>
        <row r="1585">
          <cell r="A1585" t="str">
            <v>Goober</v>
          </cell>
        </row>
        <row r="1586">
          <cell r="A1586" t="str">
            <v>Goose</v>
          </cell>
        </row>
        <row r="1587">
          <cell r="A1587" t="str">
            <v>GOOSEGRASS</v>
          </cell>
        </row>
        <row r="1588">
          <cell r="A1588" t="str">
            <v>GOOSEGRASS-A</v>
          </cell>
        </row>
        <row r="1589">
          <cell r="A1589" t="str">
            <v>GOOSEGRASS-B</v>
          </cell>
        </row>
        <row r="1590">
          <cell r="A1590" t="str">
            <v>GOPALI</v>
          </cell>
        </row>
        <row r="1591">
          <cell r="A1591" t="str">
            <v>GOPI</v>
          </cell>
        </row>
        <row r="1592">
          <cell r="A1592" t="str">
            <v>GORDA</v>
          </cell>
        </row>
        <row r="1593">
          <cell r="A1593" t="str">
            <v>Gordian</v>
          </cell>
        </row>
        <row r="1594">
          <cell r="A1594" t="str">
            <v>GORGO</v>
          </cell>
        </row>
        <row r="1595">
          <cell r="A1595" t="str">
            <v>GORGON</v>
          </cell>
        </row>
        <row r="1596">
          <cell r="A1596" t="str">
            <v>GORY</v>
          </cell>
        </row>
        <row r="1597">
          <cell r="A1597" t="str">
            <v>Gothicus</v>
          </cell>
        </row>
        <row r="1598">
          <cell r="A1598" t="str">
            <v>GRABLE</v>
          </cell>
        </row>
        <row r="1599">
          <cell r="A1599" t="str">
            <v>Grace</v>
          </cell>
        </row>
        <row r="1600">
          <cell r="A1600" t="str">
            <v>GRACKLE</v>
          </cell>
        </row>
        <row r="1601">
          <cell r="A1601" t="str">
            <v>GRAM</v>
          </cell>
        </row>
        <row r="1602">
          <cell r="A1602" t="str">
            <v>GRANITE</v>
          </cell>
        </row>
        <row r="1603">
          <cell r="A1603" t="str">
            <v>GRASSHOPPER</v>
          </cell>
        </row>
        <row r="1604">
          <cell r="A1604" t="str">
            <v>Gratian</v>
          </cell>
        </row>
        <row r="1605">
          <cell r="A1605" t="str">
            <v>Green Bean</v>
          </cell>
        </row>
        <row r="1606">
          <cell r="A1606" t="str">
            <v>GREENTHORN</v>
          </cell>
        </row>
        <row r="1607">
          <cell r="A1607" t="str">
            <v>Grendel</v>
          </cell>
        </row>
        <row r="1608">
          <cell r="A1608" t="str">
            <v>Gretl</v>
          </cell>
        </row>
        <row r="1609">
          <cell r="A1609" t="str">
            <v>Griselda</v>
          </cell>
        </row>
        <row r="1610">
          <cell r="A1610" t="str">
            <v>GRITS</v>
          </cell>
        </row>
        <row r="1611">
          <cell r="A1611" t="str">
            <v>GRIZZILDA</v>
          </cell>
        </row>
        <row r="1612">
          <cell r="A1612" t="str">
            <v>GRUS</v>
          </cell>
        </row>
        <row r="1613">
          <cell r="A1613" t="str">
            <v>Guadalupe</v>
          </cell>
        </row>
        <row r="1614">
          <cell r="A1614" t="str">
            <v>GUAVA</v>
          </cell>
        </row>
        <row r="1615">
          <cell r="A1615" t="str">
            <v>GUCCI</v>
          </cell>
        </row>
        <row r="1616">
          <cell r="A1616" t="str">
            <v>GUDRUN</v>
          </cell>
        </row>
        <row r="1617">
          <cell r="A1617" t="str">
            <v>GUIDO</v>
          </cell>
        </row>
        <row r="1618">
          <cell r="A1618" t="str">
            <v>GUILLAUME</v>
          </cell>
        </row>
        <row r="1619">
          <cell r="A1619" t="str">
            <v>GUILLERMO</v>
          </cell>
        </row>
        <row r="1620">
          <cell r="A1620" t="str">
            <v>GUINEVERE</v>
          </cell>
        </row>
        <row r="1621">
          <cell r="A1621" t="str">
            <v>Gulliver</v>
          </cell>
        </row>
        <row r="1622">
          <cell r="A1622" t="str">
            <v>GULLY GUM</v>
          </cell>
        </row>
        <row r="1623">
          <cell r="A1623" t="str">
            <v>Gumbo</v>
          </cell>
        </row>
        <row r="1624">
          <cell r="A1624" t="str">
            <v>GUMTREE</v>
          </cell>
        </row>
        <row r="1625">
          <cell r="A1625" t="str">
            <v>GUNNAR</v>
          </cell>
        </row>
        <row r="1626">
          <cell r="A1626" t="str">
            <v>GUNTHER</v>
          </cell>
        </row>
        <row r="1627">
          <cell r="A1627" t="str">
            <v>GUS</v>
          </cell>
        </row>
        <row r="1628">
          <cell r="A1628" t="str">
            <v>GUSTAVO</v>
          </cell>
        </row>
        <row r="1629">
          <cell r="A1629" t="str">
            <v>GUY</v>
          </cell>
        </row>
        <row r="1630">
          <cell r="A1630" t="str">
            <v>GYPSUM</v>
          </cell>
        </row>
        <row r="1631">
          <cell r="A1631" t="str">
            <v>HABARI</v>
          </cell>
        </row>
        <row r="1632">
          <cell r="A1632" t="str">
            <v>HABARI-A</v>
          </cell>
        </row>
        <row r="1633">
          <cell r="A1633" t="str">
            <v>HABARI-B</v>
          </cell>
        </row>
        <row r="1634">
          <cell r="A1634" t="str">
            <v>HACKBERRY</v>
          </cell>
        </row>
        <row r="1635">
          <cell r="A1635" t="str">
            <v>HACKBERRY-A</v>
          </cell>
        </row>
        <row r="1636">
          <cell r="A1636" t="str">
            <v>HADES</v>
          </cell>
        </row>
        <row r="1637">
          <cell r="A1637" t="str">
            <v>HADIYA</v>
          </cell>
        </row>
        <row r="1638">
          <cell r="A1638" t="str">
            <v>HADRIAN</v>
          </cell>
        </row>
        <row r="1639">
          <cell r="A1639" t="str">
            <v>HAGAR</v>
          </cell>
        </row>
        <row r="1640">
          <cell r="A1640" t="str">
            <v>HAGEN</v>
          </cell>
        </row>
        <row r="1641">
          <cell r="A1641" t="str">
            <v>HAJA</v>
          </cell>
        </row>
        <row r="1642">
          <cell r="A1642" t="str">
            <v>HAJI</v>
          </cell>
        </row>
        <row r="1643">
          <cell r="A1643" t="str">
            <v>HALCYONE</v>
          </cell>
        </row>
        <row r="1644">
          <cell r="A1644" t="str">
            <v>HALCYONE-A</v>
          </cell>
        </row>
        <row r="1645">
          <cell r="A1645" t="str">
            <v>HALCYONE-B</v>
          </cell>
        </row>
        <row r="1646">
          <cell r="A1646" t="str">
            <v>HALCYONE-C</v>
          </cell>
        </row>
        <row r="1647">
          <cell r="A1647" t="str">
            <v>HALE</v>
          </cell>
        </row>
        <row r="1648">
          <cell r="A1648" t="str">
            <v>HALE-A</v>
          </cell>
        </row>
        <row r="1649">
          <cell r="A1649" t="str">
            <v>Hale-C</v>
          </cell>
        </row>
        <row r="1650">
          <cell r="A1650" t="str">
            <v>HALIMA</v>
          </cell>
        </row>
        <row r="1651">
          <cell r="A1651" t="str">
            <v>HALIMA-A</v>
          </cell>
        </row>
        <row r="1652">
          <cell r="A1652" t="str">
            <v>HALITE</v>
          </cell>
        </row>
        <row r="1653">
          <cell r="A1653" t="str">
            <v>Halley</v>
          </cell>
        </row>
        <row r="1654">
          <cell r="A1654" t="str">
            <v>HALLOYSITE</v>
          </cell>
        </row>
        <row r="1655">
          <cell r="A1655" t="str">
            <v>HALOGEN</v>
          </cell>
        </row>
        <row r="1656">
          <cell r="A1656" t="str">
            <v>HAM</v>
          </cell>
        </row>
        <row r="1657">
          <cell r="A1657" t="str">
            <v>HAMADA</v>
          </cell>
        </row>
        <row r="1658">
          <cell r="A1658" t="str">
            <v>HAMAL</v>
          </cell>
        </row>
        <row r="1659">
          <cell r="A1659" t="str">
            <v>HAMAN</v>
          </cell>
        </row>
        <row r="1660">
          <cell r="A1660" t="str">
            <v>Hamill</v>
          </cell>
        </row>
        <row r="1661">
          <cell r="A1661" t="str">
            <v>HANKA</v>
          </cell>
        </row>
        <row r="1662">
          <cell r="A1662" t="str">
            <v>HANNAH</v>
          </cell>
        </row>
        <row r="1663">
          <cell r="A1663" t="str">
            <v>Hannibal</v>
          </cell>
        </row>
        <row r="1664">
          <cell r="A1664" t="str">
            <v>HANSEL</v>
          </cell>
        </row>
        <row r="1665">
          <cell r="A1665" t="str">
            <v>HANTA</v>
          </cell>
        </row>
        <row r="1666">
          <cell r="A1666" t="str">
            <v>HANUMAN</v>
          </cell>
        </row>
        <row r="1667">
          <cell r="A1667" t="str">
            <v>Hapi</v>
          </cell>
        </row>
        <row r="1668">
          <cell r="A1668" t="str">
            <v>HAPPY</v>
          </cell>
        </row>
        <row r="1669">
          <cell r="A1669" t="str">
            <v>HARAKA</v>
          </cell>
        </row>
        <row r="1670">
          <cell r="A1670" t="str">
            <v>HARI</v>
          </cell>
        </row>
        <row r="1671">
          <cell r="A1671" t="str">
            <v>HARLOW</v>
          </cell>
        </row>
        <row r="1672">
          <cell r="A1672" t="str">
            <v>Harmonia</v>
          </cell>
        </row>
        <row r="1673">
          <cell r="A1673" t="str">
            <v>Harriot</v>
          </cell>
        </row>
        <row r="1674">
          <cell r="A1674" t="str">
            <v>HASANI</v>
          </cell>
        </row>
        <row r="1675">
          <cell r="A1675" t="str">
            <v>HASINI</v>
          </cell>
        </row>
        <row r="1676">
          <cell r="A1676" t="str">
            <v>HASINI-A</v>
          </cell>
        </row>
        <row r="1677">
          <cell r="A1677" t="str">
            <v>HASINI-B</v>
          </cell>
        </row>
        <row r="1678">
          <cell r="A1678" t="str">
            <v>HASINI-C</v>
          </cell>
        </row>
        <row r="1679">
          <cell r="A1679" t="str">
            <v>HATHOR</v>
          </cell>
        </row>
        <row r="1680">
          <cell r="A1680" t="str">
            <v>HATHOR-A</v>
          </cell>
        </row>
        <row r="1681">
          <cell r="A1681" t="str">
            <v>HATHOR-B</v>
          </cell>
        </row>
        <row r="1682">
          <cell r="A1682" t="str">
            <v>Hatshepsut</v>
          </cell>
        </row>
        <row r="1683">
          <cell r="A1683" t="str">
            <v>HAVENS</v>
          </cell>
        </row>
        <row r="1684">
          <cell r="A1684" t="str">
            <v>Havozo</v>
          </cell>
        </row>
        <row r="1685">
          <cell r="A1685" t="str">
            <v>HAWA</v>
          </cell>
        </row>
        <row r="1686">
          <cell r="A1686" t="str">
            <v>HAWA-A</v>
          </cell>
        </row>
        <row r="1687">
          <cell r="A1687" t="str">
            <v>HAWTHORN</v>
          </cell>
        </row>
        <row r="1688">
          <cell r="A1688" t="str">
            <v>HAWTHORNE-A</v>
          </cell>
        </row>
        <row r="1689">
          <cell r="A1689" t="str">
            <v>Hazel</v>
          </cell>
        </row>
        <row r="1690">
          <cell r="A1690" t="str">
            <v>HEATHCLIFFE</v>
          </cell>
        </row>
        <row r="1691">
          <cell r="A1691" t="str">
            <v>Hebe</v>
          </cell>
        </row>
        <row r="1692">
          <cell r="A1692" t="str">
            <v>Hebe-A</v>
          </cell>
        </row>
        <row r="1693">
          <cell r="A1693" t="str">
            <v>Hebe-B</v>
          </cell>
        </row>
        <row r="1694">
          <cell r="A1694" t="str">
            <v>HECATE</v>
          </cell>
        </row>
        <row r="1695">
          <cell r="A1695" t="str">
            <v>Hector</v>
          </cell>
        </row>
        <row r="1696">
          <cell r="A1696" t="str">
            <v>HECTOR II</v>
          </cell>
        </row>
        <row r="1697">
          <cell r="A1697" t="str">
            <v>HECTORITE</v>
          </cell>
        </row>
        <row r="1698">
          <cell r="A1698" t="str">
            <v>HECUBA</v>
          </cell>
        </row>
        <row r="1699">
          <cell r="A1699" t="str">
            <v>HECUBA-A</v>
          </cell>
        </row>
        <row r="1700">
          <cell r="A1700" t="str">
            <v>HECUBA-B</v>
          </cell>
        </row>
        <row r="1701">
          <cell r="A1701" t="str">
            <v>Hedwig</v>
          </cell>
        </row>
        <row r="1702">
          <cell r="A1702" t="str">
            <v>Hedy</v>
          </cell>
        </row>
        <row r="1703">
          <cell r="A1703" t="str">
            <v>HEFFALUMP</v>
          </cell>
        </row>
        <row r="1704">
          <cell r="A1704" t="str">
            <v>Heinz</v>
          </cell>
        </row>
        <row r="1705">
          <cell r="A1705" t="str">
            <v>HELEN</v>
          </cell>
        </row>
        <row r="1706">
          <cell r="A1706" t="str">
            <v>Helena</v>
          </cell>
        </row>
        <row r="1707">
          <cell r="A1707" t="str">
            <v>Helene</v>
          </cell>
        </row>
        <row r="1708">
          <cell r="A1708" t="str">
            <v>Helianthus</v>
          </cell>
        </row>
        <row r="1709">
          <cell r="A1709" t="str">
            <v>HELIODOR</v>
          </cell>
        </row>
        <row r="1710">
          <cell r="A1710" t="str">
            <v>HELIOS</v>
          </cell>
        </row>
        <row r="1711">
          <cell r="A1711" t="str">
            <v>HELIUM</v>
          </cell>
        </row>
        <row r="1712">
          <cell r="A1712" t="str">
            <v>HELLE</v>
          </cell>
        </row>
        <row r="1713">
          <cell r="A1713" t="str">
            <v>Hellebore</v>
          </cell>
        </row>
        <row r="1714">
          <cell r="A1714" t="str">
            <v>HEME</v>
          </cell>
        </row>
        <row r="1715">
          <cell r="A1715" t="str">
            <v>HEME-A</v>
          </cell>
        </row>
        <row r="1716">
          <cell r="A1716" t="str">
            <v>HEME-B</v>
          </cell>
        </row>
        <row r="1717">
          <cell r="A1717" t="str">
            <v>HEME-C</v>
          </cell>
        </row>
        <row r="1718">
          <cell r="A1718" t="str">
            <v>HEMLOCK</v>
          </cell>
        </row>
        <row r="1719">
          <cell r="A1719" t="str">
            <v>HEMP</v>
          </cell>
        </row>
        <row r="1720">
          <cell r="A1720" t="str">
            <v>Hemsworth</v>
          </cell>
        </row>
        <row r="1721">
          <cell r="A1721" t="str">
            <v>Hendricks</v>
          </cell>
        </row>
        <row r="1722">
          <cell r="A1722" t="str">
            <v>HENNA</v>
          </cell>
        </row>
        <row r="1723">
          <cell r="A1723" t="str">
            <v>HENRI</v>
          </cell>
        </row>
        <row r="1724">
          <cell r="A1724" t="str">
            <v>HENRIE</v>
          </cell>
        </row>
        <row r="1725">
          <cell r="A1725" t="str">
            <v>HENRY</v>
          </cell>
        </row>
        <row r="1726">
          <cell r="A1726" t="str">
            <v>HEPATICA</v>
          </cell>
        </row>
        <row r="1727">
          <cell r="A1727" t="str">
            <v>HEPBURN</v>
          </cell>
        </row>
        <row r="1728">
          <cell r="A1728" t="str">
            <v>HEPBURN-A</v>
          </cell>
        </row>
        <row r="1729">
          <cell r="A1729" t="str">
            <v>HEPBURN-B</v>
          </cell>
        </row>
        <row r="1730">
          <cell r="A1730" t="str">
            <v>HEPBURN-C</v>
          </cell>
        </row>
        <row r="1731">
          <cell r="A1731" t="str">
            <v>Hepburn-D</v>
          </cell>
        </row>
        <row r="1732">
          <cell r="A1732" t="str">
            <v>HEPZIBAH</v>
          </cell>
        </row>
        <row r="1733">
          <cell r="A1733" t="str">
            <v>HERA</v>
          </cell>
        </row>
        <row r="1734">
          <cell r="A1734" t="str">
            <v>HERACLES</v>
          </cell>
        </row>
        <row r="1735">
          <cell r="A1735" t="str">
            <v>HERCULES</v>
          </cell>
        </row>
        <row r="1736">
          <cell r="A1736" t="str">
            <v>Hercules (PCOQ)</v>
          </cell>
        </row>
        <row r="1737">
          <cell r="A1737" t="str">
            <v>HERMIONE</v>
          </cell>
        </row>
        <row r="1738">
          <cell r="A1738" t="str">
            <v>Hermione II</v>
          </cell>
        </row>
        <row r="1739">
          <cell r="A1739" t="str">
            <v>Hermione II-A (VVV)</v>
          </cell>
        </row>
        <row r="1740">
          <cell r="A1740" t="str">
            <v>Hermione II-B (VVV)</v>
          </cell>
        </row>
        <row r="1741">
          <cell r="A1741" t="str">
            <v>Hermione II-C</v>
          </cell>
        </row>
        <row r="1742">
          <cell r="A1742" t="str">
            <v>Hermione II-D</v>
          </cell>
        </row>
        <row r="1743">
          <cell r="A1743" t="str">
            <v>Hermione II-E</v>
          </cell>
        </row>
        <row r="1744">
          <cell r="A1744" t="str">
            <v>HERMIONE-A</v>
          </cell>
        </row>
        <row r="1745">
          <cell r="A1745" t="str">
            <v>HERMIONE-B</v>
          </cell>
        </row>
        <row r="1746">
          <cell r="A1746" t="str">
            <v>HERMIT</v>
          </cell>
        </row>
        <row r="1747">
          <cell r="A1747" t="str">
            <v>HERO</v>
          </cell>
        </row>
        <row r="1748">
          <cell r="A1748" t="str">
            <v>HERO-A</v>
          </cell>
        </row>
        <row r="1749">
          <cell r="A1749" t="str">
            <v>HEROD</v>
          </cell>
        </row>
        <row r="1750">
          <cell r="A1750" t="str">
            <v>HERODIAS</v>
          </cell>
        </row>
        <row r="1751">
          <cell r="A1751" t="str">
            <v>HERODIAS-A</v>
          </cell>
        </row>
        <row r="1752">
          <cell r="A1752" t="str">
            <v>HERODIAS-B</v>
          </cell>
        </row>
        <row r="1753">
          <cell r="A1753" t="str">
            <v>HERODIAS-C</v>
          </cell>
        </row>
        <row r="1754">
          <cell r="A1754" t="str">
            <v>HERODIAS-D</v>
          </cell>
        </row>
        <row r="1755">
          <cell r="A1755" t="str">
            <v>HERODIAS-E</v>
          </cell>
        </row>
        <row r="1756">
          <cell r="A1756" t="str">
            <v>HERODIAS-F</v>
          </cell>
        </row>
        <row r="1757">
          <cell r="A1757" t="str">
            <v>Herodotus</v>
          </cell>
        </row>
        <row r="1758">
          <cell r="A1758" t="str">
            <v>Herschel</v>
          </cell>
        </row>
        <row r="1759">
          <cell r="A1759" t="str">
            <v>HERY</v>
          </cell>
        </row>
        <row r="1760">
          <cell r="A1760" t="str">
            <v>HESIOD</v>
          </cell>
        </row>
        <row r="1761">
          <cell r="A1761" t="str">
            <v>HESPER</v>
          </cell>
        </row>
        <row r="1762">
          <cell r="A1762" t="str">
            <v>HESPERUS</v>
          </cell>
        </row>
        <row r="1763">
          <cell r="A1763" t="str">
            <v>HESTIA</v>
          </cell>
        </row>
        <row r="1764">
          <cell r="A1764" t="str">
            <v>HESTIA-A</v>
          </cell>
        </row>
        <row r="1765">
          <cell r="A1765" t="str">
            <v>HEZRON</v>
          </cell>
        </row>
        <row r="1766">
          <cell r="A1766" t="str">
            <v>Hibernia</v>
          </cell>
        </row>
        <row r="1767">
          <cell r="A1767" t="str">
            <v>Hibernia-A</v>
          </cell>
        </row>
        <row r="1768">
          <cell r="A1768" t="str">
            <v>HICKORY</v>
          </cell>
        </row>
        <row r="1769">
          <cell r="A1769" t="str">
            <v>Hiddleston</v>
          </cell>
        </row>
        <row r="1770">
          <cell r="A1770" t="str">
            <v>HIERON</v>
          </cell>
        </row>
        <row r="1771">
          <cell r="A1771" t="str">
            <v>HILDA</v>
          </cell>
        </row>
        <row r="1772">
          <cell r="A1772" t="str">
            <v>HILDA-A</v>
          </cell>
        </row>
        <row r="1773">
          <cell r="A1773" t="str">
            <v>HIMALIA</v>
          </cell>
        </row>
        <row r="1774">
          <cell r="A1774" t="str">
            <v>HIMALIA-A</v>
          </cell>
        </row>
        <row r="1775">
          <cell r="A1775" t="str">
            <v>HINDRY</v>
          </cell>
        </row>
        <row r="1776">
          <cell r="A1776" t="str">
            <v>HIPPIAS</v>
          </cell>
        </row>
        <row r="1777">
          <cell r="A1777" t="str">
            <v>HIPPOCRATES</v>
          </cell>
        </row>
        <row r="1778">
          <cell r="A1778" t="str">
            <v>Hitchcock</v>
          </cell>
        </row>
        <row r="1779">
          <cell r="A1779" t="str">
            <v>Hitsikitsika</v>
          </cell>
        </row>
        <row r="1780">
          <cell r="A1780" t="str">
            <v>HODUR</v>
          </cell>
        </row>
        <row r="1781">
          <cell r="A1781" t="str">
            <v>HOFFMAN</v>
          </cell>
        </row>
        <row r="1782">
          <cell r="A1782" t="str">
            <v>Hoku</v>
          </cell>
        </row>
        <row r="1783">
          <cell r="A1783" t="str">
            <v>HOLLY</v>
          </cell>
        </row>
        <row r="1784">
          <cell r="A1784" t="str">
            <v>HOLLY-A</v>
          </cell>
        </row>
        <row r="1785">
          <cell r="A1785" t="str">
            <v>HOLLY-B</v>
          </cell>
        </row>
        <row r="1786">
          <cell r="A1786" t="str">
            <v>HOLLY-C</v>
          </cell>
        </row>
        <row r="1787">
          <cell r="A1787" t="str">
            <v>HOMER</v>
          </cell>
        </row>
        <row r="1788">
          <cell r="A1788" t="str">
            <v>HOMINY</v>
          </cell>
        </row>
        <row r="1789">
          <cell r="A1789" t="str">
            <v>Honey Bee</v>
          </cell>
        </row>
        <row r="1790">
          <cell r="A1790" t="str">
            <v>Honoria</v>
          </cell>
        </row>
        <row r="1791">
          <cell r="A1791" t="str">
            <v>HOPE</v>
          </cell>
        </row>
        <row r="1792">
          <cell r="A1792" t="str">
            <v>Hopi</v>
          </cell>
        </row>
        <row r="1793">
          <cell r="A1793" t="str">
            <v>Hopi-A</v>
          </cell>
        </row>
        <row r="1794">
          <cell r="A1794" t="str">
            <v>Hopkins</v>
          </cell>
        </row>
        <row r="1795">
          <cell r="A1795" t="str">
            <v>HOPPER</v>
          </cell>
        </row>
        <row r="1796">
          <cell r="A1796" t="str">
            <v>Hops II</v>
          </cell>
        </row>
        <row r="1797">
          <cell r="A1797" t="str">
            <v>HOPTREE</v>
          </cell>
        </row>
        <row r="1798">
          <cell r="A1798" t="str">
            <v>HOPTREE-A</v>
          </cell>
        </row>
        <row r="1799">
          <cell r="A1799" t="str">
            <v>HOPTREE-B</v>
          </cell>
        </row>
        <row r="1800">
          <cell r="A1800" t="str">
            <v>HOREHOUND</v>
          </cell>
        </row>
        <row r="1801">
          <cell r="A1801" t="str">
            <v>HORNBEAM</v>
          </cell>
        </row>
        <row r="1802">
          <cell r="A1802" t="str">
            <v>HORSECHESTNUT</v>
          </cell>
        </row>
        <row r="1803">
          <cell r="A1803" t="str">
            <v>HORSEMINT</v>
          </cell>
        </row>
        <row r="1804">
          <cell r="A1804" t="str">
            <v>HORSERADISH</v>
          </cell>
        </row>
        <row r="1805">
          <cell r="A1805" t="str">
            <v>Horus</v>
          </cell>
        </row>
        <row r="1806">
          <cell r="A1806" t="str">
            <v>HOSNI</v>
          </cell>
        </row>
        <row r="1807">
          <cell r="A1807" t="str">
            <v>Hostilian</v>
          </cell>
        </row>
        <row r="1808">
          <cell r="A1808" t="str">
            <v>Huckleberry</v>
          </cell>
        </row>
        <row r="1809">
          <cell r="A1809" t="str">
            <v>HUGO</v>
          </cell>
        </row>
        <row r="1810">
          <cell r="A1810" t="str">
            <v>HULDA</v>
          </cell>
        </row>
        <row r="1811">
          <cell r="A1811" t="str">
            <v>HUMMINGBIRD</v>
          </cell>
        </row>
        <row r="1812">
          <cell r="A1812" t="str">
            <v>HUNI</v>
          </cell>
        </row>
        <row r="1813">
          <cell r="A1813" t="str">
            <v>HUNI-A</v>
          </cell>
        </row>
        <row r="1814">
          <cell r="A1814" t="str">
            <v>Hunter</v>
          </cell>
        </row>
        <row r="1815">
          <cell r="A1815" t="str">
            <v>HUNY</v>
          </cell>
        </row>
        <row r="1816">
          <cell r="A1816" t="str">
            <v>Hurtleberry</v>
          </cell>
        </row>
        <row r="1817">
          <cell r="A1817" t="str">
            <v>HUSENI</v>
          </cell>
        </row>
        <row r="1818">
          <cell r="A1818" t="str">
            <v>Hyacinth</v>
          </cell>
        </row>
        <row r="1819">
          <cell r="A1819" t="str">
            <v>HYAD</v>
          </cell>
        </row>
        <row r="1820">
          <cell r="A1820" t="str">
            <v>Hydra</v>
          </cell>
        </row>
        <row r="1821">
          <cell r="A1821" t="str">
            <v>Hydrangea</v>
          </cell>
        </row>
        <row r="1822">
          <cell r="A1822" t="str">
            <v>HYDROX</v>
          </cell>
        </row>
        <row r="1823">
          <cell r="A1823" t="str">
            <v>HYDROXYL</v>
          </cell>
        </row>
        <row r="1824">
          <cell r="A1824" t="str">
            <v>HYDRUS</v>
          </cell>
        </row>
        <row r="1825">
          <cell r="A1825" t="str">
            <v>HYGEIA</v>
          </cell>
        </row>
        <row r="1826">
          <cell r="A1826" t="str">
            <v>HYLAS</v>
          </cell>
        </row>
        <row r="1827">
          <cell r="A1827" t="str">
            <v>HYLLUS</v>
          </cell>
        </row>
        <row r="1828">
          <cell r="A1828" t="str">
            <v>HYPATIA</v>
          </cell>
        </row>
        <row r="1829">
          <cell r="A1829" t="str">
            <v>HYPERION</v>
          </cell>
        </row>
        <row r="1830">
          <cell r="A1830" t="str">
            <v>HYPERION-A</v>
          </cell>
        </row>
        <row r="1831">
          <cell r="A1831" t="str">
            <v>HYSSOP</v>
          </cell>
        </row>
        <row r="1832">
          <cell r="A1832" t="str">
            <v>IAGO</v>
          </cell>
        </row>
        <row r="1833">
          <cell r="A1833" t="str">
            <v>IAGO-A</v>
          </cell>
        </row>
        <row r="1834">
          <cell r="A1834" t="str">
            <v>IAGO-B</v>
          </cell>
        </row>
        <row r="1835">
          <cell r="A1835" t="str">
            <v>IAGO-C</v>
          </cell>
        </row>
        <row r="1836">
          <cell r="A1836" t="str">
            <v>IAPETUS</v>
          </cell>
        </row>
        <row r="1837">
          <cell r="A1837" t="str">
            <v>Ibis</v>
          </cell>
        </row>
        <row r="1838">
          <cell r="A1838" t="str">
            <v>Ibis-A</v>
          </cell>
        </row>
        <row r="1839">
          <cell r="A1839" t="str">
            <v>IBIS-B</v>
          </cell>
        </row>
        <row r="1840">
          <cell r="A1840" t="str">
            <v>IBO</v>
          </cell>
        </row>
        <row r="1841">
          <cell r="A1841" t="str">
            <v>IBRAHIM</v>
          </cell>
        </row>
        <row r="1842">
          <cell r="A1842" t="str">
            <v>ICARUS</v>
          </cell>
        </row>
        <row r="1843">
          <cell r="A1843" t="str">
            <v>Ichabod</v>
          </cell>
        </row>
        <row r="1844">
          <cell r="A1844" t="str">
            <v>IDI</v>
          </cell>
        </row>
        <row r="1845">
          <cell r="A1845" t="str">
            <v>IDIOT</v>
          </cell>
        </row>
        <row r="1846">
          <cell r="A1846" t="str">
            <v>Iggy</v>
          </cell>
        </row>
        <row r="1847">
          <cell r="A1847" t="str">
            <v>Ignacio</v>
          </cell>
        </row>
        <row r="1848">
          <cell r="A1848" t="str">
            <v>IKAROS</v>
          </cell>
        </row>
        <row r="1849">
          <cell r="A1849" t="str">
            <v>IKE</v>
          </cell>
        </row>
        <row r="1850">
          <cell r="A1850" t="str">
            <v>Ikenaten</v>
          </cell>
        </row>
        <row r="1851">
          <cell r="A1851" t="str">
            <v>IKOTO</v>
          </cell>
        </row>
        <row r="1852">
          <cell r="A1852" t="str">
            <v>ILMENITE</v>
          </cell>
        </row>
        <row r="1853">
          <cell r="A1853" t="str">
            <v>IMBECILE</v>
          </cell>
        </row>
        <row r="1854">
          <cell r="A1854" t="str">
            <v>IMELDA</v>
          </cell>
        </row>
        <row r="1855">
          <cell r="A1855" t="str">
            <v>IMHOTEP</v>
          </cell>
        </row>
        <row r="1856">
          <cell r="A1856" t="str">
            <v>IMMORTELLE</v>
          </cell>
        </row>
        <row r="1857">
          <cell r="A1857" t="str">
            <v>IMORTELLE-A</v>
          </cell>
        </row>
        <row r="1858">
          <cell r="A1858" t="str">
            <v>Imp</v>
          </cell>
        </row>
        <row r="1859">
          <cell r="A1859" t="str">
            <v>Indigo</v>
          </cell>
        </row>
        <row r="1860">
          <cell r="A1860" t="str">
            <v>INDIRA</v>
          </cell>
        </row>
        <row r="1861">
          <cell r="A1861" t="str">
            <v>INDRA</v>
          </cell>
        </row>
        <row r="1862">
          <cell r="A1862" t="str">
            <v>INDUS</v>
          </cell>
        </row>
        <row r="1863">
          <cell r="A1863" t="str">
            <v>INE</v>
          </cell>
        </row>
        <row r="1864">
          <cell r="A1864" t="str">
            <v>INFRARED</v>
          </cell>
        </row>
        <row r="1865">
          <cell r="A1865" t="str">
            <v>INO</v>
          </cell>
        </row>
        <row r="1866">
          <cell r="A1866" t="str">
            <v>INO-A</v>
          </cell>
        </row>
        <row r="1867">
          <cell r="A1867" t="str">
            <v>IO</v>
          </cell>
        </row>
        <row r="1868">
          <cell r="A1868" t="str">
            <v>Io Moth</v>
          </cell>
        </row>
        <row r="1869">
          <cell r="A1869" t="str">
            <v>IODATE</v>
          </cell>
        </row>
        <row r="1870">
          <cell r="A1870" t="str">
            <v>ION</v>
          </cell>
        </row>
        <row r="1871">
          <cell r="A1871" t="str">
            <v>IOTA</v>
          </cell>
        </row>
        <row r="1872">
          <cell r="A1872" t="str">
            <v>IPHICLES</v>
          </cell>
        </row>
        <row r="1873">
          <cell r="A1873" t="str">
            <v>IPHIGENIA</v>
          </cell>
        </row>
        <row r="1874">
          <cell r="A1874" t="str">
            <v>IPHIGENIA-A</v>
          </cell>
        </row>
        <row r="1875">
          <cell r="A1875" t="str">
            <v>IPHIGENIA-B</v>
          </cell>
        </row>
        <row r="1876">
          <cell r="A1876" t="str">
            <v>IRA</v>
          </cell>
        </row>
        <row r="1877">
          <cell r="A1877" t="str">
            <v>Irene</v>
          </cell>
        </row>
        <row r="1878">
          <cell r="A1878" t="str">
            <v>Irene-A</v>
          </cell>
        </row>
        <row r="1879">
          <cell r="A1879" t="str">
            <v>Irene-B</v>
          </cell>
        </row>
        <row r="1880">
          <cell r="A1880" t="str">
            <v>Irene-C</v>
          </cell>
        </row>
        <row r="1881">
          <cell r="A1881" t="str">
            <v>IRIDIUM</v>
          </cell>
        </row>
        <row r="1882">
          <cell r="A1882" t="str">
            <v>IRIDIUM-A</v>
          </cell>
        </row>
        <row r="1883">
          <cell r="A1883" t="str">
            <v>IRIDIUM-B</v>
          </cell>
        </row>
        <row r="1884">
          <cell r="A1884" t="str">
            <v>IRIDIUM-C</v>
          </cell>
        </row>
        <row r="1885">
          <cell r="A1885" t="str">
            <v>IRIDIUM-D</v>
          </cell>
        </row>
        <row r="1886">
          <cell r="A1886" t="str">
            <v>IRIDIUM-E</v>
          </cell>
        </row>
        <row r="1887">
          <cell r="A1887" t="str">
            <v>IRIDIUM-F</v>
          </cell>
        </row>
        <row r="1888">
          <cell r="A1888" t="str">
            <v>IRIDIUM-G</v>
          </cell>
        </row>
        <row r="1889">
          <cell r="A1889" t="str">
            <v>IRIDIUM-H</v>
          </cell>
        </row>
        <row r="1890">
          <cell r="A1890" t="str">
            <v>Iris</v>
          </cell>
        </row>
        <row r="1891">
          <cell r="A1891" t="str">
            <v>IRON</v>
          </cell>
        </row>
        <row r="1892">
          <cell r="A1892" t="str">
            <v>IRONWOOD</v>
          </cell>
        </row>
        <row r="1893">
          <cell r="A1893" t="str">
            <v>IROQUOIS</v>
          </cell>
        </row>
        <row r="1894">
          <cell r="A1894" t="str">
            <v>IROS</v>
          </cell>
        </row>
        <row r="1895">
          <cell r="A1895" t="str">
            <v>ISAAC</v>
          </cell>
        </row>
        <row r="1896">
          <cell r="A1896" t="str">
            <v>ISABELA-A</v>
          </cell>
        </row>
        <row r="1897">
          <cell r="A1897" t="str">
            <v>Isabella</v>
          </cell>
        </row>
        <row r="1898">
          <cell r="A1898" t="str">
            <v>Isabella II</v>
          </cell>
        </row>
        <row r="1899">
          <cell r="A1899" t="str">
            <v>ISABOY</v>
          </cell>
        </row>
        <row r="1900">
          <cell r="A1900" t="str">
            <v>ISAPORAS</v>
          </cell>
        </row>
        <row r="1901">
          <cell r="A1901" t="str">
            <v>ISCARIOT</v>
          </cell>
        </row>
        <row r="1902">
          <cell r="A1902" t="str">
            <v>ISHIRINI</v>
          </cell>
        </row>
        <row r="1903">
          <cell r="A1903" t="str">
            <v>ISHMAEL</v>
          </cell>
        </row>
        <row r="1904">
          <cell r="A1904" t="str">
            <v>ISIS</v>
          </cell>
        </row>
        <row r="1905">
          <cell r="A1905" t="str">
            <v>ISIS II</v>
          </cell>
        </row>
        <row r="1906">
          <cell r="A1906" t="str">
            <v>ISIS II-B</v>
          </cell>
        </row>
        <row r="1907">
          <cell r="A1907" t="str">
            <v>ISIS-A</v>
          </cell>
        </row>
        <row r="1908">
          <cell r="A1908" t="str">
            <v>ISIS-C</v>
          </cell>
        </row>
        <row r="1909">
          <cell r="A1909" t="str">
            <v>ISMENE</v>
          </cell>
        </row>
        <row r="1910">
          <cell r="A1910" t="str">
            <v>ISOLDE</v>
          </cell>
        </row>
        <row r="1911">
          <cell r="A1911" t="str">
            <v>ISSA</v>
          </cell>
        </row>
        <row r="1912">
          <cell r="A1912" t="str">
            <v>ISTNOFRET</v>
          </cell>
        </row>
        <row r="1913">
          <cell r="A1913" t="str">
            <v>ISTNOFRET-A</v>
          </cell>
        </row>
        <row r="1914">
          <cell r="A1914" t="str">
            <v>ITIM</v>
          </cell>
        </row>
        <row r="1915">
          <cell r="A1915" t="str">
            <v>IUCANA</v>
          </cell>
        </row>
        <row r="1916">
          <cell r="A1916" t="str">
            <v>IVAN</v>
          </cell>
        </row>
        <row r="1917">
          <cell r="A1917" t="str">
            <v>Ivy</v>
          </cell>
        </row>
        <row r="1918">
          <cell r="A1918" t="str">
            <v>IZAR</v>
          </cell>
        </row>
        <row r="1919">
          <cell r="A1919" t="str">
            <v>Izze</v>
          </cell>
        </row>
        <row r="1920">
          <cell r="A1920" t="str">
            <v>JABU</v>
          </cell>
        </row>
        <row r="1921">
          <cell r="A1921" t="str">
            <v>JACINTA</v>
          </cell>
        </row>
        <row r="1922">
          <cell r="A1922" t="str">
            <v>JACINTA-A</v>
          </cell>
        </row>
        <row r="1923">
          <cell r="A1923" t="str">
            <v>JACKPINE</v>
          </cell>
        </row>
        <row r="1924">
          <cell r="A1924" t="str">
            <v>JACOB</v>
          </cell>
        </row>
        <row r="1925">
          <cell r="A1925" t="str">
            <v>JACQUES</v>
          </cell>
        </row>
        <row r="1926">
          <cell r="A1926" t="str">
            <v>Jacques (non-DLC)</v>
          </cell>
        </row>
        <row r="1927">
          <cell r="A1927" t="str">
            <v>Jaeger</v>
          </cell>
        </row>
        <row r="1928">
          <cell r="A1928" t="str">
            <v>JAEL</v>
          </cell>
        </row>
        <row r="1929">
          <cell r="A1929" t="str">
            <v>JAGAN</v>
          </cell>
        </row>
        <row r="1930">
          <cell r="A1930" t="str">
            <v>JAHA</v>
          </cell>
        </row>
        <row r="1931">
          <cell r="A1931" t="str">
            <v>JAHI</v>
          </cell>
        </row>
        <row r="1932">
          <cell r="A1932" t="str">
            <v>JAHNABI</v>
          </cell>
        </row>
        <row r="1933">
          <cell r="A1933" t="str">
            <v>JAIME</v>
          </cell>
        </row>
        <row r="1934">
          <cell r="A1934" t="str">
            <v>Jamari</v>
          </cell>
        </row>
        <row r="1935">
          <cell r="A1935" t="str">
            <v>JAMBO</v>
          </cell>
        </row>
        <row r="1936">
          <cell r="A1936" t="str">
            <v>JAMBO II</v>
          </cell>
        </row>
        <row r="1937">
          <cell r="A1937" t="str">
            <v>JAMES</v>
          </cell>
        </row>
        <row r="1938">
          <cell r="A1938" t="str">
            <v>JAMILA</v>
          </cell>
        </row>
        <row r="1939">
          <cell r="A1939" t="str">
            <v>JANUS II</v>
          </cell>
        </row>
        <row r="1940">
          <cell r="A1940" t="str">
            <v>JANUS-A</v>
          </cell>
        </row>
        <row r="1941">
          <cell r="A1941" t="str">
            <v>JAO</v>
          </cell>
        </row>
        <row r="1942">
          <cell r="A1942" t="str">
            <v>JASMINE</v>
          </cell>
        </row>
        <row r="1943">
          <cell r="A1943" t="str">
            <v>JASON</v>
          </cell>
        </row>
        <row r="1944">
          <cell r="A1944" t="str">
            <v>Jasper</v>
          </cell>
        </row>
        <row r="1945">
          <cell r="A1945" t="str">
            <v>JAVIER</v>
          </cell>
        </row>
        <row r="1946">
          <cell r="A1946" t="str">
            <v>Javier II</v>
          </cell>
        </row>
        <row r="1947">
          <cell r="A1947" t="str">
            <v>JAY</v>
          </cell>
        </row>
        <row r="1948">
          <cell r="A1948" t="str">
            <v>JEAN</v>
          </cell>
        </row>
        <row r="1949">
          <cell r="A1949" t="str">
            <v>JEAN LUC</v>
          </cell>
        </row>
        <row r="1950">
          <cell r="A1950" t="str">
            <v>JEAN YVES</v>
          </cell>
        </row>
        <row r="1951">
          <cell r="A1951" t="str">
            <v>JELANI</v>
          </cell>
        </row>
        <row r="1952">
          <cell r="A1952" t="str">
            <v>Jelani (pcoq)</v>
          </cell>
        </row>
        <row r="1953">
          <cell r="A1953" t="str">
            <v>JEMIMA</v>
          </cell>
        </row>
        <row r="1954">
          <cell r="A1954" t="str">
            <v>JERIKA</v>
          </cell>
        </row>
        <row r="1955">
          <cell r="A1955" t="str">
            <v>JERY</v>
          </cell>
        </row>
        <row r="1956">
          <cell r="A1956" t="str">
            <v>JESSE</v>
          </cell>
        </row>
        <row r="1957">
          <cell r="A1957" t="str">
            <v>JESUS</v>
          </cell>
        </row>
        <row r="1958">
          <cell r="A1958" t="str">
            <v>JETHRO</v>
          </cell>
        </row>
        <row r="1959">
          <cell r="A1959" t="str">
            <v>JETHYS</v>
          </cell>
        </row>
        <row r="1960">
          <cell r="A1960" t="str">
            <v>JEZEBEL</v>
          </cell>
        </row>
        <row r="1961">
          <cell r="A1961" t="str">
            <v>Jicama</v>
          </cell>
        </row>
        <row r="1962">
          <cell r="A1962" t="str">
            <v>JIJY</v>
          </cell>
        </row>
        <row r="1963">
          <cell r="A1963" t="str">
            <v>JIM CROW</v>
          </cell>
        </row>
        <row r="1964">
          <cell r="A1964" t="str">
            <v>Jimson Weed</v>
          </cell>
        </row>
        <row r="1965">
          <cell r="A1965" t="str">
            <v>JOAB</v>
          </cell>
        </row>
        <row r="1966">
          <cell r="A1966" t="str">
            <v>JOB</v>
          </cell>
        </row>
        <row r="1967">
          <cell r="A1967" t="str">
            <v>JOCASTA</v>
          </cell>
        </row>
        <row r="1968">
          <cell r="A1968" t="str">
            <v>JOCASTA-A</v>
          </cell>
        </row>
        <row r="1969">
          <cell r="A1969" t="str">
            <v>JOCASTA-B</v>
          </cell>
        </row>
        <row r="1970">
          <cell r="A1970" t="str">
            <v>Joe Pye Weed</v>
          </cell>
        </row>
        <row r="1971">
          <cell r="A1971" t="str">
            <v>JOEWOOD</v>
          </cell>
        </row>
        <row r="1972">
          <cell r="A1972" t="str">
            <v>JOEY</v>
          </cell>
        </row>
        <row r="1973">
          <cell r="A1973" t="str">
            <v>Johan (LCAT)</v>
          </cell>
        </row>
        <row r="1974">
          <cell r="A1974" t="str">
            <v>Johann (PCOQ)</v>
          </cell>
        </row>
        <row r="1975">
          <cell r="A1975" t="str">
            <v>JOHANNA</v>
          </cell>
        </row>
        <row r="1976">
          <cell r="A1976" t="str">
            <v>JOHANNA-A</v>
          </cell>
        </row>
        <row r="1977">
          <cell r="A1977" t="str">
            <v>John</v>
          </cell>
        </row>
        <row r="1978">
          <cell r="A1978" t="str">
            <v>JOKHA</v>
          </cell>
        </row>
        <row r="1979">
          <cell r="A1979" t="str">
            <v>JOLIE</v>
          </cell>
        </row>
        <row r="1980">
          <cell r="A1980" t="str">
            <v>JOMO</v>
          </cell>
        </row>
        <row r="1981">
          <cell r="A1981" t="str">
            <v>Jonas</v>
          </cell>
        </row>
        <row r="1982">
          <cell r="A1982" t="str">
            <v>JONATHON</v>
          </cell>
        </row>
        <row r="1983">
          <cell r="A1983" t="str">
            <v>Jones</v>
          </cell>
        </row>
        <row r="1984">
          <cell r="A1984" t="str">
            <v>JONI</v>
          </cell>
        </row>
        <row r="1985">
          <cell r="A1985" t="str">
            <v>JORGE</v>
          </cell>
        </row>
        <row r="1986">
          <cell r="A1986" t="str">
            <v>JORO</v>
          </cell>
        </row>
        <row r="1987">
          <cell r="A1987" t="str">
            <v>JOS</v>
          </cell>
        </row>
        <row r="1988">
          <cell r="A1988" t="str">
            <v>JOSE</v>
          </cell>
        </row>
        <row r="1989">
          <cell r="A1989" t="str">
            <v>JOSE-LUIS</v>
          </cell>
        </row>
        <row r="1990">
          <cell r="A1990" t="str">
            <v>Josephine</v>
          </cell>
        </row>
        <row r="1991">
          <cell r="A1991" t="str">
            <v>JOSHUA</v>
          </cell>
        </row>
        <row r="1992">
          <cell r="A1992" t="str">
            <v>JOVE</v>
          </cell>
        </row>
        <row r="1993">
          <cell r="A1993" t="str">
            <v>JOVEN</v>
          </cell>
        </row>
        <row r="1994">
          <cell r="A1994" t="str">
            <v>Jovian</v>
          </cell>
        </row>
        <row r="1995">
          <cell r="A1995" t="str">
            <v>JUAN</v>
          </cell>
        </row>
        <row r="1996">
          <cell r="A1996" t="str">
            <v>JUANITA</v>
          </cell>
        </row>
        <row r="1997">
          <cell r="A1997" t="str">
            <v>Juanito</v>
          </cell>
        </row>
        <row r="1998">
          <cell r="A1998" t="str">
            <v>JUBA</v>
          </cell>
        </row>
        <row r="1999">
          <cell r="A1999" t="str">
            <v>JUDAH</v>
          </cell>
        </row>
        <row r="2000">
          <cell r="A2000" t="str">
            <v>JUDAS</v>
          </cell>
        </row>
        <row r="2001">
          <cell r="A2001" t="str">
            <v>JUDITH (EALB)</v>
          </cell>
        </row>
        <row r="2002">
          <cell r="A2002" t="str">
            <v>Judith (VRUB)</v>
          </cell>
        </row>
        <row r="2003">
          <cell r="A2003" t="str">
            <v>JUDITH-A</v>
          </cell>
        </row>
        <row r="2004">
          <cell r="A2004" t="str">
            <v>JUDITH-B</v>
          </cell>
        </row>
        <row r="2005">
          <cell r="A2005" t="str">
            <v>JUDITH-C</v>
          </cell>
        </row>
        <row r="2006">
          <cell r="A2006" t="str">
            <v>Judy</v>
          </cell>
        </row>
        <row r="2007">
          <cell r="A2007" t="str">
            <v>JUGINI</v>
          </cell>
        </row>
        <row r="2008">
          <cell r="A2008" t="str">
            <v>JUGINI-A</v>
          </cell>
        </row>
        <row r="2009">
          <cell r="A2009" t="str">
            <v>JULES</v>
          </cell>
        </row>
        <row r="2010">
          <cell r="A2010" t="str">
            <v>JULIA</v>
          </cell>
        </row>
        <row r="2011">
          <cell r="A2011" t="str">
            <v>Julia II</v>
          </cell>
        </row>
        <row r="2012">
          <cell r="A2012" t="str">
            <v>Julia II-A</v>
          </cell>
        </row>
        <row r="2013">
          <cell r="A2013" t="str">
            <v>JULIA-A</v>
          </cell>
        </row>
        <row r="2014">
          <cell r="A2014" t="str">
            <v>JULIA-B</v>
          </cell>
        </row>
        <row r="2015">
          <cell r="A2015" t="str">
            <v>Julia-B (PHILLY)</v>
          </cell>
        </row>
        <row r="2016">
          <cell r="A2016" t="str">
            <v>Julian</v>
          </cell>
        </row>
        <row r="2017">
          <cell r="A2017" t="str">
            <v>JULIET</v>
          </cell>
        </row>
        <row r="2018">
          <cell r="A2018" t="str">
            <v>Julio</v>
          </cell>
        </row>
        <row r="2019">
          <cell r="A2019" t="str">
            <v>JULIUS CAESAR</v>
          </cell>
        </row>
        <row r="2020">
          <cell r="A2020" t="str">
            <v>JUMBO</v>
          </cell>
        </row>
        <row r="2021">
          <cell r="A2021" t="str">
            <v>JUNEBERRY (GMOH)</v>
          </cell>
        </row>
        <row r="2022">
          <cell r="A2022" t="str">
            <v>Juneberry (MMUR)</v>
          </cell>
        </row>
        <row r="2023">
          <cell r="A2023" t="str">
            <v>JUNEBERRY-A</v>
          </cell>
        </row>
        <row r="2024">
          <cell r="A2024" t="str">
            <v>Junebug</v>
          </cell>
        </row>
        <row r="2025">
          <cell r="A2025" t="str">
            <v>Junebug-A</v>
          </cell>
        </row>
        <row r="2026">
          <cell r="A2026" t="str">
            <v>Junebug-B</v>
          </cell>
        </row>
        <row r="2027">
          <cell r="A2027" t="str">
            <v>JUNIA</v>
          </cell>
        </row>
        <row r="2028">
          <cell r="A2028" t="str">
            <v>Junior (EFLA)</v>
          </cell>
        </row>
        <row r="2029">
          <cell r="A2029" t="str">
            <v>Junior (VVV)</v>
          </cell>
        </row>
        <row r="2030">
          <cell r="A2030" t="str">
            <v>JUNIPER</v>
          </cell>
        </row>
        <row r="2031">
          <cell r="A2031" t="str">
            <v>JUNO</v>
          </cell>
        </row>
        <row r="2032">
          <cell r="A2032" t="str">
            <v>JUPITER</v>
          </cell>
        </row>
        <row r="2033">
          <cell r="A2033" t="str">
            <v>JUPITER II</v>
          </cell>
        </row>
        <row r="2034">
          <cell r="A2034" t="str">
            <v>Justa (Martine (Pcoq))</v>
          </cell>
        </row>
        <row r="2035">
          <cell r="A2035" t="str">
            <v>Justine</v>
          </cell>
        </row>
        <row r="2036">
          <cell r="A2036" t="str">
            <v>Justine-A</v>
          </cell>
        </row>
        <row r="2037">
          <cell r="A2037" t="str">
            <v>Justine-B</v>
          </cell>
        </row>
        <row r="2038">
          <cell r="A2038" t="str">
            <v>JUSTINIAN</v>
          </cell>
        </row>
        <row r="2039">
          <cell r="A2039" t="str">
            <v>JUSTUS</v>
          </cell>
        </row>
        <row r="2040">
          <cell r="A2040" t="str">
            <v>JUVENAL</v>
          </cell>
        </row>
        <row r="2041">
          <cell r="A2041" t="str">
            <v>KABATI</v>
          </cell>
        </row>
        <row r="2042">
          <cell r="A2042" t="str">
            <v>KAHAWA-A</v>
          </cell>
        </row>
        <row r="2043">
          <cell r="A2043" t="str">
            <v>KAHAWA-B</v>
          </cell>
        </row>
        <row r="2044">
          <cell r="A2044" t="str">
            <v>KALAMU</v>
          </cell>
        </row>
        <row r="2045">
          <cell r="A2045" t="str">
            <v>Kalani</v>
          </cell>
        </row>
        <row r="2046">
          <cell r="A2046" t="str">
            <v>Kali</v>
          </cell>
        </row>
        <row r="2047">
          <cell r="A2047" t="str">
            <v>KALKI</v>
          </cell>
        </row>
        <row r="2048">
          <cell r="A2048" t="str">
            <v>Kalliope</v>
          </cell>
        </row>
        <row r="2049">
          <cell r="A2049" t="str">
            <v>KAMALA</v>
          </cell>
        </row>
        <row r="2050">
          <cell r="A2050" t="str">
            <v>KAMALA-A</v>
          </cell>
        </row>
        <row r="2051">
          <cell r="A2051" t="str">
            <v>KAMALA-B</v>
          </cell>
        </row>
        <row r="2052">
          <cell r="A2052" t="str">
            <v>KAMALA-C</v>
          </cell>
        </row>
        <row r="2053">
          <cell r="A2053" t="str">
            <v>KAMARIA</v>
          </cell>
        </row>
        <row r="2054">
          <cell r="A2054" t="str">
            <v>Kambana</v>
          </cell>
        </row>
        <row r="2055">
          <cell r="A2055" t="str">
            <v>KAMI</v>
          </cell>
        </row>
        <row r="2056">
          <cell r="A2056" t="str">
            <v>KANGA</v>
          </cell>
        </row>
        <row r="2057">
          <cell r="A2057" t="str">
            <v>KANSHI</v>
          </cell>
        </row>
        <row r="2058">
          <cell r="A2058" t="str">
            <v>KANTIL</v>
          </cell>
        </row>
        <row r="2059">
          <cell r="A2059" t="str">
            <v>KANYA</v>
          </cell>
        </row>
        <row r="2060">
          <cell r="A2060" t="str">
            <v>KANYA-A</v>
          </cell>
        </row>
        <row r="2061">
          <cell r="A2061" t="str">
            <v>Kapika</v>
          </cell>
        </row>
        <row r="2062">
          <cell r="A2062" t="str">
            <v>KAPIS</v>
          </cell>
        </row>
        <row r="2063">
          <cell r="A2063" t="str">
            <v>KAPPA</v>
          </cell>
        </row>
        <row r="2064">
          <cell r="A2064" t="str">
            <v>KAPPA-A</v>
          </cell>
        </row>
        <row r="2065">
          <cell r="A2065" t="str">
            <v>KAPPA-B</v>
          </cell>
        </row>
        <row r="2066">
          <cell r="A2066" t="str">
            <v>KARIBU</v>
          </cell>
        </row>
        <row r="2067">
          <cell r="A2067" t="str">
            <v>KASIH</v>
          </cell>
        </row>
        <row r="2068">
          <cell r="A2068" t="str">
            <v>KATINA</v>
          </cell>
        </row>
        <row r="2069">
          <cell r="A2069" t="str">
            <v>KATINA-A</v>
          </cell>
        </row>
        <row r="2070">
          <cell r="A2070" t="str">
            <v>KATINA-B</v>
          </cell>
        </row>
        <row r="2071">
          <cell r="A2071" t="str">
            <v>KATINA-C</v>
          </cell>
        </row>
        <row r="2072">
          <cell r="A2072" t="str">
            <v>KATINA-D</v>
          </cell>
        </row>
        <row r="2073">
          <cell r="A2073" t="str">
            <v>Katina-E</v>
          </cell>
        </row>
        <row r="2074">
          <cell r="A2074" t="str">
            <v>KATYDID</v>
          </cell>
        </row>
        <row r="2075">
          <cell r="A2075" t="str">
            <v>KAY</v>
          </cell>
        </row>
        <row r="2076">
          <cell r="A2076" t="str">
            <v>KEDAR</v>
          </cell>
        </row>
        <row r="2077">
          <cell r="A2077" t="str">
            <v>KEEKER</v>
          </cell>
        </row>
        <row r="2078">
          <cell r="A2078" t="str">
            <v>Kek</v>
          </cell>
        </row>
        <row r="2079">
          <cell r="A2079" t="str">
            <v>KEKEY</v>
          </cell>
        </row>
        <row r="2080">
          <cell r="A2080" t="str">
            <v>Kelyfamata</v>
          </cell>
        </row>
        <row r="2081">
          <cell r="A2081" t="str">
            <v>KENAN</v>
          </cell>
        </row>
        <row r="2082">
          <cell r="A2082" t="str">
            <v>KENT</v>
          </cell>
        </row>
        <row r="2083">
          <cell r="A2083" t="str">
            <v>Kepenzi</v>
          </cell>
        </row>
        <row r="2084">
          <cell r="A2084" t="str">
            <v>Kepler</v>
          </cell>
        </row>
        <row r="2085">
          <cell r="A2085" t="str">
            <v>KERA HANTU</v>
          </cell>
        </row>
        <row r="2086">
          <cell r="A2086" t="str">
            <v>KERA-A</v>
          </cell>
        </row>
        <row r="2087">
          <cell r="A2087" t="str">
            <v>KERA-B</v>
          </cell>
        </row>
        <row r="2088">
          <cell r="A2088" t="str">
            <v>KERA-C</v>
          </cell>
        </row>
        <row r="2089">
          <cell r="A2089" t="str">
            <v>KERA-D</v>
          </cell>
        </row>
        <row r="2090">
          <cell r="A2090" t="str">
            <v>KESHO</v>
          </cell>
        </row>
        <row r="2091">
          <cell r="A2091" t="str">
            <v>KESTREL</v>
          </cell>
        </row>
        <row r="2092">
          <cell r="A2092" t="str">
            <v>KETURAH</v>
          </cell>
        </row>
        <row r="2093">
          <cell r="A2093" t="str">
            <v>KEZIAH</v>
          </cell>
        </row>
        <row r="2094">
          <cell r="A2094" t="str">
            <v>KHADIJA</v>
          </cell>
        </row>
        <row r="2095">
          <cell r="A2095" t="str">
            <v>KHALFANI</v>
          </cell>
        </row>
        <row r="2096">
          <cell r="A2096" t="str">
            <v>KHAMISI</v>
          </cell>
        </row>
        <row r="2097">
          <cell r="A2097" t="str">
            <v>KHATIBU</v>
          </cell>
        </row>
        <row r="2098">
          <cell r="A2098" t="str">
            <v>KHONSHU</v>
          </cell>
        </row>
        <row r="2099">
          <cell r="A2099" t="str">
            <v>KHUFU</v>
          </cell>
        </row>
        <row r="2100">
          <cell r="A2100" t="str">
            <v>KIA</v>
          </cell>
        </row>
        <row r="2101">
          <cell r="A2101" t="str">
            <v>KIAMBA</v>
          </cell>
        </row>
        <row r="2102">
          <cell r="A2102" t="str">
            <v>KIATU</v>
          </cell>
        </row>
        <row r="2103">
          <cell r="A2103" t="str">
            <v>KIATUNI</v>
          </cell>
        </row>
        <row r="2104">
          <cell r="A2104" t="str">
            <v>KIBIBI</v>
          </cell>
        </row>
        <row r="2105">
          <cell r="A2105" t="str">
            <v>KIBIBI-A</v>
          </cell>
        </row>
        <row r="2106">
          <cell r="A2106" t="str">
            <v>KIBOKO</v>
          </cell>
        </row>
        <row r="2107">
          <cell r="A2107" t="str">
            <v>KIBOKO-A</v>
          </cell>
        </row>
        <row r="2108">
          <cell r="A2108" t="str">
            <v>KIDMAN</v>
          </cell>
        </row>
        <row r="2109">
          <cell r="A2109" t="str">
            <v>Kidman-A</v>
          </cell>
        </row>
        <row r="2110">
          <cell r="A2110" t="str">
            <v>KIDOGO</v>
          </cell>
        </row>
        <row r="2111">
          <cell r="A2111" t="str">
            <v>KIFIMBO</v>
          </cell>
        </row>
        <row r="2112">
          <cell r="A2112" t="str">
            <v>KIJAKAZI</v>
          </cell>
        </row>
        <row r="2113">
          <cell r="A2113" t="str">
            <v>KIKIMOVA</v>
          </cell>
        </row>
        <row r="2114">
          <cell r="A2114" t="str">
            <v>KIKOMBE</v>
          </cell>
        </row>
        <row r="2115">
          <cell r="A2115" t="str">
            <v>Kilmer</v>
          </cell>
        </row>
        <row r="2116">
          <cell r="A2116" t="str">
            <v>KILO</v>
          </cell>
        </row>
        <row r="2117">
          <cell r="A2117" t="str">
            <v>KIMA</v>
          </cell>
        </row>
        <row r="2118">
          <cell r="A2118" t="str">
            <v>KINABALU</v>
          </cell>
        </row>
        <row r="2119">
          <cell r="A2119" t="str">
            <v>Kingfisher</v>
          </cell>
        </row>
        <row r="2120">
          <cell r="A2120" t="str">
            <v>KINGLET</v>
          </cell>
        </row>
        <row r="2121">
          <cell r="A2121" t="str">
            <v>KINGMAN BREWSTER</v>
          </cell>
        </row>
        <row r="2122">
          <cell r="A2122" t="str">
            <v>KINGNUT</v>
          </cell>
        </row>
        <row r="2123">
          <cell r="A2123" t="str">
            <v>Kintana</v>
          </cell>
        </row>
        <row r="2124">
          <cell r="A2124" t="str">
            <v>KINTE</v>
          </cell>
        </row>
        <row r="2125">
          <cell r="A2125" t="str">
            <v>Kip</v>
          </cell>
        </row>
        <row r="2126">
          <cell r="A2126" t="str">
            <v>KIRAN</v>
          </cell>
        </row>
        <row r="2127">
          <cell r="A2127" t="str">
            <v>KIRAN-A</v>
          </cell>
        </row>
        <row r="2128">
          <cell r="A2128" t="str">
            <v>Kiri</v>
          </cell>
        </row>
        <row r="2129">
          <cell r="A2129" t="str">
            <v>KIRITAN</v>
          </cell>
        </row>
        <row r="2130">
          <cell r="A2130" t="str">
            <v>Kish</v>
          </cell>
        </row>
        <row r="2131">
          <cell r="A2131" t="str">
            <v>KITI</v>
          </cell>
        </row>
        <row r="2132">
          <cell r="A2132" t="str">
            <v>KITIKITI</v>
          </cell>
        </row>
        <row r="2133">
          <cell r="A2133" t="str">
            <v>Kito</v>
          </cell>
        </row>
        <row r="2134">
          <cell r="A2134" t="str">
            <v>KITTIWAKE</v>
          </cell>
        </row>
        <row r="2135">
          <cell r="A2135" t="str">
            <v>KITWANA</v>
          </cell>
        </row>
        <row r="2136">
          <cell r="A2136" t="str">
            <v>Kiwi</v>
          </cell>
        </row>
        <row r="2137">
          <cell r="A2137" t="str">
            <v>Kiwi Bird</v>
          </cell>
        </row>
        <row r="2138">
          <cell r="A2138" t="str">
            <v>Kiwi Bird-A</v>
          </cell>
        </row>
        <row r="2139">
          <cell r="A2139" t="str">
            <v>Kiwi Bird-B</v>
          </cell>
        </row>
        <row r="2140">
          <cell r="A2140" t="str">
            <v>Kiwi Bird-C</v>
          </cell>
        </row>
        <row r="2141">
          <cell r="A2141" t="str">
            <v>Kiwi Bird-D</v>
          </cell>
        </row>
        <row r="2142">
          <cell r="A2142" t="str">
            <v>Kiwi Bird-E</v>
          </cell>
        </row>
        <row r="2143">
          <cell r="A2143" t="str">
            <v>Kiwi Bird-F</v>
          </cell>
        </row>
        <row r="2144">
          <cell r="A2144" t="str">
            <v>Kizzy</v>
          </cell>
        </row>
        <row r="2145">
          <cell r="A2145" t="str">
            <v>Kizzy-A</v>
          </cell>
        </row>
        <row r="2146">
          <cell r="A2146" t="str">
            <v>KOBOKA</v>
          </cell>
        </row>
        <row r="2147">
          <cell r="A2147" t="str">
            <v>KOCHAB</v>
          </cell>
        </row>
        <row r="2148">
          <cell r="A2148" t="str">
            <v>KODIAK</v>
          </cell>
        </row>
        <row r="2149">
          <cell r="A2149" t="str">
            <v>KOFI</v>
          </cell>
        </row>
        <row r="2150">
          <cell r="A2150" t="str">
            <v>KOKOFO</v>
          </cell>
        </row>
        <row r="2151">
          <cell r="A2151" t="str">
            <v>KOLA</v>
          </cell>
        </row>
        <row r="2152">
          <cell r="A2152" t="str">
            <v>KOMBA-A</v>
          </cell>
        </row>
        <row r="2153">
          <cell r="A2153" t="str">
            <v>KOMBA-B</v>
          </cell>
        </row>
        <row r="2154">
          <cell r="A2154" t="str">
            <v>KONDO</v>
          </cell>
        </row>
        <row r="2155">
          <cell r="A2155" t="str">
            <v>KONOKONO</v>
          </cell>
        </row>
        <row r="2156">
          <cell r="A2156" t="str">
            <v>KONOKONO-A</v>
          </cell>
        </row>
        <row r="2157">
          <cell r="A2157" t="str">
            <v>Kookaburra</v>
          </cell>
        </row>
        <row r="2158">
          <cell r="A2158" t="str">
            <v>Kornephoros</v>
          </cell>
        </row>
        <row r="2159">
          <cell r="A2159" t="str">
            <v>KORU</v>
          </cell>
        </row>
        <row r="2160">
          <cell r="A2160" t="str">
            <v>KRIMHILD</v>
          </cell>
        </row>
        <row r="2161">
          <cell r="A2161" t="str">
            <v>KRINGLE</v>
          </cell>
        </row>
        <row r="2162">
          <cell r="A2162" t="str">
            <v>KRISHNA</v>
          </cell>
        </row>
        <row r="2163">
          <cell r="A2163" t="str">
            <v>KRISHNA II</v>
          </cell>
        </row>
        <row r="2164">
          <cell r="A2164" t="str">
            <v>Krok</v>
          </cell>
        </row>
        <row r="2165">
          <cell r="A2165" t="str">
            <v>KRYPTON</v>
          </cell>
        </row>
        <row r="2166">
          <cell r="A2166" t="str">
            <v>Kudzu</v>
          </cell>
        </row>
        <row r="2167">
          <cell r="A2167" t="str">
            <v>KUKU</v>
          </cell>
        </row>
        <row r="2168">
          <cell r="A2168" t="str">
            <v>KULIA</v>
          </cell>
        </row>
        <row r="2169">
          <cell r="A2169" t="str">
            <v>KUMI</v>
          </cell>
        </row>
        <row r="2170">
          <cell r="A2170" t="str">
            <v>KUMI-A</v>
          </cell>
        </row>
        <row r="2171">
          <cell r="A2171" t="str">
            <v>KUNTA</v>
          </cell>
        </row>
        <row r="2172">
          <cell r="A2172" t="str">
            <v>KURMA</v>
          </cell>
        </row>
        <row r="2173">
          <cell r="A2173" t="str">
            <v>KURO</v>
          </cell>
        </row>
        <row r="2174">
          <cell r="A2174" t="str">
            <v>KUSHOTO</v>
          </cell>
        </row>
        <row r="2175">
          <cell r="A2175" t="str">
            <v>KYLE</v>
          </cell>
        </row>
        <row r="2176">
          <cell r="A2176" t="str">
            <v>KYLE-A</v>
          </cell>
        </row>
        <row r="2177">
          <cell r="A2177" t="str">
            <v>KYLE-B</v>
          </cell>
        </row>
        <row r="2178">
          <cell r="A2178" t="str">
            <v>KYROS</v>
          </cell>
        </row>
        <row r="2179">
          <cell r="A2179" t="str">
            <v>L.P.</v>
          </cell>
        </row>
        <row r="2180">
          <cell r="A2180" t="str">
            <v>LABAN</v>
          </cell>
        </row>
        <row r="2181">
          <cell r="A2181" t="str">
            <v>LACERTA</v>
          </cell>
        </row>
        <row r="2182">
          <cell r="A2182" t="str">
            <v>LACEWING</v>
          </cell>
        </row>
        <row r="2183">
          <cell r="A2183" t="str">
            <v>LACEWING-A</v>
          </cell>
        </row>
        <row r="2184">
          <cell r="A2184" t="str">
            <v>LACRIMA</v>
          </cell>
        </row>
        <row r="2185">
          <cell r="A2185" t="str">
            <v>LAD'S LOVE</v>
          </cell>
        </row>
        <row r="2186">
          <cell r="A2186" t="str">
            <v>LADYBIRD</v>
          </cell>
        </row>
        <row r="2187">
          <cell r="A2187" t="str">
            <v>Ladybug</v>
          </cell>
        </row>
        <row r="2188">
          <cell r="A2188" t="str">
            <v>Lahkshmani</v>
          </cell>
        </row>
        <row r="2189">
          <cell r="A2189" t="str">
            <v>LAIS</v>
          </cell>
        </row>
        <row r="2190">
          <cell r="A2190" t="str">
            <v>LALA</v>
          </cell>
        </row>
        <row r="2191">
          <cell r="A2191" t="str">
            <v>LALAO</v>
          </cell>
        </row>
        <row r="2192">
          <cell r="A2192" t="str">
            <v>LALITA</v>
          </cell>
        </row>
        <row r="2193">
          <cell r="A2193" t="str">
            <v>LAMBDA</v>
          </cell>
        </row>
        <row r="2194">
          <cell r="A2194" t="str">
            <v>LAMOUR</v>
          </cell>
        </row>
        <row r="2195">
          <cell r="A2195" t="str">
            <v>LANGE</v>
          </cell>
        </row>
        <row r="2196">
          <cell r="A2196" t="str">
            <v>LAODICE</v>
          </cell>
        </row>
        <row r="2197">
          <cell r="A2197" t="str">
            <v>LARCH</v>
          </cell>
        </row>
        <row r="2198">
          <cell r="A2198" t="str">
            <v>LARK</v>
          </cell>
        </row>
        <row r="2199">
          <cell r="A2199" t="str">
            <v>LARKE</v>
          </cell>
        </row>
        <row r="2200">
          <cell r="A2200" t="str">
            <v>LATONA</v>
          </cell>
        </row>
        <row r="2201">
          <cell r="A2201" t="str">
            <v>LATONA-A</v>
          </cell>
        </row>
        <row r="2202">
          <cell r="A2202" t="str">
            <v>LATONA-B</v>
          </cell>
        </row>
        <row r="2203">
          <cell r="A2203" t="str">
            <v>LAURA</v>
          </cell>
        </row>
        <row r="2204">
          <cell r="A2204" t="str">
            <v>LAURA-A</v>
          </cell>
        </row>
        <row r="2205">
          <cell r="A2205" t="str">
            <v>LAUREL</v>
          </cell>
        </row>
        <row r="2206">
          <cell r="A2206" t="str">
            <v>LAVA</v>
          </cell>
        </row>
        <row r="2207">
          <cell r="A2207" t="str">
            <v>LAVENDER</v>
          </cell>
        </row>
        <row r="2208">
          <cell r="A2208" t="str">
            <v>LAVINIA</v>
          </cell>
        </row>
        <row r="2209">
          <cell r="A2209" t="str">
            <v>Lavoris</v>
          </cell>
        </row>
        <row r="2210">
          <cell r="A2210" t="str">
            <v>LYONIA</v>
          </cell>
        </row>
        <row r="2211">
          <cell r="A2211" t="str">
            <v>LYONIA-A</v>
          </cell>
        </row>
        <row r="2212">
          <cell r="A2212" t="str">
            <v>LAZARUS</v>
          </cell>
        </row>
        <row r="2213">
          <cell r="A2213" t="str">
            <v>Lcf#1046F</v>
          </cell>
        </row>
        <row r="2214">
          <cell r="A2214" t="str">
            <v>LEAD</v>
          </cell>
        </row>
        <row r="2215">
          <cell r="A2215" t="str">
            <v>LEADBELLY</v>
          </cell>
        </row>
        <row r="2216">
          <cell r="A2216" t="str">
            <v>LEADTREE</v>
          </cell>
        </row>
        <row r="2217">
          <cell r="A2217" t="str">
            <v>LEAH</v>
          </cell>
        </row>
        <row r="2218">
          <cell r="A2218" t="str">
            <v>LEAH II</v>
          </cell>
        </row>
        <row r="2219">
          <cell r="A2219" t="str">
            <v>LEARY</v>
          </cell>
        </row>
        <row r="2220">
          <cell r="A2220" t="str">
            <v>LEBANA</v>
          </cell>
        </row>
        <row r="2221">
          <cell r="A2221" t="str">
            <v>LEDA</v>
          </cell>
        </row>
        <row r="2222">
          <cell r="A2222" t="str">
            <v>LEE</v>
          </cell>
        </row>
        <row r="2223">
          <cell r="A2223" t="str">
            <v>LEE-A</v>
          </cell>
        </row>
        <row r="2224">
          <cell r="A2224" t="str">
            <v>LEE-B</v>
          </cell>
        </row>
        <row r="2225">
          <cell r="A2225" t="str">
            <v>LEE-C</v>
          </cell>
        </row>
        <row r="2226">
          <cell r="A2226" t="str">
            <v>LEE-D</v>
          </cell>
        </row>
        <row r="2227">
          <cell r="A2227" t="str">
            <v>LEE-E</v>
          </cell>
        </row>
        <row r="2228">
          <cell r="A2228" t="str">
            <v>LEEK</v>
          </cell>
        </row>
        <row r="2229">
          <cell r="A2229" t="str">
            <v>LEIA</v>
          </cell>
        </row>
        <row r="2230">
          <cell r="A2230" t="str">
            <v>LEIF</v>
          </cell>
        </row>
        <row r="2231">
          <cell r="A2231" t="str">
            <v>Leigh</v>
          </cell>
        </row>
        <row r="2232">
          <cell r="A2232" t="str">
            <v>Leigh-A</v>
          </cell>
        </row>
        <row r="2233">
          <cell r="A2233" t="str">
            <v>LELA</v>
          </cell>
        </row>
        <row r="2234">
          <cell r="A2234" t="str">
            <v>LELA-A</v>
          </cell>
        </row>
        <row r="2235">
          <cell r="A2235" t="str">
            <v>LELA-B</v>
          </cell>
        </row>
        <row r="2236">
          <cell r="A2236" t="str">
            <v>LELA-C</v>
          </cell>
        </row>
        <row r="2237">
          <cell r="A2237" t="str">
            <v>LELA-D</v>
          </cell>
        </row>
        <row r="2238">
          <cell r="A2238" t="str">
            <v>LELA-E</v>
          </cell>
        </row>
        <row r="2239">
          <cell r="A2239" t="str">
            <v>LELA-F</v>
          </cell>
        </row>
        <row r="2240">
          <cell r="A2240" t="str">
            <v>LENT</v>
          </cell>
        </row>
        <row r="2241">
          <cell r="A2241" t="str">
            <v>Leo</v>
          </cell>
        </row>
        <row r="2242">
          <cell r="A2242" t="str">
            <v>LEONIA</v>
          </cell>
        </row>
        <row r="2243">
          <cell r="A2243" t="str">
            <v>LEONIDAS</v>
          </cell>
        </row>
        <row r="2244">
          <cell r="A2244" t="str">
            <v>Leopolda-A</v>
          </cell>
        </row>
        <row r="2245">
          <cell r="A2245" t="str">
            <v>LEPIDOLITE</v>
          </cell>
        </row>
        <row r="2246">
          <cell r="A2246" t="str">
            <v>LEPIDOLITE-A</v>
          </cell>
        </row>
        <row r="2247">
          <cell r="A2247" t="str">
            <v>LEPIDOLITE-B</v>
          </cell>
        </row>
        <row r="2248">
          <cell r="A2248" t="str">
            <v>LEPIDOLITE-C</v>
          </cell>
        </row>
        <row r="2249">
          <cell r="A2249" t="str">
            <v>LEPIDOLITE-D</v>
          </cell>
        </row>
        <row r="2250">
          <cell r="A2250" t="str">
            <v>LEPIDUS</v>
          </cell>
        </row>
        <row r="2251">
          <cell r="A2251" t="str">
            <v>Lessnau</v>
          </cell>
        </row>
        <row r="2252">
          <cell r="A2252" t="str">
            <v>LETE</v>
          </cell>
        </row>
        <row r="2253">
          <cell r="A2253" t="str">
            <v>LETHE</v>
          </cell>
        </row>
        <row r="2254">
          <cell r="A2254" t="str">
            <v>LETITIA</v>
          </cell>
        </row>
        <row r="2255">
          <cell r="A2255" t="str">
            <v>Leto</v>
          </cell>
        </row>
        <row r="2256">
          <cell r="A2256" t="str">
            <v>Levi</v>
          </cell>
        </row>
        <row r="2257">
          <cell r="A2257" t="str">
            <v>LEYTE</v>
          </cell>
        </row>
        <row r="2258">
          <cell r="A2258" t="str">
            <v>LIBERTY</v>
          </cell>
        </row>
        <row r="2259">
          <cell r="A2259" t="str">
            <v>LIBRA</v>
          </cell>
        </row>
        <row r="2260">
          <cell r="A2260" t="str">
            <v>LIBYA</v>
          </cell>
        </row>
        <row r="2261">
          <cell r="A2261" t="str">
            <v>LIBYA-A</v>
          </cell>
        </row>
        <row r="2262">
          <cell r="A2262" t="str">
            <v>LICHEN</v>
          </cell>
        </row>
        <row r="2263">
          <cell r="A2263" t="str">
            <v>Licinius</v>
          </cell>
        </row>
        <row r="2264">
          <cell r="A2264" t="str">
            <v>Liesl</v>
          </cell>
        </row>
        <row r="2265">
          <cell r="A2265" t="str">
            <v>Liesl-A</v>
          </cell>
        </row>
        <row r="2266">
          <cell r="A2266" t="str">
            <v>LIGUSTRUM</v>
          </cell>
        </row>
        <row r="2267">
          <cell r="A2267" t="str">
            <v>Lil Bit</v>
          </cell>
        </row>
        <row r="2268">
          <cell r="A2268" t="str">
            <v>LILA</v>
          </cell>
        </row>
        <row r="2269">
          <cell r="A2269" t="str">
            <v>LILAC</v>
          </cell>
        </row>
        <row r="2270">
          <cell r="A2270" t="str">
            <v>Lilah</v>
          </cell>
        </row>
        <row r="2271">
          <cell r="A2271" t="str">
            <v>LILLO</v>
          </cell>
        </row>
        <row r="2272">
          <cell r="A2272" t="str">
            <v>LILY</v>
          </cell>
        </row>
        <row r="2273">
          <cell r="A2273" t="str">
            <v>LIMA</v>
          </cell>
        </row>
        <row r="2274">
          <cell r="A2274" t="str">
            <v>Limerick</v>
          </cell>
        </row>
        <row r="2275">
          <cell r="A2275" t="str">
            <v>Limpopo</v>
          </cell>
        </row>
        <row r="2276">
          <cell r="A2276" t="str">
            <v>LINALOE</v>
          </cell>
        </row>
        <row r="2277">
          <cell r="A2277" t="str">
            <v>Lincoln</v>
          </cell>
        </row>
        <row r="2278">
          <cell r="A2278" t="str">
            <v>LINDEN</v>
          </cell>
        </row>
        <row r="2279">
          <cell r="A2279" t="str">
            <v>LIQUORICE</v>
          </cell>
        </row>
        <row r="2280">
          <cell r="A2280" t="str">
            <v>LISA DELLA</v>
          </cell>
        </row>
        <row r="2281">
          <cell r="A2281" t="str">
            <v>LISA-A</v>
          </cell>
        </row>
        <row r="2282">
          <cell r="A2282" t="str">
            <v>LISA-B</v>
          </cell>
        </row>
        <row r="2283">
          <cell r="A2283" t="str">
            <v>LISA-C</v>
          </cell>
        </row>
        <row r="2284">
          <cell r="A2284" t="str">
            <v>LITTLE BEAR</v>
          </cell>
        </row>
        <row r="2285">
          <cell r="A2285" t="str">
            <v>Little Dipper</v>
          </cell>
        </row>
        <row r="2286">
          <cell r="A2286" t="str">
            <v>LIVEOAK</v>
          </cell>
        </row>
        <row r="2287">
          <cell r="A2287" t="str">
            <v>LIVIA</v>
          </cell>
        </row>
        <row r="2288">
          <cell r="A2288" t="str">
            <v>LIVIA II</v>
          </cell>
        </row>
        <row r="2289">
          <cell r="A2289" t="str">
            <v>Loblolly</v>
          </cell>
        </row>
        <row r="2290">
          <cell r="A2290" t="str">
            <v>LOBOKOMA</v>
          </cell>
        </row>
        <row r="2291">
          <cell r="A2291" t="str">
            <v>Locust</v>
          </cell>
        </row>
        <row r="2292">
          <cell r="A2292" t="str">
            <v>LOIS</v>
          </cell>
        </row>
        <row r="2293">
          <cell r="A2293" t="str">
            <v>LOIS-A</v>
          </cell>
        </row>
        <row r="2294">
          <cell r="A2294" t="str">
            <v>LOIS-B</v>
          </cell>
        </row>
        <row r="2295">
          <cell r="A2295" t="str">
            <v>LOIS-C</v>
          </cell>
        </row>
        <row r="2296">
          <cell r="A2296" t="str">
            <v>LOK</v>
          </cell>
        </row>
        <row r="2297">
          <cell r="A2297" t="str">
            <v>Loka</v>
          </cell>
        </row>
        <row r="2298">
          <cell r="A2298" t="str">
            <v>Loka</v>
          </cell>
        </row>
        <row r="2299">
          <cell r="A2299" t="str">
            <v>Loki</v>
          </cell>
        </row>
        <row r="2300">
          <cell r="A2300" t="str">
            <v>LOON</v>
          </cell>
        </row>
        <row r="2301">
          <cell r="A2301" t="str">
            <v>LORD NELSON</v>
          </cell>
        </row>
        <row r="2302">
          <cell r="A2302" t="str">
            <v>LORENZO</v>
          </cell>
        </row>
        <row r="2303">
          <cell r="A2303" t="str">
            <v>LOT</v>
          </cell>
        </row>
        <row r="2304">
          <cell r="A2304" t="str">
            <v>LOUIE</v>
          </cell>
        </row>
        <row r="2305">
          <cell r="A2305" t="str">
            <v>Lovett</v>
          </cell>
        </row>
        <row r="2306">
          <cell r="A2306" t="str">
            <v>LOZI</v>
          </cell>
        </row>
        <row r="2307">
          <cell r="A2307" t="str">
            <v>LUCAS</v>
          </cell>
        </row>
        <row r="2308">
          <cell r="A2308" t="str">
            <v>LUCCA</v>
          </cell>
        </row>
        <row r="2309">
          <cell r="A2309" t="str">
            <v>Lucia</v>
          </cell>
        </row>
        <row r="2310">
          <cell r="A2310" t="str">
            <v>LUCIA-A</v>
          </cell>
        </row>
        <row r="2311">
          <cell r="A2311" t="str">
            <v>Lucia-B</v>
          </cell>
        </row>
        <row r="2312">
          <cell r="A2312" t="str">
            <v>LUCIFER</v>
          </cell>
        </row>
        <row r="2313">
          <cell r="A2313" t="str">
            <v>LUCILLA</v>
          </cell>
        </row>
        <row r="2314">
          <cell r="A2314" t="str">
            <v>LUCILLA-A</v>
          </cell>
        </row>
        <row r="2315">
          <cell r="A2315" t="str">
            <v>Lucius</v>
          </cell>
        </row>
        <row r="2316">
          <cell r="A2316" t="str">
            <v>Lucius Verus</v>
          </cell>
        </row>
        <row r="2317">
          <cell r="A2317" t="str">
            <v>LUCKY</v>
          </cell>
        </row>
        <row r="2318">
          <cell r="A2318" t="str">
            <v>Lucrezia</v>
          </cell>
        </row>
        <row r="2319">
          <cell r="A2319" t="str">
            <v>Lucy</v>
          </cell>
        </row>
        <row r="2320">
          <cell r="A2320" t="str">
            <v>LUCY VAN PELT</v>
          </cell>
        </row>
        <row r="2321">
          <cell r="A2321" t="str">
            <v>Luis</v>
          </cell>
        </row>
        <row r="2322">
          <cell r="A2322" t="str">
            <v>LUKE</v>
          </cell>
        </row>
        <row r="2323">
          <cell r="A2323" t="str">
            <v>LuLu</v>
          </cell>
        </row>
        <row r="2324">
          <cell r="A2324" t="str">
            <v>Luna</v>
          </cell>
        </row>
        <row r="2325">
          <cell r="A2325" t="str">
            <v>LUNA-A</v>
          </cell>
        </row>
        <row r="2326">
          <cell r="A2326" t="str">
            <v>Lunaria</v>
          </cell>
        </row>
        <row r="2327">
          <cell r="A2327" t="str">
            <v>LUPE</v>
          </cell>
        </row>
        <row r="2328">
          <cell r="A2328" t="str">
            <v>Lupicina</v>
          </cell>
        </row>
        <row r="2329">
          <cell r="A2329" t="str">
            <v>Lupicina-A</v>
          </cell>
        </row>
        <row r="2330">
          <cell r="A2330" t="str">
            <v>LUPUS</v>
          </cell>
        </row>
        <row r="2331">
          <cell r="A2331" t="str">
            <v>Luther</v>
          </cell>
        </row>
        <row r="2332">
          <cell r="A2332" t="str">
            <v>LUZ</v>
          </cell>
        </row>
        <row r="2333">
          <cell r="A2333" t="str">
            <v>LYCIPPUS</v>
          </cell>
        </row>
        <row r="2334">
          <cell r="A2334" t="str">
            <v>LYCUS</v>
          </cell>
        </row>
        <row r="2335">
          <cell r="A2335" t="str">
            <v>LYDIA</v>
          </cell>
        </row>
        <row r="2336">
          <cell r="A2336" t="str">
            <v>LYMPH</v>
          </cell>
        </row>
        <row r="2337">
          <cell r="A2337" t="str">
            <v>LYN</v>
          </cell>
        </row>
        <row r="2338">
          <cell r="A2338" t="str">
            <v>LYNX</v>
          </cell>
        </row>
        <row r="2339">
          <cell r="A2339" t="str">
            <v>LYONTREE</v>
          </cell>
        </row>
        <row r="2340">
          <cell r="A2340" t="str">
            <v>Lyra</v>
          </cell>
        </row>
        <row r="2341">
          <cell r="A2341" t="str">
            <v>LYSIA</v>
          </cell>
        </row>
        <row r="2342">
          <cell r="A2342" t="str">
            <v>LYSILOMA</v>
          </cell>
        </row>
        <row r="2343">
          <cell r="A2343" t="str">
            <v>LYSIS</v>
          </cell>
        </row>
        <row r="2344">
          <cell r="A2344" t="str">
            <v>LYSIS-A</v>
          </cell>
        </row>
        <row r="2345">
          <cell r="A2345" t="str">
            <v>LYSITHEA</v>
          </cell>
        </row>
        <row r="2346">
          <cell r="A2346" t="str">
            <v>MAASIN</v>
          </cell>
        </row>
        <row r="2347">
          <cell r="A2347" t="str">
            <v>Ma'at</v>
          </cell>
        </row>
        <row r="2348">
          <cell r="A2348" t="str">
            <v>MACE</v>
          </cell>
        </row>
        <row r="2349">
          <cell r="A2349" t="str">
            <v>MACHO</v>
          </cell>
        </row>
        <row r="2350">
          <cell r="A2350" t="str">
            <v>MAD</v>
          </cell>
        </row>
        <row r="2351">
          <cell r="A2351" t="str">
            <v>MADAGASCAR FATS</v>
          </cell>
        </row>
        <row r="2352">
          <cell r="A2352" t="str">
            <v>MADDER</v>
          </cell>
        </row>
        <row r="2353">
          <cell r="A2353" t="str">
            <v>Maddie</v>
          </cell>
        </row>
        <row r="2354">
          <cell r="A2354" t="str">
            <v>Maddie-A</v>
          </cell>
        </row>
        <row r="2355">
          <cell r="A2355" t="str">
            <v>Maddie-B</v>
          </cell>
        </row>
        <row r="2356">
          <cell r="A2356" t="str">
            <v>Maddie-C</v>
          </cell>
        </row>
        <row r="2357">
          <cell r="A2357" t="str">
            <v>Maddie-D</v>
          </cell>
        </row>
        <row r="2358">
          <cell r="A2358" t="str">
            <v>MADEIRA</v>
          </cell>
        </row>
        <row r="2359">
          <cell r="A2359" t="str">
            <v>MADRED</v>
          </cell>
        </row>
        <row r="2360">
          <cell r="A2360" t="str">
            <v>Mae</v>
          </cell>
        </row>
        <row r="2361">
          <cell r="A2361" t="str">
            <v>MAGDALEN</v>
          </cell>
        </row>
        <row r="2362">
          <cell r="A2362" t="str">
            <v>Magdalena</v>
          </cell>
        </row>
        <row r="2363">
          <cell r="A2363" t="str">
            <v>Magdalena-A</v>
          </cell>
        </row>
        <row r="2364">
          <cell r="A2364" t="str">
            <v>Magellan</v>
          </cell>
        </row>
        <row r="2365">
          <cell r="A2365" t="str">
            <v>MAGENTA</v>
          </cell>
        </row>
        <row r="2366">
          <cell r="A2366" t="str">
            <v>Magnes</v>
          </cell>
        </row>
        <row r="2367">
          <cell r="A2367" t="str">
            <v>MAGNI</v>
          </cell>
        </row>
        <row r="2368">
          <cell r="A2368" t="str">
            <v>MAGNOLIA</v>
          </cell>
        </row>
        <row r="2369">
          <cell r="A2369" t="str">
            <v>Magnolia (MMUR)</v>
          </cell>
        </row>
        <row r="2370">
          <cell r="A2370" t="str">
            <v>Magnolia-A</v>
          </cell>
        </row>
        <row r="2371">
          <cell r="A2371" t="str">
            <v>MAGPIE</v>
          </cell>
        </row>
        <row r="2372">
          <cell r="A2372" t="str">
            <v>MAHALI</v>
          </cell>
        </row>
        <row r="2373">
          <cell r="A2373" t="str">
            <v>MAHALIA</v>
          </cell>
        </row>
        <row r="2374">
          <cell r="A2374" t="str">
            <v>Mahambo</v>
          </cell>
        </row>
        <row r="2375">
          <cell r="A2375" t="str">
            <v>MAHARI</v>
          </cell>
        </row>
        <row r="2376">
          <cell r="A2376" t="str">
            <v>MAHLON</v>
          </cell>
        </row>
        <row r="2377">
          <cell r="A2377" t="str">
            <v>MAHOGANY</v>
          </cell>
        </row>
        <row r="2378">
          <cell r="A2378" t="str">
            <v>MAHOGANY-A</v>
          </cell>
        </row>
        <row r="2379">
          <cell r="A2379" t="str">
            <v>MAHOGANY-B</v>
          </cell>
        </row>
        <row r="2380">
          <cell r="A2380" t="str">
            <v>MAIA</v>
          </cell>
        </row>
        <row r="2381">
          <cell r="A2381" t="str">
            <v>MAIZE</v>
          </cell>
        </row>
        <row r="2382">
          <cell r="A2382" t="str">
            <v>MAJI</v>
          </cell>
        </row>
        <row r="2383">
          <cell r="A2383" t="str">
            <v>MAKEBA</v>
          </cell>
        </row>
        <row r="2384">
          <cell r="A2384" t="str">
            <v>MAKEBA-A</v>
          </cell>
        </row>
        <row r="2385">
          <cell r="A2385" t="str">
            <v>MALABARLA</v>
          </cell>
        </row>
        <row r="2386">
          <cell r="A2386" t="str">
            <v>Malala</v>
          </cell>
        </row>
        <row r="2387">
          <cell r="A2387" t="str">
            <v>Malala-A</v>
          </cell>
        </row>
        <row r="2388">
          <cell r="A2388" t="str">
            <v>Malala-B</v>
          </cell>
        </row>
        <row r="2389">
          <cell r="A2389" t="str">
            <v>Mallard</v>
          </cell>
        </row>
        <row r="2390">
          <cell r="A2390" t="str">
            <v>MALLEE</v>
          </cell>
        </row>
        <row r="2391">
          <cell r="A2391" t="str">
            <v>MALVINA</v>
          </cell>
        </row>
        <row r="2392">
          <cell r="A2392" t="str">
            <v>MAMIE</v>
          </cell>
        </row>
        <row r="2393">
          <cell r="A2393" t="str">
            <v>MANDARIN</v>
          </cell>
        </row>
        <row r="2394">
          <cell r="A2394" t="str">
            <v>MANDAYA</v>
          </cell>
        </row>
        <row r="2395">
          <cell r="A2395" t="str">
            <v>Mangamaso</v>
          </cell>
        </row>
        <row r="2396">
          <cell r="A2396" t="str">
            <v>MANGO</v>
          </cell>
        </row>
        <row r="2397">
          <cell r="A2397" t="str">
            <v>MANGROVE</v>
          </cell>
        </row>
        <row r="2398">
          <cell r="A2398" t="str">
            <v>MANSAKA</v>
          </cell>
        </row>
        <row r="2399">
          <cell r="A2399" t="str">
            <v>MANTID</v>
          </cell>
        </row>
        <row r="2400">
          <cell r="A2400" t="str">
            <v>MANU</v>
          </cell>
        </row>
        <row r="2401">
          <cell r="A2401" t="str">
            <v>MANUEL</v>
          </cell>
        </row>
        <row r="2402">
          <cell r="A2402" t="str">
            <v>MANZANITA</v>
          </cell>
        </row>
        <row r="2403">
          <cell r="A2403" t="str">
            <v>MAORI</v>
          </cell>
        </row>
        <row r="2404">
          <cell r="A2404" t="str">
            <v>MAORI-A</v>
          </cell>
        </row>
        <row r="2405">
          <cell r="A2405" t="str">
            <v>MAORI-B</v>
          </cell>
        </row>
        <row r="2406">
          <cell r="A2406" t="str">
            <v>MAORI-C</v>
          </cell>
        </row>
        <row r="2407">
          <cell r="A2407" t="str">
            <v>MAPLE</v>
          </cell>
        </row>
        <row r="2408">
          <cell r="A2408" t="str">
            <v>MARBLE</v>
          </cell>
        </row>
        <row r="2409">
          <cell r="A2409" t="str">
            <v>MARBLEBERRY</v>
          </cell>
        </row>
        <row r="2410">
          <cell r="A2410" t="str">
            <v>MARBLEBERRY-A</v>
          </cell>
        </row>
        <row r="2411">
          <cell r="A2411" t="str">
            <v>MARBLEBERRY-B</v>
          </cell>
        </row>
        <row r="2412">
          <cell r="A2412" t="str">
            <v>Marbleberry-C</v>
          </cell>
        </row>
        <row r="2413">
          <cell r="A2413" t="str">
            <v>MARC</v>
          </cell>
        </row>
        <row r="2414">
          <cell r="A2414" t="str">
            <v>MARCASITE</v>
          </cell>
        </row>
        <row r="2415">
          <cell r="A2415" t="str">
            <v>MARCEL</v>
          </cell>
        </row>
        <row r="2416">
          <cell r="A2416" t="str">
            <v>MARCELLA</v>
          </cell>
        </row>
        <row r="2417">
          <cell r="A2417" t="str">
            <v>MARCELLA-A</v>
          </cell>
        </row>
        <row r="2418">
          <cell r="A2418" t="str">
            <v>MARCELLA-B</v>
          </cell>
        </row>
        <row r="2419">
          <cell r="A2419" t="str">
            <v>Marcella-C</v>
          </cell>
        </row>
        <row r="2420">
          <cell r="A2420" t="str">
            <v>MARCIA</v>
          </cell>
        </row>
        <row r="2421">
          <cell r="A2421" t="str">
            <v>Marcus</v>
          </cell>
        </row>
        <row r="2422">
          <cell r="A2422" t="str">
            <v>Marcus Aurelius</v>
          </cell>
        </row>
        <row r="2423">
          <cell r="A2423" t="str">
            <v>MARGARITE</v>
          </cell>
        </row>
        <row r="2424">
          <cell r="A2424" t="str">
            <v>Margret</v>
          </cell>
        </row>
        <row r="2425">
          <cell r="A2425" t="str">
            <v>Maria</v>
          </cell>
        </row>
        <row r="2426">
          <cell r="A2426" t="str">
            <v>Marie</v>
          </cell>
        </row>
        <row r="2427">
          <cell r="A2427" t="str">
            <v>MARIE (non-DLC)</v>
          </cell>
        </row>
        <row r="2428">
          <cell r="A2428" t="str">
            <v>MARIGOLD</v>
          </cell>
        </row>
        <row r="2429">
          <cell r="A2429" t="str">
            <v>MARIGOLD-A</v>
          </cell>
        </row>
        <row r="2430">
          <cell r="A2430" t="str">
            <v>MARIO</v>
          </cell>
        </row>
        <row r="2431">
          <cell r="A2431" t="str">
            <v>MARIONETTE</v>
          </cell>
        </row>
        <row r="2432">
          <cell r="A2432" t="str">
            <v>MARIUS</v>
          </cell>
        </row>
        <row r="2433">
          <cell r="A2433" t="str">
            <v>MARJANI</v>
          </cell>
        </row>
        <row r="2434">
          <cell r="A2434" t="str">
            <v>MARO</v>
          </cell>
        </row>
        <row r="2435">
          <cell r="A2435" t="str">
            <v>MAROON</v>
          </cell>
        </row>
        <row r="2436">
          <cell r="A2436" t="str">
            <v>MARS</v>
          </cell>
        </row>
        <row r="2437">
          <cell r="A2437" t="str">
            <v>Marshmallow</v>
          </cell>
        </row>
        <row r="2438">
          <cell r="A2438" t="str">
            <v>MARTA</v>
          </cell>
        </row>
        <row r="2439">
          <cell r="A2439" t="str">
            <v>MARTHA</v>
          </cell>
        </row>
        <row r="2440">
          <cell r="A2440" t="str">
            <v>MARTIA</v>
          </cell>
        </row>
        <row r="2441">
          <cell r="A2441" t="str">
            <v>MARTIAL</v>
          </cell>
        </row>
        <row r="2442">
          <cell r="A2442" t="str">
            <v>Martin</v>
          </cell>
        </row>
        <row r="2443">
          <cell r="A2443" t="str">
            <v>Martine (Ecol)</v>
          </cell>
        </row>
        <row r="2444">
          <cell r="A2444" t="str">
            <v>Martinianus</v>
          </cell>
        </row>
        <row r="2445">
          <cell r="A2445" t="str">
            <v>MARUT</v>
          </cell>
        </row>
        <row r="2446">
          <cell r="A2446" t="str">
            <v>MARY</v>
          </cell>
        </row>
        <row r="2447">
          <cell r="A2447" t="str">
            <v>MARY II</v>
          </cell>
        </row>
        <row r="2448">
          <cell r="A2448" t="str">
            <v>MARY-A</v>
          </cell>
        </row>
        <row r="2449">
          <cell r="A2449" t="str">
            <v>MARYAMU</v>
          </cell>
        </row>
        <row r="2450">
          <cell r="A2450" t="str">
            <v>MARY-B</v>
          </cell>
        </row>
        <row r="2451">
          <cell r="A2451" t="str">
            <v>MASETTO</v>
          </cell>
        </row>
        <row r="2452">
          <cell r="A2452" t="str">
            <v>MASHAVU</v>
          </cell>
        </row>
        <row r="2453">
          <cell r="A2453" t="str">
            <v>MASIKA</v>
          </cell>
        </row>
        <row r="2454">
          <cell r="A2454" t="str">
            <v>MASIKA-A</v>
          </cell>
        </row>
        <row r="2455">
          <cell r="A2455" t="str">
            <v>MASKINI</v>
          </cell>
        </row>
        <row r="2456">
          <cell r="A2456" t="str">
            <v>Masoandro</v>
          </cell>
        </row>
        <row r="2457">
          <cell r="A2457" t="str">
            <v>MASUD</v>
          </cell>
        </row>
        <row r="2458">
          <cell r="A2458" t="str">
            <v>Matilda</v>
          </cell>
        </row>
        <row r="2459">
          <cell r="A2459" t="str">
            <v>Matilda-A</v>
          </cell>
        </row>
        <row r="2460">
          <cell r="A2460" t="str">
            <v>Matilda-B</v>
          </cell>
        </row>
        <row r="2461">
          <cell r="A2461" t="str">
            <v>MATRIKA</v>
          </cell>
        </row>
        <row r="2462">
          <cell r="A2462" t="str">
            <v>MATTHAN</v>
          </cell>
        </row>
        <row r="2463">
          <cell r="A2463" t="str">
            <v>MATTHEW</v>
          </cell>
        </row>
        <row r="2464">
          <cell r="A2464" t="str">
            <v>MAULIDI</v>
          </cell>
        </row>
        <row r="2465">
          <cell r="A2465" t="str">
            <v>MAURICE</v>
          </cell>
        </row>
        <row r="2466">
          <cell r="A2466" t="str">
            <v>MAWI</v>
          </cell>
        </row>
        <row r="2467">
          <cell r="A2467" t="str">
            <v>MAWI-A</v>
          </cell>
        </row>
        <row r="2468">
          <cell r="A2468" t="str">
            <v>MAXIMIAN</v>
          </cell>
        </row>
        <row r="2469">
          <cell r="A2469" t="str">
            <v>Maximilian</v>
          </cell>
        </row>
        <row r="2470">
          <cell r="A2470" t="str">
            <v>Maximus</v>
          </cell>
        </row>
        <row r="2471">
          <cell r="A2471" t="str">
            <v>MAY</v>
          </cell>
        </row>
        <row r="2472">
          <cell r="A2472" t="str">
            <v>MAYA</v>
          </cell>
        </row>
        <row r="2473">
          <cell r="A2473" t="str">
            <v>MAYMUMA</v>
          </cell>
        </row>
        <row r="2474">
          <cell r="A2474" t="str">
            <v>MAZIWA</v>
          </cell>
        </row>
        <row r="2475">
          <cell r="A2475" t="str">
            <v>MBILI</v>
          </cell>
        </row>
        <row r="2476">
          <cell r="A2476" t="str">
            <v>MBITA</v>
          </cell>
        </row>
        <row r="2477">
          <cell r="A2477" t="str">
            <v>MBOLA</v>
          </cell>
        </row>
        <row r="2478">
          <cell r="A2478" t="str">
            <v>MBWANA</v>
          </cell>
        </row>
        <row r="2479">
          <cell r="A2479" t="str">
            <v>McAvoy</v>
          </cell>
        </row>
        <row r="2480">
          <cell r="A2480" t="str">
            <v>McKinnon</v>
          </cell>
        </row>
        <row r="2481">
          <cell r="A2481" t="str">
            <v>Meadowlark</v>
          </cell>
        </row>
        <row r="2482">
          <cell r="A2482" t="str">
            <v>MEADOWSWEET</v>
          </cell>
        </row>
        <row r="2483">
          <cell r="A2483" t="str">
            <v>Medea</v>
          </cell>
        </row>
        <row r="2484">
          <cell r="A2484" t="str">
            <v>Medusa</v>
          </cell>
        </row>
        <row r="2485">
          <cell r="A2485" t="str">
            <v>MEDUSA-A</v>
          </cell>
        </row>
        <row r="2486">
          <cell r="A2486" t="str">
            <v>MEDUSA-B</v>
          </cell>
        </row>
        <row r="2487">
          <cell r="A2487" t="str">
            <v>MEDUSA-C</v>
          </cell>
        </row>
        <row r="2488">
          <cell r="A2488" t="str">
            <v>MEDUSA-D</v>
          </cell>
        </row>
        <row r="2489">
          <cell r="A2489" t="str">
            <v>MEENA</v>
          </cell>
        </row>
        <row r="2490">
          <cell r="A2490" t="str">
            <v>MEENA-A</v>
          </cell>
        </row>
        <row r="2491">
          <cell r="A2491" t="str">
            <v>MEENA-B</v>
          </cell>
        </row>
        <row r="2492">
          <cell r="A2492" t="str">
            <v>MEENA-C</v>
          </cell>
        </row>
        <row r="2493">
          <cell r="A2493" t="str">
            <v>Meena-D</v>
          </cell>
        </row>
        <row r="2494">
          <cell r="A2494" t="str">
            <v>Meena-E</v>
          </cell>
        </row>
        <row r="2495">
          <cell r="A2495" t="str">
            <v>Meena-F</v>
          </cell>
        </row>
        <row r="2496">
          <cell r="A2496" t="str">
            <v>MEFO</v>
          </cell>
        </row>
        <row r="2497">
          <cell r="A2497" t="str">
            <v>MEGACLES</v>
          </cell>
        </row>
        <row r="2498">
          <cell r="A2498" t="str">
            <v>MEGACREON</v>
          </cell>
        </row>
        <row r="2499">
          <cell r="A2499" t="str">
            <v>MEGARA</v>
          </cell>
        </row>
        <row r="2500">
          <cell r="A2500" t="str">
            <v>MEGARA'S KID</v>
          </cell>
        </row>
        <row r="2501">
          <cell r="A2501" t="str">
            <v>Mego</v>
          </cell>
        </row>
        <row r="2502">
          <cell r="A2502" t="str">
            <v>MELINNA</v>
          </cell>
        </row>
        <row r="2503">
          <cell r="A2503" t="str">
            <v>MELINNA-A</v>
          </cell>
        </row>
        <row r="2504">
          <cell r="A2504" t="str">
            <v>Melisandre</v>
          </cell>
        </row>
        <row r="2505">
          <cell r="A2505" t="str">
            <v>MELPOM-A</v>
          </cell>
        </row>
        <row r="2506">
          <cell r="A2506" t="str">
            <v>MELPOMENE</v>
          </cell>
        </row>
        <row r="2507">
          <cell r="A2507" t="str">
            <v>Mena</v>
          </cell>
        </row>
        <row r="2508">
          <cell r="A2508" t="str">
            <v>MENELAUS</v>
          </cell>
        </row>
        <row r="2509">
          <cell r="A2509" t="str">
            <v>MENKAR</v>
          </cell>
        </row>
        <row r="2510">
          <cell r="A2510" t="str">
            <v>MENKARA</v>
          </cell>
        </row>
        <row r="2511">
          <cell r="A2511" t="str">
            <v>MENKIB</v>
          </cell>
        </row>
        <row r="2512">
          <cell r="A2512" t="str">
            <v>MENSA</v>
          </cell>
        </row>
        <row r="2513">
          <cell r="A2513" t="str">
            <v>Mephistopheles</v>
          </cell>
        </row>
        <row r="2514">
          <cell r="A2514" t="str">
            <v>MERCEDES</v>
          </cell>
        </row>
        <row r="2515">
          <cell r="A2515" t="str">
            <v>MERCURIA</v>
          </cell>
        </row>
        <row r="2516">
          <cell r="A2516" t="str">
            <v>MERCURY</v>
          </cell>
        </row>
        <row r="2517">
          <cell r="A2517" t="str">
            <v>MERCUTIO</v>
          </cell>
        </row>
        <row r="2518">
          <cell r="A2518" t="str">
            <v>Meriadoc</v>
          </cell>
        </row>
        <row r="2519">
          <cell r="A2519" t="str">
            <v>MERITATEN</v>
          </cell>
        </row>
        <row r="2520">
          <cell r="A2520" t="str">
            <v>MERITATEN-A</v>
          </cell>
        </row>
        <row r="2521">
          <cell r="A2521" t="str">
            <v>MERITATEN-B</v>
          </cell>
        </row>
        <row r="2522">
          <cell r="A2522" t="str">
            <v>MERITATEN-C</v>
          </cell>
        </row>
        <row r="2523">
          <cell r="A2523" t="str">
            <v>MERITATEN-D</v>
          </cell>
        </row>
        <row r="2524">
          <cell r="A2524" t="str">
            <v>Merlin</v>
          </cell>
        </row>
        <row r="2525">
          <cell r="A2525" t="str">
            <v>MEROPE</v>
          </cell>
        </row>
        <row r="2526">
          <cell r="A2526" t="str">
            <v>MERRIDEL</v>
          </cell>
        </row>
        <row r="2527">
          <cell r="A2527" t="str">
            <v>Merriweather</v>
          </cell>
        </row>
        <row r="2528">
          <cell r="A2528" t="str">
            <v>Merriweather-A</v>
          </cell>
        </row>
        <row r="2529">
          <cell r="A2529" t="str">
            <v>MESHAK</v>
          </cell>
        </row>
        <row r="2530">
          <cell r="A2530" t="str">
            <v>MESQUITE</v>
          </cell>
        </row>
        <row r="2531">
          <cell r="A2531" t="str">
            <v>MESSILINA</v>
          </cell>
        </row>
        <row r="2532">
          <cell r="A2532" t="str">
            <v>MESSILINA-A</v>
          </cell>
        </row>
        <row r="2533">
          <cell r="A2533" t="str">
            <v>MESSINA</v>
          </cell>
        </row>
        <row r="2534">
          <cell r="A2534" t="str">
            <v>MIAPLACIDUS</v>
          </cell>
        </row>
        <row r="2535">
          <cell r="A2535" t="str">
            <v>MICA</v>
          </cell>
        </row>
        <row r="2536">
          <cell r="A2536" t="str">
            <v>Mico</v>
          </cell>
        </row>
        <row r="2537">
          <cell r="A2537" t="str">
            <v>MICON</v>
          </cell>
        </row>
        <row r="2538">
          <cell r="A2538" t="str">
            <v>MIDAS</v>
          </cell>
        </row>
        <row r="2539">
          <cell r="A2539" t="str">
            <v>MIDGE</v>
          </cell>
        </row>
        <row r="2540">
          <cell r="A2540" t="str">
            <v>MIGUEL</v>
          </cell>
        </row>
        <row r="2541">
          <cell r="A2541" t="str">
            <v>Milkplum</v>
          </cell>
        </row>
        <row r="2542">
          <cell r="A2542" t="str">
            <v>MILKWEED</v>
          </cell>
        </row>
        <row r="2543">
          <cell r="A2543" t="str">
            <v>MILLI</v>
          </cell>
        </row>
        <row r="2544">
          <cell r="A2544" t="str">
            <v>MILO</v>
          </cell>
        </row>
        <row r="2545">
          <cell r="A2545" t="str">
            <v>Milofo</v>
          </cell>
        </row>
        <row r="2546">
          <cell r="A2546" t="str">
            <v>MIMAS</v>
          </cell>
        </row>
        <row r="2547">
          <cell r="A2547" t="str">
            <v>MIMI</v>
          </cell>
        </row>
        <row r="2548">
          <cell r="A2548" t="str">
            <v>MIMOSA</v>
          </cell>
        </row>
        <row r="2549">
          <cell r="A2549" t="str">
            <v>MIMOSA II</v>
          </cell>
        </row>
        <row r="2550">
          <cell r="A2550" t="str">
            <v>MIMOSA-A</v>
          </cell>
        </row>
        <row r="2551">
          <cell r="A2551" t="str">
            <v>MIMOSA-B</v>
          </cell>
        </row>
        <row r="2552">
          <cell r="A2552" t="str">
            <v>Mimosa-C</v>
          </cell>
        </row>
        <row r="2553">
          <cell r="A2553" t="str">
            <v>Mimosa-D</v>
          </cell>
        </row>
        <row r="2554">
          <cell r="A2554" t="str">
            <v>MIMOSA-E</v>
          </cell>
        </row>
        <row r="2555">
          <cell r="A2555" t="str">
            <v>MIMOSA-F</v>
          </cell>
        </row>
        <row r="2556">
          <cell r="A2556" t="str">
            <v>MIN</v>
          </cell>
        </row>
        <row r="2557">
          <cell r="A2557" t="str">
            <v>Minah</v>
          </cell>
        </row>
        <row r="2558">
          <cell r="A2558" t="str">
            <v>MINDANAO</v>
          </cell>
        </row>
        <row r="2559">
          <cell r="A2559" t="str">
            <v>Minias</v>
          </cell>
        </row>
        <row r="2560">
          <cell r="A2560" t="str">
            <v>MINNESOTA FATS</v>
          </cell>
        </row>
        <row r="2561">
          <cell r="A2561" t="str">
            <v>MINT</v>
          </cell>
        </row>
        <row r="2562">
          <cell r="A2562" t="str">
            <v>MINTAKA</v>
          </cell>
        </row>
        <row r="2563">
          <cell r="A2563" t="str">
            <v>MIRA</v>
          </cell>
        </row>
        <row r="2564">
          <cell r="A2564" t="str">
            <v>MIRA II</v>
          </cell>
        </row>
        <row r="2565">
          <cell r="A2565" t="str">
            <v>MIRANDA</v>
          </cell>
        </row>
        <row r="2566">
          <cell r="A2566" t="str">
            <v>MIREHA</v>
          </cell>
        </row>
        <row r="2567">
          <cell r="A2567" t="str">
            <v>MIRFAK</v>
          </cell>
        </row>
        <row r="2568">
          <cell r="A2568" t="str">
            <v>MIRIAM</v>
          </cell>
        </row>
        <row r="2569">
          <cell r="A2569" t="str">
            <v>MIRIAM-A</v>
          </cell>
        </row>
        <row r="2570">
          <cell r="A2570" t="str">
            <v>Mirren</v>
          </cell>
        </row>
        <row r="2571">
          <cell r="A2571" t="str">
            <v>MISCHA</v>
          </cell>
        </row>
        <row r="2572">
          <cell r="A2572" t="str">
            <v>MITE</v>
          </cell>
        </row>
        <row r="2573">
          <cell r="A2573" t="str">
            <v>MITRA</v>
          </cell>
        </row>
        <row r="2574">
          <cell r="A2574" t="str">
            <v>MIZAR</v>
          </cell>
        </row>
        <row r="2575">
          <cell r="A2575" t="str">
            <v>MOBE</v>
          </cell>
        </row>
        <row r="2576">
          <cell r="A2576" t="str">
            <v>MODI</v>
          </cell>
        </row>
        <row r="2577">
          <cell r="A2577" t="str">
            <v>MOHAN</v>
          </cell>
        </row>
        <row r="2578">
          <cell r="A2578" t="str">
            <v>Mohawk</v>
          </cell>
        </row>
        <row r="2579">
          <cell r="A2579" t="str">
            <v>Moheli</v>
          </cell>
        </row>
        <row r="2580">
          <cell r="A2580" t="str">
            <v>Moheli-A</v>
          </cell>
        </row>
        <row r="2581">
          <cell r="A2581" t="str">
            <v>MOJA</v>
          </cell>
        </row>
        <row r="2582">
          <cell r="A2582" t="str">
            <v>Molon</v>
          </cell>
        </row>
        <row r="2583">
          <cell r="A2583" t="str">
            <v>MOMOSA-C</v>
          </cell>
        </row>
        <row r="2584">
          <cell r="A2584" t="str">
            <v>MOMOSA-D</v>
          </cell>
        </row>
        <row r="2585">
          <cell r="A2585" t="str">
            <v>MONAZITE</v>
          </cell>
        </row>
        <row r="2586">
          <cell r="A2586" t="str">
            <v>MONDO</v>
          </cell>
        </row>
        <row r="2587">
          <cell r="A2587" t="str">
            <v>MONJO</v>
          </cell>
        </row>
        <row r="2588">
          <cell r="A2588" t="str">
            <v>MONROE</v>
          </cell>
        </row>
        <row r="2589">
          <cell r="A2589" t="str">
            <v>MONROE-A</v>
          </cell>
        </row>
        <row r="2590">
          <cell r="A2590" t="str">
            <v>MONROE-B</v>
          </cell>
        </row>
        <row r="2591">
          <cell r="A2591" t="str">
            <v>Monroe-C</v>
          </cell>
        </row>
        <row r="2592">
          <cell r="A2592" t="str">
            <v>Montague</v>
          </cell>
        </row>
        <row r="2593">
          <cell r="A2593" t="str">
            <v>MONTROSE</v>
          </cell>
        </row>
        <row r="2594">
          <cell r="A2594" t="str">
            <v>MONTY</v>
          </cell>
        </row>
        <row r="2595">
          <cell r="A2595" t="str">
            <v>MOON</v>
          </cell>
        </row>
        <row r="2596">
          <cell r="A2596" t="str">
            <v>MOON-A</v>
          </cell>
        </row>
        <row r="2597">
          <cell r="A2597" t="str">
            <v>MOONSHINE</v>
          </cell>
        </row>
        <row r="2598">
          <cell r="A2598" t="str">
            <v>MOONSTONE</v>
          </cell>
        </row>
        <row r="2599">
          <cell r="A2599" t="str">
            <v>MOOSEWOOD</v>
          </cell>
        </row>
        <row r="2600">
          <cell r="A2600" t="str">
            <v>MOPSUS</v>
          </cell>
        </row>
        <row r="2601">
          <cell r="A2601" t="str">
            <v>MORDE</v>
          </cell>
        </row>
        <row r="2602">
          <cell r="A2602" t="str">
            <v>MORGANA</v>
          </cell>
        </row>
        <row r="2603">
          <cell r="A2603" t="str">
            <v>MORGANA-A</v>
          </cell>
        </row>
        <row r="2604">
          <cell r="A2604" t="str">
            <v>Morombe</v>
          </cell>
        </row>
        <row r="2605">
          <cell r="A2605" t="str">
            <v>MORPHEUS</v>
          </cell>
        </row>
        <row r="2606">
          <cell r="A2606" t="str">
            <v>Morticia</v>
          </cell>
        </row>
        <row r="2607">
          <cell r="A2607" t="str">
            <v>MOSES</v>
          </cell>
        </row>
        <row r="2608">
          <cell r="A2608" t="str">
            <v>Mosi</v>
          </cell>
        </row>
        <row r="2609">
          <cell r="A2609" t="str">
            <v>MOSI-A</v>
          </cell>
        </row>
        <row r="2610">
          <cell r="A2610" t="str">
            <v>MOSI-B</v>
          </cell>
        </row>
        <row r="2611">
          <cell r="A2611" t="str">
            <v>MOTH</v>
          </cell>
        </row>
        <row r="2612">
          <cell r="A2612" t="str">
            <v>Motmot</v>
          </cell>
        </row>
        <row r="2613">
          <cell r="A2613" t="str">
            <v>MOTO</v>
          </cell>
        </row>
        <row r="2614">
          <cell r="A2614" t="str">
            <v>Mowgli</v>
          </cell>
        </row>
        <row r="2615">
          <cell r="A2615" t="str">
            <v>MOZA</v>
          </cell>
        </row>
        <row r="2616">
          <cell r="A2616" t="str">
            <v>Mpondoro</v>
          </cell>
        </row>
        <row r="2617">
          <cell r="A2617" t="str">
            <v>Mrs Dash</v>
          </cell>
        </row>
        <row r="2618">
          <cell r="A2618" t="str">
            <v>MRS. FAIRBANKS S</v>
          </cell>
        </row>
        <row r="2619">
          <cell r="A2619" t="str">
            <v>MRS. NOAH</v>
          </cell>
        </row>
        <row r="2620">
          <cell r="A2620" t="str">
            <v>MRS. NOAH-A</v>
          </cell>
        </row>
        <row r="2621">
          <cell r="A2621" t="str">
            <v>MRS.FAIRBANKS JR</v>
          </cell>
        </row>
        <row r="2622">
          <cell r="A2622" t="str">
            <v>MTOTO</v>
          </cell>
        </row>
        <row r="2623">
          <cell r="A2623" t="str">
            <v>MTUMWA</v>
          </cell>
        </row>
        <row r="2624">
          <cell r="A2624" t="str">
            <v>MU</v>
          </cell>
        </row>
        <row r="2625">
          <cell r="A2625" t="str">
            <v>MULBERRY</v>
          </cell>
        </row>
        <row r="2626">
          <cell r="A2626" t="str">
            <v>MULBERRY II</v>
          </cell>
        </row>
        <row r="2627">
          <cell r="A2627" t="str">
            <v>Munchkin</v>
          </cell>
        </row>
        <row r="2628">
          <cell r="A2628" t="str">
            <v>MUPPET</v>
          </cell>
        </row>
        <row r="2629">
          <cell r="A2629" t="str">
            <v>Murphy</v>
          </cell>
        </row>
        <row r="2630">
          <cell r="A2630" t="str">
            <v>MURZIM</v>
          </cell>
        </row>
        <row r="2631">
          <cell r="A2631" t="str">
            <v>MUSA</v>
          </cell>
        </row>
        <row r="2632">
          <cell r="A2632" t="str">
            <v>MUSCA</v>
          </cell>
        </row>
        <row r="2633">
          <cell r="A2633" t="str">
            <v>MUSCOVITE</v>
          </cell>
        </row>
        <row r="2634">
          <cell r="A2634" t="str">
            <v>Mushmelon</v>
          </cell>
        </row>
        <row r="2635">
          <cell r="A2635" t="str">
            <v>MUSK ROSE</v>
          </cell>
        </row>
        <row r="2636">
          <cell r="A2636" t="str">
            <v>MUST</v>
          </cell>
        </row>
        <row r="2637">
          <cell r="A2637" t="str">
            <v>MUSTARDSEED</v>
          </cell>
        </row>
        <row r="2638">
          <cell r="A2638" t="str">
            <v>MWAJUMA</v>
          </cell>
        </row>
        <row r="2639">
          <cell r="A2639" t="str">
            <v>MWAJUMA-A</v>
          </cell>
        </row>
        <row r="2640">
          <cell r="A2640" t="str">
            <v>MWAJUMA-B</v>
          </cell>
        </row>
        <row r="2641">
          <cell r="A2641" t="str">
            <v>MWAJUMA-C</v>
          </cell>
        </row>
        <row r="2642">
          <cell r="A2642" t="str">
            <v>MWAJUMA-D</v>
          </cell>
        </row>
        <row r="2643">
          <cell r="A2643" t="str">
            <v>MWAJUMA-E</v>
          </cell>
        </row>
        <row r="2644">
          <cell r="A2644" t="str">
            <v>MWAKA</v>
          </cell>
        </row>
        <row r="2645">
          <cell r="A2645" t="str">
            <v>MWASAA</v>
          </cell>
        </row>
        <row r="2646">
          <cell r="A2646" t="str">
            <v>MWASAA-A</v>
          </cell>
        </row>
        <row r="2647">
          <cell r="A2647" t="str">
            <v>MWASAA-B</v>
          </cell>
        </row>
        <row r="2648">
          <cell r="A2648" t="str">
            <v>MWATABU</v>
          </cell>
        </row>
        <row r="2649">
          <cell r="A2649" t="str">
            <v>MWATABU-A</v>
          </cell>
        </row>
        <row r="2650">
          <cell r="A2650" t="str">
            <v>MWATABU-B</v>
          </cell>
        </row>
        <row r="2651">
          <cell r="A2651" t="str">
            <v>MYINYI</v>
          </cell>
        </row>
        <row r="2652">
          <cell r="A2652" t="str">
            <v>Myna</v>
          </cell>
        </row>
        <row r="2653">
          <cell r="A2653" t="str">
            <v>MYRTLE</v>
          </cell>
        </row>
        <row r="2654">
          <cell r="A2654" t="str">
            <v>MYRTLE-A</v>
          </cell>
        </row>
        <row r="2655">
          <cell r="A2655" t="str">
            <v>MYRTLE-B</v>
          </cell>
        </row>
        <row r="2656">
          <cell r="A2656" t="str">
            <v>MYRTLE-C</v>
          </cell>
        </row>
        <row r="2657">
          <cell r="A2657" t="str">
            <v>MYRTLE-D</v>
          </cell>
        </row>
        <row r="2658">
          <cell r="A2658" t="str">
            <v>Myrto</v>
          </cell>
        </row>
        <row r="2659">
          <cell r="A2659" t="str">
            <v>Nacho</v>
          </cell>
        </row>
        <row r="2660">
          <cell r="A2660" t="str">
            <v>NADIA</v>
          </cell>
        </row>
        <row r="2661">
          <cell r="A2661" t="str">
            <v>NADIA-A</v>
          </cell>
        </row>
        <row r="2662">
          <cell r="A2662" t="str">
            <v>NAIRO</v>
          </cell>
        </row>
        <row r="2663">
          <cell r="A2663" t="str">
            <v>NAISSANCE</v>
          </cell>
        </row>
        <row r="2664">
          <cell r="A2664" t="str">
            <v>NANCY POO</v>
          </cell>
        </row>
        <row r="2665">
          <cell r="A2665" t="str">
            <v>NANCY-A</v>
          </cell>
        </row>
        <row r="2666">
          <cell r="A2666" t="str">
            <v>NANCY-B</v>
          </cell>
        </row>
        <row r="2667">
          <cell r="A2667" t="str">
            <v>NANE</v>
          </cell>
        </row>
        <row r="2668">
          <cell r="A2668" t="str">
            <v>NANETTE</v>
          </cell>
        </row>
        <row r="2669">
          <cell r="A2669" t="str">
            <v>NANNA</v>
          </cell>
        </row>
        <row r="2670">
          <cell r="A2670" t="str">
            <v>NANNO</v>
          </cell>
        </row>
        <row r="2671">
          <cell r="A2671" t="str">
            <v>NANOOK</v>
          </cell>
        </row>
        <row r="2672">
          <cell r="A2672" t="str">
            <v>NAOMI</v>
          </cell>
        </row>
        <row r="2673">
          <cell r="A2673" t="str">
            <v>NAOMI-A</v>
          </cell>
        </row>
        <row r="2674">
          <cell r="A2674" t="str">
            <v>NAOMI-B</v>
          </cell>
        </row>
        <row r="2675">
          <cell r="A2675" t="str">
            <v>NAOMI-C</v>
          </cell>
        </row>
        <row r="2676">
          <cell r="A2676" t="str">
            <v>NAOMI-D</v>
          </cell>
        </row>
        <row r="2677">
          <cell r="A2677" t="str">
            <v>NAOMI-E</v>
          </cell>
        </row>
        <row r="2678">
          <cell r="A2678" t="str">
            <v>NAOMI-F</v>
          </cell>
        </row>
        <row r="2679">
          <cell r="A2679" t="str">
            <v>Narcissa</v>
          </cell>
        </row>
        <row r="2680">
          <cell r="A2680" t="str">
            <v>NARCISSUS</v>
          </cell>
        </row>
        <row r="2681">
          <cell r="A2681" t="str">
            <v>NARESH</v>
          </cell>
        </row>
        <row r="2682">
          <cell r="A2682" t="str">
            <v>NASSOR</v>
          </cell>
        </row>
        <row r="2683">
          <cell r="A2683" t="str">
            <v>Natasha</v>
          </cell>
        </row>
        <row r="2684">
          <cell r="A2684" t="str">
            <v>NATESA</v>
          </cell>
        </row>
        <row r="2685">
          <cell r="A2685" t="str">
            <v>NATHAN</v>
          </cell>
        </row>
        <row r="2686">
          <cell r="A2686" t="str">
            <v>NATHANIEL</v>
          </cell>
        </row>
        <row r="2687">
          <cell r="A2687" t="str">
            <v>NAUSICAA</v>
          </cell>
        </row>
        <row r="2688">
          <cell r="A2688" t="str">
            <v>NAUSICAA-A</v>
          </cell>
        </row>
        <row r="2689">
          <cell r="A2689" t="str">
            <v>Navajo</v>
          </cell>
        </row>
        <row r="2690">
          <cell r="A2690" t="str">
            <v>NAZAR</v>
          </cell>
        </row>
        <row r="2691">
          <cell r="A2691" t="str">
            <v>NDIO</v>
          </cell>
        </row>
        <row r="2692">
          <cell r="A2692" t="str">
            <v>NDOGO</v>
          </cell>
        </row>
        <row r="2693">
          <cell r="A2693" t="str">
            <v>Nebuchadrezzer</v>
          </cell>
        </row>
        <row r="2694">
          <cell r="A2694" t="str">
            <v>NECHO</v>
          </cell>
        </row>
        <row r="2695">
          <cell r="A2695" t="str">
            <v>Nedjem</v>
          </cell>
        </row>
        <row r="2696">
          <cell r="A2696" t="str">
            <v>Nefertari</v>
          </cell>
        </row>
        <row r="2697">
          <cell r="A2697" t="str">
            <v>NEFERTITI</v>
          </cell>
        </row>
        <row r="2698">
          <cell r="A2698" t="str">
            <v>NEFERTITI-A</v>
          </cell>
        </row>
        <row r="2699">
          <cell r="A2699" t="str">
            <v>NEFERTITI-B</v>
          </cell>
        </row>
        <row r="2700">
          <cell r="A2700" t="str">
            <v>Nelson</v>
          </cell>
        </row>
        <row r="2701">
          <cell r="A2701" t="str">
            <v>Nemesis</v>
          </cell>
        </row>
        <row r="2702">
          <cell r="A2702" t="str">
            <v>NEMO</v>
          </cell>
        </row>
        <row r="2703">
          <cell r="A2703" t="str">
            <v>NEON</v>
          </cell>
        </row>
        <row r="2704">
          <cell r="A2704" t="str">
            <v>NEPHTHYS</v>
          </cell>
        </row>
        <row r="2705">
          <cell r="A2705" t="str">
            <v>NEPOMUK</v>
          </cell>
        </row>
        <row r="2706">
          <cell r="A2706" t="str">
            <v>NEPTUNE</v>
          </cell>
        </row>
        <row r="2707">
          <cell r="A2707" t="str">
            <v>NEPTUNIA</v>
          </cell>
        </row>
        <row r="2708">
          <cell r="A2708" t="str">
            <v>NERIED</v>
          </cell>
        </row>
        <row r="2709">
          <cell r="A2709" t="str">
            <v>NERO</v>
          </cell>
        </row>
        <row r="2710">
          <cell r="A2710" t="str">
            <v>NESTOR</v>
          </cell>
        </row>
        <row r="2711">
          <cell r="A2711" t="str">
            <v>NESTOR II</v>
          </cell>
        </row>
        <row r="2712">
          <cell r="A2712" t="str">
            <v>Nettle</v>
          </cell>
        </row>
        <row r="2713">
          <cell r="A2713" t="str">
            <v>Nettle-A</v>
          </cell>
        </row>
        <row r="2714">
          <cell r="A2714" t="str">
            <v>Nettle-B</v>
          </cell>
        </row>
        <row r="2715">
          <cell r="A2715" t="str">
            <v>NEWMAN</v>
          </cell>
        </row>
        <row r="2716">
          <cell r="A2716" t="str">
            <v>NGAPI</v>
          </cell>
        </row>
        <row r="2717">
          <cell r="A2717" t="str">
            <v>NGINI</v>
          </cell>
        </row>
        <row r="2718">
          <cell r="A2718" t="str">
            <v>NGONGO</v>
          </cell>
        </row>
        <row r="2719">
          <cell r="A2719" t="str">
            <v>Nicaea</v>
          </cell>
        </row>
        <row r="2720">
          <cell r="A2720" t="str">
            <v>NICANOR</v>
          </cell>
        </row>
        <row r="2721">
          <cell r="A2721" t="str">
            <v>NICIAS</v>
          </cell>
        </row>
        <row r="2722">
          <cell r="A2722" t="str">
            <v>NICKEL</v>
          </cell>
        </row>
        <row r="2723">
          <cell r="A2723" t="str">
            <v>NICKEL-A</v>
          </cell>
        </row>
        <row r="2724">
          <cell r="A2724" t="str">
            <v>NICODEMUS</v>
          </cell>
        </row>
        <row r="2725">
          <cell r="A2725" t="str">
            <v>NICOLE</v>
          </cell>
        </row>
        <row r="2726">
          <cell r="A2726" t="str">
            <v>NICOLE-A</v>
          </cell>
        </row>
        <row r="2727">
          <cell r="A2727" t="str">
            <v>NICOLLITE</v>
          </cell>
        </row>
        <row r="2728">
          <cell r="A2728" t="str">
            <v>Niffy</v>
          </cell>
        </row>
        <row r="2729">
          <cell r="A2729" t="str">
            <v>NIGEL</v>
          </cell>
        </row>
        <row r="2730">
          <cell r="A2730" t="str">
            <v>NIGER</v>
          </cell>
        </row>
        <row r="2731">
          <cell r="A2731" t="str">
            <v>Nighthawk</v>
          </cell>
        </row>
        <row r="2732">
          <cell r="A2732" t="str">
            <v>NIGHTSHADE</v>
          </cell>
        </row>
        <row r="2733">
          <cell r="A2733" t="str">
            <v>NIKANDROS</v>
          </cell>
        </row>
        <row r="2734">
          <cell r="A2734" t="str">
            <v>Nike</v>
          </cell>
        </row>
        <row r="2735">
          <cell r="A2735" t="str">
            <v>NIKE-A</v>
          </cell>
        </row>
        <row r="2736">
          <cell r="A2736" t="str">
            <v>Nikos</v>
          </cell>
        </row>
        <row r="2737">
          <cell r="A2737" t="str">
            <v>NINDI</v>
          </cell>
        </row>
        <row r="2738">
          <cell r="A2738" t="str">
            <v>NINNA</v>
          </cell>
        </row>
        <row r="2739">
          <cell r="A2739" t="str">
            <v>NINNA-A</v>
          </cell>
        </row>
        <row r="2740">
          <cell r="A2740" t="str">
            <v>NIOBE</v>
          </cell>
        </row>
        <row r="2741">
          <cell r="A2741" t="str">
            <v>NIOBE-A</v>
          </cell>
        </row>
        <row r="2742">
          <cell r="A2742" t="str">
            <v>NIOBE-B</v>
          </cell>
        </row>
        <row r="2743">
          <cell r="A2743" t="str">
            <v>NIOBE-C</v>
          </cell>
        </row>
        <row r="2744">
          <cell r="A2744" t="str">
            <v>NIOBE-D</v>
          </cell>
        </row>
        <row r="2745">
          <cell r="A2745" t="str">
            <v>NIOBE-E</v>
          </cell>
        </row>
        <row r="2746">
          <cell r="A2746" t="str">
            <v>NIORA</v>
          </cell>
        </row>
        <row r="2747">
          <cell r="A2747" t="str">
            <v>NIRY</v>
          </cell>
        </row>
        <row r="2748">
          <cell r="A2748" t="str">
            <v>NISA</v>
          </cell>
        </row>
        <row r="2749">
          <cell r="A2749" t="str">
            <v>NISA-A</v>
          </cell>
        </row>
        <row r="2750">
          <cell r="A2750" t="str">
            <v>NITER</v>
          </cell>
        </row>
        <row r="2751">
          <cell r="A2751" t="str">
            <v>no name EMON 4519</v>
          </cell>
        </row>
        <row r="2752">
          <cell r="A2752" t="str">
            <v>no name GMOH 304</v>
          </cell>
        </row>
        <row r="2753">
          <cell r="A2753" t="str">
            <v>NOA</v>
          </cell>
        </row>
        <row r="2754">
          <cell r="A2754" t="str">
            <v>NOAH</v>
          </cell>
        </row>
        <row r="2755">
          <cell r="A2755" t="str">
            <v>Noco</v>
          </cell>
        </row>
        <row r="2756">
          <cell r="A2756" t="str">
            <v>NOD</v>
          </cell>
        </row>
        <row r="2757">
          <cell r="A2757" t="str">
            <v>NOD-A</v>
          </cell>
        </row>
        <row r="2758">
          <cell r="A2758" t="str">
            <v>NOD-B</v>
          </cell>
        </row>
        <row r="2759">
          <cell r="A2759" t="str">
            <v>NOKO</v>
          </cell>
        </row>
        <row r="2760">
          <cell r="A2760" t="str">
            <v>NOMI</v>
          </cell>
        </row>
        <row r="2761">
          <cell r="A2761" t="str">
            <v>NONAME</v>
          </cell>
        </row>
        <row r="2762">
          <cell r="A2762" t="str">
            <v>Nonami</v>
          </cell>
        </row>
        <row r="2763">
          <cell r="A2763" t="str">
            <v>NORCA</v>
          </cell>
        </row>
        <row r="2764">
          <cell r="A2764" t="str">
            <v>NORMA</v>
          </cell>
        </row>
        <row r="2765">
          <cell r="A2765" t="str">
            <v>Norman Bates</v>
          </cell>
        </row>
        <row r="2766">
          <cell r="A2766" t="str">
            <v>NORO</v>
          </cell>
        </row>
        <row r="2767">
          <cell r="A2767" t="str">
            <v>Nosferatu</v>
          </cell>
        </row>
        <row r="2768">
          <cell r="A2768" t="str">
            <v>NOSSIS</v>
          </cell>
        </row>
        <row r="2769">
          <cell r="A2769" t="str">
            <v>NOSSIS-A</v>
          </cell>
        </row>
        <row r="2770">
          <cell r="A2770" t="str">
            <v>NOVA C</v>
          </cell>
        </row>
        <row r="2771">
          <cell r="A2771" t="str">
            <v>NOVA-A</v>
          </cell>
        </row>
        <row r="2772">
          <cell r="A2772" t="str">
            <v>NOVA-B</v>
          </cell>
        </row>
        <row r="2773">
          <cell r="A2773" t="str">
            <v>Nox</v>
          </cell>
        </row>
        <row r="2774">
          <cell r="A2774" t="str">
            <v>Nugget</v>
          </cell>
        </row>
        <row r="2775">
          <cell r="A2775" t="str">
            <v>NUNKI</v>
          </cell>
        </row>
        <row r="2776">
          <cell r="A2776" t="str">
            <v>NUT</v>
          </cell>
        </row>
        <row r="2777">
          <cell r="A2777" t="str">
            <v>NUTMEG</v>
          </cell>
        </row>
        <row r="2778">
          <cell r="A2778" t="str">
            <v>NUTMEG-A</v>
          </cell>
        </row>
        <row r="2779">
          <cell r="A2779" t="str">
            <v>NYAMA-A</v>
          </cell>
        </row>
        <row r="2780">
          <cell r="A2780" t="str">
            <v>NYMPH</v>
          </cell>
        </row>
        <row r="2781">
          <cell r="A2781" t="str">
            <v>NYMPHA</v>
          </cell>
        </row>
        <row r="2782">
          <cell r="A2782" t="str">
            <v>NYMPHE</v>
          </cell>
        </row>
        <row r="2783">
          <cell r="A2783" t="str">
            <v>NYOKA</v>
          </cell>
        </row>
        <row r="2784">
          <cell r="A2784" t="str">
            <v>NYOMA</v>
          </cell>
        </row>
        <row r="2785">
          <cell r="A2785" t="str">
            <v>NYSA</v>
          </cell>
        </row>
        <row r="2786">
          <cell r="A2786" t="str">
            <v>NYSA-A</v>
          </cell>
        </row>
        <row r="2787">
          <cell r="A2787" t="str">
            <v>NYSA-B</v>
          </cell>
        </row>
        <row r="2788">
          <cell r="A2788" t="str">
            <v>Nyx</v>
          </cell>
        </row>
        <row r="2789">
          <cell r="A2789" t="str">
            <v>OAK</v>
          </cell>
        </row>
        <row r="2790">
          <cell r="A2790" t="str">
            <v>OAKMOSS</v>
          </cell>
        </row>
        <row r="2791">
          <cell r="A2791" t="str">
            <v>OBED</v>
          </cell>
        </row>
        <row r="2792">
          <cell r="A2792" t="str">
            <v>OBEDIAH</v>
          </cell>
        </row>
        <row r="2793">
          <cell r="A2793" t="str">
            <v>Oberon</v>
          </cell>
        </row>
        <row r="2794">
          <cell r="A2794" t="str">
            <v>Oberon (MMUR)</v>
          </cell>
        </row>
        <row r="2795">
          <cell r="A2795" t="str">
            <v>OBSIDIAN</v>
          </cell>
        </row>
        <row r="2796">
          <cell r="A2796" t="str">
            <v>OCHRE</v>
          </cell>
        </row>
        <row r="2797">
          <cell r="A2797" t="str">
            <v>OCHRE-A</v>
          </cell>
        </row>
        <row r="2798">
          <cell r="A2798" t="str">
            <v>OCHS</v>
          </cell>
        </row>
        <row r="2799">
          <cell r="A2799" t="str">
            <v>Ocotillo</v>
          </cell>
        </row>
        <row r="2800">
          <cell r="A2800" t="str">
            <v>OCTANS</v>
          </cell>
        </row>
        <row r="2801">
          <cell r="A2801" t="str">
            <v>OCTAVE</v>
          </cell>
        </row>
        <row r="2802">
          <cell r="A2802" t="str">
            <v>OCTAVIA</v>
          </cell>
        </row>
        <row r="2803">
          <cell r="A2803" t="str">
            <v>Octavia-A</v>
          </cell>
        </row>
        <row r="2804">
          <cell r="A2804" t="str">
            <v>OCTAVIA-B</v>
          </cell>
        </row>
        <row r="2805">
          <cell r="A2805" t="str">
            <v>ODETTA</v>
          </cell>
        </row>
        <row r="2806">
          <cell r="A2806" t="str">
            <v>Odette</v>
          </cell>
        </row>
        <row r="2807">
          <cell r="A2807" t="str">
            <v>ODIN</v>
          </cell>
        </row>
        <row r="2808">
          <cell r="A2808" t="str">
            <v>OEDIPUS</v>
          </cell>
        </row>
        <row r="2809">
          <cell r="A2809" t="str">
            <v>OLEA</v>
          </cell>
        </row>
        <row r="2810">
          <cell r="A2810" t="str">
            <v>Oleander</v>
          </cell>
        </row>
        <row r="2811">
          <cell r="A2811" t="str">
            <v>OLIVE</v>
          </cell>
        </row>
        <row r="2812">
          <cell r="A2812" t="str">
            <v>Olivia</v>
          </cell>
        </row>
        <row r="2813">
          <cell r="A2813" t="str">
            <v>Olivier</v>
          </cell>
        </row>
        <row r="2814">
          <cell r="A2814" t="str">
            <v>OLYMPIAS</v>
          </cell>
        </row>
        <row r="2815">
          <cell r="A2815" t="str">
            <v>OLYMPIAS-A</v>
          </cell>
        </row>
        <row r="2816">
          <cell r="A2816" t="str">
            <v>OMAR</v>
          </cell>
        </row>
        <row r="2817">
          <cell r="A2817" t="str">
            <v>OMARI</v>
          </cell>
        </row>
        <row r="2818">
          <cell r="A2818" t="str">
            <v>OMEGA</v>
          </cell>
        </row>
        <row r="2819">
          <cell r="A2819" t="str">
            <v>Onyx</v>
          </cell>
        </row>
        <row r="2820">
          <cell r="A2820" t="str">
            <v>OPAL</v>
          </cell>
        </row>
        <row r="2821">
          <cell r="A2821" t="str">
            <v>Ophelia</v>
          </cell>
        </row>
        <row r="2822">
          <cell r="A2822" t="str">
            <v>ORANGE</v>
          </cell>
        </row>
        <row r="2823">
          <cell r="A2823" t="str">
            <v>Orbit</v>
          </cell>
        </row>
        <row r="2824">
          <cell r="A2824" t="str">
            <v>OREGANO</v>
          </cell>
        </row>
        <row r="2825">
          <cell r="A2825" t="str">
            <v>ORESTES</v>
          </cell>
        </row>
        <row r="2826">
          <cell r="A2826" t="str">
            <v>ORIOLE</v>
          </cell>
        </row>
        <row r="2827">
          <cell r="A2827" t="str">
            <v>ORION</v>
          </cell>
        </row>
        <row r="2828">
          <cell r="A2828" t="str">
            <v>Orion JR</v>
          </cell>
        </row>
        <row r="2829">
          <cell r="A2829" t="str">
            <v>ORITHYIA</v>
          </cell>
        </row>
        <row r="2830">
          <cell r="A2830" t="str">
            <v>ORPHA</v>
          </cell>
        </row>
        <row r="2831">
          <cell r="A2831" t="str">
            <v>ORPHA-A</v>
          </cell>
        </row>
        <row r="2832">
          <cell r="A2832" t="str">
            <v>ORPHEUS</v>
          </cell>
        </row>
        <row r="2833">
          <cell r="A2833" t="str">
            <v>ORPIMENT</v>
          </cell>
        </row>
        <row r="2834">
          <cell r="A2834" t="str">
            <v>ORRIS</v>
          </cell>
        </row>
        <row r="2835">
          <cell r="A2835" t="str">
            <v>ORSO</v>
          </cell>
        </row>
        <row r="2836">
          <cell r="A2836" t="str">
            <v>ORTHOCLASE</v>
          </cell>
        </row>
        <row r="2837">
          <cell r="A2837" t="str">
            <v>ORTHOSE</v>
          </cell>
        </row>
        <row r="2838">
          <cell r="A2838" t="str">
            <v>Orville</v>
          </cell>
        </row>
        <row r="2839">
          <cell r="A2839" t="str">
            <v>ORWELL</v>
          </cell>
        </row>
        <row r="2840">
          <cell r="A2840" t="str">
            <v>OSA</v>
          </cell>
        </row>
        <row r="2841">
          <cell r="A2841" t="str">
            <v>Oscar</v>
          </cell>
        </row>
        <row r="2842">
          <cell r="A2842" t="str">
            <v>OSETTA</v>
          </cell>
        </row>
        <row r="2843">
          <cell r="A2843" t="str">
            <v>OSMIUM</v>
          </cell>
        </row>
        <row r="2844">
          <cell r="A2844" t="str">
            <v>Osprey</v>
          </cell>
        </row>
        <row r="2845">
          <cell r="A2845" t="str">
            <v>Ostrich</v>
          </cell>
        </row>
        <row r="2846">
          <cell r="A2846" t="str">
            <v>OTHNIEL</v>
          </cell>
        </row>
        <row r="2847">
          <cell r="A2847" t="str">
            <v>OTHO</v>
          </cell>
        </row>
        <row r="2848">
          <cell r="A2848" t="str">
            <v>OVERO</v>
          </cell>
        </row>
        <row r="2849">
          <cell r="A2849" t="str">
            <v>OWL</v>
          </cell>
        </row>
        <row r="2850">
          <cell r="A2850" t="str">
            <v>OXIDE</v>
          </cell>
        </row>
        <row r="2851">
          <cell r="A2851" t="str">
            <v>Ozma</v>
          </cell>
        </row>
        <row r="2852">
          <cell r="A2852" t="str">
            <v>OZMA-A</v>
          </cell>
        </row>
        <row r="2853">
          <cell r="A2853" t="str">
            <v>Ozony Avelo</v>
          </cell>
        </row>
        <row r="2854">
          <cell r="A2854" t="str">
            <v>Ozzy</v>
          </cell>
        </row>
        <row r="2855">
          <cell r="A2855" t="str">
            <v>P K</v>
          </cell>
        </row>
        <row r="2856">
          <cell r="A2856" t="str">
            <v>PABLO</v>
          </cell>
        </row>
        <row r="2857">
          <cell r="A2857" t="str">
            <v>Paco</v>
          </cell>
        </row>
        <row r="2858">
          <cell r="A2858" t="str">
            <v>PADMA</v>
          </cell>
        </row>
        <row r="2859">
          <cell r="A2859" t="str">
            <v>Padme</v>
          </cell>
        </row>
        <row r="2860">
          <cell r="A2860" t="str">
            <v>PAGE</v>
          </cell>
        </row>
        <row r="2861">
          <cell r="A2861" t="str">
            <v>PAIUTE</v>
          </cell>
        </row>
        <row r="2862">
          <cell r="A2862" t="str">
            <v>PAKA</v>
          </cell>
        </row>
        <row r="2863">
          <cell r="A2863" t="str">
            <v>PALA</v>
          </cell>
        </row>
        <row r="2864">
          <cell r="A2864" t="str">
            <v>PALLADIUM</v>
          </cell>
        </row>
        <row r="2865">
          <cell r="A2865" t="str">
            <v>PALLAS</v>
          </cell>
        </row>
        <row r="2866">
          <cell r="A2866" t="str">
            <v>PALM</v>
          </cell>
        </row>
        <row r="2867">
          <cell r="A2867" t="str">
            <v>PALM-A</v>
          </cell>
        </row>
        <row r="2868">
          <cell r="A2868" t="str">
            <v>PALMETTO</v>
          </cell>
        </row>
        <row r="2869">
          <cell r="A2869" t="str">
            <v>PALOVERDE</v>
          </cell>
        </row>
        <row r="2870">
          <cell r="A2870" t="str">
            <v>Pan</v>
          </cell>
        </row>
        <row r="2871">
          <cell r="A2871" t="str">
            <v>PANDION</v>
          </cell>
        </row>
        <row r="2872">
          <cell r="A2872" t="str">
            <v>Pandora</v>
          </cell>
        </row>
        <row r="2873">
          <cell r="A2873" t="str">
            <v>PANDORA II</v>
          </cell>
        </row>
        <row r="2874">
          <cell r="A2874" t="str">
            <v>PANDORA-A (EUL)</v>
          </cell>
        </row>
        <row r="2875">
          <cell r="A2875" t="str">
            <v>Pandora-A (VRUB)</v>
          </cell>
        </row>
        <row r="2876">
          <cell r="A2876" t="str">
            <v>PANDORA-B</v>
          </cell>
        </row>
        <row r="2877">
          <cell r="A2877" t="str">
            <v>PANDU</v>
          </cell>
        </row>
        <row r="2878">
          <cell r="A2878" t="str">
            <v>PAPAYA-A</v>
          </cell>
        </row>
        <row r="2879">
          <cell r="A2879" t="str">
            <v>PAPAYA-B</v>
          </cell>
        </row>
        <row r="2880">
          <cell r="A2880" t="str">
            <v>PAPAYA-C</v>
          </cell>
        </row>
        <row r="2881">
          <cell r="A2881" t="str">
            <v>PAPAYA-D</v>
          </cell>
        </row>
        <row r="2882">
          <cell r="A2882" t="str">
            <v>PAPELIKA</v>
          </cell>
        </row>
        <row r="2883">
          <cell r="A2883" t="str">
            <v>PAPELIKA-A</v>
          </cell>
        </row>
        <row r="2884">
          <cell r="A2884" t="str">
            <v>PAPELIKA-B</v>
          </cell>
        </row>
        <row r="2885">
          <cell r="A2885" t="str">
            <v>PAPRIKA</v>
          </cell>
        </row>
        <row r="2886">
          <cell r="A2886" t="str">
            <v>PARIS</v>
          </cell>
        </row>
        <row r="2887">
          <cell r="A2887" t="str">
            <v>PARMENA</v>
          </cell>
        </row>
        <row r="2888">
          <cell r="A2888" t="str">
            <v>PARSLEY</v>
          </cell>
        </row>
        <row r="2889">
          <cell r="A2889" t="str">
            <v>PARVATI</v>
          </cell>
        </row>
        <row r="2890">
          <cell r="A2890" t="str">
            <v>PARVATI-A</v>
          </cell>
        </row>
        <row r="2891">
          <cell r="A2891" t="str">
            <v>Pascal</v>
          </cell>
        </row>
        <row r="2892">
          <cell r="A2892" t="str">
            <v>PASIPA</v>
          </cell>
        </row>
        <row r="2893">
          <cell r="A2893" t="str">
            <v>PASIPA-A</v>
          </cell>
        </row>
        <row r="2894">
          <cell r="A2894" t="str">
            <v>PASIPHAE</v>
          </cell>
        </row>
        <row r="2895">
          <cell r="A2895" t="str">
            <v>PATCHOULI</v>
          </cell>
        </row>
        <row r="2896">
          <cell r="A2896" t="str">
            <v>PATROCLUS</v>
          </cell>
        </row>
        <row r="2897">
          <cell r="A2897" t="str">
            <v>PATTI</v>
          </cell>
        </row>
        <row r="2898">
          <cell r="A2898" t="str">
            <v>PAUL</v>
          </cell>
        </row>
        <row r="2899">
          <cell r="A2899" t="str">
            <v>PAULINA</v>
          </cell>
        </row>
        <row r="2900">
          <cell r="A2900" t="str">
            <v>Paulina-A</v>
          </cell>
        </row>
        <row r="2901">
          <cell r="A2901" t="str">
            <v>PAULOWNIA</v>
          </cell>
        </row>
        <row r="2902">
          <cell r="A2902" t="str">
            <v>PAULOWNIA-A</v>
          </cell>
        </row>
        <row r="2903">
          <cell r="A2903" t="str">
            <v>PAULOWNIA-B</v>
          </cell>
        </row>
        <row r="2904">
          <cell r="A2904" t="str">
            <v>PAVO</v>
          </cell>
        </row>
        <row r="2905">
          <cell r="A2905" t="str">
            <v>PAVO-A</v>
          </cell>
        </row>
        <row r="2906">
          <cell r="A2906" t="str">
            <v>PAVO-B</v>
          </cell>
        </row>
        <row r="2907">
          <cell r="A2907" t="str">
            <v>PAVONIS</v>
          </cell>
        </row>
        <row r="2908">
          <cell r="A2908" t="str">
            <v>PAWPAW</v>
          </cell>
        </row>
        <row r="2909">
          <cell r="A2909" t="str">
            <v>PAXTON</v>
          </cell>
        </row>
        <row r="2910">
          <cell r="A2910" t="str">
            <v>PEACOCK</v>
          </cell>
        </row>
        <row r="2911">
          <cell r="A2911" t="str">
            <v>PEACOCK-A</v>
          </cell>
        </row>
        <row r="2912">
          <cell r="A2912" t="str">
            <v>PEARDROP</v>
          </cell>
        </row>
        <row r="2913">
          <cell r="A2913" t="str">
            <v>PEASEBLOSSOM</v>
          </cell>
        </row>
        <row r="2914">
          <cell r="A2914" t="str">
            <v>Pedro</v>
          </cell>
        </row>
        <row r="2915">
          <cell r="A2915" t="str">
            <v>PEGAS</v>
          </cell>
        </row>
        <row r="2916">
          <cell r="A2916" t="str">
            <v>PEGASUS</v>
          </cell>
        </row>
        <row r="2917">
          <cell r="A2917" t="str">
            <v>PELEUS</v>
          </cell>
        </row>
        <row r="2918">
          <cell r="A2918" t="str">
            <v>Penelope</v>
          </cell>
        </row>
        <row r="2919">
          <cell r="A2919" t="str">
            <v>PENNYROYAL</v>
          </cell>
        </row>
        <row r="2920">
          <cell r="A2920" t="str">
            <v>PEPE</v>
          </cell>
        </row>
        <row r="2921">
          <cell r="A2921" t="str">
            <v>PEPI</v>
          </cell>
        </row>
        <row r="2922">
          <cell r="A2922" t="str">
            <v>PEPITA</v>
          </cell>
        </row>
        <row r="2923">
          <cell r="A2923" t="str">
            <v>PEPPER</v>
          </cell>
        </row>
        <row r="2924">
          <cell r="A2924" t="str">
            <v>PERIC</v>
          </cell>
        </row>
        <row r="2925">
          <cell r="A2925" t="str">
            <v>PERICLASE</v>
          </cell>
        </row>
        <row r="2926">
          <cell r="A2926" t="str">
            <v>PERICLES</v>
          </cell>
        </row>
        <row r="2927">
          <cell r="A2927" t="str">
            <v>PERIDOT</v>
          </cell>
        </row>
        <row r="2928">
          <cell r="A2928" t="str">
            <v>PERILLA</v>
          </cell>
        </row>
        <row r="2929">
          <cell r="A2929" t="str">
            <v>Periwinkle</v>
          </cell>
        </row>
        <row r="2930">
          <cell r="A2930" t="str">
            <v>Persephone</v>
          </cell>
        </row>
        <row r="2931">
          <cell r="A2931" t="str">
            <v>PERSEPHONE-A</v>
          </cell>
        </row>
        <row r="2932">
          <cell r="A2932" t="str">
            <v>PERSES</v>
          </cell>
        </row>
        <row r="2933">
          <cell r="A2933" t="str">
            <v>PERSEUS</v>
          </cell>
        </row>
        <row r="2934">
          <cell r="A2934" t="str">
            <v>PERSIMMON</v>
          </cell>
        </row>
        <row r="2935">
          <cell r="A2935" t="str">
            <v>PERSIS</v>
          </cell>
        </row>
        <row r="2936">
          <cell r="A2936" t="str">
            <v>PERSIS-A</v>
          </cell>
        </row>
        <row r="2937">
          <cell r="A2937" t="str">
            <v>PERSIS-B</v>
          </cell>
        </row>
        <row r="2938">
          <cell r="A2938" t="str">
            <v>PERSIS-C</v>
          </cell>
        </row>
        <row r="2939">
          <cell r="A2939" t="str">
            <v>Pesto</v>
          </cell>
        </row>
        <row r="2940">
          <cell r="A2940" t="str">
            <v>PETER</v>
          </cell>
        </row>
        <row r="2941">
          <cell r="A2941" t="str">
            <v>PEWEE</v>
          </cell>
        </row>
        <row r="2942">
          <cell r="A2942" t="str">
            <v>PFEIFFER</v>
          </cell>
        </row>
        <row r="2943">
          <cell r="A2943" t="str">
            <v>PHAEDRA</v>
          </cell>
        </row>
        <row r="2944">
          <cell r="A2944" t="str">
            <v>PHAEDRA-A</v>
          </cell>
        </row>
        <row r="2945">
          <cell r="A2945" t="str">
            <v>PHAEDRA-B</v>
          </cell>
        </row>
        <row r="2946">
          <cell r="A2946" t="str">
            <v>PHAEON</v>
          </cell>
        </row>
        <row r="2947">
          <cell r="A2947" t="str">
            <v>PHAETON</v>
          </cell>
        </row>
        <row r="2948">
          <cell r="A2948" t="str">
            <v>PHANTOM</v>
          </cell>
        </row>
        <row r="2949">
          <cell r="A2949" t="str">
            <v>Pharaoh</v>
          </cell>
        </row>
        <row r="2950">
          <cell r="A2950" t="str">
            <v>Pharax</v>
          </cell>
        </row>
        <row r="2951">
          <cell r="A2951" t="str">
            <v>PHECCLA</v>
          </cell>
        </row>
        <row r="2952">
          <cell r="A2952" t="str">
            <v>PHEIDIPPEDES</v>
          </cell>
        </row>
        <row r="2953">
          <cell r="A2953" t="str">
            <v>PHERES</v>
          </cell>
        </row>
        <row r="2954">
          <cell r="A2954" t="str">
            <v>PHILA</v>
          </cell>
        </row>
        <row r="2955">
          <cell r="A2955" t="str">
            <v>PHILA II</v>
          </cell>
        </row>
        <row r="2956">
          <cell r="A2956" t="str">
            <v>PHILEMON</v>
          </cell>
        </row>
        <row r="2957">
          <cell r="A2957" t="str">
            <v>PHILENA</v>
          </cell>
        </row>
        <row r="2958">
          <cell r="A2958" t="str">
            <v>PHILETUS</v>
          </cell>
        </row>
        <row r="2959">
          <cell r="A2959" t="str">
            <v>Philippa of Armenia</v>
          </cell>
        </row>
        <row r="2960">
          <cell r="A2960" t="str">
            <v>PHILIPPE</v>
          </cell>
        </row>
        <row r="2961">
          <cell r="A2961" t="str">
            <v>Phillip the Arab</v>
          </cell>
        </row>
        <row r="2962">
          <cell r="A2962" t="str">
            <v>PHILOCLES</v>
          </cell>
        </row>
        <row r="2963">
          <cell r="A2963" t="str">
            <v>PHINEAS</v>
          </cell>
        </row>
        <row r="2964">
          <cell r="A2964" t="str">
            <v>Phlox</v>
          </cell>
        </row>
        <row r="2965">
          <cell r="A2965" t="str">
            <v>PHOBOS</v>
          </cell>
        </row>
        <row r="2966">
          <cell r="A2966" t="str">
            <v>Phoebe</v>
          </cell>
        </row>
        <row r="2967">
          <cell r="A2967" t="str">
            <v>PHOEBUS</v>
          </cell>
        </row>
        <row r="2968">
          <cell r="A2968" t="str">
            <v>PHOENIX</v>
          </cell>
        </row>
        <row r="2969">
          <cell r="A2969" t="str">
            <v>PHOTIPHAR</v>
          </cell>
        </row>
        <row r="2970">
          <cell r="A2970" t="str">
            <v>PHOTIUS</v>
          </cell>
        </row>
        <row r="2971">
          <cell r="A2971" t="str">
            <v>PHYA</v>
          </cell>
        </row>
        <row r="2972">
          <cell r="A2972" t="str">
            <v>Phyllis</v>
          </cell>
        </row>
        <row r="2973">
          <cell r="A2973" t="str">
            <v>PHYLLITE</v>
          </cell>
        </row>
        <row r="2974">
          <cell r="A2974" t="str">
            <v>Pia</v>
          </cell>
        </row>
        <row r="2975">
          <cell r="A2975" t="str">
            <v>Pia-A</v>
          </cell>
        </row>
        <row r="2976">
          <cell r="A2976" t="str">
            <v>PIAZZIA</v>
          </cell>
        </row>
        <row r="2977">
          <cell r="A2977" t="str">
            <v>PICTOR</v>
          </cell>
        </row>
        <row r="2978">
          <cell r="A2978" t="str">
            <v>PIEDAD</v>
          </cell>
        </row>
        <row r="2979">
          <cell r="A2979" t="str">
            <v>PIEDAD-A</v>
          </cell>
        </row>
        <row r="2980">
          <cell r="A2980" t="str">
            <v>PIERETTE</v>
          </cell>
        </row>
        <row r="2981">
          <cell r="A2981" t="str">
            <v>PIERETTE-A</v>
          </cell>
        </row>
        <row r="2982">
          <cell r="A2982" t="str">
            <v>Pierre</v>
          </cell>
        </row>
        <row r="2983">
          <cell r="A2983" t="str">
            <v>Pierre (non-DLC)</v>
          </cell>
        </row>
        <row r="2984">
          <cell r="A2984" t="str">
            <v>PIERROT</v>
          </cell>
        </row>
        <row r="2985">
          <cell r="A2985" t="str">
            <v>PIGEONTREE</v>
          </cell>
        </row>
        <row r="2986">
          <cell r="A2986" t="str">
            <v>PIGLETTE</v>
          </cell>
        </row>
        <row r="2987">
          <cell r="A2987" t="str">
            <v>PIGLETTE-A</v>
          </cell>
        </row>
        <row r="2988">
          <cell r="A2988" t="str">
            <v>PIGNUT</v>
          </cell>
        </row>
        <row r="2989">
          <cell r="A2989" t="str">
            <v>PILAR</v>
          </cell>
        </row>
        <row r="2990">
          <cell r="A2990" t="str">
            <v>PILAR II</v>
          </cell>
        </row>
        <row r="2991">
          <cell r="A2991" t="str">
            <v>PILATE</v>
          </cell>
        </row>
        <row r="2992">
          <cell r="A2992" t="str">
            <v>PILATE II</v>
          </cell>
        </row>
        <row r="2993">
          <cell r="A2993" t="str">
            <v>PILI</v>
          </cell>
        </row>
        <row r="2994">
          <cell r="A2994" t="str">
            <v>PILI-C</v>
          </cell>
        </row>
        <row r="2995">
          <cell r="A2995" t="str">
            <v>PILI-D</v>
          </cell>
        </row>
        <row r="2996">
          <cell r="A2996" t="str">
            <v>PILI-E</v>
          </cell>
        </row>
        <row r="2997">
          <cell r="A2997" t="str">
            <v>PILI-F</v>
          </cell>
        </row>
        <row r="2998">
          <cell r="A2998" t="str">
            <v>Pima Orange Tip</v>
          </cell>
        </row>
        <row r="2999">
          <cell r="A2999" t="str">
            <v>Pimento</v>
          </cell>
        </row>
        <row r="3000">
          <cell r="A3000" t="str">
            <v>PINDAR</v>
          </cell>
        </row>
        <row r="3001">
          <cell r="A3001" t="str">
            <v>PINGA</v>
          </cell>
        </row>
        <row r="3002">
          <cell r="A3002" t="str">
            <v>PINNOCHIO</v>
          </cell>
        </row>
        <row r="3003">
          <cell r="A3003" t="str">
            <v>PINTO</v>
          </cell>
        </row>
        <row r="3004">
          <cell r="A3004" t="str">
            <v>PINYON</v>
          </cell>
        </row>
        <row r="3005">
          <cell r="A3005" t="str">
            <v>PIPA</v>
          </cell>
        </row>
        <row r="3006">
          <cell r="A3006" t="str">
            <v>PIPET</v>
          </cell>
        </row>
        <row r="3007">
          <cell r="A3007" t="str">
            <v>Pipkin</v>
          </cell>
        </row>
        <row r="3008">
          <cell r="A3008" t="str">
            <v>PIPPIN</v>
          </cell>
        </row>
        <row r="3009">
          <cell r="A3009" t="str">
            <v>PIPSISSEWA</v>
          </cell>
        </row>
        <row r="3010">
          <cell r="A3010" t="str">
            <v>PIPSISSEWA-A</v>
          </cell>
        </row>
        <row r="3011">
          <cell r="A3011" t="str">
            <v>PIPSISSEWA-B</v>
          </cell>
        </row>
        <row r="3012">
          <cell r="A3012" t="str">
            <v>PIRITSE</v>
          </cell>
        </row>
        <row r="3013">
          <cell r="A3013" t="str">
            <v>PIRITSE-A</v>
          </cell>
        </row>
        <row r="3014">
          <cell r="A3014" t="str">
            <v>PIRITSE-B</v>
          </cell>
        </row>
        <row r="3015">
          <cell r="A3015" t="str">
            <v>Pistachio</v>
          </cell>
        </row>
        <row r="3016">
          <cell r="A3016" t="str">
            <v>PITSY</v>
          </cell>
        </row>
        <row r="3017">
          <cell r="A3017" t="str">
            <v>PITSY-A</v>
          </cell>
        </row>
        <row r="3018">
          <cell r="A3018" t="str">
            <v>PITSY-B</v>
          </cell>
        </row>
        <row r="3019">
          <cell r="A3019" t="str">
            <v>PLANTREE</v>
          </cell>
        </row>
        <row r="3020">
          <cell r="A3020" t="str">
            <v>PLATINUM</v>
          </cell>
        </row>
        <row r="3021">
          <cell r="A3021" t="str">
            <v>PLATINUM-A</v>
          </cell>
        </row>
        <row r="3022">
          <cell r="A3022" t="str">
            <v>PLATINUM-B</v>
          </cell>
        </row>
        <row r="3023">
          <cell r="A3023" t="str">
            <v>PLATO</v>
          </cell>
        </row>
        <row r="3024">
          <cell r="A3024" t="str">
            <v>PLEIAD</v>
          </cell>
        </row>
        <row r="3025">
          <cell r="A3025" t="str">
            <v>PLEIDES</v>
          </cell>
        </row>
        <row r="3026">
          <cell r="A3026" t="str">
            <v>PLEIONE</v>
          </cell>
        </row>
        <row r="3027">
          <cell r="A3027" t="str">
            <v>PLUM</v>
          </cell>
        </row>
        <row r="3028">
          <cell r="A3028" t="str">
            <v>Plumeria</v>
          </cell>
        </row>
        <row r="3029">
          <cell r="A3029" t="str">
            <v>PLUTO</v>
          </cell>
        </row>
        <row r="3030">
          <cell r="A3030" t="str">
            <v>PLUTO II</v>
          </cell>
        </row>
        <row r="3031">
          <cell r="A3031" t="str">
            <v>PLUTO III</v>
          </cell>
        </row>
        <row r="3032">
          <cell r="A3032" t="str">
            <v>PLUTONIA</v>
          </cell>
        </row>
        <row r="3033">
          <cell r="A3033" t="str">
            <v>Poblano</v>
          </cell>
        </row>
        <row r="3034">
          <cell r="A3034" t="str">
            <v>POD</v>
          </cell>
        </row>
        <row r="3035">
          <cell r="A3035" t="str">
            <v>Poe</v>
          </cell>
        </row>
        <row r="3036">
          <cell r="A3036" t="str">
            <v>Poehler</v>
          </cell>
        </row>
        <row r="3037">
          <cell r="A3037" t="str">
            <v>POFU</v>
          </cell>
        </row>
        <row r="3038">
          <cell r="A3038" t="str">
            <v>POINSETTA</v>
          </cell>
        </row>
        <row r="3039">
          <cell r="A3039" t="str">
            <v>POISONTREE</v>
          </cell>
        </row>
        <row r="3040">
          <cell r="A3040" t="str">
            <v>Polamalu</v>
          </cell>
        </row>
        <row r="3041">
          <cell r="A3041" t="str">
            <v>POLARIS</v>
          </cell>
        </row>
        <row r="3042">
          <cell r="A3042" t="str">
            <v>POLLUX</v>
          </cell>
        </row>
        <row r="3043">
          <cell r="A3043" t="str">
            <v>POLYANTHA</v>
          </cell>
        </row>
        <row r="3044">
          <cell r="A3044" t="str">
            <v>POLYDORUS</v>
          </cell>
        </row>
        <row r="3045">
          <cell r="A3045" t="str">
            <v>POMA</v>
          </cell>
        </row>
        <row r="3046">
          <cell r="A3046" t="str">
            <v>POMA-A</v>
          </cell>
        </row>
        <row r="3047">
          <cell r="A3047" t="str">
            <v>POMA-B</v>
          </cell>
        </row>
        <row r="3048">
          <cell r="A3048" t="str">
            <v>POMA-C</v>
          </cell>
        </row>
        <row r="3049">
          <cell r="A3049" t="str">
            <v>POMA-D</v>
          </cell>
        </row>
        <row r="3050">
          <cell r="A3050" t="str">
            <v>Pompeia</v>
          </cell>
        </row>
        <row r="3051">
          <cell r="A3051" t="str">
            <v>Pompeia Plotina</v>
          </cell>
        </row>
        <row r="3052">
          <cell r="A3052" t="str">
            <v>Pompeia Plotina-A</v>
          </cell>
        </row>
        <row r="3053">
          <cell r="A3053" t="str">
            <v>POMPEY</v>
          </cell>
        </row>
        <row r="3054">
          <cell r="A3054" t="str">
            <v>POND-APPLE</v>
          </cell>
        </row>
        <row r="3055">
          <cell r="A3055" t="str">
            <v>PONDEROSA</v>
          </cell>
        </row>
        <row r="3056">
          <cell r="A3056" t="str">
            <v>PONTIUS</v>
          </cell>
        </row>
        <row r="3057">
          <cell r="A3057" t="str">
            <v>Pontius Pilate</v>
          </cell>
        </row>
        <row r="3058">
          <cell r="A3058" t="str">
            <v>POOH BEAR</v>
          </cell>
        </row>
        <row r="3059">
          <cell r="A3059" t="str">
            <v>POONA</v>
          </cell>
        </row>
        <row r="3060">
          <cell r="A3060" t="str">
            <v>Poots</v>
          </cell>
        </row>
        <row r="3061">
          <cell r="A3061" t="str">
            <v>POP</v>
          </cell>
        </row>
        <row r="3062">
          <cell r="A3062" t="str">
            <v>POPLAR</v>
          </cell>
        </row>
        <row r="3063">
          <cell r="A3063" t="str">
            <v>PORCIA</v>
          </cell>
        </row>
        <row r="3064">
          <cell r="A3064" t="str">
            <v>POSEIDON</v>
          </cell>
        </row>
        <row r="3065">
          <cell r="A3065" t="str">
            <v>POSSUMHAW</v>
          </cell>
        </row>
        <row r="3066">
          <cell r="A3066" t="str">
            <v>POTSIO</v>
          </cell>
        </row>
        <row r="3067">
          <cell r="A3067" t="str">
            <v>PRAESEPE</v>
          </cell>
        </row>
        <row r="3068">
          <cell r="A3068" t="str">
            <v>PRAESEPE-A</v>
          </cell>
        </row>
        <row r="3069">
          <cell r="A3069" t="str">
            <v>PRAESEPE-B</v>
          </cell>
        </row>
        <row r="3070">
          <cell r="A3070" t="str">
            <v>PRAESEPE-C</v>
          </cell>
        </row>
        <row r="3071">
          <cell r="A3071" t="str">
            <v>PRAESEPPE-D</v>
          </cell>
        </row>
        <row r="3072">
          <cell r="A3072" t="str">
            <v>PRAESEPPE-E</v>
          </cell>
        </row>
        <row r="3073">
          <cell r="A3073" t="str">
            <v>PRAN</v>
          </cell>
        </row>
        <row r="3074">
          <cell r="A3074" t="str">
            <v>PRAXILLA</v>
          </cell>
        </row>
        <row r="3075">
          <cell r="A3075" t="str">
            <v>PRAXILLA-A</v>
          </cell>
        </row>
        <row r="3076">
          <cell r="A3076" t="str">
            <v>Praxilla-B</v>
          </cell>
        </row>
        <row r="3077">
          <cell r="A3077" t="str">
            <v>PRAXITILES</v>
          </cell>
        </row>
        <row r="3078">
          <cell r="A3078" t="str">
            <v>Presley</v>
          </cell>
        </row>
        <row r="3079">
          <cell r="A3079" t="str">
            <v>Pretoria</v>
          </cell>
        </row>
        <row r="3080">
          <cell r="A3080" t="str">
            <v>Priam</v>
          </cell>
        </row>
        <row r="3081">
          <cell r="A3081" t="str">
            <v>PRICKLECONE</v>
          </cell>
        </row>
        <row r="3082">
          <cell r="A3082" t="str">
            <v>Prickly Pear</v>
          </cell>
        </row>
        <row r="3083">
          <cell r="A3083" t="str">
            <v>PRINCE</v>
          </cell>
        </row>
        <row r="3084">
          <cell r="A3084" t="str">
            <v>Princess Julien I</v>
          </cell>
        </row>
        <row r="3085">
          <cell r="A3085" t="str">
            <v>PRINCEWOOD</v>
          </cell>
        </row>
        <row r="3086">
          <cell r="A3086" t="str">
            <v>PRISCA</v>
          </cell>
        </row>
        <row r="3087">
          <cell r="A3087" t="str">
            <v>PRISCA-A</v>
          </cell>
        </row>
        <row r="3088">
          <cell r="A3088" t="str">
            <v>PRISCILLA</v>
          </cell>
        </row>
        <row r="3089">
          <cell r="A3089" t="str">
            <v>PRISCILLA II</v>
          </cell>
        </row>
        <row r="3090">
          <cell r="A3090" t="str">
            <v>PRIVET</v>
          </cell>
        </row>
        <row r="3091">
          <cell r="A3091" t="str">
            <v>PROCYON</v>
          </cell>
        </row>
        <row r="3092">
          <cell r="A3092" t="str">
            <v>PROMETHEUS</v>
          </cell>
        </row>
        <row r="3093">
          <cell r="A3093" t="str">
            <v>PROTAGORUS</v>
          </cell>
        </row>
        <row r="3094">
          <cell r="A3094" t="str">
            <v>PSYCHE</v>
          </cell>
        </row>
        <row r="3095">
          <cell r="A3095" t="str">
            <v>PTOLOMY</v>
          </cell>
        </row>
        <row r="3096">
          <cell r="A3096" t="str">
            <v>Puck</v>
          </cell>
        </row>
        <row r="3097">
          <cell r="A3097" t="str">
            <v>PUDENS</v>
          </cell>
        </row>
        <row r="3098">
          <cell r="A3098" t="str">
            <v>PUFFIN</v>
          </cell>
        </row>
        <row r="3099">
          <cell r="A3099" t="str">
            <v>PUKU</v>
          </cell>
        </row>
        <row r="3100">
          <cell r="A3100" t="str">
            <v>PULCHRA</v>
          </cell>
        </row>
        <row r="3101">
          <cell r="A3101" t="str">
            <v>Pulchra-A</v>
          </cell>
        </row>
        <row r="3102">
          <cell r="A3102" t="str">
            <v>Pulchra-B</v>
          </cell>
        </row>
        <row r="3103">
          <cell r="A3103" t="str">
            <v>Pulchra-C</v>
          </cell>
        </row>
        <row r="3104">
          <cell r="A3104" t="str">
            <v>Pulchra-D</v>
          </cell>
        </row>
        <row r="3105">
          <cell r="A3105" t="str">
            <v>Pulchra-E</v>
          </cell>
        </row>
        <row r="3106">
          <cell r="A3106" t="str">
            <v>Pumpernickel</v>
          </cell>
        </row>
        <row r="3107">
          <cell r="A3107" t="str">
            <v>PUPPET</v>
          </cell>
        </row>
        <row r="3108">
          <cell r="A3108" t="str">
            <v>PUPPET 2</v>
          </cell>
        </row>
        <row r="3109">
          <cell r="A3109" t="str">
            <v>PUPPET-A</v>
          </cell>
        </row>
        <row r="3110">
          <cell r="A3110" t="str">
            <v>PUPPET-B</v>
          </cell>
        </row>
        <row r="3111">
          <cell r="A3111" t="str">
            <v>PUPPET-C</v>
          </cell>
        </row>
        <row r="3112">
          <cell r="A3112" t="str">
            <v>PUPPET-D</v>
          </cell>
        </row>
        <row r="3113">
          <cell r="A3113" t="str">
            <v>PUPPET-E</v>
          </cell>
        </row>
        <row r="3114">
          <cell r="A3114" t="str">
            <v>PUPPET-F</v>
          </cell>
        </row>
        <row r="3115">
          <cell r="A3115" t="str">
            <v>PUPPET-G</v>
          </cell>
        </row>
        <row r="3116">
          <cell r="A3116" t="str">
            <v>PUPPIS</v>
          </cell>
        </row>
        <row r="3117">
          <cell r="A3117" t="str">
            <v>PUSSYWILLOW</v>
          </cell>
        </row>
        <row r="3118">
          <cell r="A3118" t="str">
            <v>PUSSYWILLOW-A</v>
          </cell>
        </row>
        <row r="3119">
          <cell r="A3119" t="str">
            <v>PUSSYWILLOW-B</v>
          </cell>
        </row>
        <row r="3120">
          <cell r="A3120" t="str">
            <v>PUSSYWILLOW-C</v>
          </cell>
        </row>
        <row r="3121">
          <cell r="A3121" t="str">
            <v>Pygmy Hunter</v>
          </cell>
        </row>
        <row r="3122">
          <cell r="A3122" t="str">
            <v>PYRAMUS</v>
          </cell>
        </row>
        <row r="3123">
          <cell r="A3123" t="str">
            <v>PYROLA</v>
          </cell>
        </row>
        <row r="3124">
          <cell r="A3124" t="str">
            <v>PYRRHA</v>
          </cell>
        </row>
        <row r="3125">
          <cell r="A3125" t="str">
            <v>PYTHAGORAS</v>
          </cell>
        </row>
        <row r="3126">
          <cell r="A3126" t="str">
            <v>PYTHIAS</v>
          </cell>
        </row>
        <row r="3127">
          <cell r="A3127" t="str">
            <v>PYXIS</v>
          </cell>
        </row>
        <row r="3128">
          <cell r="A3128" t="str">
            <v>Pyxis II</v>
          </cell>
        </row>
        <row r="3129">
          <cell r="A3129" t="str">
            <v>Pyxis II-A</v>
          </cell>
        </row>
        <row r="3130">
          <cell r="A3130" t="str">
            <v>Pyxis II-B</v>
          </cell>
        </row>
        <row r="3131">
          <cell r="A3131" t="str">
            <v>Pyxis II-C</v>
          </cell>
        </row>
        <row r="3132">
          <cell r="A3132" t="str">
            <v>Pyxis II-D</v>
          </cell>
        </row>
        <row r="3133">
          <cell r="A3133" t="str">
            <v>Pyxis II-E</v>
          </cell>
        </row>
        <row r="3134">
          <cell r="A3134" t="str">
            <v>QUARTZ</v>
          </cell>
        </row>
        <row r="3135">
          <cell r="A3135" t="str">
            <v>QUARTZ-A</v>
          </cell>
        </row>
        <row r="3136">
          <cell r="A3136" t="str">
            <v>QUARTZ-B</v>
          </cell>
        </row>
        <row r="3137">
          <cell r="A3137" t="str">
            <v>QUASSIA</v>
          </cell>
        </row>
        <row r="3138">
          <cell r="A3138" t="str">
            <v>Quentin</v>
          </cell>
        </row>
        <row r="3139">
          <cell r="A3139" t="str">
            <v>Quetzal</v>
          </cell>
        </row>
        <row r="3140">
          <cell r="A3140" t="str">
            <v>QUIETUS</v>
          </cell>
        </row>
        <row r="3141">
          <cell r="A3141" t="str">
            <v>QUINCE</v>
          </cell>
        </row>
        <row r="3142">
          <cell r="A3142" t="str">
            <v>Quinn</v>
          </cell>
        </row>
        <row r="3143">
          <cell r="A3143" t="str">
            <v>Quiver Tree</v>
          </cell>
        </row>
        <row r="3144">
          <cell r="A3144" t="str">
            <v>RA</v>
          </cell>
        </row>
        <row r="3145">
          <cell r="A3145" t="str">
            <v>RABBIT</v>
          </cell>
        </row>
        <row r="3146">
          <cell r="A3146" t="str">
            <v>RABODO</v>
          </cell>
        </row>
        <row r="3147">
          <cell r="A3147" t="str">
            <v>RACHEL</v>
          </cell>
        </row>
        <row r="3148">
          <cell r="A3148" t="str">
            <v>RACHEL II</v>
          </cell>
        </row>
        <row r="3149">
          <cell r="A3149" t="str">
            <v>RACHEL-A</v>
          </cell>
        </row>
        <row r="3150">
          <cell r="A3150" t="str">
            <v>RADHA</v>
          </cell>
        </row>
        <row r="3151">
          <cell r="A3151" t="str">
            <v>RADHA II</v>
          </cell>
        </row>
        <row r="3152">
          <cell r="A3152" t="str">
            <v>RADHIYA</v>
          </cell>
        </row>
        <row r="3153">
          <cell r="A3153" t="str">
            <v>RADHIYA-A</v>
          </cell>
        </row>
        <row r="3154">
          <cell r="A3154" t="str">
            <v>RADISH</v>
          </cell>
        </row>
        <row r="3155">
          <cell r="A3155" t="str">
            <v>RADISH-A</v>
          </cell>
        </row>
        <row r="3156">
          <cell r="A3156" t="str">
            <v>RADISH-B</v>
          </cell>
        </row>
        <row r="3157">
          <cell r="A3157" t="str">
            <v>RAFAEL</v>
          </cell>
        </row>
        <row r="3158">
          <cell r="A3158" t="str">
            <v>RAFIKI</v>
          </cell>
        </row>
        <row r="3159">
          <cell r="A3159" t="str">
            <v>RAGE</v>
          </cell>
        </row>
        <row r="3160">
          <cell r="A3160" t="str">
            <v>RAGINI</v>
          </cell>
        </row>
        <row r="3161">
          <cell r="A3161" t="str">
            <v>Ragini-A</v>
          </cell>
        </row>
        <row r="3162">
          <cell r="A3162" t="str">
            <v>RAIL</v>
          </cell>
        </row>
        <row r="3163">
          <cell r="A3163" t="str">
            <v>RAJ</v>
          </cell>
        </row>
        <row r="3164">
          <cell r="A3164" t="str">
            <v>RAJABU</v>
          </cell>
        </row>
        <row r="3165">
          <cell r="A3165" t="str">
            <v>RAJIV</v>
          </cell>
        </row>
        <row r="3166">
          <cell r="A3166" t="str">
            <v>RAKHI</v>
          </cell>
        </row>
        <row r="3167">
          <cell r="A3167" t="str">
            <v>RAM</v>
          </cell>
        </row>
        <row r="3168">
          <cell r="A3168" t="str">
            <v>RAMA</v>
          </cell>
        </row>
        <row r="3169">
          <cell r="A3169" t="str">
            <v>RAMA II</v>
          </cell>
        </row>
        <row r="3170">
          <cell r="A3170" t="str">
            <v>RAMLA</v>
          </cell>
        </row>
        <row r="3171">
          <cell r="A3171" t="str">
            <v>RAMPHIAS</v>
          </cell>
        </row>
        <row r="3172">
          <cell r="A3172" t="str">
            <v>RAMSES</v>
          </cell>
        </row>
        <row r="3173">
          <cell r="A3173" t="str">
            <v>RAMSES II</v>
          </cell>
        </row>
        <row r="3174">
          <cell r="A3174" t="str">
            <v>Randy</v>
          </cell>
        </row>
        <row r="3175">
          <cell r="A3175" t="str">
            <v>RANI</v>
          </cell>
        </row>
        <row r="3176">
          <cell r="A3176" t="str">
            <v>RANI-A</v>
          </cell>
        </row>
        <row r="3177">
          <cell r="A3177" t="str">
            <v>Ranomasina</v>
          </cell>
        </row>
        <row r="3178">
          <cell r="A3178" t="str">
            <v>Ranomasina-A</v>
          </cell>
        </row>
        <row r="3179">
          <cell r="A3179" t="str">
            <v>RAPUNZEL</v>
          </cell>
        </row>
        <row r="3180">
          <cell r="A3180" t="str">
            <v>RASALHAGUE</v>
          </cell>
        </row>
        <row r="3181">
          <cell r="A3181" t="str">
            <v>RASHID</v>
          </cell>
        </row>
        <row r="3182">
          <cell r="A3182" t="str">
            <v>RASHIDA</v>
          </cell>
        </row>
        <row r="3183">
          <cell r="A3183" t="str">
            <v>Rastoban</v>
          </cell>
        </row>
        <row r="3184">
          <cell r="A3184" t="str">
            <v>RATHBONE</v>
          </cell>
        </row>
        <row r="3185">
          <cell r="A3185" t="str">
            <v>RATIKI</v>
          </cell>
        </row>
        <row r="3186">
          <cell r="A3186" t="str">
            <v>RATRI</v>
          </cell>
        </row>
        <row r="3187">
          <cell r="A3187" t="str">
            <v>RAUL</v>
          </cell>
        </row>
        <row r="3188">
          <cell r="A3188" t="str">
            <v>RAVANA</v>
          </cell>
        </row>
        <row r="3189">
          <cell r="A3189" t="str">
            <v>Raven</v>
          </cell>
        </row>
        <row r="3190">
          <cell r="A3190" t="str">
            <v>RAVI</v>
          </cell>
        </row>
        <row r="3191">
          <cell r="A3191" t="str">
            <v>Ravo</v>
          </cell>
        </row>
        <row r="3192">
          <cell r="A3192" t="str">
            <v>RAZIYA</v>
          </cell>
        </row>
        <row r="3193">
          <cell r="A3193" t="str">
            <v>REBECCA</v>
          </cell>
        </row>
        <row r="3194">
          <cell r="A3194" t="str">
            <v>REBEKAH</v>
          </cell>
        </row>
        <row r="3195">
          <cell r="A3195" t="str">
            <v>RED</v>
          </cell>
        </row>
        <row r="3196">
          <cell r="A3196" t="str">
            <v>Red Admiral</v>
          </cell>
        </row>
        <row r="3197">
          <cell r="A3197" t="str">
            <v>RED BARON</v>
          </cell>
        </row>
        <row r="3198">
          <cell r="A3198" t="str">
            <v>RED CHILD</v>
          </cell>
        </row>
        <row r="3199">
          <cell r="A3199" t="str">
            <v>RED CHILD-B</v>
          </cell>
        </row>
        <row r="3200">
          <cell r="A3200" t="str">
            <v>RED CHILD-C</v>
          </cell>
        </row>
        <row r="3201">
          <cell r="A3201" t="str">
            <v>RED DEVIL</v>
          </cell>
        </row>
        <row r="3202">
          <cell r="A3202" t="str">
            <v>RED HOT</v>
          </cell>
        </row>
        <row r="3203">
          <cell r="A3203" t="str">
            <v>RED LAKE</v>
          </cell>
        </row>
        <row r="3204">
          <cell r="A3204" t="str">
            <v>RED OAK</v>
          </cell>
        </row>
        <row r="3205">
          <cell r="A3205" t="str">
            <v>RED WING</v>
          </cell>
        </row>
        <row r="3206">
          <cell r="A3206" t="str">
            <v>Redbay</v>
          </cell>
        </row>
        <row r="3207">
          <cell r="A3207" t="str">
            <v>Redbay-A</v>
          </cell>
        </row>
        <row r="3208">
          <cell r="A3208" t="str">
            <v>REDBEARD</v>
          </cell>
        </row>
        <row r="3209">
          <cell r="A3209" t="str">
            <v>REDBRICK</v>
          </cell>
        </row>
        <row r="3210">
          <cell r="A3210" t="str">
            <v>REDBUD</v>
          </cell>
        </row>
        <row r="3211">
          <cell r="A3211" t="str">
            <v>REDCAP</v>
          </cell>
        </row>
        <row r="3212">
          <cell r="A3212" t="str">
            <v>REDCOAT</v>
          </cell>
        </row>
        <row r="3213">
          <cell r="A3213" t="str">
            <v>Redford</v>
          </cell>
        </row>
        <row r="3214">
          <cell r="A3214" t="str">
            <v>REDHEAD</v>
          </cell>
        </row>
        <row r="3215">
          <cell r="A3215" t="str">
            <v>REDJEDEF</v>
          </cell>
        </row>
        <row r="3216">
          <cell r="A3216" t="str">
            <v>REDLAKE-A</v>
          </cell>
        </row>
        <row r="3217">
          <cell r="A3217" t="str">
            <v>REDMAN</v>
          </cell>
        </row>
        <row r="3218">
          <cell r="A3218" t="str">
            <v>REDNECK</v>
          </cell>
        </row>
        <row r="3219">
          <cell r="A3219" t="str">
            <v>REDOAK</v>
          </cell>
        </row>
        <row r="3220">
          <cell r="A3220" t="str">
            <v>REDROVER</v>
          </cell>
        </row>
        <row r="3221">
          <cell r="A3221" t="str">
            <v>REDSKIN</v>
          </cell>
        </row>
        <row r="3222">
          <cell r="A3222" t="str">
            <v>REDSOX</v>
          </cell>
        </row>
        <row r="3223">
          <cell r="A3223" t="str">
            <v>REDSTART</v>
          </cell>
        </row>
        <row r="3224">
          <cell r="A3224" t="str">
            <v>REDTOP</v>
          </cell>
        </row>
        <row r="3225">
          <cell r="A3225" t="str">
            <v>Redwood</v>
          </cell>
        </row>
        <row r="3226">
          <cell r="A3226" t="str">
            <v>REDWOOD-A</v>
          </cell>
        </row>
        <row r="3227">
          <cell r="A3227" t="str">
            <v>REDWOOD-B</v>
          </cell>
        </row>
        <row r="3228">
          <cell r="A3228" t="str">
            <v>Rees</v>
          </cell>
        </row>
        <row r="3229">
          <cell r="A3229" t="str">
            <v>REEVE</v>
          </cell>
        </row>
        <row r="3230">
          <cell r="A3230" t="str">
            <v>REGIN</v>
          </cell>
        </row>
        <row r="3231">
          <cell r="A3231" t="str">
            <v>REGINALD</v>
          </cell>
        </row>
        <row r="3232">
          <cell r="A3232" t="str">
            <v>REGULUS</v>
          </cell>
        </row>
        <row r="3233">
          <cell r="A3233" t="str">
            <v>Reign</v>
          </cell>
        </row>
        <row r="3234">
          <cell r="A3234" t="str">
            <v>REKOLO</v>
          </cell>
        </row>
        <row r="3235">
          <cell r="A3235" t="str">
            <v>Remus</v>
          </cell>
        </row>
        <row r="3236">
          <cell r="A3236" t="str">
            <v>RENDILLE</v>
          </cell>
        </row>
        <row r="3237">
          <cell r="A3237" t="str">
            <v>RENE</v>
          </cell>
        </row>
        <row r="3238">
          <cell r="A3238" t="str">
            <v>Rengobo</v>
          </cell>
        </row>
        <row r="3239">
          <cell r="A3239" t="str">
            <v>RENNET</v>
          </cell>
        </row>
        <row r="3240">
          <cell r="A3240" t="str">
            <v>RHETT</v>
          </cell>
        </row>
        <row r="3241">
          <cell r="A3241" t="str">
            <v>RHODA</v>
          </cell>
        </row>
        <row r="3242">
          <cell r="A3242" t="str">
            <v>RHODA-B</v>
          </cell>
        </row>
        <row r="3243">
          <cell r="A3243" t="str">
            <v>RHODA-C</v>
          </cell>
        </row>
        <row r="3244">
          <cell r="A3244" t="str">
            <v>RHODA-D</v>
          </cell>
        </row>
        <row r="3245">
          <cell r="A3245" t="str">
            <v>RHODA-E</v>
          </cell>
        </row>
        <row r="3246">
          <cell r="A3246" t="str">
            <v>RHODIUM</v>
          </cell>
        </row>
        <row r="3247">
          <cell r="A3247" t="str">
            <v>RICHARD</v>
          </cell>
        </row>
        <row r="3248">
          <cell r="A3248" t="str">
            <v>Rico</v>
          </cell>
        </row>
        <row r="3249">
          <cell r="A3249" t="str">
            <v>RIGEL</v>
          </cell>
        </row>
        <row r="3250">
          <cell r="A3250" t="str">
            <v>RIMA</v>
          </cell>
        </row>
        <row r="3251">
          <cell r="A3251" t="str">
            <v>RIMA-A</v>
          </cell>
        </row>
        <row r="3252">
          <cell r="A3252" t="str">
            <v>Rinaldo</v>
          </cell>
        </row>
        <row r="3253">
          <cell r="A3253" t="str">
            <v>RINDA</v>
          </cell>
        </row>
        <row r="3254">
          <cell r="A3254" t="str">
            <v>RINGO</v>
          </cell>
        </row>
        <row r="3255">
          <cell r="A3255" t="str">
            <v>Ripley</v>
          </cell>
        </row>
        <row r="3256">
          <cell r="A3256" t="str">
            <v>River Bean</v>
          </cell>
        </row>
        <row r="3257">
          <cell r="A3257" t="str">
            <v>RIVO</v>
          </cell>
        </row>
        <row r="3258">
          <cell r="A3258" t="str">
            <v>RIZPAH</v>
          </cell>
        </row>
        <row r="3259">
          <cell r="A3259" t="str">
            <v>Roach</v>
          </cell>
        </row>
        <row r="3260">
          <cell r="A3260" t="str">
            <v>ROADRUNNER</v>
          </cell>
        </row>
        <row r="3261">
          <cell r="A3261" t="str">
            <v>ROAN</v>
          </cell>
        </row>
        <row r="3262">
          <cell r="A3262" t="str">
            <v>ROCAMBOLE</v>
          </cell>
        </row>
        <row r="3263">
          <cell r="A3263" t="str">
            <v>ROCKROSE</v>
          </cell>
        </row>
        <row r="3264">
          <cell r="A3264" t="str">
            <v>RODA-A</v>
          </cell>
        </row>
        <row r="3265">
          <cell r="A3265" t="str">
            <v>Rodelinda</v>
          </cell>
        </row>
        <row r="3266">
          <cell r="A3266" t="str">
            <v>RODRIGO</v>
          </cell>
        </row>
        <row r="3267">
          <cell r="A3267" t="str">
            <v>ROJO</v>
          </cell>
        </row>
        <row r="3268">
          <cell r="A3268" t="str">
            <v>ROLAND</v>
          </cell>
        </row>
        <row r="3269">
          <cell r="A3269" t="str">
            <v>Rolfe</v>
          </cell>
        </row>
        <row r="3270">
          <cell r="A3270" t="str">
            <v>Rollo</v>
          </cell>
        </row>
        <row r="3271">
          <cell r="A3271" t="str">
            <v>ROMEO</v>
          </cell>
        </row>
        <row r="3272">
          <cell r="A3272" t="str">
            <v>ROMULUS (LCAT)</v>
          </cell>
        </row>
        <row r="3273">
          <cell r="A3273" t="str">
            <v>Romulus (PCOQ)</v>
          </cell>
        </row>
        <row r="3274">
          <cell r="A3274" t="str">
            <v>ROO</v>
          </cell>
        </row>
        <row r="3275">
          <cell r="A3275" t="str">
            <v>ROO-A</v>
          </cell>
        </row>
        <row r="3276">
          <cell r="A3276" t="str">
            <v>ROO-B</v>
          </cell>
        </row>
        <row r="3277">
          <cell r="A3277" t="str">
            <v>ROO-C</v>
          </cell>
        </row>
        <row r="3278">
          <cell r="A3278" t="str">
            <v>ROO-D</v>
          </cell>
        </row>
        <row r="3279">
          <cell r="A3279" t="str">
            <v>ROO-E</v>
          </cell>
        </row>
        <row r="3280">
          <cell r="A3280" t="str">
            <v>ROOLETTE</v>
          </cell>
        </row>
        <row r="3281">
          <cell r="A3281" t="str">
            <v>ROOLETTE-A</v>
          </cell>
        </row>
        <row r="3282">
          <cell r="A3282" t="str">
            <v>ROOLETTE-B</v>
          </cell>
        </row>
        <row r="3283">
          <cell r="A3283" t="str">
            <v>ROONEY</v>
          </cell>
        </row>
        <row r="3284">
          <cell r="A3284" t="str">
            <v>RORY</v>
          </cell>
        </row>
        <row r="3285">
          <cell r="A3285" t="str">
            <v>ROSA</v>
          </cell>
        </row>
        <row r="3286">
          <cell r="A3286" t="str">
            <v>ROSALITA</v>
          </cell>
        </row>
        <row r="3287">
          <cell r="A3287" t="str">
            <v>ROSE</v>
          </cell>
        </row>
        <row r="3288">
          <cell r="A3288" t="str">
            <v>ROSE RED</v>
          </cell>
        </row>
        <row r="3289">
          <cell r="A3289" t="str">
            <v>ROSEBAY</v>
          </cell>
        </row>
        <row r="3290">
          <cell r="A3290" t="str">
            <v>ROSEHIP</v>
          </cell>
        </row>
        <row r="3291">
          <cell r="A3291" t="str">
            <v>ROSELLA</v>
          </cell>
        </row>
        <row r="3292">
          <cell r="A3292" t="str">
            <v>ROSEMARY</v>
          </cell>
        </row>
        <row r="3293">
          <cell r="A3293" t="str">
            <v>ROSHA</v>
          </cell>
        </row>
        <row r="3294">
          <cell r="A3294" t="str">
            <v>ROSHA-A</v>
          </cell>
        </row>
        <row r="3295">
          <cell r="A3295" t="str">
            <v>ROSHA-B</v>
          </cell>
        </row>
        <row r="3296">
          <cell r="A3296" t="str">
            <v>ROSHA-C</v>
          </cell>
        </row>
        <row r="3297">
          <cell r="A3297" t="str">
            <v>ROSIE</v>
          </cell>
        </row>
        <row r="3298">
          <cell r="A3298" t="str">
            <v>ROUGE</v>
          </cell>
        </row>
        <row r="3299">
          <cell r="A3299" t="str">
            <v>ROUGE-A</v>
          </cell>
        </row>
        <row r="3300">
          <cell r="A3300" t="str">
            <v>ROUGE-B</v>
          </cell>
        </row>
        <row r="3301">
          <cell r="A3301" t="str">
            <v>ROUGE-C</v>
          </cell>
        </row>
        <row r="3302">
          <cell r="A3302" t="str">
            <v>ROUGE-D</v>
          </cell>
        </row>
        <row r="3303">
          <cell r="A3303" t="str">
            <v>ROVANA</v>
          </cell>
        </row>
        <row r="3304">
          <cell r="A3304" t="str">
            <v>ROXANA</v>
          </cell>
        </row>
        <row r="3305">
          <cell r="A3305" t="str">
            <v>RUBEN</v>
          </cell>
        </row>
        <row r="3306">
          <cell r="A3306" t="str">
            <v>RUBER</v>
          </cell>
        </row>
        <row r="3307">
          <cell r="A3307" t="str">
            <v>RUBIDIUM</v>
          </cell>
        </row>
        <row r="3308">
          <cell r="A3308" t="str">
            <v>RUBRIC</v>
          </cell>
        </row>
        <row r="3309">
          <cell r="A3309" t="str">
            <v>Ruby (OGG)</v>
          </cell>
        </row>
        <row r="3310">
          <cell r="A3310" t="str">
            <v>Ruby (VRUB)</v>
          </cell>
        </row>
        <row r="3311">
          <cell r="A3311" t="str">
            <v>RUBY-A</v>
          </cell>
        </row>
        <row r="3312">
          <cell r="A3312" t="str">
            <v>RUDDY</v>
          </cell>
        </row>
        <row r="3313">
          <cell r="A3313" t="str">
            <v>RUDRA</v>
          </cell>
        </row>
        <row r="3314">
          <cell r="A3314" t="str">
            <v>RUDYARD</v>
          </cell>
        </row>
        <row r="3315">
          <cell r="A3315" t="str">
            <v>RUE</v>
          </cell>
        </row>
        <row r="3316">
          <cell r="A3316" t="str">
            <v>Ruff</v>
          </cell>
        </row>
        <row r="3317">
          <cell r="A3317" t="str">
            <v>RUFINA</v>
          </cell>
        </row>
        <row r="3318">
          <cell r="A3318" t="str">
            <v>RUFINA I</v>
          </cell>
        </row>
        <row r="3319">
          <cell r="A3319" t="str">
            <v>Rufus</v>
          </cell>
        </row>
        <row r="3320">
          <cell r="A3320" t="str">
            <v>RUFUS I</v>
          </cell>
        </row>
        <row r="3321">
          <cell r="A3321" t="str">
            <v>RUFUS II</v>
          </cell>
        </row>
        <row r="3322">
          <cell r="A3322" t="str">
            <v>RUKIYA</v>
          </cell>
        </row>
        <row r="3323">
          <cell r="A3323" t="str">
            <v>RUKIYA-A</v>
          </cell>
        </row>
        <row r="3324">
          <cell r="A3324" t="str">
            <v>RUKIYA-B</v>
          </cell>
        </row>
        <row r="3325">
          <cell r="A3325" t="str">
            <v>RUKIYA-C</v>
          </cell>
        </row>
        <row r="3326">
          <cell r="A3326" t="str">
            <v>RUKIYA-D</v>
          </cell>
        </row>
        <row r="3327">
          <cell r="A3327" t="str">
            <v>RUKMINI</v>
          </cell>
        </row>
        <row r="3328">
          <cell r="A3328" t="str">
            <v>RUMBLES</v>
          </cell>
        </row>
        <row r="3329">
          <cell r="A3329" t="str">
            <v>Rupert</v>
          </cell>
        </row>
        <row r="3330">
          <cell r="A3330" t="str">
            <v>Rupillia</v>
          </cell>
        </row>
        <row r="3331">
          <cell r="A3331" t="str">
            <v>Rupillia-A</v>
          </cell>
        </row>
        <row r="3332">
          <cell r="A3332" t="str">
            <v>RUSKIN</v>
          </cell>
        </row>
        <row r="3333">
          <cell r="A3333" t="str">
            <v>RUSSET</v>
          </cell>
        </row>
        <row r="3334">
          <cell r="A3334" t="str">
            <v>RUST</v>
          </cell>
        </row>
        <row r="3335">
          <cell r="A3335" t="str">
            <v>RUTH</v>
          </cell>
        </row>
        <row r="3336">
          <cell r="A3336" t="str">
            <v>RUTH II</v>
          </cell>
        </row>
        <row r="3337">
          <cell r="A3337" t="str">
            <v>RUTH-A</v>
          </cell>
        </row>
        <row r="3338">
          <cell r="A3338" t="str">
            <v>RUTH-B</v>
          </cell>
        </row>
        <row r="3339">
          <cell r="A3339" t="str">
            <v>RUTH-C</v>
          </cell>
        </row>
        <row r="3340">
          <cell r="A3340" t="str">
            <v>RUTH-D</v>
          </cell>
        </row>
        <row r="3341">
          <cell r="A3341" t="str">
            <v>RUTILE</v>
          </cell>
        </row>
        <row r="3342">
          <cell r="A3342" t="str">
            <v>RUTILE-A</v>
          </cell>
        </row>
        <row r="3343">
          <cell r="A3343" t="str">
            <v>RUTILE-B</v>
          </cell>
        </row>
        <row r="3344">
          <cell r="A3344" t="str">
            <v>SAADI</v>
          </cell>
        </row>
        <row r="3345">
          <cell r="A3345" t="str">
            <v>SABA</v>
          </cell>
        </row>
        <row r="3346">
          <cell r="A3346" t="str">
            <v>SABA-A</v>
          </cell>
        </row>
        <row r="3347">
          <cell r="A3347" t="str">
            <v>SABA-B</v>
          </cell>
        </row>
        <row r="3348">
          <cell r="A3348" t="str">
            <v>SABIK</v>
          </cell>
        </row>
        <row r="3349">
          <cell r="A3349" t="str">
            <v>SABINA</v>
          </cell>
        </row>
        <row r="3350">
          <cell r="A3350" t="str">
            <v>SABINI</v>
          </cell>
        </row>
        <row r="3351">
          <cell r="A3351" t="str">
            <v>Sabrina</v>
          </cell>
        </row>
        <row r="3352">
          <cell r="A3352" t="str">
            <v>SACHEVERELL</v>
          </cell>
        </row>
        <row r="3353">
          <cell r="A3353" t="str">
            <v>SACHS</v>
          </cell>
        </row>
        <row r="3354">
          <cell r="A3354" t="str">
            <v>SADIE</v>
          </cell>
        </row>
        <row r="3355">
          <cell r="A3355" t="str">
            <v>SADIKI</v>
          </cell>
        </row>
        <row r="3356">
          <cell r="A3356" t="str">
            <v>SADR</v>
          </cell>
        </row>
        <row r="3357">
          <cell r="A3357" t="str">
            <v>SAFFRON</v>
          </cell>
        </row>
        <row r="3358">
          <cell r="A3358" t="str">
            <v>SAGE</v>
          </cell>
        </row>
        <row r="3359">
          <cell r="A3359" t="str">
            <v>SAGE-A</v>
          </cell>
        </row>
        <row r="3360">
          <cell r="A3360" t="str">
            <v>SAGE-B</v>
          </cell>
        </row>
        <row r="3361">
          <cell r="A3361" t="str">
            <v>SAGITTA</v>
          </cell>
        </row>
        <row r="3362">
          <cell r="A3362" t="str">
            <v>SAGITTARIUS</v>
          </cell>
        </row>
        <row r="3363">
          <cell r="A3363" t="str">
            <v>SAGUARO</v>
          </cell>
        </row>
        <row r="3364">
          <cell r="A3364" t="str">
            <v>SAIDI</v>
          </cell>
        </row>
        <row r="3365">
          <cell r="A3365" t="str">
            <v>SAIMON</v>
          </cell>
        </row>
        <row r="3366">
          <cell r="A3366" t="str">
            <v>SAIPH</v>
          </cell>
        </row>
        <row r="3367">
          <cell r="A3367" t="str">
            <v>SAKTI</v>
          </cell>
        </row>
        <row r="3368">
          <cell r="A3368" t="str">
            <v>SAL</v>
          </cell>
        </row>
        <row r="3369">
          <cell r="A3369" t="str">
            <v>SAL-A</v>
          </cell>
        </row>
        <row r="3370">
          <cell r="A3370" t="str">
            <v>SALALA</v>
          </cell>
        </row>
        <row r="3371">
          <cell r="A3371" t="str">
            <v>SAL-B</v>
          </cell>
        </row>
        <row r="3372">
          <cell r="A3372" t="str">
            <v>SAL-C</v>
          </cell>
        </row>
        <row r="3373">
          <cell r="A3373" t="str">
            <v>SAL-D</v>
          </cell>
        </row>
        <row r="3374">
          <cell r="A3374" t="str">
            <v>Salem</v>
          </cell>
        </row>
        <row r="3375">
          <cell r="A3375" t="str">
            <v>Salem-A</v>
          </cell>
        </row>
        <row r="3376">
          <cell r="A3376" t="str">
            <v>SALHA</v>
          </cell>
        </row>
        <row r="3377">
          <cell r="A3377" t="str">
            <v>SALIM</v>
          </cell>
        </row>
        <row r="3378">
          <cell r="A3378" t="str">
            <v>SALIMA</v>
          </cell>
        </row>
        <row r="3379">
          <cell r="A3379" t="str">
            <v>SALIMA-A</v>
          </cell>
        </row>
        <row r="3380">
          <cell r="A3380" t="str">
            <v>SALIMA-B</v>
          </cell>
        </row>
        <row r="3381">
          <cell r="A3381" t="str">
            <v>SALIMA-C</v>
          </cell>
        </row>
        <row r="3382">
          <cell r="A3382" t="str">
            <v>SALIMA-D</v>
          </cell>
        </row>
        <row r="3383">
          <cell r="A3383" t="str">
            <v>SALIMA-E</v>
          </cell>
        </row>
        <row r="3384">
          <cell r="A3384" t="str">
            <v>SALIMA-F</v>
          </cell>
        </row>
        <row r="3385">
          <cell r="A3385" t="str">
            <v>SALIMA-G</v>
          </cell>
        </row>
        <row r="3386">
          <cell r="A3386" t="str">
            <v>SALIMA-H</v>
          </cell>
        </row>
        <row r="3387">
          <cell r="A3387" t="str">
            <v>Sally</v>
          </cell>
        </row>
        <row r="3388">
          <cell r="A3388" t="str">
            <v>SALMA</v>
          </cell>
        </row>
        <row r="3389">
          <cell r="A3389" t="str">
            <v>SALMA-A</v>
          </cell>
        </row>
        <row r="3390">
          <cell r="A3390" t="str">
            <v>SALMA-B</v>
          </cell>
        </row>
        <row r="3391">
          <cell r="A3391" t="str">
            <v>SALMA-C</v>
          </cell>
        </row>
        <row r="3392">
          <cell r="A3392" t="str">
            <v>SALMON</v>
          </cell>
        </row>
        <row r="3393">
          <cell r="A3393" t="str">
            <v>SALOME</v>
          </cell>
        </row>
        <row r="3394">
          <cell r="A3394" t="str">
            <v>SALOME-A</v>
          </cell>
        </row>
        <row r="3395">
          <cell r="A3395" t="str">
            <v>SAM</v>
          </cell>
        </row>
        <row r="3396">
          <cell r="A3396" t="str">
            <v>SAMA</v>
          </cell>
        </row>
        <row r="3397">
          <cell r="A3397" t="str">
            <v>SAMAKI</v>
          </cell>
        </row>
        <row r="3398">
          <cell r="A3398" t="str">
            <v>SAMAL</v>
          </cell>
        </row>
        <row r="3399">
          <cell r="A3399" t="str">
            <v>SAMAL-A</v>
          </cell>
        </row>
        <row r="3400">
          <cell r="A3400" t="str">
            <v>SAMAL-B</v>
          </cell>
        </row>
        <row r="3401">
          <cell r="A3401" t="str">
            <v>SAMAL-C</v>
          </cell>
        </row>
        <row r="3402">
          <cell r="A3402" t="str">
            <v>SAMANTHA (DMAD)</v>
          </cell>
        </row>
        <row r="3403">
          <cell r="A3403" t="str">
            <v>Samantha (LTAR)</v>
          </cell>
        </row>
        <row r="3404">
          <cell r="A3404" t="str">
            <v>SAMANTHA-A</v>
          </cell>
        </row>
        <row r="3405">
          <cell r="A3405" t="str">
            <v>SAMBY</v>
          </cell>
        </row>
        <row r="3406">
          <cell r="A3406" t="str">
            <v>SAMSON</v>
          </cell>
        </row>
        <row r="3407">
          <cell r="A3407" t="str">
            <v>SAMUEL</v>
          </cell>
        </row>
        <row r="3408">
          <cell r="A3408" t="str">
            <v>Sancho</v>
          </cell>
        </row>
        <row r="3409">
          <cell r="A3409" t="str">
            <v>SANDALWOOD</v>
          </cell>
        </row>
        <row r="3410">
          <cell r="A3410" t="str">
            <v>Sandpiper</v>
          </cell>
        </row>
        <row r="3411">
          <cell r="A3411" t="str">
            <v>Sandy</v>
          </cell>
        </row>
        <row r="3412">
          <cell r="A3412" t="str">
            <v>SANGRIDA</v>
          </cell>
        </row>
        <row r="3413">
          <cell r="A3413" t="str">
            <v>Sanura (ECOR)</v>
          </cell>
        </row>
        <row r="3414">
          <cell r="A3414" t="str">
            <v>SANURA (OMA)</v>
          </cell>
        </row>
        <row r="3415">
          <cell r="A3415" t="str">
            <v>Sanura-A</v>
          </cell>
        </row>
        <row r="3416">
          <cell r="A3416" t="str">
            <v>SAPPHIRA</v>
          </cell>
        </row>
        <row r="3417">
          <cell r="A3417" t="str">
            <v>SAPPHIRA-A</v>
          </cell>
        </row>
        <row r="3418">
          <cell r="A3418" t="str">
            <v>SAPPHIRA-B</v>
          </cell>
        </row>
        <row r="3419">
          <cell r="A3419" t="str">
            <v>SAPPHIRA-C</v>
          </cell>
        </row>
        <row r="3420">
          <cell r="A3420" t="str">
            <v>SAPPHIRA-D</v>
          </cell>
        </row>
        <row r="3421">
          <cell r="A3421" t="str">
            <v>SAPPHIRE</v>
          </cell>
        </row>
        <row r="3422">
          <cell r="A3422" t="str">
            <v>SAPPHO</v>
          </cell>
        </row>
        <row r="3423">
          <cell r="A3423" t="str">
            <v>SAPPHO-A</v>
          </cell>
        </row>
        <row r="3424">
          <cell r="A3424" t="str">
            <v>SAPPHO-B</v>
          </cell>
        </row>
        <row r="3425">
          <cell r="A3425" t="str">
            <v>SAPPHO-C</v>
          </cell>
        </row>
        <row r="3426">
          <cell r="A3426" t="str">
            <v>SARAH</v>
          </cell>
        </row>
        <row r="3427">
          <cell r="A3427" t="str">
            <v>SARPH</v>
          </cell>
        </row>
        <row r="3428">
          <cell r="A3428" t="str">
            <v>Sarsaparilla</v>
          </cell>
        </row>
        <row r="3429">
          <cell r="A3429" t="str">
            <v>SARVISBERRY</v>
          </cell>
        </row>
        <row r="3430">
          <cell r="A3430" t="str">
            <v>SARVISBERRY-A</v>
          </cell>
        </row>
        <row r="3431">
          <cell r="A3431" t="str">
            <v>SASA</v>
          </cell>
        </row>
        <row r="3432">
          <cell r="A3432" t="str">
            <v>SASSAFRAS</v>
          </cell>
        </row>
        <row r="3433">
          <cell r="A3433" t="str">
            <v>SATINDER</v>
          </cell>
        </row>
        <row r="3434">
          <cell r="A3434" t="str">
            <v>SATINLEAF</v>
          </cell>
        </row>
        <row r="3435">
          <cell r="A3435" t="str">
            <v>SATISH</v>
          </cell>
        </row>
        <row r="3436">
          <cell r="A3436" t="str">
            <v>SATURN</v>
          </cell>
        </row>
        <row r="3437">
          <cell r="A3437" t="str">
            <v>SATURNA</v>
          </cell>
        </row>
        <row r="3438">
          <cell r="A3438" t="str">
            <v>SATURNA-A</v>
          </cell>
        </row>
        <row r="3439">
          <cell r="A3439" t="str">
            <v>SATURNA-B</v>
          </cell>
        </row>
        <row r="3440">
          <cell r="A3440" t="str">
            <v>SATURNA-C</v>
          </cell>
        </row>
        <row r="3441">
          <cell r="A3441" t="str">
            <v>SATURNILLA</v>
          </cell>
        </row>
        <row r="3442">
          <cell r="A3442" t="str">
            <v>SATURNILLA-A</v>
          </cell>
        </row>
        <row r="3443">
          <cell r="A3443" t="str">
            <v>SATURNILLA-B</v>
          </cell>
        </row>
        <row r="3444">
          <cell r="A3444" t="str">
            <v>SATURNILLA-C</v>
          </cell>
        </row>
        <row r="3445">
          <cell r="A3445" t="str">
            <v>Satyrus</v>
          </cell>
        </row>
        <row r="3446">
          <cell r="A3446" t="str">
            <v>SAUDA</v>
          </cell>
        </row>
        <row r="3447">
          <cell r="A3447" t="str">
            <v>Saunders</v>
          </cell>
        </row>
        <row r="3448">
          <cell r="A3448" t="str">
            <v>SAVITRI</v>
          </cell>
        </row>
        <row r="3449">
          <cell r="A3449" t="str">
            <v>SAXIFRAGE</v>
          </cell>
        </row>
        <row r="3450">
          <cell r="A3450" t="str">
            <v>Scarab</v>
          </cell>
        </row>
        <row r="3451">
          <cell r="A3451" t="str">
            <v>Scarecrow</v>
          </cell>
        </row>
        <row r="3452">
          <cell r="A3452" t="str">
            <v>SCARLETT</v>
          </cell>
        </row>
        <row r="3453">
          <cell r="A3453" t="str">
            <v>SCARLETT II</v>
          </cell>
        </row>
        <row r="3454">
          <cell r="A3454" t="str">
            <v>SCARLETT II-A</v>
          </cell>
        </row>
        <row r="3455">
          <cell r="A3455" t="str">
            <v>SCARLETT II-B</v>
          </cell>
        </row>
        <row r="3456">
          <cell r="A3456" t="str">
            <v>SCARLETT II-C</v>
          </cell>
        </row>
        <row r="3457">
          <cell r="A3457" t="str">
            <v>SCHEHERAZADE</v>
          </cell>
        </row>
        <row r="3458">
          <cell r="A3458" t="str">
            <v>SCHEHERAZADE-A</v>
          </cell>
        </row>
        <row r="3459">
          <cell r="A3459" t="str">
            <v>Schweppes</v>
          </cell>
        </row>
        <row r="3460">
          <cell r="A3460" t="str">
            <v>Schwepps</v>
          </cell>
        </row>
        <row r="3461">
          <cell r="A3461" t="str">
            <v>Scipio</v>
          </cell>
        </row>
        <row r="3462">
          <cell r="A3462" t="str">
            <v>SCOOTER</v>
          </cell>
        </row>
        <row r="3463">
          <cell r="A3463" t="str">
            <v>Scorpius</v>
          </cell>
        </row>
        <row r="3464">
          <cell r="A3464" t="str">
            <v>SCOTIA</v>
          </cell>
        </row>
        <row r="3465">
          <cell r="A3465" t="str">
            <v>SCOTIA-A</v>
          </cell>
        </row>
        <row r="3466">
          <cell r="A3466" t="str">
            <v>SCOTIA-B</v>
          </cell>
        </row>
        <row r="3467">
          <cell r="A3467" t="str">
            <v>Scout</v>
          </cell>
        </row>
        <row r="3468">
          <cell r="A3468" t="str">
            <v>SCULPTOR</v>
          </cell>
        </row>
        <row r="3469">
          <cell r="A3469" t="str">
            <v>SCUPPERNONG</v>
          </cell>
        </row>
        <row r="3470">
          <cell r="A3470" t="str">
            <v>SCYLLA</v>
          </cell>
        </row>
        <row r="3471">
          <cell r="A3471" t="str">
            <v>SCYLLA B</v>
          </cell>
        </row>
        <row r="3472">
          <cell r="A3472" t="str">
            <v>SCYLLA-A</v>
          </cell>
        </row>
        <row r="3473">
          <cell r="A3473" t="str">
            <v>SCYLLA-C</v>
          </cell>
        </row>
        <row r="3474">
          <cell r="A3474" t="str">
            <v>Seagrams</v>
          </cell>
        </row>
        <row r="3475">
          <cell r="A3475" t="str">
            <v>SEAGRAPE</v>
          </cell>
        </row>
        <row r="3476">
          <cell r="A3476" t="str">
            <v>Sebastian</v>
          </cell>
        </row>
        <row r="3477">
          <cell r="A3477" t="str">
            <v>SEED</v>
          </cell>
        </row>
        <row r="3478">
          <cell r="A3478" t="str">
            <v>SEEGER</v>
          </cell>
        </row>
        <row r="3479">
          <cell r="A3479" t="str">
            <v>SEFU</v>
          </cell>
        </row>
        <row r="3480">
          <cell r="A3480" t="str">
            <v>SEKER</v>
          </cell>
        </row>
        <row r="3481">
          <cell r="A3481" t="str">
            <v>SELAUCIUS</v>
          </cell>
        </row>
        <row r="3482">
          <cell r="A3482" t="str">
            <v>SELENA</v>
          </cell>
        </row>
        <row r="3483">
          <cell r="A3483" t="str">
            <v>SELENE-B</v>
          </cell>
        </row>
        <row r="3484">
          <cell r="A3484" t="str">
            <v>Selene-C</v>
          </cell>
        </row>
        <row r="3485">
          <cell r="A3485" t="str">
            <v>Selene-D</v>
          </cell>
        </row>
        <row r="3486">
          <cell r="A3486" t="str">
            <v>SELLI</v>
          </cell>
        </row>
        <row r="3487">
          <cell r="A3487" t="str">
            <v>SELLI-A</v>
          </cell>
        </row>
        <row r="3488">
          <cell r="A3488" t="str">
            <v>SELLI-B</v>
          </cell>
        </row>
        <row r="3489">
          <cell r="A3489" t="str">
            <v>SEMELE</v>
          </cell>
        </row>
        <row r="3490">
          <cell r="A3490" t="str">
            <v>SEMINOLE</v>
          </cell>
        </row>
        <row r="3491">
          <cell r="A3491" t="str">
            <v>SEMINOLE-A</v>
          </cell>
        </row>
        <row r="3492">
          <cell r="A3492" t="str">
            <v>SEMINOLE-B</v>
          </cell>
        </row>
        <row r="3493">
          <cell r="A3493" t="str">
            <v>SEMINOLE-C</v>
          </cell>
        </row>
        <row r="3494">
          <cell r="A3494" t="str">
            <v>SEMINOLE-D</v>
          </cell>
        </row>
        <row r="3495">
          <cell r="A3495" t="str">
            <v>Seminole-E</v>
          </cell>
        </row>
        <row r="3496">
          <cell r="A3496" t="str">
            <v>SEMINOLE-F</v>
          </cell>
        </row>
        <row r="3497">
          <cell r="A3497" t="str">
            <v>SEMPOLADEN</v>
          </cell>
        </row>
        <row r="3498">
          <cell r="A3498" t="str">
            <v>SENECA</v>
          </cell>
        </row>
        <row r="3499">
          <cell r="A3499" t="str">
            <v>SEQUOIA</v>
          </cell>
        </row>
        <row r="3500">
          <cell r="A3500" t="str">
            <v>Serama Chicken</v>
          </cell>
        </row>
        <row r="3501">
          <cell r="A3501" t="str">
            <v>SERAPIS</v>
          </cell>
        </row>
        <row r="3502">
          <cell r="A3502" t="str">
            <v>SERENDIPITY</v>
          </cell>
        </row>
        <row r="3503">
          <cell r="A3503" t="str">
            <v>SERENDIPITY-A</v>
          </cell>
        </row>
        <row r="3504">
          <cell r="A3504" t="str">
            <v>SERGE</v>
          </cell>
        </row>
        <row r="3505">
          <cell r="A3505" t="str">
            <v>SERITA</v>
          </cell>
        </row>
        <row r="3506">
          <cell r="A3506" t="str">
            <v>SERPENTINE</v>
          </cell>
        </row>
        <row r="3507">
          <cell r="A3507" t="str">
            <v>Seshat</v>
          </cell>
        </row>
        <row r="3508">
          <cell r="A3508" t="str">
            <v>Seshat-A</v>
          </cell>
        </row>
        <row r="3509">
          <cell r="A3509" t="str">
            <v>Seshen</v>
          </cell>
        </row>
        <row r="3510">
          <cell r="A3510" t="str">
            <v>SESOSTRIS</v>
          </cell>
        </row>
        <row r="3511">
          <cell r="A3511" t="str">
            <v>Set</v>
          </cell>
        </row>
        <row r="3512">
          <cell r="A3512" t="str">
            <v>SETHI</v>
          </cell>
        </row>
        <row r="3513">
          <cell r="A3513" t="str">
            <v>SEUTHES</v>
          </cell>
        </row>
        <row r="3514">
          <cell r="A3514" t="str">
            <v>SEVERUS</v>
          </cell>
        </row>
        <row r="3515">
          <cell r="A3515" t="str">
            <v>SEXTANS</v>
          </cell>
        </row>
        <row r="3516">
          <cell r="A3516" t="str">
            <v>SFORZA</v>
          </cell>
        </row>
        <row r="3517">
          <cell r="A3517" t="str">
            <v>SHAABANI</v>
          </cell>
        </row>
        <row r="3518">
          <cell r="A3518" t="str">
            <v>SHADBUSH</v>
          </cell>
        </row>
        <row r="3519">
          <cell r="A3519" t="str">
            <v>SHADOW</v>
          </cell>
        </row>
        <row r="3520">
          <cell r="A3520" t="str">
            <v>SHADRACH</v>
          </cell>
        </row>
        <row r="3521">
          <cell r="A3521" t="str">
            <v>SHAKTI</v>
          </cell>
        </row>
        <row r="3522">
          <cell r="A3522" t="str">
            <v>SHALLOT</v>
          </cell>
        </row>
        <row r="3523">
          <cell r="A3523" t="str">
            <v>SHAMA</v>
          </cell>
        </row>
        <row r="3524">
          <cell r="A3524" t="str">
            <v>SHAMA-A</v>
          </cell>
        </row>
        <row r="3525">
          <cell r="A3525" t="str">
            <v>SHAMA-B</v>
          </cell>
        </row>
        <row r="3526">
          <cell r="A3526" t="str">
            <v>SHAMINDA</v>
          </cell>
        </row>
        <row r="3527">
          <cell r="A3527" t="str">
            <v>SHAMROCK</v>
          </cell>
        </row>
        <row r="3528">
          <cell r="A3528" t="str">
            <v>SHANDRE</v>
          </cell>
        </row>
        <row r="3529">
          <cell r="A3529" t="str">
            <v>SHANI</v>
          </cell>
        </row>
        <row r="3530">
          <cell r="A3530" t="str">
            <v>SHARIFA</v>
          </cell>
        </row>
        <row r="3531">
          <cell r="A3531" t="str">
            <v>SHARIFA-A</v>
          </cell>
        </row>
        <row r="3532">
          <cell r="A3532" t="str">
            <v>SHARIFA-B</v>
          </cell>
        </row>
        <row r="3533">
          <cell r="A3533" t="str">
            <v>SHARIFA-C</v>
          </cell>
        </row>
        <row r="3534">
          <cell r="A3534" t="str">
            <v>SHARIFA-D</v>
          </cell>
        </row>
        <row r="3535">
          <cell r="A3535" t="str">
            <v>Shasta</v>
          </cell>
        </row>
        <row r="3536">
          <cell r="A3536" t="str">
            <v>SHATRIYA</v>
          </cell>
        </row>
        <row r="3537">
          <cell r="A3537" t="str">
            <v>SHAWKI</v>
          </cell>
        </row>
        <row r="3538">
          <cell r="A3538" t="str">
            <v>SHEBA</v>
          </cell>
        </row>
        <row r="3539">
          <cell r="A3539" t="str">
            <v>SHEBA-A</v>
          </cell>
        </row>
        <row r="3540">
          <cell r="A3540" t="str">
            <v>SHEBA-B</v>
          </cell>
        </row>
        <row r="3541">
          <cell r="A3541" t="str">
            <v>SHEEPBERRY</v>
          </cell>
        </row>
        <row r="3542">
          <cell r="A3542" t="str">
            <v>SHEIKH</v>
          </cell>
        </row>
        <row r="3543">
          <cell r="A3543" t="str">
            <v>SHELLBARK</v>
          </cell>
        </row>
        <row r="3544">
          <cell r="A3544" t="str">
            <v>Sherlock</v>
          </cell>
        </row>
        <row r="3545">
          <cell r="A3545" t="str">
            <v>SHETANI</v>
          </cell>
        </row>
        <row r="3546">
          <cell r="A3546" t="str">
            <v>Shezmu</v>
          </cell>
        </row>
        <row r="3547">
          <cell r="A3547" t="str">
            <v>SHIDA</v>
          </cell>
        </row>
        <row r="3548">
          <cell r="A3548" t="str">
            <v>SHIDA-A</v>
          </cell>
        </row>
        <row r="3549">
          <cell r="A3549" t="str">
            <v>SHIDA-B</v>
          </cell>
        </row>
        <row r="3550">
          <cell r="A3550" t="str">
            <v>SHIDA-C</v>
          </cell>
        </row>
        <row r="3551">
          <cell r="A3551" t="str">
            <v>SHIDA-D</v>
          </cell>
        </row>
        <row r="3552">
          <cell r="A3552" t="str">
            <v>Shiso</v>
          </cell>
        </row>
        <row r="3553">
          <cell r="A3553" t="str">
            <v>SHIVA</v>
          </cell>
        </row>
        <row r="3554">
          <cell r="A3554" t="str">
            <v>SHIVANI</v>
          </cell>
        </row>
        <row r="3555">
          <cell r="A3555" t="str">
            <v>SHIVANI-A</v>
          </cell>
        </row>
        <row r="3556">
          <cell r="A3556" t="str">
            <v>SHOBAB</v>
          </cell>
        </row>
        <row r="3557">
          <cell r="A3557" t="str">
            <v>SHOMARI</v>
          </cell>
        </row>
        <row r="3558">
          <cell r="A3558" t="str">
            <v>SHOSHONE</v>
          </cell>
        </row>
        <row r="3559">
          <cell r="A3559" t="str">
            <v>SHOTBUSH</v>
          </cell>
        </row>
        <row r="3560">
          <cell r="A3560" t="str">
            <v>SHOULA</v>
          </cell>
        </row>
        <row r="3561">
          <cell r="A3561" t="str">
            <v>Shroeder</v>
          </cell>
        </row>
        <row r="3562">
          <cell r="A3562" t="str">
            <v>SHULAMITE</v>
          </cell>
        </row>
        <row r="3563">
          <cell r="A3563" t="str">
            <v>SHULAMITE-A</v>
          </cell>
        </row>
        <row r="3564">
          <cell r="A3564" t="str">
            <v>SHULAMITE-B</v>
          </cell>
        </row>
        <row r="3565">
          <cell r="A3565" t="str">
            <v>SHYLOCK</v>
          </cell>
        </row>
        <row r="3566">
          <cell r="A3566" t="str">
            <v>SIAGI</v>
          </cell>
        </row>
        <row r="3567">
          <cell r="A3567" t="str">
            <v>SIENNA</v>
          </cell>
        </row>
        <row r="3568">
          <cell r="A3568" t="str">
            <v>Sierra Mist</v>
          </cell>
        </row>
        <row r="3569">
          <cell r="A3569" t="str">
            <v>Sierra Mist-A</v>
          </cell>
        </row>
        <row r="3570">
          <cell r="A3570" t="str">
            <v>SIGFRIED</v>
          </cell>
        </row>
        <row r="3571">
          <cell r="A3571" t="str">
            <v>Sigismund</v>
          </cell>
        </row>
        <row r="3572">
          <cell r="A3572" t="str">
            <v>SIGMUND</v>
          </cell>
        </row>
        <row r="3573">
          <cell r="A3573" t="str">
            <v>SIGNE</v>
          </cell>
        </row>
        <row r="3574">
          <cell r="A3574" t="str">
            <v>SIGNN</v>
          </cell>
        </row>
        <row r="3575">
          <cell r="A3575" t="str">
            <v>SIGURD</v>
          </cell>
        </row>
        <row r="3576">
          <cell r="A3576" t="str">
            <v>SILAS</v>
          </cell>
        </row>
        <row r="3577">
          <cell r="A3577" t="str">
            <v>Silas (Pcoq)</v>
          </cell>
        </row>
        <row r="3578">
          <cell r="A3578" t="str">
            <v>Silas (PCOQ)</v>
          </cell>
        </row>
        <row r="3579">
          <cell r="A3579" t="str">
            <v>SILICA</v>
          </cell>
        </row>
        <row r="3580">
          <cell r="A3580" t="str">
            <v>SILKOAK</v>
          </cell>
        </row>
        <row r="3581">
          <cell r="A3581" t="str">
            <v>SILVANUS</v>
          </cell>
        </row>
        <row r="3582">
          <cell r="A3582" t="str">
            <v>SILVER</v>
          </cell>
        </row>
        <row r="3583">
          <cell r="A3583" t="str">
            <v>SILVERBELL</v>
          </cell>
        </row>
        <row r="3584">
          <cell r="A3584" t="str">
            <v>SILVERBELL-A</v>
          </cell>
        </row>
        <row r="3585">
          <cell r="A3585" t="str">
            <v>SILVERBELL-B</v>
          </cell>
        </row>
        <row r="3586">
          <cell r="A3586" t="str">
            <v>SILVERBELL-C</v>
          </cell>
        </row>
        <row r="3587">
          <cell r="A3587" t="str">
            <v>SILVERPALM</v>
          </cell>
        </row>
        <row r="3588">
          <cell r="A3588" t="str">
            <v>SIMEON</v>
          </cell>
        </row>
        <row r="3589">
          <cell r="A3589" t="str">
            <v>SIMMIA</v>
          </cell>
        </row>
        <row r="3590">
          <cell r="A3590" t="str">
            <v>Simone</v>
          </cell>
        </row>
        <row r="3591">
          <cell r="A3591" t="str">
            <v>SIMU</v>
          </cell>
        </row>
        <row r="3592">
          <cell r="A3592" t="str">
            <v>SIMU-A</v>
          </cell>
        </row>
        <row r="3593">
          <cell r="A3593" t="str">
            <v>SINATRA</v>
          </cell>
        </row>
        <row r="3594">
          <cell r="A3594" t="str">
            <v>Sinatra II</v>
          </cell>
        </row>
        <row r="3595">
          <cell r="A3595" t="str">
            <v>SINBAD</v>
          </cell>
        </row>
        <row r="3596">
          <cell r="A3596" t="str">
            <v>SINDHI</v>
          </cell>
        </row>
        <row r="3597">
          <cell r="A3597" t="str">
            <v>SINDHI-A</v>
          </cell>
        </row>
        <row r="3598">
          <cell r="A3598" t="str">
            <v>SINOPE</v>
          </cell>
        </row>
        <row r="3599">
          <cell r="A3599" t="str">
            <v>SIRIUS</v>
          </cell>
        </row>
        <row r="3600">
          <cell r="A3600" t="str">
            <v>SITA-A</v>
          </cell>
        </row>
        <row r="3601">
          <cell r="A3601" t="str">
            <v>SITAMON</v>
          </cell>
        </row>
        <row r="3602">
          <cell r="A3602" t="str">
            <v>SITAMON-A</v>
          </cell>
        </row>
        <row r="3603">
          <cell r="A3603" t="str">
            <v>SITAMON-B</v>
          </cell>
        </row>
        <row r="3604">
          <cell r="A3604" t="str">
            <v>SITHA</v>
          </cell>
        </row>
        <row r="3605">
          <cell r="A3605" t="str">
            <v>SITI</v>
          </cell>
        </row>
        <row r="3606">
          <cell r="A3606" t="str">
            <v>SITI-A</v>
          </cell>
        </row>
        <row r="3607">
          <cell r="A3607" t="str">
            <v>SITI-B</v>
          </cell>
        </row>
        <row r="3608">
          <cell r="A3608" t="str">
            <v>SITI-C</v>
          </cell>
        </row>
        <row r="3609">
          <cell r="A3609" t="str">
            <v>SITI-D</v>
          </cell>
        </row>
        <row r="3610">
          <cell r="A3610" t="str">
            <v>SITI-E</v>
          </cell>
        </row>
        <row r="3611">
          <cell r="A3611" t="str">
            <v>SITI-F</v>
          </cell>
        </row>
        <row r="3612">
          <cell r="A3612" t="str">
            <v>SITINI</v>
          </cell>
        </row>
        <row r="3613">
          <cell r="A3613" t="str">
            <v>Siwa</v>
          </cell>
        </row>
        <row r="3614">
          <cell r="A3614" t="str">
            <v>SIWATU</v>
          </cell>
        </row>
        <row r="3615">
          <cell r="A3615" t="str">
            <v>SIXTO</v>
          </cell>
        </row>
        <row r="3616">
          <cell r="A3616" t="str">
            <v>Skeeter</v>
          </cell>
        </row>
        <row r="3617">
          <cell r="A3617" t="str">
            <v>SKEETER (LCAT)</v>
          </cell>
        </row>
        <row r="3618">
          <cell r="A3618" t="str">
            <v>Skimmer</v>
          </cell>
        </row>
        <row r="3619">
          <cell r="A3619" t="str">
            <v>Skimmer-A</v>
          </cell>
        </row>
        <row r="3620">
          <cell r="A3620" t="str">
            <v>Skimmer-B</v>
          </cell>
        </row>
        <row r="3621">
          <cell r="A3621" t="str">
            <v>Skimmer-C</v>
          </cell>
        </row>
        <row r="3622">
          <cell r="A3622" t="str">
            <v>Skimmer-D</v>
          </cell>
        </row>
        <row r="3623">
          <cell r="A3623" t="str">
            <v>Skimmer-E</v>
          </cell>
        </row>
        <row r="3624">
          <cell r="A3624" t="str">
            <v>SKIN</v>
          </cell>
        </row>
        <row r="3625">
          <cell r="A3625" t="str">
            <v>SKULD</v>
          </cell>
        </row>
        <row r="3626">
          <cell r="A3626" t="str">
            <v>SLATE</v>
          </cell>
        </row>
        <row r="3627">
          <cell r="A3627" t="str">
            <v>SLEEPY</v>
          </cell>
        </row>
        <row r="3628">
          <cell r="A3628" t="str">
            <v>SLEEPY (EFUL)</v>
          </cell>
        </row>
        <row r="3629">
          <cell r="A3629" t="str">
            <v>SLOE</v>
          </cell>
        </row>
        <row r="3630">
          <cell r="A3630" t="str">
            <v>SLOE-A</v>
          </cell>
        </row>
        <row r="3631">
          <cell r="A3631" t="str">
            <v>Smeagol</v>
          </cell>
        </row>
        <row r="3632">
          <cell r="A3632" t="str">
            <v>SMOKE</v>
          </cell>
        </row>
        <row r="3633">
          <cell r="A3633" t="str">
            <v>SMOKETHORN</v>
          </cell>
        </row>
        <row r="3634">
          <cell r="A3634" t="str">
            <v>SMOKETREE</v>
          </cell>
        </row>
        <row r="3635">
          <cell r="A3635" t="str">
            <v>Snapdragon</v>
          </cell>
        </row>
        <row r="3636">
          <cell r="A3636" t="str">
            <v>SNOUT</v>
          </cell>
        </row>
        <row r="3637">
          <cell r="A3637" t="str">
            <v>SNOWBELL</v>
          </cell>
        </row>
        <row r="3638">
          <cell r="A3638" t="str">
            <v>SNUG</v>
          </cell>
        </row>
        <row r="3639">
          <cell r="A3639" t="str">
            <v>Sobe</v>
          </cell>
        </row>
        <row r="3640">
          <cell r="A3640" t="str">
            <v>SOBEK</v>
          </cell>
        </row>
        <row r="3641">
          <cell r="A3641" t="str">
            <v>SOCRATES</v>
          </cell>
        </row>
        <row r="3642">
          <cell r="A3642" t="str">
            <v>SOL</v>
          </cell>
        </row>
        <row r="3643">
          <cell r="A3643" t="str">
            <v>SOLDIERWOOD</v>
          </cell>
        </row>
        <row r="3644">
          <cell r="A3644" t="str">
            <v>SOLO</v>
          </cell>
        </row>
        <row r="3645">
          <cell r="A3645" t="str">
            <v>SOLO II</v>
          </cell>
        </row>
        <row r="3646">
          <cell r="A3646" t="str">
            <v>SOLOMON</v>
          </cell>
        </row>
        <row r="3647">
          <cell r="A3647" t="str">
            <v>SONA</v>
          </cell>
        </row>
        <row r="3648">
          <cell r="A3648" t="str">
            <v>SONG</v>
          </cell>
        </row>
        <row r="3649">
          <cell r="A3649" t="str">
            <v>SONG-A</v>
          </cell>
        </row>
        <row r="3650">
          <cell r="A3650" t="str">
            <v>SONG-B</v>
          </cell>
        </row>
        <row r="3651">
          <cell r="A3651" t="str">
            <v>Sophia</v>
          </cell>
        </row>
        <row r="3652">
          <cell r="A3652" t="str">
            <v>Sophia-A</v>
          </cell>
        </row>
        <row r="3653">
          <cell r="A3653" t="str">
            <v>Sophia-B</v>
          </cell>
        </row>
        <row r="3654">
          <cell r="A3654" t="str">
            <v>Sophia-C</v>
          </cell>
        </row>
        <row r="3655">
          <cell r="A3655" t="str">
            <v>Sophie (ECOR)</v>
          </cell>
        </row>
        <row r="3656">
          <cell r="A3656" t="str">
            <v>Sophie (PCOQ)</v>
          </cell>
        </row>
        <row r="3657">
          <cell r="A3657" t="str">
            <v>SOPHOCLES</v>
          </cell>
        </row>
        <row r="3658">
          <cell r="A3658" t="str">
            <v>SOPHORA</v>
          </cell>
        </row>
        <row r="3659">
          <cell r="A3659" t="str">
            <v>Sorrel</v>
          </cell>
        </row>
        <row r="3660">
          <cell r="A3660" t="str">
            <v>SORRELTREE</v>
          </cell>
        </row>
        <row r="3661">
          <cell r="A3661" t="str">
            <v>Sosiphanes</v>
          </cell>
        </row>
        <row r="3662">
          <cell r="A3662" t="str">
            <v>Sosiphanes-A</v>
          </cell>
        </row>
        <row r="3663">
          <cell r="A3663" t="str">
            <v>SOSTHENES</v>
          </cell>
        </row>
        <row r="3664">
          <cell r="A3664" t="str">
            <v>SOSTRATUS</v>
          </cell>
        </row>
        <row r="3665">
          <cell r="A3665" t="str">
            <v>SOURGUM</v>
          </cell>
        </row>
        <row r="3666">
          <cell r="A3666" t="str">
            <v>SOURWOOD</v>
          </cell>
        </row>
        <row r="3667">
          <cell r="A3667" t="str">
            <v>Sovanni</v>
          </cell>
        </row>
        <row r="3668">
          <cell r="A3668" t="str">
            <v>SOVE</v>
          </cell>
        </row>
        <row r="3669">
          <cell r="A3669" t="str">
            <v>Spalt</v>
          </cell>
        </row>
        <row r="3670">
          <cell r="A3670" t="str">
            <v>SPARKLEBERRY</v>
          </cell>
        </row>
        <row r="3671">
          <cell r="A3671" t="str">
            <v>SPARKY</v>
          </cell>
        </row>
        <row r="3672">
          <cell r="A3672" t="str">
            <v>SPESSARTITE</v>
          </cell>
        </row>
        <row r="3673">
          <cell r="A3673" t="str">
            <v>SPICA</v>
          </cell>
        </row>
        <row r="3674">
          <cell r="A3674" t="str">
            <v>SPIKENARD</v>
          </cell>
        </row>
        <row r="3675">
          <cell r="A3675" t="str">
            <v>SPINEL</v>
          </cell>
        </row>
        <row r="3676">
          <cell r="A3676" t="str">
            <v>SPINNER</v>
          </cell>
        </row>
        <row r="3677">
          <cell r="A3677" t="str">
            <v>Spitzer</v>
          </cell>
        </row>
        <row r="3678">
          <cell r="A3678" t="str">
            <v>Sprite</v>
          </cell>
        </row>
        <row r="3679">
          <cell r="A3679" t="str">
            <v>Sproles</v>
          </cell>
        </row>
        <row r="3680">
          <cell r="A3680" t="str">
            <v>SPRUCE</v>
          </cell>
        </row>
        <row r="3681">
          <cell r="A3681" t="str">
            <v>Sputnik</v>
          </cell>
        </row>
        <row r="3682">
          <cell r="A3682" t="str">
            <v>Sriracha</v>
          </cell>
        </row>
        <row r="3683">
          <cell r="A3683" t="str">
            <v>STAGBUSH</v>
          </cell>
        </row>
        <row r="3684">
          <cell r="A3684" t="str">
            <v>STAGHORN</v>
          </cell>
        </row>
        <row r="3685">
          <cell r="A3685" t="str">
            <v>STAR</v>
          </cell>
        </row>
        <row r="3686">
          <cell r="A3686" t="str">
            <v>STAR-A</v>
          </cell>
        </row>
        <row r="3687">
          <cell r="A3687" t="str">
            <v>STARVELING</v>
          </cell>
        </row>
        <row r="3688">
          <cell r="A3688" t="str">
            <v>STEPHANITE</v>
          </cell>
        </row>
        <row r="3689">
          <cell r="A3689" t="str">
            <v>Stephano</v>
          </cell>
        </row>
        <row r="3690">
          <cell r="A3690" t="str">
            <v>STEPHANUS</v>
          </cell>
        </row>
        <row r="3691">
          <cell r="A3691" t="str">
            <v>STEPHEN</v>
          </cell>
        </row>
        <row r="3692">
          <cell r="A3692" t="str">
            <v>STEWART (EFLA)</v>
          </cell>
        </row>
        <row r="3693">
          <cell r="A3693" t="str">
            <v>Stewart (LCAT)</v>
          </cell>
        </row>
        <row r="3694">
          <cell r="A3694" t="str">
            <v>STEWARTIA</v>
          </cell>
        </row>
        <row r="3695">
          <cell r="A3695" t="str">
            <v>STEWARTIA-A</v>
          </cell>
        </row>
        <row r="3696">
          <cell r="A3696" t="str">
            <v>STEWARTIA-B</v>
          </cell>
        </row>
        <row r="3697">
          <cell r="A3697" t="str">
            <v>STILLA</v>
          </cell>
        </row>
        <row r="3698">
          <cell r="A3698" t="str">
            <v>STILT</v>
          </cell>
        </row>
        <row r="3699">
          <cell r="A3699" t="str">
            <v>STORAX</v>
          </cell>
        </row>
        <row r="3700">
          <cell r="A3700" t="str">
            <v>STRAWBERRY</v>
          </cell>
        </row>
        <row r="3701">
          <cell r="A3701" t="str">
            <v>STREEP</v>
          </cell>
        </row>
        <row r="3702">
          <cell r="A3702" t="str">
            <v>STRONGBARK</v>
          </cell>
        </row>
        <row r="3703">
          <cell r="A3703" t="str">
            <v>Styx</v>
          </cell>
        </row>
        <row r="3704">
          <cell r="A3704" t="str">
            <v>SUBIRA</v>
          </cell>
        </row>
        <row r="3705">
          <cell r="A3705" t="str">
            <v>SUBIRA-A</v>
          </cell>
        </row>
        <row r="3706">
          <cell r="A3706" t="str">
            <v>SUDI</v>
          </cell>
        </row>
        <row r="3707">
          <cell r="A3707" t="str">
            <v>SUGARBERRY</v>
          </cell>
        </row>
        <row r="3708">
          <cell r="A3708" t="str">
            <v>SUGARPINE</v>
          </cell>
        </row>
        <row r="3709">
          <cell r="A3709" t="str">
            <v>SUGARTREE</v>
          </cell>
        </row>
        <row r="3710">
          <cell r="A3710" t="str">
            <v>SUGRIVA</v>
          </cell>
        </row>
        <row r="3711">
          <cell r="A3711" t="str">
            <v>SUKARI</v>
          </cell>
        </row>
        <row r="3712">
          <cell r="A3712" t="str">
            <v>SULAPHAT</v>
          </cell>
        </row>
        <row r="3713">
          <cell r="A3713" t="str">
            <v>SULFUR</v>
          </cell>
        </row>
        <row r="3714">
          <cell r="A3714" t="str">
            <v>SULTANI</v>
          </cell>
        </row>
        <row r="3715">
          <cell r="A3715" t="str">
            <v>SUMAC</v>
          </cell>
        </row>
        <row r="3716">
          <cell r="A3716" t="str">
            <v>SUN</v>
          </cell>
        </row>
        <row r="3717">
          <cell r="A3717" t="str">
            <v>SUNFLOWER</v>
          </cell>
        </row>
        <row r="3718">
          <cell r="A3718" t="str">
            <v>SUNFLOWER-A</v>
          </cell>
        </row>
        <row r="3719">
          <cell r="A3719" t="str">
            <v>SUNFLOWER-B</v>
          </cell>
        </row>
        <row r="3720">
          <cell r="A3720" t="str">
            <v>SUNFLOWER-C</v>
          </cell>
        </row>
        <row r="3721">
          <cell r="A3721" t="str">
            <v>Sunny</v>
          </cell>
        </row>
        <row r="3722">
          <cell r="A3722" t="str">
            <v>Sunshine</v>
          </cell>
        </row>
        <row r="3723">
          <cell r="A3723" t="str">
            <v>SURESH</v>
          </cell>
        </row>
        <row r="3724">
          <cell r="A3724" t="str">
            <v>SUSANNA</v>
          </cell>
        </row>
        <row r="3725">
          <cell r="A3725" t="str">
            <v>SUZETTE</v>
          </cell>
        </row>
        <row r="3726">
          <cell r="A3726" t="str">
            <v>SWAN</v>
          </cell>
        </row>
        <row r="3727">
          <cell r="A3727" t="str">
            <v>SWANHILD</v>
          </cell>
        </row>
        <row r="3728">
          <cell r="A3728" t="str">
            <v>Sweet Annie</v>
          </cell>
        </row>
        <row r="3729">
          <cell r="A3729" t="str">
            <v>SWEETBAY</v>
          </cell>
        </row>
        <row r="3730">
          <cell r="A3730" t="str">
            <v>SWEETBAY-A</v>
          </cell>
        </row>
        <row r="3731">
          <cell r="A3731" t="str">
            <v>SWEETBAY-B</v>
          </cell>
        </row>
        <row r="3732">
          <cell r="A3732" t="str">
            <v>SWEETBRIAR</v>
          </cell>
        </row>
        <row r="3733">
          <cell r="A3733" t="str">
            <v>SWEETGUM</v>
          </cell>
        </row>
        <row r="3734">
          <cell r="A3734" t="str">
            <v>SWEETGUM-A</v>
          </cell>
        </row>
        <row r="3735">
          <cell r="A3735" t="str">
            <v>SWEETLEAF</v>
          </cell>
        </row>
        <row r="3736">
          <cell r="A3736" t="str">
            <v>Sweetwood</v>
          </cell>
        </row>
        <row r="3737">
          <cell r="A3737" t="str">
            <v>SYCAMORE</v>
          </cell>
        </row>
        <row r="3738">
          <cell r="A3738" t="str">
            <v>SYCAMORE-A</v>
          </cell>
        </row>
        <row r="3739">
          <cell r="A3739" t="str">
            <v>SYCAMORE-B</v>
          </cell>
        </row>
        <row r="3740">
          <cell r="A3740" t="str">
            <v>SYNTICHE</v>
          </cell>
        </row>
        <row r="3741">
          <cell r="A3741" t="str">
            <v>SYNTICHE-A</v>
          </cell>
        </row>
        <row r="3742">
          <cell r="A3742" t="str">
            <v>TABIA</v>
          </cell>
        </row>
        <row r="3743">
          <cell r="A3743" t="str">
            <v>TABIA-A</v>
          </cell>
        </row>
        <row r="3744">
          <cell r="A3744" t="str">
            <v>TABIA-B</v>
          </cell>
        </row>
        <row r="3745">
          <cell r="A3745" t="str">
            <v>TABITA</v>
          </cell>
        </row>
        <row r="3746">
          <cell r="A3746" t="str">
            <v>TABITA-A</v>
          </cell>
        </row>
        <row r="3747">
          <cell r="A3747" t="str">
            <v>TABITA-B</v>
          </cell>
        </row>
        <row r="3748">
          <cell r="A3748" t="str">
            <v>TABITA-C</v>
          </cell>
        </row>
        <row r="3749">
          <cell r="A3749" t="str">
            <v>TABITA-D</v>
          </cell>
        </row>
        <row r="3750">
          <cell r="A3750" t="str">
            <v>TABITA-E</v>
          </cell>
        </row>
        <row r="3751">
          <cell r="A3751" t="str">
            <v>TABITA-F</v>
          </cell>
        </row>
        <row r="3752">
          <cell r="A3752" t="str">
            <v>Tabita-G</v>
          </cell>
        </row>
        <row r="3753">
          <cell r="A3753" t="str">
            <v>TABU-A</v>
          </cell>
        </row>
        <row r="3754">
          <cell r="A3754" t="str">
            <v>TABU-C</v>
          </cell>
        </row>
        <row r="3755">
          <cell r="A3755" t="str">
            <v>TABU-D</v>
          </cell>
        </row>
        <row r="3756">
          <cell r="A3756" t="str">
            <v>Tahpenes</v>
          </cell>
        </row>
        <row r="3757">
          <cell r="A3757" t="str">
            <v>TAKATAKA-A</v>
          </cell>
        </row>
        <row r="3758">
          <cell r="A3758" t="str">
            <v>TAKOKA</v>
          </cell>
        </row>
        <row r="3759">
          <cell r="A3759" t="str">
            <v>TALLENSI</v>
          </cell>
        </row>
        <row r="3760">
          <cell r="A3760" t="str">
            <v>TALLENSI-A</v>
          </cell>
        </row>
        <row r="3761">
          <cell r="A3761" t="str">
            <v>TALLENSI-B</v>
          </cell>
        </row>
        <row r="3762">
          <cell r="A3762" t="str">
            <v>TALLENSI-C</v>
          </cell>
        </row>
        <row r="3763">
          <cell r="A3763" t="str">
            <v>TALLENSI-D</v>
          </cell>
        </row>
        <row r="3764">
          <cell r="A3764" t="str">
            <v>TALLOW</v>
          </cell>
        </row>
        <row r="3765">
          <cell r="A3765" t="str">
            <v>Talos</v>
          </cell>
        </row>
        <row r="3766">
          <cell r="A3766" t="str">
            <v>TAMAR</v>
          </cell>
        </row>
        <row r="3767">
          <cell r="A3767" t="str">
            <v>TAMARACK</v>
          </cell>
        </row>
        <row r="3768">
          <cell r="A3768" t="str">
            <v>TAMARISK</v>
          </cell>
        </row>
        <row r="3769">
          <cell r="A3769" t="str">
            <v>TANA-A</v>
          </cell>
        </row>
        <row r="3770">
          <cell r="A3770" t="str">
            <v>TANA-B</v>
          </cell>
        </row>
        <row r="3771">
          <cell r="A3771" t="str">
            <v>TANA-C</v>
          </cell>
        </row>
        <row r="3772">
          <cell r="A3772" t="str">
            <v>Tanager</v>
          </cell>
        </row>
        <row r="3773">
          <cell r="A3773" t="str">
            <v>TANGO</v>
          </cell>
        </row>
        <row r="3774">
          <cell r="A3774" t="str">
            <v>TANO</v>
          </cell>
        </row>
        <row r="3775">
          <cell r="A3775" t="str">
            <v>TANOAK</v>
          </cell>
        </row>
        <row r="3776">
          <cell r="A3776" t="str">
            <v>TANSY</v>
          </cell>
        </row>
        <row r="3777">
          <cell r="A3777" t="str">
            <v>TANTALA</v>
          </cell>
        </row>
        <row r="3778">
          <cell r="A3778" t="str">
            <v>TANTALY</v>
          </cell>
        </row>
        <row r="3779">
          <cell r="A3779" t="str">
            <v>Tany</v>
          </cell>
        </row>
        <row r="3780">
          <cell r="A3780" t="str">
            <v>TAPATH</v>
          </cell>
        </row>
        <row r="3781">
          <cell r="A3781" t="str">
            <v>Tarantino</v>
          </cell>
        </row>
        <row r="3782">
          <cell r="A3782" t="str">
            <v>TARRAGON</v>
          </cell>
        </row>
        <row r="3783">
          <cell r="A3783" t="str">
            <v>TARTIUS</v>
          </cell>
        </row>
        <row r="3784">
          <cell r="A3784" t="str">
            <v>TASADAY</v>
          </cell>
        </row>
        <row r="3785">
          <cell r="A3785" t="str">
            <v>Tasherit</v>
          </cell>
        </row>
        <row r="3786">
          <cell r="A3786" t="str">
            <v>TASSE</v>
          </cell>
        </row>
        <row r="3787">
          <cell r="A3787" t="str">
            <v>TATORO</v>
          </cell>
        </row>
        <row r="3788">
          <cell r="A3788" t="str">
            <v>Tattertot</v>
          </cell>
        </row>
        <row r="3789">
          <cell r="A3789" t="str">
            <v>TATU</v>
          </cell>
        </row>
        <row r="3790">
          <cell r="A3790" t="str">
            <v>TATU-A</v>
          </cell>
        </row>
        <row r="3791">
          <cell r="A3791" t="str">
            <v>TATU-B</v>
          </cell>
        </row>
        <row r="3792">
          <cell r="A3792" t="str">
            <v>TAURUS</v>
          </cell>
        </row>
        <row r="3793">
          <cell r="A3793" t="str">
            <v>TAWNY</v>
          </cell>
        </row>
        <row r="3794">
          <cell r="A3794" t="str">
            <v>TAYGETA</v>
          </cell>
        </row>
        <row r="3795">
          <cell r="A3795" t="str">
            <v>TEABERRY</v>
          </cell>
        </row>
        <row r="3796">
          <cell r="A3796" t="str">
            <v>Teazel</v>
          </cell>
        </row>
        <row r="3797">
          <cell r="A3797" t="str">
            <v>Teazel-A</v>
          </cell>
        </row>
        <row r="3798">
          <cell r="A3798" t="str">
            <v>TEDDY</v>
          </cell>
        </row>
        <row r="3799">
          <cell r="A3799" t="str">
            <v>TEFNUT</v>
          </cell>
        </row>
        <row r="3800">
          <cell r="A3800" t="str">
            <v>TEIRES</v>
          </cell>
        </row>
        <row r="3801">
          <cell r="A3801" t="str">
            <v>TEJINDER</v>
          </cell>
        </row>
        <row r="3802">
          <cell r="A3802" t="str">
            <v>Tellus</v>
          </cell>
        </row>
        <row r="3803">
          <cell r="A3803" t="str">
            <v>TEMBO</v>
          </cell>
        </row>
        <row r="3804">
          <cell r="A3804" t="str">
            <v>TEMBO-A</v>
          </cell>
        </row>
        <row r="3805">
          <cell r="A3805" t="str">
            <v>TEMBO-B</v>
          </cell>
        </row>
        <row r="3806">
          <cell r="A3806" t="str">
            <v>TEMBO-C</v>
          </cell>
        </row>
        <row r="3807">
          <cell r="A3807" t="str">
            <v>TEMBO-D</v>
          </cell>
        </row>
        <row r="3808">
          <cell r="A3808" t="str">
            <v>TENTINA</v>
          </cell>
        </row>
        <row r="3809">
          <cell r="A3809" t="str">
            <v>Terence</v>
          </cell>
        </row>
        <row r="3810">
          <cell r="A3810" t="str">
            <v>Teres</v>
          </cell>
        </row>
        <row r="3811">
          <cell r="A3811" t="str">
            <v>TERN</v>
          </cell>
        </row>
        <row r="3812">
          <cell r="A3812" t="str">
            <v>TERRA</v>
          </cell>
        </row>
        <row r="3813">
          <cell r="A3813" t="str">
            <v>TERRACOTTA</v>
          </cell>
        </row>
        <row r="3814">
          <cell r="A3814" t="str">
            <v>TERTULLA</v>
          </cell>
        </row>
        <row r="3815">
          <cell r="A3815" t="str">
            <v>TERTULLA-A</v>
          </cell>
        </row>
        <row r="3816">
          <cell r="A3816" t="str">
            <v>TETHYS</v>
          </cell>
        </row>
        <row r="3817">
          <cell r="A3817" t="str">
            <v>TETSO</v>
          </cell>
        </row>
        <row r="3818">
          <cell r="A3818" t="str">
            <v>Teucer</v>
          </cell>
        </row>
        <row r="3819">
          <cell r="A3819" t="str">
            <v>Texas Pete</v>
          </cell>
        </row>
        <row r="3820">
          <cell r="A3820" t="str">
            <v>THADDEUS</v>
          </cell>
        </row>
        <row r="3821">
          <cell r="A3821" t="str">
            <v>THALES</v>
          </cell>
        </row>
        <row r="3822">
          <cell r="A3822" t="str">
            <v>THALIA</v>
          </cell>
        </row>
        <row r="3823">
          <cell r="A3823" t="str">
            <v>THALIA-A</v>
          </cell>
        </row>
        <row r="3824">
          <cell r="A3824" t="str">
            <v>THALIA-B</v>
          </cell>
        </row>
        <row r="3825">
          <cell r="A3825" t="str">
            <v>THALIA-C</v>
          </cell>
        </row>
        <row r="3826">
          <cell r="A3826" t="str">
            <v>THALIA-D</v>
          </cell>
        </row>
        <row r="3827">
          <cell r="A3827" t="str">
            <v>THALIA-E</v>
          </cell>
        </row>
        <row r="3828">
          <cell r="A3828" t="str">
            <v>THATCHPALM</v>
          </cell>
        </row>
        <row r="3829">
          <cell r="A3829" t="str">
            <v>Thea (Lcat)</v>
          </cell>
        </row>
        <row r="3830">
          <cell r="A3830" t="str">
            <v>THEA (Var)</v>
          </cell>
        </row>
        <row r="3831">
          <cell r="A3831" t="str">
            <v>THEANO</v>
          </cell>
        </row>
        <row r="3832">
          <cell r="A3832" t="str">
            <v>THEBES</v>
          </cell>
        </row>
        <row r="3833">
          <cell r="A3833" t="str">
            <v>THEMIS</v>
          </cell>
        </row>
        <row r="3834">
          <cell r="A3834" t="str">
            <v>THEODORA</v>
          </cell>
        </row>
        <row r="3835">
          <cell r="A3835" t="str">
            <v>THEODORA-A</v>
          </cell>
        </row>
        <row r="3836">
          <cell r="A3836" t="str">
            <v>Theodosius</v>
          </cell>
        </row>
        <row r="3837">
          <cell r="A3837" t="str">
            <v>THERA</v>
          </cell>
        </row>
        <row r="3838">
          <cell r="A3838" t="str">
            <v>THESEUS</v>
          </cell>
        </row>
        <row r="3839">
          <cell r="A3839" t="str">
            <v>THESEUS-A</v>
          </cell>
        </row>
        <row r="3840">
          <cell r="A3840" t="str">
            <v>THESSALUS</v>
          </cell>
        </row>
        <row r="3841">
          <cell r="A3841" t="str">
            <v>THETA</v>
          </cell>
        </row>
        <row r="3842">
          <cell r="A3842" t="str">
            <v>THIERRY</v>
          </cell>
        </row>
        <row r="3843">
          <cell r="A3843" t="str">
            <v>THISBY</v>
          </cell>
        </row>
        <row r="3844">
          <cell r="A3844" t="str">
            <v>Thistle</v>
          </cell>
        </row>
        <row r="3845">
          <cell r="A3845" t="str">
            <v>THOMAS</v>
          </cell>
        </row>
        <row r="3846">
          <cell r="A3846" t="str">
            <v>THOMASINA</v>
          </cell>
        </row>
        <row r="3847">
          <cell r="A3847" t="str">
            <v>THOR</v>
          </cell>
        </row>
        <row r="3848">
          <cell r="A3848" t="str">
            <v>THOR II</v>
          </cell>
        </row>
        <row r="3849">
          <cell r="A3849" t="str">
            <v>THORIUM</v>
          </cell>
        </row>
        <row r="3850">
          <cell r="A3850" t="str">
            <v>Thrasher</v>
          </cell>
        </row>
        <row r="3851">
          <cell r="A3851" t="str">
            <v>THRASON</v>
          </cell>
        </row>
        <row r="3852">
          <cell r="A3852" t="str">
            <v>Thrax</v>
          </cell>
        </row>
        <row r="3853">
          <cell r="A3853" t="str">
            <v>THUBAN</v>
          </cell>
        </row>
        <row r="3854">
          <cell r="A3854" t="str">
            <v>THUMBELINA</v>
          </cell>
        </row>
        <row r="3855">
          <cell r="A3855" t="str">
            <v>THUNDERWOOD</v>
          </cell>
        </row>
        <row r="3856">
          <cell r="A3856" t="str">
            <v>THURBER</v>
          </cell>
        </row>
        <row r="3857">
          <cell r="A3857" t="str">
            <v>THURMAN</v>
          </cell>
        </row>
        <row r="3858">
          <cell r="A3858" t="str">
            <v>THUYA</v>
          </cell>
        </row>
        <row r="3859">
          <cell r="A3859" t="str">
            <v>THYREA</v>
          </cell>
        </row>
        <row r="3860">
          <cell r="A3860" t="str">
            <v>TIA</v>
          </cell>
        </row>
        <row r="3861">
          <cell r="A3861" t="str">
            <v>TIA-A</v>
          </cell>
        </row>
        <row r="3862">
          <cell r="A3862" t="str">
            <v>TIANA</v>
          </cell>
        </row>
        <row r="3863">
          <cell r="A3863" t="str">
            <v>Tiberius</v>
          </cell>
        </row>
        <row r="3864">
          <cell r="A3864" t="str">
            <v>TIBOLI</v>
          </cell>
        </row>
        <row r="3865">
          <cell r="A3865" t="str">
            <v>TICK</v>
          </cell>
        </row>
        <row r="3866">
          <cell r="A3866" t="str">
            <v>Tiger Lily</v>
          </cell>
        </row>
        <row r="3867">
          <cell r="A3867" t="str">
            <v>TIGEREYE</v>
          </cell>
        </row>
        <row r="3868">
          <cell r="A3868" t="str">
            <v>TIGEREYE-A</v>
          </cell>
        </row>
        <row r="3869">
          <cell r="A3869" t="str">
            <v>TIGEREYE-B</v>
          </cell>
        </row>
        <row r="3870">
          <cell r="A3870" t="str">
            <v>TIGGER</v>
          </cell>
        </row>
        <row r="3871">
          <cell r="A3871" t="str">
            <v>TIGGER II</v>
          </cell>
        </row>
        <row r="3872">
          <cell r="A3872" t="str">
            <v>TIMNA</v>
          </cell>
        </row>
        <row r="3873">
          <cell r="A3873" t="str">
            <v>TIMON</v>
          </cell>
        </row>
        <row r="3874">
          <cell r="A3874" t="str">
            <v>TIMOTHY (CMED)</v>
          </cell>
        </row>
        <row r="3875">
          <cell r="A3875" t="str">
            <v>Timothy (MMUR)</v>
          </cell>
        </row>
        <row r="3876">
          <cell r="A3876" t="str">
            <v>TIN</v>
          </cell>
        </row>
        <row r="3877">
          <cell r="A3877" t="str">
            <v>TINA</v>
          </cell>
        </row>
        <row r="3878">
          <cell r="A3878" t="str">
            <v>TINA-A</v>
          </cell>
        </row>
        <row r="3879">
          <cell r="A3879" t="str">
            <v>TINA-B</v>
          </cell>
        </row>
        <row r="3880">
          <cell r="A3880" t="str">
            <v>TINTY</v>
          </cell>
        </row>
        <row r="3881">
          <cell r="A3881" t="str">
            <v>TIRZAH</v>
          </cell>
        </row>
        <row r="3882">
          <cell r="A3882" t="str">
            <v>TISA</v>
          </cell>
        </row>
        <row r="3883">
          <cell r="A3883" t="str">
            <v>TISINI</v>
          </cell>
        </row>
        <row r="3884">
          <cell r="A3884" t="str">
            <v>TISSWOOD</v>
          </cell>
        </row>
        <row r="3885">
          <cell r="A3885" t="str">
            <v>Titan</v>
          </cell>
        </row>
        <row r="3886">
          <cell r="A3886" t="str">
            <v>Titania</v>
          </cell>
        </row>
        <row r="3887">
          <cell r="A3887" t="str">
            <v>TITANIUM</v>
          </cell>
        </row>
        <row r="3888">
          <cell r="A3888" t="str">
            <v>TITHONUS</v>
          </cell>
        </row>
        <row r="3889">
          <cell r="A3889" t="str">
            <v>Titus</v>
          </cell>
        </row>
        <row r="3890">
          <cell r="A3890" t="str">
            <v>Tobacco</v>
          </cell>
        </row>
        <row r="3891">
          <cell r="A3891" t="str">
            <v>Toby</v>
          </cell>
        </row>
        <row r="3892">
          <cell r="A3892" t="str">
            <v>Tolkein</v>
          </cell>
        </row>
        <row r="3893">
          <cell r="A3893" t="str">
            <v>TOMAS</v>
          </cell>
        </row>
        <row r="3894">
          <cell r="A3894" t="str">
            <v>TOMENA</v>
          </cell>
        </row>
        <row r="3895">
          <cell r="A3895" t="str">
            <v>TONTO</v>
          </cell>
        </row>
        <row r="3896">
          <cell r="A3896" t="str">
            <v>Tony</v>
          </cell>
        </row>
        <row r="3897">
          <cell r="A3897" t="str">
            <v>TOOTSIE</v>
          </cell>
        </row>
        <row r="3898">
          <cell r="A3898" t="str">
            <v>TOPAZ</v>
          </cell>
        </row>
        <row r="3899">
          <cell r="A3899" t="str">
            <v>TOROS</v>
          </cell>
        </row>
        <row r="3900">
          <cell r="A3900" t="str">
            <v>TORREYE</v>
          </cell>
        </row>
        <row r="3901">
          <cell r="A3901" t="str">
            <v>TOTO</v>
          </cell>
        </row>
        <row r="3902">
          <cell r="A3902" t="str">
            <v>Totoroka</v>
          </cell>
        </row>
        <row r="3903">
          <cell r="A3903" t="str">
            <v>Totoroka-A</v>
          </cell>
        </row>
        <row r="3904">
          <cell r="A3904" t="str">
            <v>Totoroka-B</v>
          </cell>
        </row>
        <row r="3905">
          <cell r="A3905" t="str">
            <v>Tottenham (HOTTENTOT)</v>
          </cell>
        </row>
        <row r="3906">
          <cell r="A3906" t="str">
            <v>TOURMALINE</v>
          </cell>
        </row>
        <row r="3907">
          <cell r="A3907" t="str">
            <v>Towhee</v>
          </cell>
        </row>
        <row r="3908">
          <cell r="A3908" t="str">
            <v>TRACY</v>
          </cell>
        </row>
        <row r="3909">
          <cell r="A3909" t="str">
            <v>TRAJAN</v>
          </cell>
        </row>
        <row r="3910">
          <cell r="A3910" t="str">
            <v>Travis</v>
          </cell>
        </row>
        <row r="3911">
          <cell r="A3911" t="str">
            <v>TRAVOLTA</v>
          </cell>
        </row>
        <row r="3912">
          <cell r="A3912" t="str">
            <v>TREFOIL</v>
          </cell>
        </row>
        <row r="3913">
          <cell r="A3913" t="str">
            <v>TREFOIL-A</v>
          </cell>
        </row>
        <row r="3914">
          <cell r="A3914" t="str">
            <v>TREGORITE</v>
          </cell>
        </row>
        <row r="3915">
          <cell r="A3915" t="str">
            <v>TREMA</v>
          </cell>
        </row>
        <row r="3916">
          <cell r="A3916" t="str">
            <v>TRETREKA</v>
          </cell>
        </row>
        <row r="3917">
          <cell r="A3917" t="str">
            <v>TRINI</v>
          </cell>
        </row>
        <row r="3918">
          <cell r="A3918" t="str">
            <v>TRIOLUS</v>
          </cell>
        </row>
        <row r="3919">
          <cell r="A3919" t="str">
            <v>TRITON</v>
          </cell>
        </row>
        <row r="3920">
          <cell r="A3920" t="str">
            <v>TROMDENUS</v>
          </cell>
        </row>
        <row r="3921">
          <cell r="A3921" t="str">
            <v>TRONA</v>
          </cell>
        </row>
        <row r="3922">
          <cell r="A3922" t="str">
            <v>TROPHIMUS</v>
          </cell>
        </row>
        <row r="3923">
          <cell r="A3923" t="str">
            <v>TROS</v>
          </cell>
        </row>
        <row r="3924">
          <cell r="A3924" t="str">
            <v>TRYPHENA</v>
          </cell>
        </row>
        <row r="3925">
          <cell r="A3925" t="str">
            <v>TRYPHOSA</v>
          </cell>
        </row>
        <row r="3926">
          <cell r="A3926" t="str">
            <v>TRYPHOSA-A</v>
          </cell>
        </row>
        <row r="3927">
          <cell r="A3927" t="str">
            <v>Tsara</v>
          </cell>
        </row>
        <row r="3928">
          <cell r="A3928" t="str">
            <v>Tsard</v>
          </cell>
        </row>
        <row r="3929">
          <cell r="A3929" t="str">
            <v>TSAVO</v>
          </cell>
        </row>
        <row r="3930">
          <cell r="A3930" t="str">
            <v>TUCANA</v>
          </cell>
        </row>
        <row r="3931">
          <cell r="A3931" t="str">
            <v>TUFF</v>
          </cell>
        </row>
        <row r="3932">
          <cell r="A3932" t="str">
            <v>Tugger</v>
          </cell>
        </row>
        <row r="3933">
          <cell r="A3933" t="str">
            <v>TULIP</v>
          </cell>
        </row>
        <row r="3934">
          <cell r="A3934" t="str">
            <v>TULIPTREE</v>
          </cell>
        </row>
        <row r="3935">
          <cell r="A3935" t="str">
            <v>TULIPTREE-A</v>
          </cell>
        </row>
        <row r="3936">
          <cell r="A3936" t="str">
            <v>TULLIA</v>
          </cell>
        </row>
        <row r="3937">
          <cell r="A3937" t="str">
            <v>TUNGSTEN</v>
          </cell>
        </row>
        <row r="3938">
          <cell r="A3938" t="str">
            <v>TUPELO</v>
          </cell>
        </row>
        <row r="3939">
          <cell r="A3939" t="str">
            <v>TUPELO-A</v>
          </cell>
        </row>
        <row r="3940">
          <cell r="A3940" t="str">
            <v>TURNER</v>
          </cell>
        </row>
        <row r="3941">
          <cell r="A3941" t="str">
            <v>TURQUOISE</v>
          </cell>
        </row>
        <row r="3942">
          <cell r="A3942" t="str">
            <v>Turtlebloom</v>
          </cell>
        </row>
        <row r="3943">
          <cell r="A3943" t="str">
            <v>TUTANKHAMUN</v>
          </cell>
        </row>
        <row r="3944">
          <cell r="A3944" t="str">
            <v>TWIGA</v>
          </cell>
        </row>
        <row r="3945">
          <cell r="A3945" t="str">
            <v>TWIGA-A</v>
          </cell>
        </row>
        <row r="3946">
          <cell r="A3946" t="str">
            <v>TWIGA-B</v>
          </cell>
        </row>
        <row r="3947">
          <cell r="A3947" t="str">
            <v>TWIGA-C</v>
          </cell>
        </row>
        <row r="3948">
          <cell r="A3948" t="str">
            <v>TYCHICUS</v>
          </cell>
        </row>
        <row r="3949">
          <cell r="A3949" t="str">
            <v>TYME</v>
          </cell>
        </row>
        <row r="3950">
          <cell r="A3950" t="str">
            <v>TYPHON</v>
          </cell>
        </row>
        <row r="3951">
          <cell r="A3951" t="str">
            <v>TYR</v>
          </cell>
        </row>
        <row r="3952">
          <cell r="A3952" t="str">
            <v>TYRIAN</v>
          </cell>
        </row>
        <row r="3953">
          <cell r="A3953" t="str">
            <v>TYRO</v>
          </cell>
        </row>
        <row r="3954">
          <cell r="A3954" t="str">
            <v>Tzatziki</v>
          </cell>
        </row>
        <row r="3955">
          <cell r="A3955" t="str">
            <v>UCUMARI</v>
          </cell>
        </row>
        <row r="3956">
          <cell r="A3956" t="str">
            <v>ULL</v>
          </cell>
        </row>
        <row r="3957">
          <cell r="A3957" t="str">
            <v>ULYSSES</v>
          </cell>
        </row>
        <row r="3958">
          <cell r="A3958" t="str">
            <v>UMA</v>
          </cell>
        </row>
        <row r="3959">
          <cell r="A3959" t="str">
            <v>UMBER</v>
          </cell>
        </row>
        <row r="3960">
          <cell r="A3960" t="str">
            <v>UMBRIEL</v>
          </cell>
        </row>
        <row r="3961">
          <cell r="A3961" t="str">
            <v>UNICORN</v>
          </cell>
        </row>
        <row r="3962">
          <cell r="A3962" t="str">
            <v>unk adult GMOH 1</v>
          </cell>
        </row>
        <row r="3963">
          <cell r="A3963" t="str">
            <v>unk adult OGG 1</v>
          </cell>
        </row>
        <row r="3964">
          <cell r="A3964" t="str">
            <v>unk adult OGG 2</v>
          </cell>
        </row>
        <row r="3965">
          <cell r="A3965" t="str">
            <v>unk adult PPOT 1</v>
          </cell>
        </row>
        <row r="3966">
          <cell r="A3966" t="str">
            <v>unk adult? GMOH 2</v>
          </cell>
        </row>
        <row r="3967">
          <cell r="A3967" t="str">
            <v>unk Brown Lemur</v>
          </cell>
        </row>
        <row r="3968">
          <cell r="A3968" t="str">
            <v>unk infant OMA 1</v>
          </cell>
        </row>
        <row r="3969">
          <cell r="A3969" t="str">
            <v>unk juvenile LCAT</v>
          </cell>
        </row>
        <row r="3970">
          <cell r="A3970" t="str">
            <v>unk juvenile PPOT 2</v>
          </cell>
        </row>
        <row r="3971">
          <cell r="A3971" t="str">
            <v>unknown "73" adult VRUB</v>
          </cell>
        </row>
        <row r="3972">
          <cell r="A3972" t="str">
            <v>unknown "75"</v>
          </cell>
        </row>
        <row r="3973">
          <cell r="A3973" t="str">
            <v>unknown CMAJ 1</v>
          </cell>
        </row>
        <row r="3974">
          <cell r="A3974" t="str">
            <v>unknown CMED 1</v>
          </cell>
        </row>
        <row r="3975">
          <cell r="A3975" t="str">
            <v>unknown CMED 2</v>
          </cell>
        </row>
        <row r="3976">
          <cell r="A3976" t="str">
            <v>unknown fecal 1</v>
          </cell>
        </row>
        <row r="3977">
          <cell r="A3977" t="str">
            <v>unknown HGG 1</v>
          </cell>
        </row>
        <row r="3978">
          <cell r="A3978" t="str">
            <v>unknown infant PCOQ 2</v>
          </cell>
        </row>
        <row r="3979">
          <cell r="A3979" t="str">
            <v>unknown MMUR 1</v>
          </cell>
        </row>
        <row r="3980">
          <cell r="A3980" t="str">
            <v>unknown MMUR 2</v>
          </cell>
        </row>
        <row r="3981">
          <cell r="A3981" t="str">
            <v>unknown PCOQ 1</v>
          </cell>
        </row>
        <row r="3982">
          <cell r="A3982" t="str">
            <v>unknown Prop Sp</v>
          </cell>
        </row>
        <row r="3983">
          <cell r="A3983" t="str">
            <v>unknown Sang.Mid</v>
          </cell>
        </row>
        <row r="3984">
          <cell r="A3984" t="str">
            <v>unknown TAR 1</v>
          </cell>
        </row>
        <row r="3985">
          <cell r="A3985" t="str">
            <v>unknown TAR 2</v>
          </cell>
        </row>
        <row r="3986">
          <cell r="A3986" t="str">
            <v>unknown VRUB</v>
          </cell>
        </row>
        <row r="3987">
          <cell r="A3987" t="str">
            <v>unknown"105", "0232"</v>
          </cell>
        </row>
        <row r="3988">
          <cell r="A3988" t="str">
            <v>UNNAMED</v>
          </cell>
        </row>
        <row r="3989">
          <cell r="A3989" t="str">
            <v>URANIA</v>
          </cell>
        </row>
        <row r="3990">
          <cell r="A3990" t="str">
            <v>URANUS</v>
          </cell>
        </row>
        <row r="3991">
          <cell r="A3991" t="str">
            <v>URBANA</v>
          </cell>
        </row>
        <row r="3992">
          <cell r="A3992" t="str">
            <v>URD</v>
          </cell>
        </row>
        <row r="3993">
          <cell r="A3993" t="str">
            <v>URIAH</v>
          </cell>
        </row>
        <row r="3994">
          <cell r="A3994" t="str">
            <v>URSA MINOR</v>
          </cell>
        </row>
        <row r="3995">
          <cell r="A3995" t="str">
            <v>URSULA</v>
          </cell>
        </row>
        <row r="3996">
          <cell r="A3996" t="str">
            <v>URSUS</v>
          </cell>
        </row>
        <row r="3997">
          <cell r="A3997" t="str">
            <v>USHAS</v>
          </cell>
        </row>
        <row r="3998">
          <cell r="A3998" t="str">
            <v>USHER (MARVIN)</v>
          </cell>
        </row>
        <row r="3999">
          <cell r="A3999" t="str">
            <v>USIKU</v>
          </cell>
        </row>
        <row r="4000">
          <cell r="A4000" t="str">
            <v>USIKU-A</v>
          </cell>
        </row>
        <row r="4001">
          <cell r="A4001" t="str">
            <v>USIKU-B</v>
          </cell>
        </row>
        <row r="4002">
          <cell r="A4002" t="str">
            <v>Valens</v>
          </cell>
        </row>
        <row r="4003">
          <cell r="A4003" t="str">
            <v>VALENTINIAN</v>
          </cell>
        </row>
        <row r="4004">
          <cell r="A4004" t="str">
            <v>Valeria</v>
          </cell>
        </row>
        <row r="4005">
          <cell r="A4005" t="str">
            <v>Valeria-A</v>
          </cell>
        </row>
        <row r="4006">
          <cell r="A4006" t="str">
            <v>VALGIUS</v>
          </cell>
        </row>
        <row r="4007">
          <cell r="A4007" t="str">
            <v>VALI</v>
          </cell>
        </row>
        <row r="4008">
          <cell r="A4008" t="str">
            <v>VALM</v>
          </cell>
        </row>
        <row r="4009">
          <cell r="A4009" t="str">
            <v>VANGA</v>
          </cell>
        </row>
        <row r="4010">
          <cell r="A4010" t="str">
            <v>VANILLA</v>
          </cell>
        </row>
        <row r="4011">
          <cell r="A4011" t="str">
            <v>VANILLA-A</v>
          </cell>
        </row>
        <row r="4012">
          <cell r="A4012" t="str">
            <v>VANILLA-B</v>
          </cell>
        </row>
        <row r="4013">
          <cell r="A4013" t="str">
            <v>VARUNA</v>
          </cell>
        </row>
        <row r="4014">
          <cell r="A4014" t="str">
            <v>VASHTI</v>
          </cell>
        </row>
        <row r="4015">
          <cell r="A4015" t="str">
            <v>VASU</v>
          </cell>
        </row>
        <row r="4016">
          <cell r="A4016" t="str">
            <v>VAZA</v>
          </cell>
        </row>
        <row r="4017">
          <cell r="A4017" t="str">
            <v>VEENA</v>
          </cell>
        </row>
        <row r="4018">
          <cell r="A4018" t="str">
            <v>VEGA</v>
          </cell>
        </row>
        <row r="4019">
          <cell r="A4019" t="str">
            <v>VEGA-A</v>
          </cell>
        </row>
        <row r="4020">
          <cell r="A4020" t="str">
            <v>VELA</v>
          </cell>
        </row>
        <row r="4021">
          <cell r="A4021" t="str">
            <v>VELA-A</v>
          </cell>
        </row>
        <row r="4022">
          <cell r="A4022" t="str">
            <v>VELEVETSEED</v>
          </cell>
        </row>
        <row r="4023">
          <cell r="A4023" t="str">
            <v>VELO</v>
          </cell>
        </row>
        <row r="4024">
          <cell r="A4024" t="str">
            <v>Velona</v>
          </cell>
        </row>
        <row r="4025">
          <cell r="A4025" t="str">
            <v>Velona-A</v>
          </cell>
        </row>
        <row r="4026">
          <cell r="A4026" t="str">
            <v>VELVETSEED-A</v>
          </cell>
        </row>
        <row r="4027">
          <cell r="A4027" t="str">
            <v>VENERIUS</v>
          </cell>
        </row>
        <row r="4028">
          <cell r="A4028" t="str">
            <v>VENTRI</v>
          </cell>
        </row>
        <row r="4029">
          <cell r="A4029" t="str">
            <v>VENUS</v>
          </cell>
        </row>
        <row r="4030">
          <cell r="A4030" t="str">
            <v>VENUS II</v>
          </cell>
        </row>
        <row r="4031">
          <cell r="A4031" t="str">
            <v>VENUS II-A</v>
          </cell>
        </row>
        <row r="4032">
          <cell r="A4032" t="str">
            <v>VENUS-A</v>
          </cell>
        </row>
        <row r="4033">
          <cell r="A4033" t="str">
            <v>VENUS-B</v>
          </cell>
        </row>
        <row r="4034">
          <cell r="A4034" t="str">
            <v>VENUTIA</v>
          </cell>
        </row>
        <row r="4035">
          <cell r="A4035" t="str">
            <v>VERBENA</v>
          </cell>
        </row>
        <row r="4036">
          <cell r="A4036" t="str">
            <v>VERMILLION</v>
          </cell>
        </row>
        <row r="4037">
          <cell r="A4037" t="str">
            <v>VESPASIAN</v>
          </cell>
        </row>
        <row r="4038">
          <cell r="A4038" t="str">
            <v>VESTA</v>
          </cell>
        </row>
        <row r="4039">
          <cell r="A4039" t="str">
            <v>VIJAY</v>
          </cell>
        </row>
        <row r="4040">
          <cell r="A4040" t="str">
            <v>VIKRANT</v>
          </cell>
        </row>
        <row r="4041">
          <cell r="A4041" t="str">
            <v>VIKYVIKY</v>
          </cell>
        </row>
        <row r="4042">
          <cell r="A4042" t="str">
            <v>Vinny</v>
          </cell>
        </row>
        <row r="4043">
          <cell r="A4043" t="str">
            <v>Vintana</v>
          </cell>
        </row>
        <row r="4044">
          <cell r="A4044" t="str">
            <v>VINTSY</v>
          </cell>
        </row>
        <row r="4045">
          <cell r="A4045" t="str">
            <v>VIOLA</v>
          </cell>
        </row>
        <row r="4046">
          <cell r="A4046" t="str">
            <v>VIOLET</v>
          </cell>
        </row>
        <row r="4047">
          <cell r="A4047" t="str">
            <v>VIOLET-A</v>
          </cell>
        </row>
        <row r="4048">
          <cell r="A4048" t="str">
            <v>VIOLET-B</v>
          </cell>
        </row>
        <row r="4049">
          <cell r="A4049" t="str">
            <v>VIRBURNAM</v>
          </cell>
        </row>
        <row r="4050">
          <cell r="A4050" t="str">
            <v>Vireo</v>
          </cell>
        </row>
        <row r="4051">
          <cell r="A4051" t="str">
            <v>Vireo-A</v>
          </cell>
        </row>
        <row r="4052">
          <cell r="A4052" t="str">
            <v>Vireo-B</v>
          </cell>
        </row>
        <row r="4053">
          <cell r="A4053" t="str">
            <v>VIRGIL</v>
          </cell>
        </row>
        <row r="4054">
          <cell r="A4054" t="str">
            <v>Virginia Creeper</v>
          </cell>
        </row>
        <row r="4055">
          <cell r="A4055" t="str">
            <v>VIRGO</v>
          </cell>
        </row>
        <row r="4056">
          <cell r="A4056" t="str">
            <v>VIRGO-A</v>
          </cell>
        </row>
        <row r="4057">
          <cell r="A4057" t="str">
            <v>VIRGO-B</v>
          </cell>
        </row>
        <row r="4058">
          <cell r="A4058" t="str">
            <v>VIRGO-C</v>
          </cell>
        </row>
        <row r="4059">
          <cell r="A4059" t="str">
            <v>VISAYA</v>
          </cell>
        </row>
        <row r="4060">
          <cell r="A4060" t="str">
            <v>VISAYA-A</v>
          </cell>
        </row>
        <row r="4061">
          <cell r="A4061" t="str">
            <v>VISAYA-B</v>
          </cell>
        </row>
        <row r="4062">
          <cell r="A4062" t="str">
            <v>Vishan?</v>
          </cell>
        </row>
        <row r="4063">
          <cell r="A4063" t="str">
            <v>VISHNU</v>
          </cell>
        </row>
        <row r="4064">
          <cell r="A4064" t="str">
            <v>Vivian</v>
          </cell>
        </row>
        <row r="4065">
          <cell r="A4065" t="str">
            <v>VIVY</v>
          </cell>
        </row>
        <row r="4066">
          <cell r="A4066" t="str">
            <v>Volamena</v>
          </cell>
        </row>
        <row r="4067">
          <cell r="A4067" t="str">
            <v>VOLANS</v>
          </cell>
        </row>
        <row r="4068">
          <cell r="A4068" t="str">
            <v>VOLOLONA</v>
          </cell>
        </row>
        <row r="4069">
          <cell r="A4069" t="str">
            <v>Vorona</v>
          </cell>
        </row>
        <row r="4070">
          <cell r="A4070" t="str">
            <v>Vorwerk Chicken</v>
          </cell>
        </row>
        <row r="4071">
          <cell r="A4071" t="str">
            <v>VULCAN</v>
          </cell>
        </row>
        <row r="4072">
          <cell r="A4072" t="str">
            <v>VULPECULA</v>
          </cell>
        </row>
        <row r="4073">
          <cell r="A4073" t="str">
            <v>WAHOO</v>
          </cell>
        </row>
        <row r="4074">
          <cell r="A4074" t="str">
            <v>WAIT-A-BIT</v>
          </cell>
        </row>
        <row r="4075">
          <cell r="A4075" t="str">
            <v>WALKINGSTICK</v>
          </cell>
        </row>
        <row r="4076">
          <cell r="A4076" t="str">
            <v>WALNUT</v>
          </cell>
        </row>
        <row r="4077">
          <cell r="A4077" t="str">
            <v>WALT</v>
          </cell>
        </row>
        <row r="4078">
          <cell r="A4078" t="str">
            <v>Wandering Willie</v>
          </cell>
        </row>
        <row r="4079">
          <cell r="A4079" t="str">
            <v>Warble</v>
          </cell>
        </row>
        <row r="4080">
          <cell r="A4080" t="str">
            <v>Warlock</v>
          </cell>
        </row>
        <row r="4081">
          <cell r="A4081" t="str">
            <v>Wasabi</v>
          </cell>
        </row>
        <row r="4082">
          <cell r="A4082" t="str">
            <v>WATERCRESS</v>
          </cell>
        </row>
        <row r="4083">
          <cell r="A4083" t="str">
            <v>WATERLOCUST</v>
          </cell>
        </row>
        <row r="4084">
          <cell r="A4084" t="str">
            <v>WATEROAK</v>
          </cell>
        </row>
        <row r="4085">
          <cell r="A4085" t="str">
            <v>WATOTO</v>
          </cell>
        </row>
        <row r="4086">
          <cell r="A4086" t="str">
            <v>WAXWING</v>
          </cell>
        </row>
        <row r="4087">
          <cell r="A4087" t="str">
            <v>WC PDIA Nx Samples</v>
          </cell>
        </row>
        <row r="4088">
          <cell r="A4088" t="str">
            <v>WC PTAT Male</v>
          </cell>
        </row>
        <row r="4089">
          <cell r="A4089" t="str">
            <v>WEDNESDAY</v>
          </cell>
        </row>
        <row r="4090">
          <cell r="A4090" t="str">
            <v>Wenceslaus</v>
          </cell>
        </row>
        <row r="4091">
          <cell r="A4091" t="str">
            <v>Wenceslaus the Idle</v>
          </cell>
        </row>
        <row r="4092">
          <cell r="A4092" t="str">
            <v>WENDY</v>
          </cell>
        </row>
        <row r="4093">
          <cell r="A4093" t="str">
            <v>West</v>
          </cell>
        </row>
        <row r="4094">
          <cell r="A4094" t="str">
            <v>WHIPPORWILL</v>
          </cell>
        </row>
        <row r="4095">
          <cell r="A4095" t="str">
            <v>WHISTLEWOOD</v>
          </cell>
        </row>
        <row r="4096">
          <cell r="A4096" t="str">
            <v>WHITEOAK</v>
          </cell>
        </row>
        <row r="4097">
          <cell r="A4097" t="str">
            <v>WHITEPINE</v>
          </cell>
        </row>
        <row r="4098">
          <cell r="A4098" t="str">
            <v>WHITE-TAIL</v>
          </cell>
        </row>
        <row r="4099">
          <cell r="A4099" t="str">
            <v>WHITE-TAIL II</v>
          </cell>
        </row>
        <row r="4100">
          <cell r="A4100" t="str">
            <v>WHITE-TAIL-A</v>
          </cell>
        </row>
        <row r="4101">
          <cell r="A4101" t="str">
            <v>WHITE-TAIL-B</v>
          </cell>
        </row>
        <row r="4102">
          <cell r="A4102" t="str">
            <v>Wiig</v>
          </cell>
        </row>
        <row r="4103">
          <cell r="A4103" t="str">
            <v>Wiig-A</v>
          </cell>
        </row>
        <row r="4104">
          <cell r="A4104" t="str">
            <v>WIL</v>
          </cell>
        </row>
        <row r="4105">
          <cell r="A4105" t="str">
            <v>Wilbur</v>
          </cell>
        </row>
        <row r="4106">
          <cell r="A4106" t="str">
            <v>Wild Turkey</v>
          </cell>
        </row>
        <row r="4107">
          <cell r="A4107" t="str">
            <v>WILHELMINA</v>
          </cell>
        </row>
        <row r="4108">
          <cell r="A4108" t="str">
            <v>Wilhelmina-A</v>
          </cell>
        </row>
        <row r="4109">
          <cell r="A4109" t="str">
            <v>WILLEMITE</v>
          </cell>
        </row>
        <row r="4110">
          <cell r="A4110" t="str">
            <v>WILLET</v>
          </cell>
        </row>
        <row r="4111">
          <cell r="A4111" t="str">
            <v>Willie</v>
          </cell>
        </row>
        <row r="4112">
          <cell r="A4112" t="str">
            <v>Willow</v>
          </cell>
        </row>
        <row r="4113">
          <cell r="A4113" t="str">
            <v>WINETREE</v>
          </cell>
        </row>
        <row r="4114">
          <cell r="A4114" t="str">
            <v>WINGSEED</v>
          </cell>
        </row>
        <row r="4115">
          <cell r="A4115" t="str">
            <v>Winifred</v>
          </cell>
        </row>
        <row r="4116">
          <cell r="A4116" t="str">
            <v>WINKIN</v>
          </cell>
        </row>
        <row r="4117">
          <cell r="A4117" t="str">
            <v>WINNEBAGO</v>
          </cell>
        </row>
        <row r="4118">
          <cell r="A4118" t="str">
            <v>Winnebago-A</v>
          </cell>
        </row>
        <row r="4119">
          <cell r="A4119" t="str">
            <v>WINNIE</v>
          </cell>
        </row>
        <row r="4120">
          <cell r="A4120" t="str">
            <v>WINTERBLOOM</v>
          </cell>
        </row>
        <row r="4121">
          <cell r="A4121" t="str">
            <v>WINTERBLOOM-A</v>
          </cell>
        </row>
        <row r="4122">
          <cell r="A4122" t="str">
            <v>WINTERBLOOM-B</v>
          </cell>
        </row>
        <row r="4123">
          <cell r="A4123" t="str">
            <v>WINTERGREEN</v>
          </cell>
        </row>
        <row r="4124">
          <cell r="A4124" t="str">
            <v>WITCH</v>
          </cell>
        </row>
        <row r="4125">
          <cell r="A4125" t="str">
            <v>WITCHHAZEL</v>
          </cell>
        </row>
        <row r="4126">
          <cell r="A4126" t="str">
            <v>WITCHHAZEL-A</v>
          </cell>
        </row>
        <row r="4127">
          <cell r="A4127" t="str">
            <v>Witherspoon</v>
          </cell>
        </row>
        <row r="4128">
          <cell r="A4128" t="str">
            <v>Wizard</v>
          </cell>
        </row>
        <row r="4129">
          <cell r="A4129" t="str">
            <v>WOL</v>
          </cell>
        </row>
        <row r="4130">
          <cell r="A4130" t="str">
            <v>WOL-A</v>
          </cell>
        </row>
        <row r="4131">
          <cell r="A4131" t="str">
            <v>WOLF 359</v>
          </cell>
        </row>
        <row r="4132">
          <cell r="A4132" t="str">
            <v>WOLFRAMITE</v>
          </cell>
        </row>
        <row r="4133">
          <cell r="A4133" t="str">
            <v>WOODBINE</v>
          </cell>
        </row>
        <row r="4134">
          <cell r="A4134" t="str">
            <v>WOODCOCK</v>
          </cell>
        </row>
        <row r="4135">
          <cell r="A4135" t="str">
            <v>WOODRUFF</v>
          </cell>
        </row>
        <row r="4136">
          <cell r="A4136" t="str">
            <v>WOODY-A</v>
          </cell>
        </row>
        <row r="4137">
          <cell r="A4137" t="str">
            <v>WOODY-B</v>
          </cell>
        </row>
        <row r="4138">
          <cell r="A4138" t="str">
            <v>WOOZLE</v>
          </cell>
        </row>
        <row r="4139">
          <cell r="A4139" t="str">
            <v>WOOZLE-A</v>
          </cell>
        </row>
        <row r="4140">
          <cell r="A4140" t="str">
            <v>WOOZLE-B</v>
          </cell>
        </row>
        <row r="4141">
          <cell r="A4141" t="str">
            <v>Wormwood</v>
          </cell>
        </row>
        <row r="4142">
          <cell r="A4142" t="str">
            <v>Woundwort</v>
          </cell>
        </row>
        <row r="4143">
          <cell r="A4143" t="str">
            <v>WREN</v>
          </cell>
        </row>
        <row r="4144">
          <cell r="A4144" t="str">
            <v>XANTIPPE</v>
          </cell>
        </row>
        <row r="4145">
          <cell r="A4145" t="str">
            <v>Xena</v>
          </cell>
        </row>
        <row r="4146">
          <cell r="A4146" t="str">
            <v>XENOPHON</v>
          </cell>
        </row>
        <row r="4147">
          <cell r="A4147" t="str">
            <v>XIMENA</v>
          </cell>
        </row>
        <row r="4148">
          <cell r="A4148" t="str">
            <v>Xonsu</v>
          </cell>
        </row>
        <row r="4149">
          <cell r="A4149" t="str">
            <v>YAHYA</v>
          </cell>
        </row>
        <row r="4150">
          <cell r="A4150" t="str">
            <v>YAKAN</v>
          </cell>
        </row>
        <row r="4151">
          <cell r="A4151" t="str">
            <v>YARROW</v>
          </cell>
        </row>
        <row r="4152">
          <cell r="A4152" t="str">
            <v>Yaupon</v>
          </cell>
        </row>
        <row r="4153">
          <cell r="A4153" t="str">
            <v>YEATS</v>
          </cell>
        </row>
        <row r="4154">
          <cell r="A4154" t="str">
            <v>YELLOWWOOD</v>
          </cell>
        </row>
        <row r="4155">
          <cell r="A4155" t="str">
            <v>YELLOWWOOD-A</v>
          </cell>
        </row>
        <row r="4156">
          <cell r="A4156" t="str">
            <v>Yen</v>
          </cell>
        </row>
        <row r="4157">
          <cell r="A4157" t="str">
            <v>YEN-A</v>
          </cell>
        </row>
        <row r="4158">
          <cell r="A4158" t="str">
            <v>YEN-B</v>
          </cell>
        </row>
        <row r="4159">
          <cell r="A4159" t="str">
            <v>YERBA SANTA</v>
          </cell>
        </row>
        <row r="4160">
          <cell r="A4160" t="str">
            <v>YEW</v>
          </cell>
        </row>
        <row r="4161">
          <cell r="A4161" t="str">
            <v>YGG</v>
          </cell>
        </row>
        <row r="4162">
          <cell r="A4162" t="str">
            <v>YMIR</v>
          </cell>
        </row>
        <row r="4163">
          <cell r="A4163" t="str">
            <v>YODA</v>
          </cell>
        </row>
        <row r="4164">
          <cell r="A4164" t="str">
            <v>YOGI</v>
          </cell>
        </row>
        <row r="4165">
          <cell r="A4165" t="str">
            <v>YOKO</v>
          </cell>
        </row>
        <row r="4166">
          <cell r="A4166" t="str">
            <v>YOKO-A</v>
          </cell>
        </row>
        <row r="4167">
          <cell r="A4167" t="str">
            <v>YORUBA</v>
          </cell>
        </row>
        <row r="4168">
          <cell r="A4168" t="str">
            <v>Young Male #1</v>
          </cell>
        </row>
        <row r="4169">
          <cell r="A4169" t="str">
            <v>Young Male #2</v>
          </cell>
        </row>
        <row r="4170">
          <cell r="A4170" t="str">
            <v>YOUNGBLOOD</v>
          </cell>
        </row>
        <row r="4171">
          <cell r="A4171" t="str">
            <v>YTTRIUM</v>
          </cell>
        </row>
        <row r="4172">
          <cell r="A4172" t="str">
            <v>YUCCA</v>
          </cell>
        </row>
        <row r="4173">
          <cell r="A4173" t="str">
            <v>YUSEF</v>
          </cell>
        </row>
        <row r="4174">
          <cell r="A4174" t="str">
            <v>YVES</v>
          </cell>
        </row>
        <row r="4175">
          <cell r="A4175" t="str">
            <v>YVETTE</v>
          </cell>
        </row>
        <row r="4176">
          <cell r="A4176" t="str">
            <v>YVETTE-A</v>
          </cell>
        </row>
        <row r="4177">
          <cell r="A4177" t="str">
            <v>YVETTE-B</v>
          </cell>
        </row>
        <row r="4178">
          <cell r="A4178" t="str">
            <v>YVETTE-C</v>
          </cell>
        </row>
        <row r="4179">
          <cell r="A4179" t="str">
            <v>YVETTE-D</v>
          </cell>
        </row>
        <row r="4180">
          <cell r="A4180" t="str">
            <v>YVETTE-E</v>
          </cell>
        </row>
        <row r="4181">
          <cell r="A4181" t="str">
            <v>YVETTE-F</v>
          </cell>
        </row>
        <row r="4182">
          <cell r="A4182" t="str">
            <v>YVETTE-G</v>
          </cell>
        </row>
        <row r="4183">
          <cell r="A4183" t="str">
            <v>YVETTE-H</v>
          </cell>
        </row>
        <row r="4184">
          <cell r="A4184" t="str">
            <v>YVONNE</v>
          </cell>
        </row>
        <row r="4185">
          <cell r="A4185" t="str">
            <v>ZACH</v>
          </cell>
        </row>
        <row r="4186">
          <cell r="A4186" t="str">
            <v>ZAHRA</v>
          </cell>
        </row>
        <row r="4187">
          <cell r="A4187" t="str">
            <v>ZAKIYA</v>
          </cell>
        </row>
        <row r="4188">
          <cell r="A4188" t="str">
            <v>ZALIKA</v>
          </cell>
        </row>
        <row r="4189">
          <cell r="A4189" t="str">
            <v>ZALIKA-A</v>
          </cell>
        </row>
        <row r="4190">
          <cell r="A4190" t="str">
            <v>ZALIKA-B</v>
          </cell>
        </row>
        <row r="4191">
          <cell r="A4191" t="str">
            <v>ZALIKA-C</v>
          </cell>
        </row>
        <row r="4192">
          <cell r="A4192" t="str">
            <v>ZAMIA</v>
          </cell>
        </row>
        <row r="4193">
          <cell r="A4193" t="str">
            <v>ZAMIA-A</v>
          </cell>
        </row>
        <row r="4194">
          <cell r="A4194" t="str">
            <v>ZAMIA-B</v>
          </cell>
        </row>
        <row r="4195">
          <cell r="A4195" t="str">
            <v>ZAMIA-C</v>
          </cell>
        </row>
        <row r="4196">
          <cell r="A4196" t="str">
            <v>ZAMIA-D</v>
          </cell>
        </row>
        <row r="4197">
          <cell r="A4197" t="str">
            <v>ZARA</v>
          </cell>
        </row>
        <row r="4198">
          <cell r="A4198" t="str">
            <v>ZARA-A</v>
          </cell>
        </row>
        <row r="4199">
          <cell r="A4199" t="str">
            <v>ZAWADI</v>
          </cell>
        </row>
        <row r="4200">
          <cell r="A4200" t="str">
            <v>ZAWADI-A</v>
          </cell>
        </row>
        <row r="4201">
          <cell r="A4201" t="str">
            <v>ZEA</v>
          </cell>
        </row>
        <row r="4202">
          <cell r="A4202" t="str">
            <v>ZEBADEE</v>
          </cell>
        </row>
        <row r="4203">
          <cell r="A4203" t="str">
            <v>ZEBADIAH</v>
          </cell>
        </row>
        <row r="4204">
          <cell r="A4204" t="str">
            <v>ZECHARIAH</v>
          </cell>
        </row>
        <row r="4205">
          <cell r="A4205" t="str">
            <v>ZELPHA</v>
          </cell>
        </row>
        <row r="4206">
          <cell r="A4206" t="str">
            <v>ZENAS</v>
          </cell>
        </row>
        <row r="4207">
          <cell r="A4207" t="str">
            <v>Zeno</v>
          </cell>
        </row>
        <row r="4208">
          <cell r="A4208" t="str">
            <v>Zenobia</v>
          </cell>
        </row>
        <row r="4209">
          <cell r="A4209" t="str">
            <v>Zenobia-A</v>
          </cell>
        </row>
        <row r="4210">
          <cell r="A4210" t="str">
            <v>ZEOLITE</v>
          </cell>
        </row>
        <row r="4211">
          <cell r="A4211" t="str">
            <v>ZEPHYRUS</v>
          </cell>
        </row>
        <row r="4212">
          <cell r="A4212" t="str">
            <v>ZERLINA</v>
          </cell>
        </row>
        <row r="4213">
          <cell r="A4213" t="str">
            <v>ZERLINA-A</v>
          </cell>
        </row>
        <row r="4214">
          <cell r="A4214" t="str">
            <v>ZERUBABEL</v>
          </cell>
        </row>
        <row r="4215">
          <cell r="A4215" t="str">
            <v>ZETA</v>
          </cell>
        </row>
        <row r="4216">
          <cell r="A4216" t="str">
            <v>ZETES</v>
          </cell>
        </row>
        <row r="4217">
          <cell r="A4217" t="str">
            <v>ZEUS</v>
          </cell>
        </row>
        <row r="4218">
          <cell r="A4218" t="str">
            <v>ZEUS II</v>
          </cell>
        </row>
        <row r="4219">
          <cell r="A4219" t="str">
            <v>ZINC</v>
          </cell>
        </row>
        <row r="4220">
          <cell r="A4220" t="str">
            <v>ZINC-A</v>
          </cell>
        </row>
        <row r="4221">
          <cell r="A4221" t="str">
            <v>ZIPOETES</v>
          </cell>
        </row>
        <row r="4222">
          <cell r="A4222" t="str">
            <v>ZIPPORAH</v>
          </cell>
        </row>
        <row r="4223">
          <cell r="A4223" t="str">
            <v>Zircon</v>
          </cell>
        </row>
        <row r="4224">
          <cell r="A4224" t="str">
            <v>ZIRCONIUM</v>
          </cell>
        </row>
        <row r="4225">
          <cell r="A4225" t="str">
            <v>ZOE</v>
          </cell>
        </row>
        <row r="4226">
          <cell r="A4226" t="str">
            <v>Zoe (EMON)</v>
          </cell>
        </row>
        <row r="4227">
          <cell r="A4227" t="str">
            <v>ZOISITE</v>
          </cell>
        </row>
        <row r="4228">
          <cell r="A4228" t="str">
            <v>Zoky</v>
          </cell>
        </row>
        <row r="4229">
          <cell r="A4229" t="str">
            <v>ZOLA</v>
          </cell>
        </row>
        <row r="4230">
          <cell r="A4230" t="str">
            <v>ZOLA-A</v>
          </cell>
        </row>
        <row r="4231">
          <cell r="A4231" t="str">
            <v>ZOLA-B</v>
          </cell>
        </row>
        <row r="4232">
          <cell r="A4232" t="str">
            <v>Zombitse</v>
          </cell>
        </row>
        <row r="4233">
          <cell r="A4233" t="str">
            <v>ZORBA</v>
          </cell>
        </row>
        <row r="4234">
          <cell r="A4234" t="str">
            <v>ZOSER</v>
          </cell>
        </row>
        <row r="4235">
          <cell r="A4235" t="str">
            <v>ZSA ZSA</v>
          </cell>
        </row>
        <row r="4236">
          <cell r="A4236" t="str">
            <v>ZUBENUBI</v>
          </cell>
        </row>
        <row r="4237">
          <cell r="A4237" t="str">
            <v>Zuberi</v>
          </cell>
        </row>
        <row r="4238">
          <cell r="A4238" t="str">
            <v>ZUNI</v>
          </cell>
        </row>
        <row r="4239">
          <cell r="A4239" t="str">
            <v>ZUWENA</v>
          </cell>
        </row>
        <row r="4240">
          <cell r="A4240" t="str">
            <v>Murray</v>
          </cell>
        </row>
        <row r="4241">
          <cell r="A4241" t="str">
            <v>Wolfsbane</v>
          </cell>
        </row>
        <row r="4242">
          <cell r="A4242" t="str">
            <v>Nirina</v>
          </cell>
        </row>
        <row r="4243">
          <cell r="A4243" t="str">
            <v>Pax</v>
          </cell>
        </row>
        <row r="4244">
          <cell r="A4244" t="str">
            <v>Sweet William</v>
          </cell>
        </row>
        <row r="4245">
          <cell r="A4245" t="str">
            <v>Peanut</v>
          </cell>
        </row>
        <row r="4246">
          <cell r="A4246" t="str">
            <v>Belladonna</v>
          </cell>
        </row>
        <row r="4247">
          <cell r="A4247" t="str">
            <v>Leigh-B</v>
          </cell>
        </row>
        <row r="4248">
          <cell r="A4248" t="str">
            <v>Rambutan</v>
          </cell>
        </row>
        <row r="4249">
          <cell r="A4249" t="str">
            <v>Lychee</v>
          </cell>
        </row>
        <row r="4250">
          <cell r="A4250" t="str">
            <v>Cirilla</v>
          </cell>
        </row>
        <row r="4251">
          <cell r="A4251" t="str">
            <v>Holland Chicken</v>
          </cell>
        </row>
        <row r="4252">
          <cell r="A4252" t="str">
            <v>Maddie-E</v>
          </cell>
        </row>
        <row r="4253">
          <cell r="A4253" t="str">
            <v>Minerva</v>
          </cell>
        </row>
        <row r="4254">
          <cell r="A4254" t="str">
            <v>Velona-B</v>
          </cell>
        </row>
        <row r="4255">
          <cell r="A4255" t="str">
            <v>Athena</v>
          </cell>
        </row>
        <row r="4256">
          <cell r="A4256" t="str">
            <v>Wolfgang</v>
          </cell>
        </row>
        <row r="4257">
          <cell r="A4257" t="str">
            <v>Sophia's Female Infant 2</v>
          </cell>
        </row>
        <row r="4258">
          <cell r="A4258" t="str">
            <v>Dipper</v>
          </cell>
        </row>
        <row r="4259">
          <cell r="A4259" t="str">
            <v>Tea Olive</v>
          </cell>
        </row>
        <row r="4260">
          <cell r="A4260" t="str">
            <v>Mr. Popper</v>
          </cell>
        </row>
        <row r="4261">
          <cell r="A4261" t="str">
            <v>Cornelia Africana</v>
          </cell>
        </row>
        <row r="4262">
          <cell r="A4262" t="str">
            <v>Arcadius</v>
          </cell>
        </row>
        <row r="4263">
          <cell r="A4263" t="str">
            <v>Taro</v>
          </cell>
        </row>
        <row r="4264">
          <cell r="A4264" t="str">
            <v>Majorian</v>
          </cell>
        </row>
        <row r="4265">
          <cell r="A4265" t="str">
            <v>Kea</v>
          </cell>
        </row>
        <row r="4266">
          <cell r="A4266" t="str">
            <v>Kakapo</v>
          </cell>
        </row>
        <row r="4267">
          <cell r="A4267" t="str">
            <v>Pipit</v>
          </cell>
        </row>
        <row r="4268">
          <cell r="A4268" t="str">
            <v>Gisela-B</v>
          </cell>
        </row>
        <row r="4269">
          <cell r="A4269" t="str">
            <v>Kitt</v>
          </cell>
        </row>
        <row r="4270">
          <cell r="A4270" t="str">
            <v>Hubble</v>
          </cell>
        </row>
        <row r="4271">
          <cell r="A4271" t="str">
            <v>Tottenham-A</v>
          </cell>
        </row>
        <row r="4272">
          <cell r="A4272" t="str">
            <v>Aurelius</v>
          </cell>
        </row>
        <row r="4273">
          <cell r="A4273" t="str">
            <v>Lyonia-A</v>
          </cell>
        </row>
        <row r="4274">
          <cell r="A4274" t="str">
            <v>Bentley</v>
          </cell>
        </row>
        <row r="4275">
          <cell r="A4275" t="str">
            <v>Theodoric the Great</v>
          </cell>
        </row>
        <row r="4276">
          <cell r="A4276" t="str">
            <v>Starling</v>
          </cell>
        </row>
        <row r="4277">
          <cell r="A4277" t="str">
            <v>Gellar-A</v>
          </cell>
        </row>
        <row r="4278">
          <cell r="A4278" t="str">
            <v>Leonor</v>
          </cell>
        </row>
        <row r="4279">
          <cell r="A4279" t="str">
            <v>Java Chicken</v>
          </cell>
        </row>
        <row r="4280">
          <cell r="A4280" t="str">
            <v>Cattail</v>
          </cell>
        </row>
        <row r="4281">
          <cell r="A4281" t="str">
            <v>Ranomasina-B</v>
          </cell>
        </row>
        <row r="4282">
          <cell r="A4282" t="str">
            <v>Mitsiky</v>
          </cell>
        </row>
        <row r="4283">
          <cell r="A4283" t="str">
            <v>Bertarido</v>
          </cell>
        </row>
        <row r="4284">
          <cell r="A4284" t="str">
            <v>Aloka</v>
          </cell>
        </row>
        <row r="4285">
          <cell r="A4285" t="str">
            <v>Radama the Great</v>
          </cell>
        </row>
        <row r="4286">
          <cell r="A4286" t="str">
            <v>Swift</v>
          </cell>
        </row>
        <row r="4287">
          <cell r="A4287" t="str">
            <v>Seshat-B</v>
          </cell>
        </row>
        <row r="4288">
          <cell r="A4288" t="str">
            <v>Matocky</v>
          </cell>
        </row>
        <row r="4289">
          <cell r="A4289" t="str">
            <v>Smew</v>
          </cell>
        </row>
        <row r="4290">
          <cell r="A4290" t="str">
            <v>Spock</v>
          </cell>
        </row>
        <row r="4291">
          <cell r="A4291" t="str">
            <v>Athena-A</v>
          </cell>
        </row>
        <row r="4292">
          <cell r="A4292" t="str">
            <v>Zachariah</v>
          </cell>
        </row>
        <row r="4293">
          <cell r="A4293" t="str">
            <v>Doris</v>
          </cell>
        </row>
        <row r="4294">
          <cell r="A4294" t="str">
            <v>Elisabet</v>
          </cell>
        </row>
        <row r="4295">
          <cell r="A4295" t="str">
            <v>Sora</v>
          </cell>
        </row>
        <row r="4296">
          <cell r="A4296" t="str">
            <v>Cooper</v>
          </cell>
        </row>
        <row r="4297">
          <cell r="A4297" t="str">
            <v>Juliet (Ivoloina)</v>
          </cell>
        </row>
      </sheetData>
      <sheetData sheetId="8">
        <row r="1">
          <cell r="A1" t="str">
            <v>Sex</v>
          </cell>
          <cell r="B1" t="str">
            <v>Circumstance</v>
          </cell>
          <cell r="C1" t="str">
            <v>Collection Type</v>
          </cell>
          <cell r="D1" t="str">
            <v>TOD_est</v>
          </cell>
          <cell r="E1" t="str">
            <v>Storage Type</v>
          </cell>
          <cell r="F1" t="str">
            <v>Symmetry</v>
          </cell>
          <cell r="G1" t="str">
            <v>Current Sample Type Options</v>
          </cell>
          <cell r="I1" t="str">
            <v>gt_lt</v>
          </cell>
          <cell r="J1" t="str">
            <v>UOM</v>
          </cell>
          <cell r="K1" t="str">
            <v>Sample Status</v>
          </cell>
          <cell r="L1" t="str">
            <v>U_TubeType</v>
          </cell>
          <cell r="M1" t="str">
            <v>Category</v>
          </cell>
        </row>
        <row r="2">
          <cell r="A2" t="str">
            <v>M</v>
          </cell>
          <cell r="B2" t="str">
            <v>DIVC</v>
          </cell>
          <cell r="C2" t="str">
            <v>COLLECTED</v>
          </cell>
          <cell r="D2" t="str">
            <v>Y</v>
          </cell>
          <cell r="E2" t="str">
            <v>ultracold</v>
          </cell>
          <cell r="F2" t="str">
            <v>L</v>
          </cell>
          <cell r="I2" t="str">
            <v>&gt;</v>
          </cell>
          <cell r="J2" t="str">
            <v>g</v>
          </cell>
          <cell r="K2" t="str">
            <v>n</v>
          </cell>
          <cell r="L2" t="str">
            <v>BT</v>
          </cell>
          <cell r="M2" t="str">
            <v>BloodProducts</v>
          </cell>
        </row>
        <row r="3">
          <cell r="A3" t="str">
            <v>F</v>
          </cell>
          <cell r="B3" t="str">
            <v>E</v>
          </cell>
          <cell r="C3" t="str">
            <v>cysto</v>
          </cell>
          <cell r="D3" t="str">
            <v>N</v>
          </cell>
          <cell r="E3" t="str">
            <v>LiqNitrogen</v>
          </cell>
          <cell r="F3" t="str">
            <v>R</v>
          </cell>
          <cell r="I3" t="str">
            <v>&lt;</v>
          </cell>
          <cell r="J3" t="str">
            <v>mg</v>
          </cell>
          <cell r="K3" t="str">
            <v>abn</v>
          </cell>
          <cell r="L3" t="str">
            <v>CV</v>
          </cell>
          <cell r="M3" t="str">
            <v>Cadavers</v>
          </cell>
        </row>
        <row r="4">
          <cell r="A4" t="str">
            <v>ND</v>
          </cell>
          <cell r="B4" t="str">
            <v>FD</v>
          </cell>
          <cell r="C4" t="str">
            <v>EXAM</v>
          </cell>
          <cell r="D4" t="str">
            <v>UNK</v>
          </cell>
          <cell r="E4" t="str">
            <v>RNAlater_UC</v>
          </cell>
          <cell r="F4" t="str">
            <v>L+R</v>
          </cell>
          <cell r="I4" t="str">
            <v>~</v>
          </cell>
          <cell r="J4" t="str">
            <v>ml</v>
          </cell>
          <cell r="K4" t="str">
            <v>unk</v>
          </cell>
          <cell r="L4" t="str">
            <v>Cryo Bag</v>
          </cell>
          <cell r="M4" t="str">
            <v>Feces</v>
          </cell>
        </row>
        <row r="5">
          <cell r="B5" t="str">
            <v>FD in AM</v>
          </cell>
          <cell r="C5" t="str">
            <v>expressed</v>
          </cell>
          <cell r="E5" t="str">
            <v>formalin</v>
          </cell>
          <cell r="J5" t="str">
            <v>ul</v>
          </cell>
          <cell r="L5" t="str">
            <v>50ml Tube</v>
          </cell>
          <cell r="M5" t="str">
            <v>Tissues</v>
          </cell>
        </row>
        <row r="6">
          <cell r="B6" t="str">
            <v>FD in PM</v>
          </cell>
          <cell r="C6" t="str">
            <v>FOUND</v>
          </cell>
          <cell r="E6" t="str">
            <v>EtOH</v>
          </cell>
          <cell r="J6" t="str">
            <v>tube</v>
          </cell>
          <cell r="L6" t="str">
            <v>15ml Tube</v>
          </cell>
          <cell r="M6" t="str">
            <v>Urine</v>
          </cell>
        </row>
        <row r="7">
          <cell r="B7" t="str">
            <v xml:space="preserve">FD @ </v>
          </cell>
          <cell r="C7" t="str">
            <v>IL</v>
          </cell>
          <cell r="E7" t="str">
            <v>minus 20</v>
          </cell>
          <cell r="J7" t="str">
            <v>vial</v>
          </cell>
          <cell r="L7" t="str">
            <v>Jar- 8oz</v>
          </cell>
          <cell r="M7" t="str">
            <v>Other</v>
          </cell>
        </row>
        <row r="8">
          <cell r="B8" t="str">
            <v>LIVE</v>
          </cell>
          <cell r="C8" t="str">
            <v>IN</v>
          </cell>
          <cell r="E8" t="str">
            <v>Mr_Frosty</v>
          </cell>
          <cell r="J8" t="str">
            <v>bag</v>
          </cell>
          <cell r="L8" t="str">
            <v>Jar- 16oz</v>
          </cell>
        </row>
        <row r="9">
          <cell r="B9" t="str">
            <v>UNKNOWN</v>
          </cell>
          <cell r="C9" t="str">
            <v>NX</v>
          </cell>
          <cell r="J9" t="str">
            <v>tissue</v>
          </cell>
        </row>
        <row r="10">
          <cell r="C10" t="str">
            <v>preship</v>
          </cell>
          <cell r="J10" t="str">
            <v>FTA</v>
          </cell>
        </row>
        <row r="11">
          <cell r="C11" t="str">
            <v>Q-enter</v>
          </cell>
        </row>
        <row r="12">
          <cell r="C12" t="str">
            <v>Q-exit</v>
          </cell>
        </row>
        <row r="13">
          <cell r="C13" t="str">
            <v>re-check</v>
          </cell>
        </row>
        <row r="14">
          <cell r="C14" t="str">
            <v>RPE</v>
          </cell>
        </row>
        <row r="15">
          <cell r="C15" t="str">
            <v>SURGERY</v>
          </cell>
        </row>
        <row r="16">
          <cell r="C16" t="str">
            <v>UNKNOWN</v>
          </cell>
        </row>
        <row r="17">
          <cell r="C17" t="str">
            <v>voided</v>
          </cell>
        </row>
        <row r="18">
          <cell r="C18" t="str">
            <v>free catch</v>
          </cell>
        </row>
        <row r="19">
          <cell r="C19" t="str">
            <v>research</v>
          </cell>
        </row>
        <row r="20">
          <cell r="C20" t="str">
            <v>Received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43D8-0724-41A1-A3C2-815F45EC22BF}">
  <sheetPr>
    <tabColor rgb="FFFFCCFF"/>
  </sheetPr>
  <dimension ref="A1:BS44"/>
  <sheetViews>
    <sheetView tabSelected="1" zoomScaleNormal="100" workbookViewId="0">
      <pane xSplit="1" topLeftCell="B1" activePane="topRight" state="frozen"/>
      <selection pane="topRight" activeCell="I22" sqref="I22"/>
    </sheetView>
  </sheetViews>
  <sheetFormatPr defaultColWidth="8.90625" defaultRowHeight="14.5" x14ac:dyDescent="0.35"/>
  <cols>
    <col min="1" max="1" width="20" style="9" customWidth="1"/>
    <col min="2" max="2" width="11.1796875" style="1" customWidth="1"/>
    <col min="3" max="3" width="12.1796875" style="1" customWidth="1"/>
    <col min="4" max="4" width="14.1796875" style="1" customWidth="1"/>
    <col min="5" max="6" width="8.90625" style="1"/>
    <col min="7" max="7" width="11.54296875" style="1" customWidth="1"/>
    <col min="8" max="8" width="8.90625" style="1"/>
    <col min="9" max="9" width="11.81640625" style="1" customWidth="1"/>
    <col min="10" max="10" width="10.54296875" style="1" customWidth="1"/>
    <col min="11" max="11" width="13.1796875" style="1" customWidth="1"/>
    <col min="12" max="12" width="14.453125" style="1" customWidth="1"/>
    <col min="13" max="13" width="13" style="2" customWidth="1"/>
    <col min="14" max="14" width="10.81640625" style="8" customWidth="1"/>
    <col min="15" max="15" width="9.81640625" style="8" customWidth="1"/>
    <col min="16" max="17" width="8.90625" style="8"/>
    <col min="18" max="18" width="12.54296875" style="8" customWidth="1"/>
    <col min="19" max="19" width="8.90625" style="8"/>
    <col min="20" max="20" width="11.1796875" style="8" customWidth="1"/>
    <col min="21" max="25" width="8.90625" style="8"/>
    <col min="26" max="26" width="10.1796875" style="8" customWidth="1"/>
    <col min="27" max="37" width="8.90625" style="8"/>
    <col min="38" max="38" width="8.90625" style="7"/>
    <col min="39" max="41" width="8.90625" style="8"/>
    <col min="42" max="42" width="8.90625" style="7"/>
    <col min="43" max="44" width="13.1796875" style="8" customWidth="1"/>
    <col min="45" max="45" width="10.1796875" style="7" customWidth="1"/>
    <col min="46" max="46" width="11" style="6" customWidth="1"/>
    <col min="47" max="47" width="12.54296875" style="5" customWidth="1"/>
    <col min="48" max="48" width="11.81640625" style="5" customWidth="1"/>
    <col min="49" max="49" width="11.81640625" style="4" customWidth="1"/>
    <col min="50" max="50" width="11.81640625" style="3" customWidth="1"/>
    <col min="51" max="51" width="11.81640625" style="5" customWidth="1"/>
    <col min="52" max="52" width="12.453125" style="5" customWidth="1"/>
    <col min="53" max="53" width="12.453125" style="4" customWidth="1"/>
    <col min="54" max="54" width="12.453125" style="3" customWidth="1"/>
    <col min="55" max="55" width="11.1796875" style="5" customWidth="1"/>
    <col min="56" max="56" width="11.81640625" style="5" customWidth="1"/>
    <col min="57" max="57" width="11.81640625" style="4" customWidth="1"/>
    <col min="58" max="58" width="11.81640625" style="3" customWidth="1"/>
    <col min="59" max="59" width="11.1796875" style="5" customWidth="1"/>
    <col min="60" max="60" width="11" style="5" customWidth="1"/>
    <col min="61" max="61" width="11" style="4" customWidth="1"/>
    <col min="62" max="62" width="11" style="3" customWidth="1"/>
    <col min="63" max="64" width="8.90625" style="1"/>
    <col min="65" max="65" width="8.90625" style="2"/>
    <col min="66" max="67" width="8.90625" style="1"/>
    <col min="68" max="68" width="8.90625" style="2"/>
    <col min="69" max="16384" width="8.90625" style="1"/>
  </cols>
  <sheetData>
    <row r="1" spans="1:71" s="38" customFormat="1" ht="18.5" x14ac:dyDescent="0.45">
      <c r="A1" s="51" t="s">
        <v>114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  <c r="N1" s="54" t="s">
        <v>113</v>
      </c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5" t="s">
        <v>112</v>
      </c>
      <c r="AN1" s="55"/>
      <c r="AO1" s="55"/>
      <c r="AP1" s="55"/>
      <c r="AQ1" s="56" t="s">
        <v>111</v>
      </c>
      <c r="AR1" s="56"/>
      <c r="AS1" s="56"/>
      <c r="AT1" s="56"/>
      <c r="AU1" s="57" t="s">
        <v>110</v>
      </c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0" t="s">
        <v>109</v>
      </c>
      <c r="BL1" s="50"/>
      <c r="BM1" s="50"/>
      <c r="BN1" s="50"/>
      <c r="BO1" s="50"/>
      <c r="BP1" s="50"/>
    </row>
    <row r="2" spans="1:71" s="37" customFormat="1" ht="75" customHeight="1" x14ac:dyDescent="0.45">
      <c r="A2" s="49" t="s">
        <v>108</v>
      </c>
      <c r="B2" s="48" t="s">
        <v>107</v>
      </c>
      <c r="C2" s="48" t="s">
        <v>106</v>
      </c>
      <c r="D2" s="48" t="s">
        <v>105</v>
      </c>
      <c r="E2" s="39" t="s">
        <v>104</v>
      </c>
      <c r="F2" s="48" t="s">
        <v>103</v>
      </c>
      <c r="G2" s="48" t="s">
        <v>102</v>
      </c>
      <c r="H2" s="39" t="s">
        <v>101</v>
      </c>
      <c r="I2" s="48" t="s">
        <v>100</v>
      </c>
      <c r="J2" s="48" t="s">
        <v>99</v>
      </c>
      <c r="K2" s="47" t="s">
        <v>98</v>
      </c>
      <c r="L2" s="46" t="s">
        <v>97</v>
      </c>
      <c r="M2" s="39" t="s">
        <v>96</v>
      </c>
      <c r="N2" s="45" t="s">
        <v>95</v>
      </c>
      <c r="O2" s="45" t="s">
        <v>94</v>
      </c>
      <c r="P2" s="45" t="s">
        <v>93</v>
      </c>
      <c r="Q2" s="45" t="s">
        <v>92</v>
      </c>
      <c r="R2" s="45" t="s">
        <v>91</v>
      </c>
      <c r="S2" s="45" t="s">
        <v>90</v>
      </c>
      <c r="T2" s="45" t="s">
        <v>89</v>
      </c>
      <c r="U2" s="45" t="s">
        <v>88</v>
      </c>
      <c r="V2" s="45" t="s">
        <v>87</v>
      </c>
      <c r="W2" s="45" t="s">
        <v>86</v>
      </c>
      <c r="X2" s="45" t="s">
        <v>85</v>
      </c>
      <c r="Y2" s="45" t="s">
        <v>84</v>
      </c>
      <c r="Z2" s="45" t="s">
        <v>83</v>
      </c>
      <c r="AA2" s="45" t="s">
        <v>82</v>
      </c>
      <c r="AB2" s="45" t="s">
        <v>81</v>
      </c>
      <c r="AC2" s="45" t="s">
        <v>80</v>
      </c>
      <c r="AD2" s="45" t="s">
        <v>79</v>
      </c>
      <c r="AE2" s="45" t="s">
        <v>78</v>
      </c>
      <c r="AF2" s="45" t="s">
        <v>77</v>
      </c>
      <c r="AG2" s="45" t="s">
        <v>76</v>
      </c>
      <c r="AH2" s="45" t="s">
        <v>75</v>
      </c>
      <c r="AI2" s="45" t="s">
        <v>74</v>
      </c>
      <c r="AJ2" s="45" t="s">
        <v>73</v>
      </c>
      <c r="AK2" s="45" t="s">
        <v>72</v>
      </c>
      <c r="AL2" s="39" t="s">
        <v>71</v>
      </c>
      <c r="AM2" s="44" t="s">
        <v>70</v>
      </c>
      <c r="AN2" s="44" t="s">
        <v>69</v>
      </c>
      <c r="AO2" s="44" t="s">
        <v>68</v>
      </c>
      <c r="AP2" s="39" t="s">
        <v>67</v>
      </c>
      <c r="AQ2" s="43" t="s">
        <v>66</v>
      </c>
      <c r="AR2" s="43" t="s">
        <v>65</v>
      </c>
      <c r="AS2" s="39" t="s">
        <v>64</v>
      </c>
      <c r="AT2" s="41" t="s">
        <v>63</v>
      </c>
      <c r="AU2" s="42" t="s">
        <v>62</v>
      </c>
      <c r="AV2" s="42" t="s">
        <v>61</v>
      </c>
      <c r="AW2" s="39" t="s">
        <v>60</v>
      </c>
      <c r="AX2" s="41" t="s">
        <v>59</v>
      </c>
      <c r="AY2" s="42" t="s">
        <v>58</v>
      </c>
      <c r="AZ2" s="42" t="s">
        <v>57</v>
      </c>
      <c r="BA2" s="39" t="s">
        <v>56</v>
      </c>
      <c r="BB2" s="41" t="s">
        <v>55</v>
      </c>
      <c r="BC2" s="42" t="s">
        <v>54</v>
      </c>
      <c r="BD2" s="42" t="s">
        <v>53</v>
      </c>
      <c r="BE2" s="39" t="s">
        <v>52</v>
      </c>
      <c r="BF2" s="41" t="s">
        <v>51</v>
      </c>
      <c r="BG2" s="42" t="s">
        <v>50</v>
      </c>
      <c r="BH2" s="42" t="s">
        <v>49</v>
      </c>
      <c r="BI2" s="39" t="s">
        <v>48</v>
      </c>
      <c r="BJ2" s="41" t="s">
        <v>47</v>
      </c>
      <c r="BK2" s="40" t="s">
        <v>46</v>
      </c>
      <c r="BL2" s="40" t="s">
        <v>45</v>
      </c>
      <c r="BM2" s="39" t="s">
        <v>44</v>
      </c>
      <c r="BN2" s="40" t="s">
        <v>43</v>
      </c>
      <c r="BO2" s="40" t="s">
        <v>42</v>
      </c>
      <c r="BP2" s="39" t="s">
        <v>41</v>
      </c>
      <c r="BS2" s="38"/>
    </row>
    <row r="3" spans="1:71" x14ac:dyDescent="0.35">
      <c r="A3" s="35" t="s">
        <v>40</v>
      </c>
      <c r="B3" s="30">
        <f>COUNTIFS([1]Cadavers!J:J,"CMAJ",[1]Cadavers!A:A,"in storage",[1]Cadavers!AO:AO,"Y",[1]Cadavers!L:L,"M")</f>
        <v>0</v>
      </c>
      <c r="C3" s="30">
        <f>COUNTIFS([1]Cadavers!J:J,"CMAJ",[1]Cadavers!A:A,"in storage",[1]Cadavers!AO:AO,"Y",[1]Cadavers!L:L,"F")</f>
        <v>0</v>
      </c>
      <c r="D3" s="30">
        <f>COUNTIFS([1]Cadavers!J:J,"CMAJ",[1]Cadavers!A:A,"in storage",[1]Cadavers!AO:AO,"Y",[1]Cadavers!L:L,"ND")</f>
        <v>0</v>
      </c>
      <c r="E3" s="31">
        <f>COUNTIFS([1]Cadavers!J:J,"CMAJ",[1]Cadavers!A:A,"in storage",[1]Cadavers!AO:AO,"Y")</f>
        <v>0</v>
      </c>
      <c r="F3" s="30">
        <f>COUNTIFS([1]Cadavers!J:J,"CMAJ",[1]Cadavers!A:A,"in storage",[1]Cadavers!AO:AO,"N",[1]Cadavers!L:L,"M")</f>
        <v>0</v>
      </c>
      <c r="G3" s="30">
        <f>COUNTIFS([1]Cadavers!J:J,"CMAJ",[1]Cadavers!A:A,"in storage",[1]Cadavers!AO:AO,"N",[1]Cadavers!L:L,"F")</f>
        <v>0</v>
      </c>
      <c r="H3" s="31">
        <f>COUNTIFS([1]Cadavers!J:J,"CMAJ",[1]Cadavers!A:A,"in storage",[1]Cadavers!AO:AO,"N")</f>
        <v>1</v>
      </c>
      <c r="I3" s="30">
        <f>COUNTIFS([1]Cadavers!J:J,"CMAJ")</f>
        <v>2</v>
      </c>
      <c r="J3" s="30">
        <f>COUNTIFS([1]Cadavers!J:J,"CMAJ",[1]Cadavers!A:A,"gone")</f>
        <v>0</v>
      </c>
      <c r="K3" s="30">
        <f>COUNTIFS([1]Cadavers!J:J,"CMAJ",[1]Cadavers!AQ:AQ,"Y*")</f>
        <v>1</v>
      </c>
      <c r="L3" s="30">
        <f>COUNTIFS([1]Cadavers!J:J,"CMAJ",[1]Cadavers!A:A,"ARK")</f>
        <v>1</v>
      </c>
      <c r="M3" s="19">
        <f>COUNTIFS([1]Cadavers!J:J,"CMAJ",[1]Cadavers!A:A,"in storage")</f>
        <v>1</v>
      </c>
      <c r="N3" s="28">
        <f>COUNTIFS([1]Tissues!K:K,"CMAJ",[1]Tissues!A:A,"in storage",[1]Tissues!AB:AB,"*adrenal*")</f>
        <v>0</v>
      </c>
      <c r="O3" s="28">
        <f>COUNTIFS([1]Tissues!K:K,"CMAJ",[1]Tissues!A:A,"in storage",[1]Tissues!AB:AB,"*kidney*")</f>
        <v>0</v>
      </c>
      <c r="P3" s="28">
        <f>COUNTIFS([1]Tissues!K:K,"CMAJ",[1]Tissues!A:A,"in storage",[1]Tissues!AB:AB,"*spleen*")</f>
        <v>1</v>
      </c>
      <c r="Q3" s="28">
        <f>COUNTIFS([1]Tissues!K:K,"CMAJ",[1]Tissues!A:A,"in storage",[1]Tissues!AB:AB,"*U- bladder*")</f>
        <v>0</v>
      </c>
      <c r="R3" s="28">
        <f>COUNTIFS([1]Tissues!K:K,"CMAJ",[1]Tissues!A:A,"in storage",[1]Tissues!AB:AB,"*R- *")</f>
        <v>0</v>
      </c>
      <c r="S3" s="28">
        <f>COUNTIFS([1]Tissues!K:K,"CMAJ",[1]Tissues!A:A,"in storage",[1]Tissues!AB:AB,"*liver*")</f>
        <v>0</v>
      </c>
      <c r="T3" s="28">
        <f>COUNTIFS([1]Tissues!K:K,"CMAJ",[1]Tissues!A:A,"in storage",[1]Tissues!AB:AB,"*gallbladder*")</f>
        <v>0</v>
      </c>
      <c r="U3" s="28">
        <f>COUNTIFS([1]Tissues!K:K,"CMAJ",[1]Tissues!A:A,"in storage",[1]Tissues!AB:AB,"*pancreas*")</f>
        <v>0</v>
      </c>
      <c r="V3" s="28">
        <f>COUNTIFS([1]Tissues!K:K,"CMAJ",[1]Tissues!A:A,"in storage",[1]Tissues!AB:AB,"*GI-*")</f>
        <v>0</v>
      </c>
      <c r="W3" s="28">
        <f>COUNTIFS([1]Tissues!K:K,"CMAJ",[1]Tissues!A:A,"in storage",[1]Tissues!AB:AB,"*lung*")</f>
        <v>1</v>
      </c>
      <c r="X3" s="28">
        <f>COUNTIFS([1]Tissues!K:K,"CMAJ",[1]Tissues!A:A,"in storage",[1]Tissues!AB:AB,"*heart*")</f>
        <v>0</v>
      </c>
      <c r="Y3" s="28">
        <f>COUNTIFS([1]Tissues!K:K,"CMAJ",[1]Tissues!A:A,"in storage",[1]Tissues!AB:AB,"*thyroid*")</f>
        <v>0</v>
      </c>
      <c r="Z3" s="28">
        <f>COUNTIFS([1]Tissues!K:K,"CMAJ",[1]Tissues!A:A,"in storage",[1]Tissues!AB:AB,"*esophagus*")</f>
        <v>0</v>
      </c>
      <c r="AA3" s="28">
        <f>COUNTIFS([1]Tissues!K:K,"CMAJ",[1]Tissues!A:A,"in storage",[1]Tissues!AB:AB,"*trachea*")</f>
        <v>0</v>
      </c>
      <c r="AB3" s="28">
        <f>COUNTIFS([1]Tissues!K:K,"CMAJ",[1]Tissues!A:A,"in storage",[1]Tissues!AB:AB,"*eye*")</f>
        <v>1</v>
      </c>
      <c r="AC3" s="28">
        <f>COUNTIFS([1]Tissues!K:K,"CMAJ",[1]Tissues!A:A,"in storage",[1]Tissues!AB:AB,"*skin*")</f>
        <v>1</v>
      </c>
      <c r="AD3" s="28">
        <f>COUNTIFS([1]Tissues!K:K,"CMAJ",[1]Tissues!A:A,"in storage",[1]Tissues!AB:AB,"*muscle*")</f>
        <v>0</v>
      </c>
      <c r="AE3" s="28">
        <f>COUNTIFS([1]Tissues!K:K,"CMAJ",[1]Tissues!A:A,"in storage",[1]Tissues!AB:AB,"*digit*")</f>
        <v>0</v>
      </c>
      <c r="AF3" s="28">
        <f>COUNTIFS([1]Tissues!K:K,"CMAJ",[1]Tissues!A:A,"in storage",[1]Tissues!AB:AB,"*fat*")</f>
        <v>0</v>
      </c>
      <c r="AG3" s="28">
        <f>COUNTIFS([1]Tissues!K:K,"CMAJ",[1]Tissues!A:A,"in storage",[1]Tissues!AB:AB,"*lymph node*")</f>
        <v>0</v>
      </c>
      <c r="AH3" s="28">
        <f>COUNTIFS([1]Tissues!K:K,"CMAJ",[1]Tissues!A:A,"in storage",[1]Tissues!AB:AB,"*Mass*")</f>
        <v>0</v>
      </c>
      <c r="AI3" s="28">
        <f>COUNTIFS([1]Tissues!K:K,"CMAJ",[1]Tissues!A:A,"in storage",[1]Tissues!AB:AB,"*tooth*")</f>
        <v>0</v>
      </c>
      <c r="AJ3" s="28">
        <f>COUNTIFS([1]Tissues!K:K,"CMAJ",[1]Tissues!A:A,"in storage",[1]Tissues!AB:AB,"*tail*")</f>
        <v>0</v>
      </c>
      <c r="AK3" s="28">
        <f t="shared" ref="AK3:AK42" si="0">AL3-(N3+O3+P3+Q3+R3+S3+T3+U3+V3+W3+X3+Y3+Z3+AA3+AB3+AC3+AD3+AE3+AF3+AG3+AH3+AI3+AJ3)</f>
        <v>0</v>
      </c>
      <c r="AL3" s="19">
        <f>COUNTIFS([1]Tissues!K:K,"CMAJ",[1]Tissues!A:A,"in storage")</f>
        <v>4</v>
      </c>
      <c r="AM3" s="26">
        <f>COUNTIFS([1]Brains!J:J,"CMAJ",[1]Brains!A:A,"IS_whole")</f>
        <v>0</v>
      </c>
      <c r="AN3" s="26">
        <f>COUNTIFS([1]Brains!J:J,"CMAJ",[1]Brains!A:A,"IS_partial_brain")</f>
        <v>0</v>
      </c>
      <c r="AO3" s="26">
        <f>COUNTIFS([1]Brains!J:J,"CMAJ",[1]Brains!A:A,"IS_partial_FC_RNAlater")</f>
        <v>0</v>
      </c>
      <c r="AP3" s="19">
        <f>COUNTIFS([1]Brains!J:J,"CMAJ",[1]Brains!A:A,"IS*")</f>
        <v>0</v>
      </c>
      <c r="AQ3" s="25">
        <f>COUNTIFS([1]Urine!K:K,"CMAJ",[1]Urine!M:M,"M",[1]Urine!A:A,"IS_alqt_plus")</f>
        <v>0</v>
      </c>
      <c r="AR3" s="25">
        <f>COUNTIFS([1]Urine!K:K,"CMAJ",[1]Urine!M:M,"F",[1]Urine!A:A,"IS_alqt_plus")</f>
        <v>0</v>
      </c>
      <c r="AS3" s="19">
        <f>COUNTIFS([1]Urine!K:K,"CMAJ",[1]Urine!A:A,"IS*")</f>
        <v>0</v>
      </c>
      <c r="AT3" s="24">
        <f>SUMIFS([1]Urine!AC:AC,[1]Urine!K:K,"CMAJ",[1]Urine!A:A,"IS*")</f>
        <v>0</v>
      </c>
      <c r="AU3" s="23">
        <f>COUNTIFS([1]Blood_Products!K:K,"CMAJ",[1]Blood_Products!AB:AB,"WB",[1]Blood_Products!M:M,"M",[1]Blood_Products!A:A,"IS_alqt_plus")</f>
        <v>0</v>
      </c>
      <c r="AV3" s="23">
        <f>COUNTIFS([1]Blood_Products!K:K,"CMAJ",[1]Blood_Products!AB:AB,"WB",[1]Blood_Products!M:M,"F",[1]Blood_Products!A:A,"IS_alqt_plus")</f>
        <v>0</v>
      </c>
      <c r="AW3" s="22">
        <f>COUNTIFS([1]Blood_Products!K:K,"CMAJ",[1]Blood_Products!A:A,"IS*",[1]Blood_Products!AB:AB,"WB")</f>
        <v>0</v>
      </c>
      <c r="AX3" s="21">
        <f>SUMIFS([1]Blood_Products!AF:AF,[1]Blood_Products!K:K,"CMAJ",[1]Blood_Products!A:A,"IS*",[1]Blood_Products!AB:AB,"WB")</f>
        <v>0</v>
      </c>
      <c r="AY3" s="23">
        <f>COUNTIFS([1]Blood_Products!K:K,"CMAJ",[1]Blood_Products!AB:AB,"serum",[1]Blood_Products!M:M,"M",[1]Blood_Products!A:A,"IS_alqt_plus")</f>
        <v>0</v>
      </c>
      <c r="AZ3" s="23">
        <f>COUNTIFS([1]Blood_Products!K:K,"CMAJ",[1]Blood_Products!AB:AB,"serum",[1]Blood_Products!M:M,"F",[1]Blood_Products!A:A,"IS_alqt_plus")</f>
        <v>0</v>
      </c>
      <c r="BA3" s="22">
        <f>COUNTIFS([1]Blood_Products!K:K,"CMAJ",[1]Blood_Products!A:A,"IS*",[1]Blood_Products!AB:AB,"serum")</f>
        <v>0</v>
      </c>
      <c r="BB3" s="21">
        <f>SUMIFS([1]Blood_Products!AF:AF,[1]Blood_Products!K:K,"CMAJ",[1]Blood_Products!A:A,"IS*",[1]Blood_Products!AB:AB,"serum")</f>
        <v>0</v>
      </c>
      <c r="BC3" s="23">
        <f>COUNTIFS([1]Blood_Products!K:K,"CMAJ",[1]Blood_Products!AB:AB,"plasma",[1]Blood_Products!M:M,"M",[1]Blood_Products!A:A,"IS_alqt_plus")</f>
        <v>0</v>
      </c>
      <c r="BD3" s="23">
        <f>COUNTIFS([1]Blood_Products!K:K,"CMAJ",[1]Blood_Products!AB:AB,"plasma",[1]Blood_Products!M:M,"F",[1]Blood_Products!A:A,"IS_alqt_plus")</f>
        <v>0</v>
      </c>
      <c r="BE3" s="22">
        <f>COUNTIFS([1]Blood_Products!K:K,"CMAJ",[1]Blood_Products!A:A,"IS*",[1]Blood_Products!AB:AB,"plasma")</f>
        <v>0</v>
      </c>
      <c r="BF3" s="21">
        <f>SUMIFS([1]Blood_Products!AF:AF,[1]Blood_Products!K:K,"CMAJ",[1]Blood_Products!A:A,"IS*",[1]Blood_Products!AB:AB,"plasma")</f>
        <v>0</v>
      </c>
      <c r="BG3" s="23">
        <f>COUNTIFS([1]Blood_Products!K:K,"CMAJ",[1]Blood_Products!AB:AB,"PRBC",[1]Blood_Products!M:M,"M",[1]Blood_Products!A:A,"IS_alqt_plus")</f>
        <v>0</v>
      </c>
      <c r="BH3" s="23">
        <f>COUNTIFS([1]Blood_Products!K:K,"CMAJ",[1]Blood_Products!AB:AB,"PRBC",[1]Blood_Products!M:M,"F",[1]Blood_Products!A:A,"IS_alqt_plus")</f>
        <v>0</v>
      </c>
      <c r="BI3" s="22">
        <f>COUNTIFS([1]Blood_Products!K:K,"CMAJ",[1]Blood_Products!A:A,"IS*",[1]Blood_Products!AB:AB,"PRBC")</f>
        <v>0</v>
      </c>
      <c r="BJ3" s="21">
        <f>SUMIFS([1]Blood_Products!AF:AF,[1]Blood_Products!K:K,"CMAJ",[1]Blood_Products!A:A,"IS*",[1]Blood_Products!AB:AB,"PRBC")</f>
        <v>0</v>
      </c>
      <c r="BK3" s="20">
        <f>COUNTIFS([1]Feces!K:K,"CMAJ",[1]Feces!A:A,"in storage",[1]Feces!AB:AB,"feces",[1]Feces!M:M,"M")</f>
        <v>0</v>
      </c>
      <c r="BL3" s="20">
        <f>COUNTIFS([1]Feces!K:K,"CMAJ",[1]Feces!A:A,"in storage",[1]Feces!AB:AB,"feces",[1]Feces!M:M,"F")</f>
        <v>0</v>
      </c>
      <c r="BM3" s="19">
        <f t="shared" ref="BM3:BM42" si="1">SUM(BK3:BL3)</f>
        <v>0</v>
      </c>
      <c r="BN3" s="20">
        <f>COUNTIFS([1]Feces!K:K,"CMAJ",[1]Feces!A:A,"in storage",[1]Feces!AB:AB,"fecal swab",[1]Feces!M:M,"M")</f>
        <v>0</v>
      </c>
      <c r="BO3" s="20">
        <f>COUNTIFS([1]Feces!K:K,"CMAJ",[1]Feces!A:A,"in storage",[1]Feces!AB:AB,"fecal swab",[1]Feces!M:M,"F")</f>
        <v>0</v>
      </c>
      <c r="BP3" s="19">
        <f t="shared" ref="BP3:BP42" si="2">SUM(BN3:BO3)</f>
        <v>0</v>
      </c>
      <c r="BQ3" s="34"/>
      <c r="BR3" s="34"/>
      <c r="BS3" s="34"/>
    </row>
    <row r="4" spans="1:71" x14ac:dyDescent="0.35">
      <c r="A4" s="35" t="s">
        <v>39</v>
      </c>
      <c r="B4" s="30">
        <f>COUNTIFS([1]Cadavers!J:J,"CMED",[1]Cadavers!A:A,"in storage",[1]Cadavers!AO:AO,"Y",[1]Cadavers!L:L,"M")</f>
        <v>5</v>
      </c>
      <c r="C4" s="30">
        <f>COUNTIFS([1]Cadavers!J:J,"CMED",[1]Cadavers!A:A,"in storage",[1]Cadavers!AO:AO,"Y",[1]Cadavers!L:L,"F")</f>
        <v>2</v>
      </c>
      <c r="D4" s="30">
        <f>COUNTIFS([1]Cadavers!J:J,"CMED",[1]Cadavers!A:A,"in storage",[1]Cadavers!AO:AO,"Y",[1]Cadavers!L:L,"ND")</f>
        <v>1</v>
      </c>
      <c r="E4" s="31">
        <f>COUNTIFS([1]Cadavers!J:J,"CMED",[1]Cadavers!A:A,"in storage",[1]Cadavers!AO:AO,"Y")</f>
        <v>8</v>
      </c>
      <c r="F4" s="30">
        <f>COUNTIFS([1]Cadavers!J:J,"CMED",[1]Cadavers!A:A,"in storage",[1]Cadavers!AO:AO,"N",[1]Cadavers!L:L,"M")</f>
        <v>7</v>
      </c>
      <c r="G4" s="30">
        <f>COUNTIFS([1]Cadavers!J:J,"CMED",[1]Cadavers!A:A,"in storage",[1]Cadavers!AO:AO,"N",[1]Cadavers!L:L,"F")</f>
        <v>9</v>
      </c>
      <c r="H4" s="31">
        <f>COUNTIFS([1]Cadavers!J:J,"CMED",[1]Cadavers!A:A,"in storage",[1]Cadavers!AO:AO,"N")</f>
        <v>16</v>
      </c>
      <c r="I4" s="30">
        <f>COUNTIFS([1]Cadavers!J:J,"CMED")</f>
        <v>39</v>
      </c>
      <c r="J4" s="30">
        <f>COUNTIFS([1]Cadavers!J:J,"CMED",[1]Cadavers!A:A,"gone")</f>
        <v>10</v>
      </c>
      <c r="K4" s="30">
        <f>COUNTIFS([1]Cadavers!J:J,"CMED",[1]Cadavers!AQ:AQ,"Y*")</f>
        <v>9</v>
      </c>
      <c r="L4" s="30">
        <f>COUNTIFS([1]Cadavers!J:J,"CMED",[1]Cadavers!A:A,"ARK")</f>
        <v>2</v>
      </c>
      <c r="M4" s="19">
        <f>COUNTIFS([1]Cadavers!J:J,"CMED",[1]Cadavers!A:A,"in storage")</f>
        <v>24</v>
      </c>
      <c r="N4" s="28">
        <f>COUNTIFS([1]Tissues!K:K,"CMED",[1]Tissues!A:A,"in storage",[1]Tissues!AB:AB,"*adrenal*")</f>
        <v>9</v>
      </c>
      <c r="O4" s="28">
        <f>COUNTIFS([1]Tissues!K:K,"CMED",[1]Tissues!A:A,"in storage",[1]Tissues!AB:AB,"*kidney*")</f>
        <v>45</v>
      </c>
      <c r="P4" s="28">
        <f>COUNTIFS([1]Tissues!K:K,"CMED",[1]Tissues!A:A,"in storage",[1]Tissues!AB:AB,"*spleen*")</f>
        <v>41</v>
      </c>
      <c r="Q4" s="28">
        <f>COUNTIFS([1]Tissues!K:K,"CMED",[1]Tissues!A:A,"in storage",[1]Tissues!AB:AB,"*U- bladder*")</f>
        <v>6</v>
      </c>
      <c r="R4" s="28">
        <f>COUNTIFS([1]Tissues!K:K,"CMED",[1]Tissues!A:A,"in storage",[1]Tissues!AB:AB,"*R- *")</f>
        <v>21</v>
      </c>
      <c r="S4" s="28">
        <f>COUNTIFS([1]Tissues!K:K,"CMED",[1]Tissues!A:A,"in storage",[1]Tissues!AB:AB,"*liver*")</f>
        <v>85</v>
      </c>
      <c r="T4" s="28">
        <f>COUNTIFS([1]Tissues!K:K,"CMED",[1]Tissues!A:A,"in storage",[1]Tissues!AB:AB,"*gallbladder*")</f>
        <v>1</v>
      </c>
      <c r="U4" s="28">
        <f>COUNTIFS([1]Tissues!K:K,"CMED",[1]Tissues!A:A,"in storage",[1]Tissues!AB:AB,"*pancreas*")</f>
        <v>17</v>
      </c>
      <c r="V4" s="28">
        <f>COUNTIFS([1]Tissues!K:K,"CMED",[1]Tissues!A:A,"in storage",[1]Tissues!AB:AB,"*GI-*")</f>
        <v>33</v>
      </c>
      <c r="W4" s="28">
        <f>COUNTIFS([1]Tissues!K:K,"CMED",[1]Tissues!A:A,"in storage",[1]Tissues!AB:AB,"*lung*")</f>
        <v>48</v>
      </c>
      <c r="X4" s="28">
        <f>COUNTIFS([1]Tissues!K:K,"CMED",[1]Tissues!A:A,"in storage",[1]Tissues!AB:AB,"*heart*")</f>
        <v>20</v>
      </c>
      <c r="Y4" s="28">
        <f>COUNTIFS([1]Tissues!K:K,"CMED",[1]Tissues!A:A,"in storage",[1]Tissues!AB:AB,"*thyroid*")</f>
        <v>5</v>
      </c>
      <c r="Z4" s="28">
        <f>COUNTIFS([1]Tissues!K:K,"CMED",[1]Tissues!A:A,"in storage",[1]Tissues!AB:AB,"*esophagus*")</f>
        <v>5</v>
      </c>
      <c r="AA4" s="28">
        <f>COUNTIFS([1]Tissues!K:K,"CMED",[1]Tissues!A:A,"in storage",[1]Tissues!AB:AB,"*trachea*")</f>
        <v>6</v>
      </c>
      <c r="AB4" s="28">
        <f>COUNTIFS([1]Tissues!K:K,"CMED",[1]Tissues!A:A,"in storage",[1]Tissues!AB:AB,"*eye*")</f>
        <v>9</v>
      </c>
      <c r="AC4" s="28">
        <f>COUNTIFS([1]Tissues!K:K,"CMED",[1]Tissues!A:A,"in storage",[1]Tissues!AB:AB,"*skin*")</f>
        <v>33</v>
      </c>
      <c r="AD4" s="28">
        <f>COUNTIFS([1]Tissues!K:K,"CMED",[1]Tissues!A:A,"in storage",[1]Tissues!AB:AB,"*muscle*")</f>
        <v>23</v>
      </c>
      <c r="AE4" s="28">
        <f>COUNTIFS([1]Tissues!K:K,"CMED",[1]Tissues!A:A,"in storage",[1]Tissues!AB:AB,"*digit*")</f>
        <v>1</v>
      </c>
      <c r="AF4" s="28">
        <f>COUNTIFS([1]Tissues!K:K,"CMED",[1]Tissues!A:A,"in storage",[1]Tissues!AB:AB,"*fat*")</f>
        <v>8</v>
      </c>
      <c r="AG4" s="28">
        <f>COUNTIFS([1]Tissues!K:K,"CMED",[1]Tissues!A:A,"in storage",[1]Tissues!AB:AB,"*lymph node*")</f>
        <v>1</v>
      </c>
      <c r="AH4" s="28">
        <f>COUNTIFS([1]Tissues!K:K,"CMED",[1]Tissues!A:A,"in storage",[1]Tissues!AB:AB,"*Mass*")</f>
        <v>7</v>
      </c>
      <c r="AI4" s="28">
        <f>COUNTIFS([1]Tissues!K:K,"CMED",[1]Tissues!A:A,"in storage",[1]Tissues!AB:AB,"*tooth*")</f>
        <v>11</v>
      </c>
      <c r="AJ4" s="28">
        <f>COUNTIFS([1]Tissues!K:K,"CMED",[1]Tissues!A:A,"in storage",[1]Tissues!AB:AB,"*tail*")</f>
        <v>5</v>
      </c>
      <c r="AK4" s="28">
        <f t="shared" si="0"/>
        <v>10</v>
      </c>
      <c r="AL4" s="19">
        <f>COUNTIFS([1]Tissues!K:K,"CMED",[1]Tissues!A:A,"in storage")</f>
        <v>450</v>
      </c>
      <c r="AM4" s="26">
        <f>COUNTIFS([1]Brains!J:J,"CMED",[1]Brains!A:A,"IS_whole")</f>
        <v>3</v>
      </c>
      <c r="AN4" s="26">
        <f>COUNTIFS([1]Brains!J:J,"CMED",[1]Brains!A:A,"IS_partial_brain")</f>
        <v>5</v>
      </c>
      <c r="AO4" s="26">
        <f>COUNTIFS([1]Brains!J:J,"CMED",[1]Brains!A:A,"IS_partial_FC_RNAlater")</f>
        <v>2</v>
      </c>
      <c r="AP4" s="19">
        <f>COUNTIFS([1]Brains!J:J,"CMED",[1]Brains!A:A,"IS*")</f>
        <v>10</v>
      </c>
      <c r="AQ4" s="25">
        <f>COUNTIFS([1]Urine!K:K,"CMED",[1]Urine!M:M,"M",[1]Urine!A:A,"IS_alqt_plus")</f>
        <v>81</v>
      </c>
      <c r="AR4" s="25">
        <f>COUNTIFS([1]Urine!K:K,"CMED",[1]Urine!M:M,"F",[1]Urine!A:A,"IS_alqt_plus")</f>
        <v>52</v>
      </c>
      <c r="AS4" s="19">
        <f>COUNTIFS([1]Urine!K:K,"CMED",[1]Urine!A:A,"IS*")</f>
        <v>323</v>
      </c>
      <c r="AT4" s="24">
        <f>SUMIFS([1]Urine!AC:AC,[1]Urine!K:K,"CMED",[1]Urine!A:A,"IS*")</f>
        <v>167.22999999999945</v>
      </c>
      <c r="AU4" s="23">
        <f>COUNTIFS([1]Blood_Products!K:K,"CMED",[1]Blood_Products!AB:AB,"WB",[1]Blood_Products!M:M,"M",[1]Blood_Products!A:A,"IS_alqt_plus")</f>
        <v>27</v>
      </c>
      <c r="AV4" s="23">
        <f>COUNTIFS([1]Blood_Products!K:K,"CMED",[1]Blood_Products!AB:AB,"WB",[1]Blood_Products!M:M,"F",[1]Blood_Products!A:A,"IS_alqt_plus")</f>
        <v>36</v>
      </c>
      <c r="AW4" s="22">
        <f>COUNTIFS([1]Blood_Products!K:K,"CMED",[1]Blood_Products!A:A,"IS*",[1]Blood_Products!AB:AB,"WB")</f>
        <v>115</v>
      </c>
      <c r="AX4" s="21">
        <f>SUMIFS([1]Blood_Products!AF:AF,[1]Blood_Products!K:K,"CMED",[1]Blood_Products!A:A,"IS*",[1]Blood_Products!AB:AB,"WB")</f>
        <v>26.294999999999987</v>
      </c>
      <c r="AY4" s="23">
        <f>COUNTIFS([1]Blood_Products!K:K,"CMED",[1]Blood_Products!AB:AB,"serum",[1]Blood_Products!M:M,"M",[1]Blood_Products!A:A,"IS_alqt_plus")</f>
        <v>11</v>
      </c>
      <c r="AZ4" s="23">
        <f>COUNTIFS([1]Blood_Products!K:K,"CMED",[1]Blood_Products!AB:AB,"serum",[1]Blood_Products!M:M,"F",[1]Blood_Products!A:A,"IS_alqt_plus")</f>
        <v>20</v>
      </c>
      <c r="BA4" s="22">
        <f>COUNTIFS([1]Blood_Products!K:K,"CMED",[1]Blood_Products!A:A,"IS*",[1]Blood_Products!AB:AB,"serum")</f>
        <v>40</v>
      </c>
      <c r="BB4" s="21">
        <f>SUMIFS([1]Blood_Products!AF:AF,[1]Blood_Products!K:K,"CMED",[1]Blood_Products!A:A,"IS*",[1]Blood_Products!AB:AB,"serum")</f>
        <v>12.899999999999995</v>
      </c>
      <c r="BC4" s="23">
        <f>COUNTIFS([1]Blood_Products!K:K,"CMED",[1]Blood_Products!AB:AB,"plasma",[1]Blood_Products!M:M,"M",[1]Blood_Products!A:A,"IS_alqt_plus")</f>
        <v>1</v>
      </c>
      <c r="BD4" s="23">
        <f>COUNTIFS([1]Blood_Products!K:K,"CMED",[1]Blood_Products!AB:AB,"plasma",[1]Blood_Products!M:M,"F",[1]Blood_Products!A:A,"IS_alqt_plus")</f>
        <v>1</v>
      </c>
      <c r="BE4" s="22">
        <f>COUNTIFS([1]Blood_Products!K:K,"CMED",[1]Blood_Products!A:A,"IS*",[1]Blood_Products!AB:AB,"plasma")</f>
        <v>14</v>
      </c>
      <c r="BF4" s="21">
        <f>SUMIFS([1]Blood_Products!AF:AF,[1]Blood_Products!K:K,"CMED",[1]Blood_Products!A:A,"IS*",[1]Blood_Products!AB:AB,"plasma")</f>
        <v>1.6800000000000004</v>
      </c>
      <c r="BG4" s="23">
        <f>COUNTIFS([1]Blood_Products!K:K,"CMED",[1]Blood_Products!AB:AB,"PRBC",[1]Blood_Products!M:M,"M",[1]Blood_Products!A:A,"IS_alqt_plus")</f>
        <v>43</v>
      </c>
      <c r="BH4" s="23">
        <f>COUNTIFS([1]Blood_Products!K:K,"CMED",[1]Blood_Products!AB:AB,"PRBC",[1]Blood_Products!M:M,"F",[1]Blood_Products!A:A,"IS_alqt_plus")</f>
        <v>34</v>
      </c>
      <c r="BI4" s="22">
        <f>COUNTIFS([1]Blood_Products!K:K,"CMED",[1]Blood_Products!A:A,"IS*",[1]Blood_Products!AB:AB,"PRBC")</f>
        <v>132</v>
      </c>
      <c r="BJ4" s="21">
        <f>SUMIFS([1]Blood_Products!AF:AF,[1]Blood_Products!K:K,"CMED",[1]Blood_Products!A:A,"IS*",[1]Blood_Products!AB:AB,"PRBC")</f>
        <v>29.250000000000021</v>
      </c>
      <c r="BK4" s="20">
        <f>COUNTIFS([1]Feces!K:K,"CMED",[1]Feces!A:A,"in storage",[1]Feces!AB:AB,"feces",[1]Feces!M:M,"M")</f>
        <v>1</v>
      </c>
      <c r="BL4" s="20">
        <f>COUNTIFS([1]Feces!K:K,"CMED",[1]Feces!A:A,"in storage",[1]Feces!AB:AB,"feces",[1]Feces!M:M,"F")</f>
        <v>4</v>
      </c>
      <c r="BM4" s="19">
        <f t="shared" si="1"/>
        <v>5</v>
      </c>
      <c r="BN4" s="20">
        <f>COUNTIFS([1]Feces!K:K,"CMED",[1]Feces!A:A,"in storage",[1]Feces!AB:AB,"fecal swab",[1]Feces!M:M,"M")</f>
        <v>0</v>
      </c>
      <c r="BO4" s="20">
        <f>COUNTIFS([1]Feces!K:K,"CMED",[1]Feces!A:A,"in storage",[1]Feces!AB:AB,"fecal swab",[1]Feces!M:M,"F")</f>
        <v>0</v>
      </c>
      <c r="BP4" s="19">
        <f t="shared" si="2"/>
        <v>0</v>
      </c>
      <c r="BQ4" s="34"/>
      <c r="BR4" s="34"/>
      <c r="BS4" s="34"/>
    </row>
    <row r="5" spans="1:71" s="8" customFormat="1" x14ac:dyDescent="0.35">
      <c r="A5" s="35" t="s">
        <v>38</v>
      </c>
      <c r="B5" s="30">
        <f>COUNTIFS([1]Cadavers!J:J,"DMAD",[1]Cadavers!A:A,"in storage",[1]Cadavers!AO:AO,"Y",[1]Cadavers!L:L,"M")</f>
        <v>0</v>
      </c>
      <c r="C5" s="30">
        <f>COUNTIFS([1]Cadavers!J:J,"DMAD",[1]Cadavers!A:A,"in storage",[1]Cadavers!AO:AO,"Y",[1]Cadavers!L:L,"F")</f>
        <v>0</v>
      </c>
      <c r="D5" s="30">
        <f>COUNTIFS([1]Cadavers!J:J,"DMAD",[1]Cadavers!A:A,"in storage",[1]Cadavers!AO:AO,"Y",[1]Cadavers!L:L,"ND")</f>
        <v>0</v>
      </c>
      <c r="E5" s="31">
        <f>COUNTIFS([1]Cadavers!J:J,"DMAD",[1]Cadavers!A:A,"in storage",[1]Cadavers!AO:AO,"Y")</f>
        <v>0</v>
      </c>
      <c r="F5" s="30">
        <f>COUNTIFS([1]Cadavers!J:J,"DMAD",[1]Cadavers!A:A,"in storage",[1]Cadavers!AO:AO,"N",[1]Cadavers!L:L,"M")</f>
        <v>3</v>
      </c>
      <c r="G5" s="30">
        <f>COUNTIFS([1]Cadavers!J:J,"DMAD",[1]Cadavers!A:A,"in storage",[1]Cadavers!AO:AO,"N",[1]Cadavers!L:L,"F")</f>
        <v>0</v>
      </c>
      <c r="H5" s="31">
        <f>COUNTIFS([1]Cadavers!J:J,"DMAD",[1]Cadavers!A:A,"in storage",[1]Cadavers!AO:AO,"N")</f>
        <v>3</v>
      </c>
      <c r="I5" s="30">
        <f>COUNTIFS([1]Cadavers!J:J,"DMAD")</f>
        <v>20</v>
      </c>
      <c r="J5" s="30">
        <f>COUNTIFS([1]Cadavers!J:J,"DMAD",[1]Cadavers!A:A,"gone")</f>
        <v>12</v>
      </c>
      <c r="K5" s="30">
        <f>COUNTIFS([1]Cadavers!J:J,"DMAD",[1]Cadavers!AQ:AQ,"Y*")</f>
        <v>9</v>
      </c>
      <c r="L5" s="30">
        <f>COUNTIFS([1]Cadavers!J:J,"DMAD",[1]Cadavers!A:A,"ARK")</f>
        <v>3</v>
      </c>
      <c r="M5" s="19">
        <f>COUNTIFS([1]Cadavers!J:J,"DMAD",[1]Cadavers!A:A,"in storage")</f>
        <v>4</v>
      </c>
      <c r="N5" s="28">
        <f>COUNTIFS([1]Tissues!K:K,"DMAD",[1]Tissues!A:A,"in storage",[1]Tissues!AB:AB,"*adrenal*")</f>
        <v>16</v>
      </c>
      <c r="O5" s="28">
        <f>COUNTIFS([1]Tissues!K:K,"DMAD",[1]Tissues!A:A,"in storage",[1]Tissues!AB:AB,"*kidney*")</f>
        <v>48</v>
      </c>
      <c r="P5" s="28">
        <f>COUNTIFS([1]Tissues!K:K,"DMAD",[1]Tissues!A:A,"in storage",[1]Tissues!AB:AB,"*spleen*")</f>
        <v>27</v>
      </c>
      <c r="Q5" s="28">
        <f>COUNTIFS([1]Tissues!K:K,"DMAD",[1]Tissues!A:A,"in storage",[1]Tissues!AB:AB,"*U- bladder*")</f>
        <v>4</v>
      </c>
      <c r="R5" s="28">
        <f>COUNTIFS([1]Tissues!K:K,"DMAD",[1]Tissues!A:A,"in storage",[1]Tissues!AB:AB,"*R- *")</f>
        <v>26</v>
      </c>
      <c r="S5" s="28">
        <f>COUNTIFS([1]Tissues!K:K,"DMAD",[1]Tissues!A:A,"in storage",[1]Tissues!AB:AB,"*liver*")</f>
        <v>38</v>
      </c>
      <c r="T5" s="28">
        <f>COUNTIFS([1]Tissues!K:K,"DMAD",[1]Tissues!A:A,"in storage",[1]Tissues!AB:AB,"*gallbladder*")</f>
        <v>1</v>
      </c>
      <c r="U5" s="28">
        <f>COUNTIFS([1]Tissues!K:K,"DMAD",[1]Tissues!A:A,"in storage",[1]Tissues!AB:AB,"*pancreas*")</f>
        <v>23</v>
      </c>
      <c r="V5" s="28">
        <f>COUNTIFS([1]Tissues!K:K,"DMAD",[1]Tissues!A:A,"in storage",[1]Tissues!AB:AB,"*GI-*")</f>
        <v>34</v>
      </c>
      <c r="W5" s="28">
        <f>COUNTIFS([1]Tissues!K:K,"DMAD",[1]Tissues!A:A,"in storage",[1]Tissues!AB:AB,"*lung*")</f>
        <v>48</v>
      </c>
      <c r="X5" s="28">
        <f>COUNTIFS([1]Tissues!K:K,"DMAD",[1]Tissues!A:A,"in storage",[1]Tissues!AB:AB,"*heart*")</f>
        <v>29</v>
      </c>
      <c r="Y5" s="28">
        <f>COUNTIFS([1]Tissues!K:K,"DMAD",[1]Tissues!A:A,"in storage",[1]Tissues!AB:AB,"*thyroid*")</f>
        <v>0</v>
      </c>
      <c r="Z5" s="28">
        <f>COUNTIFS([1]Tissues!K:K,"DMAD",[1]Tissues!A:A,"in storage",[1]Tissues!AB:AB,"*esophagus*")</f>
        <v>4</v>
      </c>
      <c r="AA5" s="28">
        <f>COUNTIFS([1]Tissues!K:K,"DMAD",[1]Tissues!A:A,"in storage",[1]Tissues!AB:AB,"*trachea*")</f>
        <v>4</v>
      </c>
      <c r="AB5" s="28">
        <f>COUNTIFS([1]Tissues!K:K,"DMAD",[1]Tissues!A:A,"in storage",[1]Tissues!AB:AB,"*eye*")</f>
        <v>4</v>
      </c>
      <c r="AC5" s="28">
        <f>COUNTIFS([1]Tissues!K:K,"DMAD",[1]Tissues!A:A,"in storage",[1]Tissues!AB:AB,"*skin*")</f>
        <v>22</v>
      </c>
      <c r="AD5" s="28">
        <f>COUNTIFS([1]Tissues!K:K,"DMAD",[1]Tissues!A:A,"in storage",[1]Tissues!AB:AB,"*muscle*")</f>
        <v>29</v>
      </c>
      <c r="AE5" s="28">
        <f>COUNTIFS([1]Tissues!K:K,"DMAD",[1]Tissues!A:A,"in storage",[1]Tissues!AB:AB,"*digit*")</f>
        <v>3</v>
      </c>
      <c r="AF5" s="28">
        <f>COUNTIFS([1]Tissues!K:K,"DMAD",[1]Tissues!A:A,"in storage",[1]Tissues!AB:AB,"*fat*")</f>
        <v>0</v>
      </c>
      <c r="AG5" s="28">
        <f>COUNTIFS([1]Tissues!K:K,"DMAD",[1]Tissues!A:A,"in storage",[1]Tissues!AB:AB,"*lymph node*")</f>
        <v>5</v>
      </c>
      <c r="AH5" s="28">
        <f>COUNTIFS([1]Tissues!K:K,"DMAD",[1]Tissues!A:A,"in storage",[1]Tissues!AB:AB,"*Mass*")</f>
        <v>1</v>
      </c>
      <c r="AI5" s="28">
        <f>COUNTIFS([1]Tissues!K:K,"DMAD",[1]Tissues!A:A,"in storage",[1]Tissues!AB:AB,"*tooth*")</f>
        <v>10</v>
      </c>
      <c r="AJ5" s="28">
        <f>COUNTIFS([1]Tissues!K:K,"DMAD",[1]Tissues!A:A,"in storage",[1]Tissues!AB:AB,"*tail*")</f>
        <v>0</v>
      </c>
      <c r="AK5" s="28">
        <f t="shared" si="0"/>
        <v>41</v>
      </c>
      <c r="AL5" s="19">
        <f>COUNTIFS([1]Tissues!K:K,"DMAD",[1]Tissues!A:A,"in storage")</f>
        <v>417</v>
      </c>
      <c r="AM5" s="26">
        <f>COUNTIFS([1]Brains!J:J,"DMAD",[1]Brains!A:A,"IS_whole")</f>
        <v>3</v>
      </c>
      <c r="AN5" s="26">
        <f>COUNTIFS([1]Brains!J:J,"DMAD",[1]Brains!A:A,"IS_partial_brain")</f>
        <v>2</v>
      </c>
      <c r="AO5" s="26">
        <f>COUNTIFS([1]Brains!J:J,"DMAD",[1]Brains!A:A,"IS_partial_FC_RNAlater")</f>
        <v>0</v>
      </c>
      <c r="AP5" s="19">
        <f>COUNTIFS([1]Brains!J:J,"DMAD",[1]Brains!A:A,"IS*")</f>
        <v>5</v>
      </c>
      <c r="AQ5" s="25">
        <f>COUNTIFS([1]Urine!K:K,"DMAD",[1]Urine!M:M,"M",[1]Urine!A:A,"IS_alqt_plus")</f>
        <v>119</v>
      </c>
      <c r="AR5" s="25">
        <f>COUNTIFS([1]Urine!K:K,"DMAD",[1]Urine!M:M,"F",[1]Urine!A:A,"IS_alqt_plus")</f>
        <v>350</v>
      </c>
      <c r="AS5" s="19">
        <f>COUNTIFS([1]Urine!K:K,"DMAD",[1]Urine!A:A,"IS*")</f>
        <v>534</v>
      </c>
      <c r="AT5" s="24">
        <f>SUMIFS([1]Urine!AC:AC,[1]Urine!K:K,"DMAD",[1]Urine!A:A,"IS*")</f>
        <v>530.04999999999961</v>
      </c>
      <c r="AU5" s="23">
        <f>COUNTIFS([1]Blood_Products!K:K,"DMAD",[1]Blood_Products!AB:AB,"WB",[1]Blood_Products!M:M,"M",[1]Blood_Products!A:A,"IS_alqt_plus")</f>
        <v>157</v>
      </c>
      <c r="AV5" s="23">
        <f>COUNTIFS([1]Blood_Products!K:K,"DMAD",[1]Blood_Products!AB:AB,"WB",[1]Blood_Products!M:M,"F",[1]Blood_Products!A:A,"IS_alqt_plus")</f>
        <v>282</v>
      </c>
      <c r="AW5" s="22">
        <f>COUNTIFS([1]Blood_Products!K:K,"DMAD",[1]Blood_Products!A:A,"IS*",[1]Blood_Products!AB:AB,"WB")</f>
        <v>443</v>
      </c>
      <c r="AX5" s="21">
        <f>SUMIFS([1]Blood_Products!AF:AF,[1]Blood_Products!K:K,"DMAD",[1]Blood_Products!A:A,"IS*",[1]Blood_Products!AB:AB,"WB")</f>
        <v>298.07499999999862</v>
      </c>
      <c r="AY5" s="23">
        <f>COUNTIFS([1]Blood_Products!K:K,"DMAD",[1]Blood_Products!AB:AB,"serum",[1]Blood_Products!M:M,"M",[1]Blood_Products!A:A,"IS_alqt_plus")</f>
        <v>133</v>
      </c>
      <c r="AZ5" s="23">
        <f>COUNTIFS([1]Blood_Products!K:K,"DMAD",[1]Blood_Products!AB:AB,"serum",[1]Blood_Products!M:M,"F",[1]Blood_Products!A:A,"IS_alqt_plus")</f>
        <v>254</v>
      </c>
      <c r="BA5" s="22">
        <f>COUNTIFS([1]Blood_Products!K:K,"DMAD",[1]Blood_Products!A:A,"IS*",[1]Blood_Products!AB:AB,"serum")</f>
        <v>389</v>
      </c>
      <c r="BB5" s="21">
        <f>SUMIFS([1]Blood_Products!AF:AF,[1]Blood_Products!K:K,"DMAD",[1]Blood_Products!A:A,"IS*",[1]Blood_Products!AB:AB,"serum")</f>
        <v>317.39999999999935</v>
      </c>
      <c r="BC5" s="23">
        <f>COUNTIFS([1]Blood_Products!K:K,"DMAD",[1]Blood_Products!AB:AB,"plasma",[1]Blood_Products!M:M,"M",[1]Blood_Products!A:A,"IS_alqt_plus")</f>
        <v>6</v>
      </c>
      <c r="BD5" s="23">
        <f>COUNTIFS([1]Blood_Products!K:K,"DMAD",[1]Blood_Products!AB:AB,"plasma",[1]Blood_Products!M:M,"F",[1]Blood_Products!A:A,"IS_alqt_plus")</f>
        <v>2</v>
      </c>
      <c r="BE5" s="22">
        <f>COUNTIFS([1]Blood_Products!K:K,"DMAD",[1]Blood_Products!A:A,"IS*",[1]Blood_Products!AB:AB,"plasma")</f>
        <v>9</v>
      </c>
      <c r="BF5" s="21">
        <f>SUMIFS([1]Blood_Products!AF:AF,[1]Blood_Products!K:K,"DMAD",[1]Blood_Products!A:A,"IS*",[1]Blood_Products!AB:AB,"plasma")</f>
        <v>5.4</v>
      </c>
      <c r="BG5" s="23">
        <f>COUNTIFS([1]Blood_Products!K:K,"DMAD",[1]Blood_Products!AB:AB,"PRBC",[1]Blood_Products!M:M,"M",[1]Blood_Products!A:A,"IS_alqt_plus")</f>
        <v>4</v>
      </c>
      <c r="BH5" s="23">
        <f>COUNTIFS([1]Blood_Products!K:K,"DMAD",[1]Blood_Products!AB:AB,"PRBC",[1]Blood_Products!M:M,"F",[1]Blood_Products!A:A,"IS_alqt_plus")</f>
        <v>2</v>
      </c>
      <c r="BI5" s="22">
        <f>COUNTIFS([1]Blood_Products!K:K,"DMAD",[1]Blood_Products!A:A,"IS*",[1]Blood_Products!AB:AB,"PRBC")</f>
        <v>6</v>
      </c>
      <c r="BJ5" s="21">
        <f>SUMIFS([1]Blood_Products!AF:AF,[1]Blood_Products!K:K,"DMAD",[1]Blood_Products!A:A,"IS*",[1]Blood_Products!AB:AB,"PRBC")</f>
        <v>4.5999999999999996</v>
      </c>
      <c r="BK5" s="20">
        <f>COUNTIFS([1]Feces!K:K,"DMAD",[1]Feces!A:A,"in storage",[1]Feces!AB:AB,"feces",[1]Feces!M:M,"M")</f>
        <v>13</v>
      </c>
      <c r="BL5" s="20">
        <f>COUNTIFS([1]Feces!K:K,"DMAD",[1]Feces!A:A,"in storage",[1]Feces!AB:AB,"feces",[1]Feces!M:M,"F")</f>
        <v>41</v>
      </c>
      <c r="BM5" s="19">
        <f t="shared" si="1"/>
        <v>54</v>
      </c>
      <c r="BN5" s="20">
        <f>COUNTIFS([1]Feces!K:K,"DMAD",[1]Feces!A:A,"in storage",[1]Feces!AB:AB,"fecal swab",[1]Feces!M:M,"M")</f>
        <v>0</v>
      </c>
      <c r="BO5" s="20">
        <f>COUNTIFS([1]Feces!K:K,"DMAD",[1]Feces!A:A,"in storage",[1]Feces!AB:AB,"fecal swab",[1]Feces!M:M,"F")</f>
        <v>0</v>
      </c>
      <c r="BP5" s="19">
        <f t="shared" si="2"/>
        <v>0</v>
      </c>
      <c r="BQ5" s="36"/>
      <c r="BR5" s="36"/>
      <c r="BS5" s="36"/>
    </row>
    <row r="6" spans="1:71" x14ac:dyDescent="0.35">
      <c r="A6" s="35" t="s">
        <v>37</v>
      </c>
      <c r="B6" s="30">
        <f>COUNTIFS([1]Cadavers!J:J,"EALB",[1]Cadavers!A:A,"in storage",[1]Cadavers!AO:AO,"Y",[1]Cadavers!L:L,"M")</f>
        <v>0</v>
      </c>
      <c r="C6" s="30">
        <f>COUNTIFS([1]Cadavers!J:J,"EALB",[1]Cadavers!A:A,"in storage",[1]Cadavers!AO:AO,"Y",[1]Cadavers!L:L,"F")</f>
        <v>0</v>
      </c>
      <c r="D6" s="30">
        <f>COUNTIFS([1]Cadavers!J:J,"EALB",[1]Cadavers!A:A,"in storage",[1]Cadavers!AO:AO,"Y",[1]Cadavers!L:L,"ND")</f>
        <v>0</v>
      </c>
      <c r="E6" s="31">
        <f>COUNTIFS([1]Cadavers!J:J,"EALB",[1]Cadavers!A:A,"in storage",[1]Cadavers!AO:AO,"Y")</f>
        <v>0</v>
      </c>
      <c r="F6" s="30">
        <f>COUNTIFS([1]Cadavers!J:J,"EALB",[1]Cadavers!A:A,"in storage",[1]Cadavers!AO:AO,"N",[1]Cadavers!L:L,"M")</f>
        <v>0</v>
      </c>
      <c r="G6" s="30">
        <f>COUNTIFS([1]Cadavers!J:J,"EALB",[1]Cadavers!A:A,"in storage",[1]Cadavers!AO:AO,"N",[1]Cadavers!L:L,"F")</f>
        <v>1</v>
      </c>
      <c r="H6" s="31">
        <f>COUNTIFS([1]Cadavers!J:J,"EALB",[1]Cadavers!A:A,"in storage",[1]Cadavers!AO:AO,"N")</f>
        <v>1</v>
      </c>
      <c r="I6" s="30">
        <f>COUNTIFS([1]Cadavers!J:J,"EALB")</f>
        <v>2</v>
      </c>
      <c r="J6" s="30">
        <f>COUNTIFS([1]Cadavers!J:J,"EALB",[1]Cadavers!A:A,"gone")</f>
        <v>0</v>
      </c>
      <c r="K6" s="30">
        <f>COUNTIFS([1]Cadavers!J:J,"EALB",[1]Cadavers!AQ:AQ,"Y*")</f>
        <v>1</v>
      </c>
      <c r="L6" s="30">
        <f>COUNTIFS([1]Cadavers!J:J,"EALB",[1]Cadavers!A:A,"ARK")</f>
        <v>1</v>
      </c>
      <c r="M6" s="19">
        <f>COUNTIFS([1]Cadavers!J:J,"EALB",[1]Cadavers!A:A,"in storage")</f>
        <v>1</v>
      </c>
      <c r="N6" s="28">
        <f>COUNTIFS([1]Tissues!K:K,"EALB",[1]Tissues!A:A,"in storage",[1]Tissues!AB:AB,"*adrenal*")</f>
        <v>1</v>
      </c>
      <c r="O6" s="28">
        <f>COUNTIFS([1]Tissues!K:K,"EALB",[1]Tissues!A:A,"in storage",[1]Tissues!AB:AB,"*kidney*")</f>
        <v>6</v>
      </c>
      <c r="P6" s="28">
        <f>COUNTIFS([1]Tissues!K:K,"EALB",[1]Tissues!A:A,"in storage",[1]Tissues!AB:AB,"*spleen*")</f>
        <v>4</v>
      </c>
      <c r="Q6" s="28">
        <f>COUNTIFS([1]Tissues!K:K,"EALB",[1]Tissues!A:A,"in storage",[1]Tissues!AB:AB,"*U- bladder*")</f>
        <v>1</v>
      </c>
      <c r="R6" s="28">
        <f>COUNTIFS([1]Tissues!K:K,"EALB",[1]Tissues!A:A,"in storage",[1]Tissues!AB:AB,"*R- *")</f>
        <v>1</v>
      </c>
      <c r="S6" s="28">
        <f>COUNTIFS([1]Tissues!K:K,"EALB",[1]Tissues!A:A,"in storage",[1]Tissues!AB:AB,"*liver*")</f>
        <v>8</v>
      </c>
      <c r="T6" s="28">
        <f>COUNTIFS([1]Tissues!K:K,"EALB",[1]Tissues!A:A,"in storage",[1]Tissues!AB:AB,"*gallbladder*")</f>
        <v>0</v>
      </c>
      <c r="U6" s="28">
        <f>COUNTIFS([1]Tissues!K:K,"EALB",[1]Tissues!A:A,"in storage",[1]Tissues!AB:AB,"*pancreas*")</f>
        <v>2</v>
      </c>
      <c r="V6" s="28">
        <f>COUNTIFS([1]Tissues!K:K,"EALB",[1]Tissues!A:A,"in storage",[1]Tissues!AB:AB,"*GI-*")</f>
        <v>7</v>
      </c>
      <c r="W6" s="28">
        <f>COUNTIFS([1]Tissues!K:K,"EALB",[1]Tissues!A:A,"in storage",[1]Tissues!AB:AB,"*lung*")</f>
        <v>8</v>
      </c>
      <c r="X6" s="28">
        <f>COUNTIFS([1]Tissues!K:K,"EALB",[1]Tissues!A:A,"in storage",[1]Tissues!AB:AB,"*heart*")</f>
        <v>8</v>
      </c>
      <c r="Y6" s="28">
        <f>COUNTIFS([1]Tissues!K:K,"EALB",[1]Tissues!A:A,"in storage",[1]Tissues!AB:AB,"*thyroid*")</f>
        <v>0</v>
      </c>
      <c r="Z6" s="28">
        <f>COUNTIFS([1]Tissues!K:K,"EALB",[1]Tissues!A:A,"in storage",[1]Tissues!AB:AB,"*esophagus*")</f>
        <v>0</v>
      </c>
      <c r="AA6" s="28">
        <f>COUNTIFS([1]Tissues!K:K,"EALB",[1]Tissues!A:A,"in storage",[1]Tissues!AB:AB,"*trachea*")</f>
        <v>0</v>
      </c>
      <c r="AB6" s="28">
        <f>COUNTIFS([1]Tissues!K:K,"EALB",[1]Tissues!A:A,"in storage",[1]Tissues!AB:AB,"*eye*")</f>
        <v>2</v>
      </c>
      <c r="AC6" s="28">
        <f>COUNTIFS([1]Tissues!K:K,"EALB",[1]Tissues!A:A,"in storage",[1]Tissues!AB:AB,"*skin*")</f>
        <v>3</v>
      </c>
      <c r="AD6" s="28">
        <f>COUNTIFS([1]Tissues!K:K,"EALB",[1]Tissues!A:A,"in storage",[1]Tissues!AB:AB,"*muscle*")</f>
        <v>4</v>
      </c>
      <c r="AE6" s="28">
        <f>COUNTIFS([1]Tissues!K:K,"EALB",[1]Tissues!A:A,"in storage",[1]Tissues!AB:AB,"*digit*")</f>
        <v>0</v>
      </c>
      <c r="AF6" s="28">
        <f>COUNTIFS([1]Tissues!K:K,"EALB",[1]Tissues!A:A,"in storage",[1]Tissues!AB:AB,"*fat*")</f>
        <v>0</v>
      </c>
      <c r="AG6" s="28">
        <f>COUNTIFS([1]Tissues!K:K,"EALB",[1]Tissues!A:A,"in storage",[1]Tissues!AB:AB,"*lymph node*")</f>
        <v>1</v>
      </c>
      <c r="AH6" s="28">
        <f>COUNTIFS([1]Tissues!K:K,"EALB",[1]Tissues!A:A,"in storage",[1]Tissues!AB:AB,"*Mass*")</f>
        <v>2</v>
      </c>
      <c r="AI6" s="28">
        <f>COUNTIFS([1]Tissues!K:K,"EALB",[1]Tissues!A:A,"in storage",[1]Tissues!AB:AB,"*tooth*")</f>
        <v>0</v>
      </c>
      <c r="AJ6" s="28">
        <f>COUNTIFS([1]Tissues!K:K,"EALB",[1]Tissues!A:A,"in storage",[1]Tissues!AB:AB,"*tail*")</f>
        <v>0</v>
      </c>
      <c r="AK6" s="28">
        <f t="shared" si="0"/>
        <v>0</v>
      </c>
      <c r="AL6" s="19">
        <f>COUNTIFS([1]Tissues!K:K,"EALB",[1]Tissues!A:A,"in storage")</f>
        <v>58</v>
      </c>
      <c r="AM6" s="26">
        <f>COUNTIFS([1]Brains!J:J,"EALB",[1]Brains!A:A,"IS_whole")</f>
        <v>2</v>
      </c>
      <c r="AN6" s="26">
        <f>COUNTIFS([1]Brains!J:J,"EALB",[1]Brains!A:A,"IS_partial_brain")</f>
        <v>0</v>
      </c>
      <c r="AO6" s="26">
        <f>COUNTIFS([1]Brains!J:J,"EALB",[1]Brains!A:A,"IS_partial_FC_RNAlater")</f>
        <v>0</v>
      </c>
      <c r="AP6" s="19">
        <f>COUNTIFS([1]Brains!J:J,"EALB",[1]Brains!A:A,"IS*")</f>
        <v>2</v>
      </c>
      <c r="AQ6" s="25">
        <f>COUNTIFS([1]Urine!K:K,"EALB",[1]Urine!M:M,"M",[1]Urine!A:A,"IS_alqt_plus")</f>
        <v>1</v>
      </c>
      <c r="AR6" s="25">
        <f>COUNTIFS([1]Urine!K:K,"EALB",[1]Urine!M:M,"F",[1]Urine!A:A,"IS_alqt_plus")</f>
        <v>0</v>
      </c>
      <c r="AS6" s="19">
        <f>COUNTIFS([1]Urine!K:K,"EALB",[1]Urine!A:A,"IS*")</f>
        <v>1</v>
      </c>
      <c r="AT6" s="24">
        <f>SUMIFS([1]Urine!AC:AC,[1]Urine!K:K,"EALB",[1]Urine!A:A,"IS*")</f>
        <v>1</v>
      </c>
      <c r="AU6" s="23">
        <f>COUNTIFS([1]Blood_Products!K:K,"EALB",[1]Blood_Products!AB:AB,"WB",[1]Blood_Products!M:M,"M",[1]Blood_Products!A:A,"IS_alqt_plus")</f>
        <v>5</v>
      </c>
      <c r="AV6" s="23">
        <f>COUNTIFS([1]Blood_Products!K:K,"EALB",[1]Blood_Products!AB:AB,"WB",[1]Blood_Products!M:M,"F",[1]Blood_Products!A:A,"IS_alqt_plus")</f>
        <v>33</v>
      </c>
      <c r="AW6" s="22">
        <f>COUNTIFS([1]Blood_Products!K:K,"EALB",[1]Blood_Products!A:A,"IS*",[1]Blood_Products!AB:AB,"WB")</f>
        <v>38</v>
      </c>
      <c r="AX6" s="21">
        <f>SUMIFS([1]Blood_Products!AF:AF,[1]Blood_Products!K:K,"EALB",[1]Blood_Products!A:A,"IS*",[1]Blood_Products!AB:AB,"WB")</f>
        <v>27.999999999999996</v>
      </c>
      <c r="AY6" s="23">
        <f>COUNTIFS([1]Blood_Products!K:K,"EALB",[1]Blood_Products!AB:AB,"serum",[1]Blood_Products!M:M,"M",[1]Blood_Products!A:A,"IS_alqt_plus")</f>
        <v>15</v>
      </c>
      <c r="AZ6" s="23">
        <f>COUNTIFS([1]Blood_Products!K:K,"EALB",[1]Blood_Products!AB:AB,"serum",[1]Blood_Products!M:M,"F",[1]Blood_Products!A:A,"IS_alqt_plus")</f>
        <v>31</v>
      </c>
      <c r="BA6" s="22">
        <f>COUNTIFS([1]Blood_Products!K:K,"EALB",[1]Blood_Products!A:A,"IS*",[1]Blood_Products!AB:AB,"serum")</f>
        <v>46</v>
      </c>
      <c r="BB6" s="21">
        <f>SUMIFS([1]Blood_Products!AF:AF,[1]Blood_Products!K:K,"EALB",[1]Blood_Products!A:A,"IS*",[1]Blood_Products!AB:AB,"serum")</f>
        <v>55.550000000000011</v>
      </c>
      <c r="BC6" s="23">
        <f>COUNTIFS([1]Blood_Products!K:K,"EALB",[1]Blood_Products!AB:AB,"plasma",[1]Blood_Products!M:M,"M",[1]Blood_Products!A:A,"IS_alqt_plus")</f>
        <v>0</v>
      </c>
      <c r="BD6" s="23">
        <f>COUNTIFS([1]Blood_Products!K:K,"EALB",[1]Blood_Products!AB:AB,"plasma",[1]Blood_Products!M:M,"F",[1]Blood_Products!A:A,"IS_alqt_plus")</f>
        <v>0</v>
      </c>
      <c r="BE6" s="22">
        <f>COUNTIFS([1]Blood_Products!K:K,"EALB",[1]Blood_Products!A:A,"IS*",[1]Blood_Products!AB:AB,"plasma")</f>
        <v>0</v>
      </c>
      <c r="BF6" s="21">
        <f>SUMIFS([1]Blood_Products!AF:AF,[1]Blood_Products!K:K,"EALB",[1]Blood_Products!A:A,"IS*",[1]Blood_Products!AB:AB,"plasma")</f>
        <v>0</v>
      </c>
      <c r="BG6" s="23">
        <f>COUNTIFS([1]Blood_Products!K:K,"EALB",[1]Blood_Products!AB:AB,"PRBC",[1]Blood_Products!M:M,"M",[1]Blood_Products!A:A,"IS_alqt_plus")</f>
        <v>0</v>
      </c>
      <c r="BH6" s="23">
        <f>COUNTIFS([1]Blood_Products!K:K,"EALB",[1]Blood_Products!AB:AB,"PRBC",[1]Blood_Products!M:M,"F",[1]Blood_Products!A:A,"IS_alqt_plus")</f>
        <v>0</v>
      </c>
      <c r="BI6" s="22">
        <f>COUNTIFS([1]Blood_Products!K:K,"EALB",[1]Blood_Products!A:A,"IS*",[1]Blood_Products!AB:AB,"PRBC")</f>
        <v>0</v>
      </c>
      <c r="BJ6" s="21">
        <f>SUMIFS([1]Blood_Products!AF:AF,[1]Blood_Products!K:K,"EALB",[1]Blood_Products!A:A,"IS*",[1]Blood_Products!AB:AB,"PRBC")</f>
        <v>0</v>
      </c>
      <c r="BK6" s="20">
        <f>COUNTIFS([1]Feces!K:K,"EALB",[1]Feces!A:A,"in storage",[1]Feces!AB:AB,"feces",[1]Feces!M:M,"M")</f>
        <v>0</v>
      </c>
      <c r="BL6" s="20">
        <f>COUNTIFS([1]Feces!K:K,"EALB",[1]Feces!A:A,"in storage",[1]Feces!AB:AB,"feces",[1]Feces!M:M,"F")</f>
        <v>0</v>
      </c>
      <c r="BM6" s="19">
        <f t="shared" si="1"/>
        <v>0</v>
      </c>
      <c r="BN6" s="20">
        <f>COUNTIFS([1]Feces!K:K,"EALB",[1]Feces!A:A,"in storage",[1]Feces!AB:AB,"fecal swab",[1]Feces!M:M,"M")</f>
        <v>0</v>
      </c>
      <c r="BO6" s="20">
        <f>COUNTIFS([1]Feces!K:K,"EALB",[1]Feces!A:A,"in storage",[1]Feces!AB:AB,"fecal swab",[1]Feces!M:M,"F")</f>
        <v>0</v>
      </c>
      <c r="BP6" s="19">
        <f t="shared" si="2"/>
        <v>0</v>
      </c>
      <c r="BQ6" s="34"/>
      <c r="BR6" s="34"/>
      <c r="BS6" s="34"/>
    </row>
    <row r="7" spans="1:71" s="17" customFormat="1" x14ac:dyDescent="0.35">
      <c r="A7" s="32" t="s">
        <v>36</v>
      </c>
      <c r="B7" s="30">
        <f>COUNTIFS([1]Cadavers!J:J,"ECOL",[1]Cadavers!A:A,"in storage",[1]Cadavers!AO:AO,"Y",[1]Cadavers!L:L,"M")</f>
        <v>2</v>
      </c>
      <c r="C7" s="30">
        <f>COUNTIFS([1]Cadavers!J:J,"ECOL",[1]Cadavers!A:A,"in storage",[1]Cadavers!AO:AO,"Y",[1]Cadavers!L:L,"F")</f>
        <v>2</v>
      </c>
      <c r="D7" s="30">
        <f>COUNTIFS([1]Cadavers!J:J,"ECOL",[1]Cadavers!A:A,"in storage",[1]Cadavers!AO:AO,"Y",[1]Cadavers!L:L,"ND")</f>
        <v>1</v>
      </c>
      <c r="E7" s="31">
        <f>COUNTIFS([1]Cadavers!J:J,"ECOL",[1]Cadavers!A:A,"in storage",[1]Cadavers!AO:AO,"Y")</f>
        <v>5</v>
      </c>
      <c r="F7" s="30">
        <f>COUNTIFS([1]Cadavers!J:J,"ECOL",[1]Cadavers!A:A,"in storage",[1]Cadavers!AO:AO,"N",[1]Cadavers!L:L,"M")</f>
        <v>4</v>
      </c>
      <c r="G7" s="30">
        <f>COUNTIFS([1]Cadavers!J:J,"ECOL",[1]Cadavers!A:A,"in storage",[1]Cadavers!AO:AO,"N",[1]Cadavers!L:L,"F")</f>
        <v>4</v>
      </c>
      <c r="H7" s="31">
        <f>COUNTIFS([1]Cadavers!J:J,"ECOL",[1]Cadavers!A:A,"in storage",[1]Cadavers!AO:AO,"N")</f>
        <v>8</v>
      </c>
      <c r="I7" s="30">
        <f>COUNTIFS([1]Cadavers!J:J,"ECOL")</f>
        <v>20</v>
      </c>
      <c r="J7" s="30">
        <f>COUNTIFS([1]Cadavers!J:J,"ECOL",[1]Cadavers!A:A,"gone")</f>
        <v>5</v>
      </c>
      <c r="K7" s="30">
        <f>COUNTIFS([1]Cadavers!J:J,"ECOL",[1]Cadavers!AQ:AQ,"Y*")</f>
        <v>5</v>
      </c>
      <c r="L7" s="30">
        <f>COUNTIFS([1]Cadavers!J:J,"ECOL",[1]Cadavers!A:A,"ARK")</f>
        <v>2</v>
      </c>
      <c r="M7" s="19">
        <f>COUNTIFS([1]Cadavers!J:J,"ECOL",[1]Cadavers!A:A,"in storage")</f>
        <v>13</v>
      </c>
      <c r="N7" s="28">
        <f>COUNTIFS([1]Tissues!K:K,"ECOL",[1]Tissues!A:A,"in storage",[1]Tissues!AB:AB,"*adrenal*")</f>
        <v>5</v>
      </c>
      <c r="O7" s="28">
        <f>COUNTIFS([1]Tissues!K:K,"ECOL",[1]Tissues!A:A,"in storage",[1]Tissues!AB:AB,"*kidney*")</f>
        <v>44</v>
      </c>
      <c r="P7" s="28">
        <f>COUNTIFS([1]Tissues!K:K,"ECOL",[1]Tissues!A:A,"in storage",[1]Tissues!AB:AB,"*spleen*")</f>
        <v>24</v>
      </c>
      <c r="Q7" s="28">
        <f>COUNTIFS([1]Tissues!K:K,"ECOL",[1]Tissues!A:A,"in storage",[1]Tissues!AB:AB,"*U- bladder*")</f>
        <v>3</v>
      </c>
      <c r="R7" s="28">
        <f>COUNTIFS([1]Tissues!K:K,"ECOL",[1]Tissues!A:A,"in storage",[1]Tissues!AB:AB,"*R- *")</f>
        <v>21</v>
      </c>
      <c r="S7" s="28">
        <f>COUNTIFS([1]Tissues!K:K,"ECOL",[1]Tissues!A:A,"in storage",[1]Tissues!AB:AB,"*liver*")</f>
        <v>49</v>
      </c>
      <c r="T7" s="28">
        <f>COUNTIFS([1]Tissues!K:K,"ECOL",[1]Tissues!A:A,"in storage",[1]Tissues!AB:AB,"*gallbladder*")</f>
        <v>0</v>
      </c>
      <c r="U7" s="28">
        <f>COUNTIFS([1]Tissues!K:K,"ECOL",[1]Tissues!A:A,"in storage",[1]Tissues!AB:AB,"*pancreas*")</f>
        <v>16</v>
      </c>
      <c r="V7" s="28">
        <f>COUNTIFS([1]Tissues!K:K,"ECOL",[1]Tissues!A:A,"in storage",[1]Tissues!AB:AB,"*GI-*")</f>
        <v>30</v>
      </c>
      <c r="W7" s="28">
        <f>COUNTIFS([1]Tissues!K:K,"ECOL",[1]Tissues!A:A,"in storage",[1]Tissues!AB:AB,"*lung*")</f>
        <v>47</v>
      </c>
      <c r="X7" s="28">
        <f>COUNTIFS([1]Tissues!K:K,"ECOL",[1]Tissues!A:A,"in storage",[1]Tissues!AB:AB,"*heart*")</f>
        <v>28</v>
      </c>
      <c r="Y7" s="28">
        <f>COUNTIFS([1]Tissues!K:K,"ECOL",[1]Tissues!A:A,"in storage",[1]Tissues!AB:AB,"*thyroid*")</f>
        <v>5</v>
      </c>
      <c r="Z7" s="28">
        <f>COUNTIFS([1]Tissues!K:K,"ECOL",[1]Tissues!A:A,"in storage",[1]Tissues!AB:AB,"*esophagus*")</f>
        <v>0</v>
      </c>
      <c r="AA7" s="28">
        <f>COUNTIFS([1]Tissues!K:K,"ECOL",[1]Tissues!A:A,"in storage",[1]Tissues!AB:AB,"*trachea*")</f>
        <v>1</v>
      </c>
      <c r="AB7" s="28">
        <f>COUNTIFS([1]Tissues!K:K,"ECOL",[1]Tissues!A:A,"in storage",[1]Tissues!AB:AB,"*eye*")</f>
        <v>5</v>
      </c>
      <c r="AC7" s="28">
        <f>COUNTIFS([1]Tissues!K:K,"ECOL",[1]Tissues!A:A,"in storage",[1]Tissues!AB:AB,"*skin*")</f>
        <v>16</v>
      </c>
      <c r="AD7" s="28">
        <f>COUNTIFS([1]Tissues!K:K,"ECOL",[1]Tissues!A:A,"in storage",[1]Tissues!AB:AB,"*muscle*")</f>
        <v>27</v>
      </c>
      <c r="AE7" s="28">
        <f>COUNTIFS([1]Tissues!K:K,"ECOL",[1]Tissues!A:A,"in storage",[1]Tissues!AB:AB,"*digit*")</f>
        <v>0</v>
      </c>
      <c r="AF7" s="28">
        <f>COUNTIFS([1]Tissues!K:K,"ECOL",[1]Tissues!A:A,"in storage",[1]Tissues!AB:AB,"*fat*")</f>
        <v>0</v>
      </c>
      <c r="AG7" s="28">
        <f>COUNTIFS([1]Tissues!K:K,"ECOL",[1]Tissues!A:A,"in storage",[1]Tissues!AB:AB,"*lymph node*")</f>
        <v>2</v>
      </c>
      <c r="AH7" s="28">
        <f>COUNTIFS([1]Tissues!K:K,"ECOL",[1]Tissues!A:A,"in storage",[1]Tissues!AB:AB,"*Mass*")</f>
        <v>2</v>
      </c>
      <c r="AI7" s="28">
        <f>COUNTIFS([1]Tissues!K:K,"ECOL",[1]Tissues!A:A,"in storage",[1]Tissues!AB:AB,"*tooth*")</f>
        <v>1</v>
      </c>
      <c r="AJ7" s="28">
        <f>COUNTIFS([1]Tissues!K:K,"ECOL",[1]Tissues!A:A,"in storage",[1]Tissues!AB:AB,"*tail*")</f>
        <v>0</v>
      </c>
      <c r="AK7" s="28">
        <f t="shared" si="0"/>
        <v>28</v>
      </c>
      <c r="AL7" s="19">
        <f>COUNTIFS([1]Tissues!K:K,"ECOL",[1]Tissues!A:A,"in storage")</f>
        <v>354</v>
      </c>
      <c r="AM7" s="26">
        <f>COUNTIFS([1]Brains!J:J,"ECOL",[1]Brains!A:A,"IS_whole")</f>
        <v>2</v>
      </c>
      <c r="AN7" s="26">
        <f>COUNTIFS([1]Brains!J:J,"ECOL",[1]Brains!A:A,"IS_partial_brain")</f>
        <v>2</v>
      </c>
      <c r="AO7" s="26">
        <f>COUNTIFS([1]Brains!J:J,"ECOL",[1]Brains!A:A,"IS_partial_FC_RNAlater")</f>
        <v>4</v>
      </c>
      <c r="AP7" s="19">
        <f>COUNTIFS([1]Brains!J:J,"ECOL",[1]Brains!A:A,"IS*")</f>
        <v>8</v>
      </c>
      <c r="AQ7" s="25">
        <f>COUNTIFS([1]Urine!K:K,"ECOL",[1]Urine!M:M,"M",[1]Urine!A:A,"IS_alqt_plus")</f>
        <v>43</v>
      </c>
      <c r="AR7" s="25">
        <f>COUNTIFS([1]Urine!K:K,"ECOL",[1]Urine!M:M,"F",[1]Urine!A:A,"IS_alqt_plus")</f>
        <v>10</v>
      </c>
      <c r="AS7" s="19">
        <f>COUNTIFS([1]Urine!K:K,"ECOL",[1]Urine!A:A,"IS*")</f>
        <v>61</v>
      </c>
      <c r="AT7" s="24">
        <f>SUMIFS([1]Urine!AC:AC,[1]Urine!K:K,"ECOL",[1]Urine!A:A,"IS*")</f>
        <v>59.400000000000013</v>
      </c>
      <c r="AU7" s="23">
        <f>COUNTIFS([1]Blood_Products!K:K,"ECOL",[1]Blood_Products!AB:AB,"WB",[1]Blood_Products!M:M,"M",[1]Blood_Products!A:A,"IS_alqt_plus")</f>
        <v>134</v>
      </c>
      <c r="AV7" s="23">
        <f>COUNTIFS([1]Blood_Products!K:K,"ECOL",[1]Blood_Products!AB:AB,"WB",[1]Blood_Products!M:M,"F",[1]Blood_Products!A:A,"IS_alqt_plus")</f>
        <v>102</v>
      </c>
      <c r="AW7" s="22">
        <f>COUNTIFS([1]Blood_Products!K:K,"ECOL",[1]Blood_Products!A:A,"IS*",[1]Blood_Products!AB:AB,"WB")</f>
        <v>237</v>
      </c>
      <c r="AX7" s="21">
        <f>SUMIFS([1]Blood_Products!AF:AF,[1]Blood_Products!K:K,"ECOL",[1]Blood_Products!A:A,"IS*",[1]Blood_Products!AB:AB,"WB")</f>
        <v>217.94999999999965</v>
      </c>
      <c r="AY7" s="23">
        <f>COUNTIFS([1]Blood_Products!K:K,"ECOL",[1]Blood_Products!AB:AB,"serum",[1]Blood_Products!M:M,"M",[1]Blood_Products!A:A,"IS_alqt_plus")</f>
        <v>277</v>
      </c>
      <c r="AZ7" s="23">
        <f>COUNTIFS([1]Blood_Products!K:K,"ECOL",[1]Blood_Products!AB:AB,"serum",[1]Blood_Products!M:M,"F",[1]Blood_Products!A:A,"IS_alqt_plus")</f>
        <v>157</v>
      </c>
      <c r="BA7" s="22">
        <f>COUNTIFS([1]Blood_Products!K:K,"ECOL",[1]Blood_Products!A:A,"IS*",[1]Blood_Products!AB:AB,"serum")</f>
        <v>439</v>
      </c>
      <c r="BB7" s="21">
        <f>SUMIFS([1]Blood_Products!AF:AF,[1]Blood_Products!K:K,"ECOL",[1]Blood_Products!A:A,"IS*",[1]Blood_Products!AB:AB,"serum")</f>
        <v>451.09999999999951</v>
      </c>
      <c r="BC7" s="23">
        <f>COUNTIFS([1]Blood_Products!K:K,"ECOL",[1]Blood_Products!AB:AB,"plasma",[1]Blood_Products!M:M,"M",[1]Blood_Products!A:A,"IS_alqt_plus")</f>
        <v>0</v>
      </c>
      <c r="BD7" s="23">
        <f>COUNTIFS([1]Blood_Products!K:K,"ECOL",[1]Blood_Products!AB:AB,"plasma",[1]Blood_Products!M:M,"F",[1]Blood_Products!A:A,"IS_alqt_plus")</f>
        <v>0</v>
      </c>
      <c r="BE7" s="22">
        <f>COUNTIFS([1]Blood_Products!K:K,"ECOL",[1]Blood_Products!A:A,"IS*",[1]Blood_Products!AB:AB,"plasma")</f>
        <v>0</v>
      </c>
      <c r="BF7" s="21">
        <f>SUMIFS([1]Blood_Products!AF:AF,[1]Blood_Products!K:K,"ECOL",[1]Blood_Products!A:A,"IS*",[1]Blood_Products!AB:AB,"plasma")</f>
        <v>0</v>
      </c>
      <c r="BG7" s="23">
        <f>COUNTIFS([1]Blood_Products!K:K,"ECOL",[1]Blood_Products!AB:AB,"PRBC",[1]Blood_Products!M:M,"M",[1]Blood_Products!A:A,"IS_alqt_plus")</f>
        <v>0</v>
      </c>
      <c r="BH7" s="23">
        <f>COUNTIFS([1]Blood_Products!K:K,"ECOL",[1]Blood_Products!AB:AB,"PRBC",[1]Blood_Products!M:M,"F",[1]Blood_Products!A:A,"IS_alqt_plus")</f>
        <v>0</v>
      </c>
      <c r="BI7" s="22">
        <f>COUNTIFS([1]Blood_Products!K:K,"ECOL",[1]Blood_Products!A:A,"IS*",[1]Blood_Products!AB:AB,"PRBC")</f>
        <v>0</v>
      </c>
      <c r="BJ7" s="21">
        <f>SUMIFS([1]Blood_Products!AF:AF,[1]Blood_Products!K:K,"ECOL",[1]Blood_Products!A:A,"IS*",[1]Blood_Products!AB:AB,"PRBC")</f>
        <v>0</v>
      </c>
      <c r="BK7" s="20">
        <f>COUNTIFS([1]Feces!K:K,"ECOL",[1]Feces!A:A,"in storage",[1]Feces!AB:AB,"feces",[1]Feces!M:M,"M")</f>
        <v>1</v>
      </c>
      <c r="BL7" s="20">
        <f>COUNTIFS([1]Feces!K:K,"ECOL",[1]Feces!A:A,"in storage",[1]Feces!AB:AB,"feces",[1]Feces!M:M,"F")</f>
        <v>4</v>
      </c>
      <c r="BM7" s="19">
        <f t="shared" si="1"/>
        <v>5</v>
      </c>
      <c r="BN7" s="20">
        <f>COUNTIFS([1]Feces!K:K,"ECOL",[1]Feces!A:A,"in storage",[1]Feces!AB:AB,"fecal swab",[1]Feces!M:M,"M")</f>
        <v>0</v>
      </c>
      <c r="BO7" s="20">
        <f>COUNTIFS([1]Feces!K:K,"ECOL",[1]Feces!A:A,"in storage",[1]Feces!AB:AB,"fecal swab",[1]Feces!M:M,"F")</f>
        <v>0</v>
      </c>
      <c r="BP7" s="19">
        <f t="shared" si="2"/>
        <v>0</v>
      </c>
      <c r="BQ7" s="18"/>
      <c r="BR7" s="18"/>
      <c r="BS7" s="18"/>
    </row>
    <row r="8" spans="1:71" s="17" customFormat="1" x14ac:dyDescent="0.35">
      <c r="A8" s="32" t="s">
        <v>35</v>
      </c>
      <c r="B8" s="30">
        <f>COUNTIFS([1]Cadavers!J:J,"ECOR",[1]Cadavers!A:A,"in storage",[1]Cadavers!AO:AO,"Y",[1]Cadavers!L:L,"M")</f>
        <v>6</v>
      </c>
      <c r="C8" s="30">
        <f>COUNTIFS([1]Cadavers!J:J,"ECOR",[1]Cadavers!A:A,"in storage",[1]Cadavers!AO:AO,"Y",[1]Cadavers!L:L,"F")</f>
        <v>3</v>
      </c>
      <c r="D8" s="30">
        <f>COUNTIFS([1]Cadavers!J:J,"ECOR",[1]Cadavers!A:A,"in storage",[1]Cadavers!AO:AO,"Y",[1]Cadavers!L:L,"ND")</f>
        <v>0</v>
      </c>
      <c r="E8" s="31">
        <f>COUNTIFS([1]Cadavers!J:J,"ECOR",[1]Cadavers!A:A,"in storage",[1]Cadavers!AO:AO,"Y")</f>
        <v>9</v>
      </c>
      <c r="F8" s="30">
        <f>COUNTIFS([1]Cadavers!J:J,"ECOR",[1]Cadavers!A:A,"in storage",[1]Cadavers!AO:AO,"N",[1]Cadavers!L:L,"M")</f>
        <v>5</v>
      </c>
      <c r="G8" s="30">
        <f>COUNTIFS([1]Cadavers!J:J,"ECOR",[1]Cadavers!A:A,"in storage",[1]Cadavers!AO:AO,"N",[1]Cadavers!L:L,"F")</f>
        <v>6</v>
      </c>
      <c r="H8" s="31">
        <f>COUNTIFS([1]Cadavers!J:J,"ECOR",[1]Cadavers!A:A,"in storage",[1]Cadavers!AO:AO,"N")</f>
        <v>11</v>
      </c>
      <c r="I8" s="30">
        <f>COUNTIFS([1]Cadavers!J:J,"ECOR")</f>
        <v>31</v>
      </c>
      <c r="J8" s="30">
        <f>COUNTIFS([1]Cadavers!J:J,"ECOR",[1]Cadavers!A:A,"gone")</f>
        <v>8</v>
      </c>
      <c r="K8" s="30">
        <f>COUNTIFS([1]Cadavers!J:J,"ECOR",[1]Cadavers!AQ:AQ,"Y*")</f>
        <v>13</v>
      </c>
      <c r="L8" s="30">
        <f>COUNTIFS([1]Cadavers!J:J,"ECOR",[1]Cadavers!A:A,"ARK")</f>
        <v>3</v>
      </c>
      <c r="M8" s="19">
        <f>COUNTIFS([1]Cadavers!J:J,"ECOR",[1]Cadavers!A:A,"in storage")</f>
        <v>20</v>
      </c>
      <c r="N8" s="28">
        <f>COUNTIFS([1]Tissues!K:K,"ECOR",[1]Tissues!A:A,"in storage",[1]Tissues!AB:AB,"*adrenal*")</f>
        <v>10</v>
      </c>
      <c r="O8" s="28">
        <f>COUNTIFS([1]Tissues!K:K,"ECOR",[1]Tissues!A:A,"in storage",[1]Tissues!AB:AB,"*kidney*")</f>
        <v>42</v>
      </c>
      <c r="P8" s="28">
        <f>COUNTIFS([1]Tissues!K:K,"ECOR",[1]Tissues!A:A,"in storage",[1]Tissues!AB:AB,"*spleen*")</f>
        <v>26</v>
      </c>
      <c r="Q8" s="28">
        <f>COUNTIFS([1]Tissues!K:K,"ECOR",[1]Tissues!A:A,"in storage",[1]Tissues!AB:AB,"*U- bladder*")</f>
        <v>1</v>
      </c>
      <c r="R8" s="28">
        <f>COUNTIFS([1]Tissues!K:K,"ECOR",[1]Tissues!A:A,"in storage",[1]Tissues!AB:AB,"*R- *")</f>
        <v>12</v>
      </c>
      <c r="S8" s="28">
        <f>COUNTIFS([1]Tissues!K:K,"ECOR",[1]Tissues!A:A,"in storage",[1]Tissues!AB:AB,"*liver*")</f>
        <v>47</v>
      </c>
      <c r="T8" s="28">
        <f>COUNTIFS([1]Tissues!K:K,"ECOR",[1]Tissues!A:A,"in storage",[1]Tissues!AB:AB,"*gallbladder*")</f>
        <v>1</v>
      </c>
      <c r="U8" s="28">
        <f>COUNTIFS([1]Tissues!K:K,"ECOR",[1]Tissues!A:A,"in storage",[1]Tissues!AB:AB,"*pancreas*")</f>
        <v>14</v>
      </c>
      <c r="V8" s="28">
        <f>COUNTIFS([1]Tissues!K:K,"ECOR",[1]Tissues!A:A,"in storage",[1]Tissues!AB:AB,"*GI-*")</f>
        <v>26</v>
      </c>
      <c r="W8" s="28">
        <f>COUNTIFS([1]Tissues!K:K,"ECOR",[1]Tissues!A:A,"in storage",[1]Tissues!AB:AB,"*lung*")</f>
        <v>35</v>
      </c>
      <c r="X8" s="28">
        <f>COUNTIFS([1]Tissues!K:K,"ECOR",[1]Tissues!A:A,"in storage",[1]Tissues!AB:AB,"*heart*")</f>
        <v>29</v>
      </c>
      <c r="Y8" s="28">
        <f>COUNTIFS([1]Tissues!K:K,"ECOR",[1]Tissues!A:A,"in storage",[1]Tissues!AB:AB,"*thyroid*")</f>
        <v>3</v>
      </c>
      <c r="Z8" s="28">
        <f>COUNTIFS([1]Tissues!K:K,"ECOR",[1]Tissues!A:A,"in storage",[1]Tissues!AB:AB,"*esophagus*")</f>
        <v>3</v>
      </c>
      <c r="AA8" s="28">
        <f>COUNTIFS([1]Tissues!K:K,"ECOR",[1]Tissues!A:A,"in storage",[1]Tissues!AB:AB,"*trachea*")</f>
        <v>3</v>
      </c>
      <c r="AB8" s="28">
        <f>COUNTIFS([1]Tissues!K:K,"ECOR",[1]Tissues!A:A,"in storage",[1]Tissues!AB:AB,"*eye*")</f>
        <v>6</v>
      </c>
      <c r="AC8" s="28">
        <f>COUNTIFS([1]Tissues!K:K,"ECOR",[1]Tissues!A:A,"in storage",[1]Tissues!AB:AB,"*skin*")</f>
        <v>13</v>
      </c>
      <c r="AD8" s="28">
        <f>COUNTIFS([1]Tissues!K:K,"ECOR",[1]Tissues!A:A,"in storage",[1]Tissues!AB:AB,"*muscle*")</f>
        <v>21</v>
      </c>
      <c r="AE8" s="28">
        <f>COUNTIFS([1]Tissues!K:K,"ECOR",[1]Tissues!A:A,"in storage",[1]Tissues!AB:AB,"*digit*")</f>
        <v>2</v>
      </c>
      <c r="AF8" s="28">
        <f>COUNTIFS([1]Tissues!K:K,"ECOR",[1]Tissues!A:A,"in storage",[1]Tissues!AB:AB,"*fat*")</f>
        <v>1</v>
      </c>
      <c r="AG8" s="28">
        <f>COUNTIFS([1]Tissues!K:K,"ECOR",[1]Tissues!A:A,"in storage",[1]Tissues!AB:AB,"*lymph node*")</f>
        <v>0</v>
      </c>
      <c r="AH8" s="28">
        <f>COUNTIFS([1]Tissues!K:K,"ECOR",[1]Tissues!A:A,"in storage",[1]Tissues!AB:AB,"*Mass*")</f>
        <v>11</v>
      </c>
      <c r="AI8" s="28">
        <f>COUNTIFS([1]Tissues!K:K,"ECOR",[1]Tissues!A:A,"in storage",[1]Tissues!AB:AB,"*tooth*")</f>
        <v>1</v>
      </c>
      <c r="AJ8" s="28">
        <f>COUNTIFS([1]Tissues!K:K,"ECOR",[1]Tissues!A:A,"in storage",[1]Tissues!AB:AB,"*tail*")</f>
        <v>1</v>
      </c>
      <c r="AK8" s="28">
        <f t="shared" si="0"/>
        <v>28</v>
      </c>
      <c r="AL8" s="19">
        <f>COUNTIFS([1]Tissues!K:K,"ECOR",[1]Tissues!A:A,"in storage")</f>
        <v>336</v>
      </c>
      <c r="AM8" s="26">
        <f>COUNTIFS([1]Brains!J:J,"ECOR",[1]Brains!A:A,"IS_whole")</f>
        <v>0</v>
      </c>
      <c r="AN8" s="26">
        <f>COUNTIFS([1]Brains!J:J,"ECOR",[1]Brains!A:A,"IS_partial_brain")</f>
        <v>2</v>
      </c>
      <c r="AO8" s="26">
        <f>COUNTIFS([1]Brains!J:J,"ECOR",[1]Brains!A:A,"IS_partial_FC_RNAlater")</f>
        <v>1</v>
      </c>
      <c r="AP8" s="19">
        <f>COUNTIFS([1]Brains!J:J,"ECOR",[1]Brains!A:A,"IS*")</f>
        <v>3</v>
      </c>
      <c r="AQ8" s="25">
        <f>COUNTIFS([1]Urine!K:K,"ECOR",[1]Urine!M:M,"M",[1]Urine!A:A,"IS_alqt_plus")</f>
        <v>43</v>
      </c>
      <c r="AR8" s="25">
        <f>COUNTIFS([1]Urine!K:K,"ECOR",[1]Urine!M:M,"F",[1]Urine!A:A,"IS_alqt_plus")</f>
        <v>35</v>
      </c>
      <c r="AS8" s="19">
        <f>COUNTIFS([1]Urine!K:K,"ECOR",[1]Urine!A:A,"IS*")</f>
        <v>104</v>
      </c>
      <c r="AT8" s="24">
        <f>SUMIFS([1]Urine!AC:AC,[1]Urine!K:K,"ECOR",[1]Urine!A:A,"IS*")</f>
        <v>86.700000000000045</v>
      </c>
      <c r="AU8" s="23">
        <f>COUNTIFS([1]Blood_Products!K:K,"ECOR",[1]Blood_Products!AB:AB,"WB",[1]Blood_Products!M:M,"M",[1]Blood_Products!A:A,"IS_alqt_plus")</f>
        <v>118</v>
      </c>
      <c r="AV8" s="23">
        <f>COUNTIFS([1]Blood_Products!K:K,"ECOR",[1]Blood_Products!AB:AB,"WB",[1]Blood_Products!M:M,"F",[1]Blood_Products!A:A,"IS_alqt_plus")</f>
        <v>127</v>
      </c>
      <c r="AW8" s="22">
        <f>COUNTIFS([1]Blood_Products!K:K,"ECOR",[1]Blood_Products!A:A,"IS*",[1]Blood_Products!AB:AB,"WB")</f>
        <v>253</v>
      </c>
      <c r="AX8" s="21">
        <f>SUMIFS([1]Blood_Products!AF:AF,[1]Blood_Products!K:K,"ECOR",[1]Blood_Products!A:A,"IS*",[1]Blood_Products!AB:AB,"WB")</f>
        <v>180.6699999999995</v>
      </c>
      <c r="AY8" s="23">
        <f>COUNTIFS([1]Blood_Products!K:K,"ECOR",[1]Blood_Products!AB:AB,"serum",[1]Blood_Products!M:M,"M",[1]Blood_Products!A:A,"IS_alqt_plus")</f>
        <v>126</v>
      </c>
      <c r="AZ8" s="23">
        <f>COUNTIFS([1]Blood_Products!K:K,"ECOR",[1]Blood_Products!AB:AB,"serum",[1]Blood_Products!M:M,"F",[1]Blood_Products!A:A,"IS_alqt_plus")</f>
        <v>136</v>
      </c>
      <c r="BA8" s="22">
        <f>COUNTIFS([1]Blood_Products!K:K,"ECOR",[1]Blood_Products!A:A,"IS*",[1]Blood_Products!AB:AB,"serum")</f>
        <v>268</v>
      </c>
      <c r="BB8" s="21">
        <f>SUMIFS([1]Blood_Products!AF:AF,[1]Blood_Products!K:K,"ECOR",[1]Blood_Products!A:A,"IS*",[1]Blood_Products!AB:AB,"serum")</f>
        <v>214.59999999999945</v>
      </c>
      <c r="BC8" s="23">
        <f>COUNTIFS([1]Blood_Products!K:K,"ECOR",[1]Blood_Products!AB:AB,"plasma",[1]Blood_Products!M:M,"M",[1]Blood_Products!A:A,"IS_alqt_plus")</f>
        <v>0</v>
      </c>
      <c r="BD8" s="23">
        <f>COUNTIFS([1]Blood_Products!K:K,"ECOR",[1]Blood_Products!AB:AB,"plasma",[1]Blood_Products!M:M,"F",[1]Blood_Products!A:A,"IS_alqt_plus")</f>
        <v>0</v>
      </c>
      <c r="BE8" s="22">
        <f>COUNTIFS([1]Blood_Products!K:K,"ECOR",[1]Blood_Products!A:A,"IS*",[1]Blood_Products!AB:AB,"plasma")</f>
        <v>0</v>
      </c>
      <c r="BF8" s="21">
        <f>SUMIFS([1]Blood_Products!AF:AF,[1]Blood_Products!K:K,"ECOR",[1]Blood_Products!A:A,"IS*",[1]Blood_Products!AB:AB,"plasma")</f>
        <v>0</v>
      </c>
      <c r="BG8" s="23">
        <f>COUNTIFS([1]Blood_Products!K:K,"ECOR",[1]Blood_Products!AB:AB,"PRBC",[1]Blood_Products!M:M,"M",[1]Blood_Products!A:A,"IS_alqt_plus")</f>
        <v>0</v>
      </c>
      <c r="BH8" s="23">
        <f>COUNTIFS([1]Blood_Products!K:K,"ECOR",[1]Blood_Products!AB:AB,"PRBC",[1]Blood_Products!M:M,"F",[1]Blood_Products!A:A,"IS_alqt_plus")</f>
        <v>0</v>
      </c>
      <c r="BI8" s="22">
        <f>COUNTIFS([1]Blood_Products!K:K,"ECOR",[1]Blood_Products!A:A,"IS*",[1]Blood_Products!AB:AB,"PRBC")</f>
        <v>0</v>
      </c>
      <c r="BJ8" s="21">
        <f>SUMIFS([1]Blood_Products!AF:AF,[1]Blood_Products!K:K,"ECOR",[1]Blood_Products!A:A,"IS*",[1]Blood_Products!AB:AB,"PRBC")</f>
        <v>0</v>
      </c>
      <c r="BK8" s="20">
        <f>COUNTIFS([1]Feces!K:K,"ECOR",[1]Feces!A:A,"in storage",[1]Feces!AB:AB,"feces",[1]Feces!M:M,"M")</f>
        <v>1</v>
      </c>
      <c r="BL8" s="20">
        <f>COUNTIFS([1]Feces!K:K,"ECOR",[1]Feces!A:A,"in storage",[1]Feces!AB:AB,"feces",[1]Feces!M:M,"F")</f>
        <v>9</v>
      </c>
      <c r="BM8" s="19">
        <f t="shared" si="1"/>
        <v>10</v>
      </c>
      <c r="BN8" s="20">
        <f>COUNTIFS([1]Feces!K:K,"ECOR",[1]Feces!A:A,"in storage",[1]Feces!AB:AB,"fecal swab",[1]Feces!M:M,"M")</f>
        <v>0</v>
      </c>
      <c r="BO8" s="20">
        <f>COUNTIFS([1]Feces!K:K,"ECOR",[1]Feces!A:A,"in storage",[1]Feces!AB:AB,"fecal swab",[1]Feces!M:M,"F")</f>
        <v>0</v>
      </c>
      <c r="BP8" s="19">
        <f t="shared" si="2"/>
        <v>0</v>
      </c>
      <c r="BQ8" s="18"/>
      <c r="BR8" s="18"/>
      <c r="BS8" s="18"/>
    </row>
    <row r="9" spans="1:71" s="17" customFormat="1" x14ac:dyDescent="0.35">
      <c r="A9" s="32" t="s">
        <v>34</v>
      </c>
      <c r="B9" s="30">
        <f>COUNTIFS([1]Cadavers!J:J,"EFLA",[1]Cadavers!A:A,"in storage",[1]Cadavers!AO:AO,"Y",[1]Cadavers!L:L,"M")</f>
        <v>11</v>
      </c>
      <c r="C9" s="30">
        <f>COUNTIFS([1]Cadavers!J:J,"EFLA",[1]Cadavers!A:A,"in storage",[1]Cadavers!AO:AO,"Y",[1]Cadavers!L:L,"F")</f>
        <v>7</v>
      </c>
      <c r="D9" s="30">
        <f>COUNTIFS([1]Cadavers!J:J,"EFLA",[1]Cadavers!A:A,"in storage",[1]Cadavers!AO:AO,"Y",[1]Cadavers!L:L,"ND")</f>
        <v>0</v>
      </c>
      <c r="E9" s="31">
        <f>COUNTIFS([1]Cadavers!J:J,"EFLA",[1]Cadavers!A:A,"in storage",[1]Cadavers!AO:AO,"Y")</f>
        <v>18</v>
      </c>
      <c r="F9" s="30">
        <f>COUNTIFS([1]Cadavers!J:J,"EFLA",[1]Cadavers!A:A,"in storage",[1]Cadavers!AO:AO,"N",[1]Cadavers!L:L,"M")</f>
        <v>8</v>
      </c>
      <c r="G9" s="30">
        <f>COUNTIFS([1]Cadavers!J:J,"EFLA",[1]Cadavers!A:A,"in storage",[1]Cadavers!AO:AO,"N",[1]Cadavers!L:L,"F")</f>
        <v>5</v>
      </c>
      <c r="H9" s="31">
        <f>COUNTIFS([1]Cadavers!J:J,"EFLA",[1]Cadavers!A:A,"in storage",[1]Cadavers!AO:AO,"N")</f>
        <v>13</v>
      </c>
      <c r="I9" s="30">
        <f>COUNTIFS([1]Cadavers!J:J,"EFLA")</f>
        <v>46</v>
      </c>
      <c r="J9" s="30">
        <f>COUNTIFS([1]Cadavers!J:J,"EFLA",[1]Cadavers!A:A,"gone")</f>
        <v>12</v>
      </c>
      <c r="K9" s="30">
        <f>COUNTIFS([1]Cadavers!J:J,"EFLA",[1]Cadavers!AQ:AQ,"Y*")</f>
        <v>3</v>
      </c>
      <c r="L9" s="30">
        <f>COUNTIFS([1]Cadavers!J:J,"EFLA",[1]Cadavers!A:A,"ARK")</f>
        <v>3</v>
      </c>
      <c r="M9" s="19">
        <f>COUNTIFS([1]Cadavers!J:J,"EFLA",[1]Cadavers!A:A,"in storage")</f>
        <v>31</v>
      </c>
      <c r="N9" s="28">
        <f>COUNTIFS([1]Tissues!K:K,"EFLA",[1]Tissues!A:A,"in storage",[1]Tissues!AB:AB,"*adrenal*")</f>
        <v>10</v>
      </c>
      <c r="O9" s="28">
        <f>COUNTIFS([1]Tissues!K:K,"EFLA",[1]Tissues!A:A,"in storage",[1]Tissues!AB:AB,"*kidney*")</f>
        <v>76</v>
      </c>
      <c r="P9" s="28">
        <f>COUNTIFS([1]Tissues!K:K,"EFLA",[1]Tissues!A:A,"in storage",[1]Tissues!AB:AB,"*spleen*")</f>
        <v>56</v>
      </c>
      <c r="Q9" s="28">
        <f>COUNTIFS([1]Tissues!K:K,"EFLA",[1]Tissues!A:A,"in storage",[1]Tissues!AB:AB,"*U- bladder*")</f>
        <v>15</v>
      </c>
      <c r="R9" s="28">
        <f>COUNTIFS([1]Tissues!K:K,"EFLA",[1]Tissues!A:A,"in storage",[1]Tissues!AB:AB,"*R- *")</f>
        <v>42</v>
      </c>
      <c r="S9" s="28">
        <f>COUNTIFS([1]Tissues!K:K,"EFLA",[1]Tissues!A:A,"in storage",[1]Tissues!AB:AB,"*liver*")</f>
        <v>88</v>
      </c>
      <c r="T9" s="28">
        <f>COUNTIFS([1]Tissues!K:K,"EFLA",[1]Tissues!A:A,"in storage",[1]Tissues!AB:AB,"*gallbladder*")</f>
        <v>3</v>
      </c>
      <c r="U9" s="28">
        <f>COUNTIFS([1]Tissues!K:K,"EFLA",[1]Tissues!A:A,"in storage",[1]Tissues!AB:AB,"*pancreas*")</f>
        <v>31</v>
      </c>
      <c r="V9" s="28">
        <f>COUNTIFS([1]Tissues!K:K,"EFLA",[1]Tissues!A:A,"in storage",[1]Tissues!AB:AB,"*GI-*")</f>
        <v>32</v>
      </c>
      <c r="W9" s="28">
        <f>COUNTIFS([1]Tissues!K:K,"EFLA",[1]Tissues!A:A,"in storage",[1]Tissues!AB:AB,"*lung*")</f>
        <v>73</v>
      </c>
      <c r="X9" s="28">
        <f>COUNTIFS([1]Tissues!K:K,"EFLA",[1]Tissues!A:A,"in storage",[1]Tissues!AB:AB,"*heart*")</f>
        <v>51</v>
      </c>
      <c r="Y9" s="28">
        <f>COUNTIFS([1]Tissues!K:K,"EFLA",[1]Tissues!A:A,"in storage",[1]Tissues!AB:AB,"*thyroid*")</f>
        <v>9</v>
      </c>
      <c r="Z9" s="28">
        <f>COUNTIFS([1]Tissues!K:K,"EFLA",[1]Tissues!A:A,"in storage",[1]Tissues!AB:AB,"*esophagus*")</f>
        <v>2</v>
      </c>
      <c r="AA9" s="28">
        <f>COUNTIFS([1]Tissues!K:K,"EFLA",[1]Tissues!A:A,"in storage",[1]Tissues!AB:AB,"*trachea*")</f>
        <v>6</v>
      </c>
      <c r="AB9" s="28">
        <f>COUNTIFS([1]Tissues!K:K,"EFLA",[1]Tissues!A:A,"in storage",[1]Tissues!AB:AB,"*eye*")</f>
        <v>8</v>
      </c>
      <c r="AC9" s="28">
        <f>COUNTIFS([1]Tissues!K:K,"EFLA",[1]Tissues!A:A,"in storage",[1]Tissues!AB:AB,"*skin*")</f>
        <v>30</v>
      </c>
      <c r="AD9" s="28">
        <f>COUNTIFS([1]Tissues!K:K,"EFLA",[1]Tissues!A:A,"in storage",[1]Tissues!AB:AB,"*muscle*")</f>
        <v>30</v>
      </c>
      <c r="AE9" s="28">
        <f>COUNTIFS([1]Tissues!K:K,"EFLA",[1]Tissues!A:A,"in storage",[1]Tissues!AB:AB,"*digit*")</f>
        <v>0</v>
      </c>
      <c r="AF9" s="28">
        <f>COUNTIFS([1]Tissues!K:K,"EFLA",[1]Tissues!A:A,"in storage",[1]Tissues!AB:AB,"*fat*")</f>
        <v>0</v>
      </c>
      <c r="AG9" s="28">
        <f>COUNTIFS([1]Tissues!K:K,"EFLA",[1]Tissues!A:A,"in storage",[1]Tissues!AB:AB,"*lymph node*")</f>
        <v>2</v>
      </c>
      <c r="AH9" s="28">
        <f>COUNTIFS([1]Tissues!K:K,"EFLA",[1]Tissues!A:A,"in storage",[1]Tissues!AB:AB,"*Mass*")</f>
        <v>10</v>
      </c>
      <c r="AI9" s="28">
        <f>COUNTIFS([1]Tissues!K:K,"EFLA",[1]Tissues!A:A,"in storage",[1]Tissues!AB:AB,"*tooth*")</f>
        <v>1</v>
      </c>
      <c r="AJ9" s="28">
        <f>COUNTIFS([1]Tissues!K:K,"EFLA",[1]Tissues!A:A,"in storage",[1]Tissues!AB:AB,"*tail*")</f>
        <v>1</v>
      </c>
      <c r="AK9" s="28">
        <f t="shared" si="0"/>
        <v>34</v>
      </c>
      <c r="AL9" s="19">
        <f>COUNTIFS([1]Tissues!K:K,"EFLA",[1]Tissues!A:A,"in storage")</f>
        <v>610</v>
      </c>
      <c r="AM9" s="26">
        <f>COUNTIFS([1]Brains!J:J,"EFLA",[1]Brains!A:A,"IS_whole")</f>
        <v>1</v>
      </c>
      <c r="AN9" s="26">
        <f>COUNTIFS([1]Brains!J:J,"EFLA",[1]Brains!A:A,"IS_partial_brain")</f>
        <v>3</v>
      </c>
      <c r="AO9" s="26">
        <f>COUNTIFS([1]Brains!J:J,"EFLA",[1]Brains!A:A,"IS_partial_FC_RNAlater")</f>
        <v>7</v>
      </c>
      <c r="AP9" s="19">
        <f>COUNTIFS([1]Brains!J:J,"EFLA",[1]Brains!A:A,"IS*")</f>
        <v>11</v>
      </c>
      <c r="AQ9" s="25">
        <f>COUNTIFS([1]Urine!K:K,"EFLA",[1]Urine!M:M,"M",[1]Urine!A:A,"IS_alqt_plus")</f>
        <v>166</v>
      </c>
      <c r="AR9" s="25">
        <f>COUNTIFS([1]Urine!K:K,"EFLA",[1]Urine!M:M,"F",[1]Urine!A:A,"IS_alqt_plus")</f>
        <v>283</v>
      </c>
      <c r="AS9" s="19">
        <f>COUNTIFS([1]Urine!K:K,"EFLA",[1]Urine!A:A,"IS*")</f>
        <v>525</v>
      </c>
      <c r="AT9" s="24">
        <f>SUMIFS([1]Urine!AC:AC,[1]Urine!K:K,"EFLA",[1]Urine!A:A,"IS*")</f>
        <v>464.65000000000009</v>
      </c>
      <c r="AU9" s="23">
        <f>COUNTIFS([1]Blood_Products!K:K,"EFLA",[1]Blood_Products!AB:AB,"WB",[1]Blood_Products!M:M,"M",[1]Blood_Products!A:A,"IS_alqt_plus")</f>
        <v>229</v>
      </c>
      <c r="AV9" s="23">
        <f>COUNTIFS([1]Blood_Products!K:K,"EFLA",[1]Blood_Products!AB:AB,"WB",[1]Blood_Products!M:M,"F",[1]Blood_Products!A:A,"IS_alqt_plus")</f>
        <v>249</v>
      </c>
      <c r="AW9" s="22">
        <f>COUNTIFS([1]Blood_Products!K:K,"EFLA",[1]Blood_Products!A:A,"IS*",[1]Blood_Products!AB:AB,"WB")</f>
        <v>486</v>
      </c>
      <c r="AX9" s="21">
        <f>SUMIFS([1]Blood_Products!AF:AF,[1]Blood_Products!K:K,"EFLA",[1]Blood_Products!A:A,"IS*",[1]Blood_Products!AB:AB,"WB")</f>
        <v>348.5499999999991</v>
      </c>
      <c r="AY9" s="23">
        <f>COUNTIFS([1]Blood_Products!K:K,"EFLA",[1]Blood_Products!AB:AB,"serum",[1]Blood_Products!M:M,"M",[1]Blood_Products!A:A,"IS_alqt_plus")</f>
        <v>381</v>
      </c>
      <c r="AZ9" s="23">
        <f>COUNTIFS([1]Blood_Products!K:K,"EFLA",[1]Blood_Products!AB:AB,"serum",[1]Blood_Products!M:M,"F",[1]Blood_Products!A:A,"IS_alqt_plus")</f>
        <v>400</v>
      </c>
      <c r="BA9" s="22">
        <f>COUNTIFS([1]Blood_Products!K:K,"EFLA",[1]Blood_Products!A:A,"IS*",[1]Blood_Products!AB:AB,"serum")</f>
        <v>788</v>
      </c>
      <c r="BB9" s="21">
        <f>SUMIFS([1]Blood_Products!AF:AF,[1]Blood_Products!K:K,"EFLA",[1]Blood_Products!A:A,"IS*",[1]Blood_Products!AB:AB,"serum")</f>
        <v>521.74999999999875</v>
      </c>
      <c r="BC9" s="23">
        <f>COUNTIFS([1]Blood_Products!K:K,"EFLA",[1]Blood_Products!AB:AB,"plasma",[1]Blood_Products!M:M,"M",[1]Blood_Products!A:A,"IS_alqt_plus")</f>
        <v>0</v>
      </c>
      <c r="BD9" s="23">
        <f>COUNTIFS([1]Blood_Products!K:K,"EFLA",[1]Blood_Products!AB:AB,"plasma",[1]Blood_Products!M:M,"F",[1]Blood_Products!A:A,"IS_alqt_plus")</f>
        <v>12</v>
      </c>
      <c r="BE9" s="22">
        <f>COUNTIFS([1]Blood_Products!K:K,"EFLA",[1]Blood_Products!A:A,"IS*",[1]Blood_Products!AB:AB,"plasma")</f>
        <v>12</v>
      </c>
      <c r="BF9" s="21">
        <f>SUMIFS([1]Blood_Products!AF:AF,[1]Blood_Products!K:K,"EFLA",[1]Blood_Products!A:A,"IS*",[1]Blood_Products!AB:AB,"plasma")</f>
        <v>6.8</v>
      </c>
      <c r="BG9" s="23">
        <f>COUNTIFS([1]Blood_Products!K:K,"EFLA",[1]Blood_Products!AB:AB,"PRBC",[1]Blood_Products!M:M,"M",[1]Blood_Products!A:A,"IS_alqt_plus")</f>
        <v>0</v>
      </c>
      <c r="BH9" s="23">
        <f>COUNTIFS([1]Blood_Products!K:K,"EFLA",[1]Blood_Products!AB:AB,"PRBC",[1]Blood_Products!M:M,"F",[1]Blood_Products!A:A,"IS_alqt_plus")</f>
        <v>1</v>
      </c>
      <c r="BI9" s="22">
        <f>COUNTIFS([1]Blood_Products!K:K,"EFLA",[1]Blood_Products!A:A,"IS*",[1]Blood_Products!AB:AB,"PRBC")</f>
        <v>1</v>
      </c>
      <c r="BJ9" s="21">
        <f>SUMIFS([1]Blood_Products!AF:AF,[1]Blood_Products!K:K,"EFLA",[1]Blood_Products!A:A,"IS*",[1]Blood_Products!AB:AB,"PRBC")</f>
        <v>1</v>
      </c>
      <c r="BK9" s="20">
        <f>COUNTIFS([1]Feces!K:K,"EFLA",[1]Feces!A:A,"in storage",[1]Feces!AB:AB,"feces",[1]Feces!M:M,"M")</f>
        <v>1</v>
      </c>
      <c r="BL9" s="20">
        <f>COUNTIFS([1]Feces!K:K,"EFLA",[1]Feces!A:A,"in storage",[1]Feces!AB:AB,"feces",[1]Feces!M:M,"F")</f>
        <v>3</v>
      </c>
      <c r="BM9" s="19">
        <f t="shared" si="1"/>
        <v>4</v>
      </c>
      <c r="BN9" s="20">
        <f>COUNTIFS([1]Feces!K:K,"EFLA",[1]Feces!A:A,"in storage",[1]Feces!AB:AB,"fecal swab",[1]Feces!M:M,"M")</f>
        <v>0</v>
      </c>
      <c r="BO9" s="20">
        <f>COUNTIFS([1]Feces!K:K,"EFLA",[1]Feces!A:A,"in storage",[1]Feces!AB:AB,"fecal swab",[1]Feces!M:M,"F")</f>
        <v>0</v>
      </c>
      <c r="BP9" s="19">
        <f t="shared" si="2"/>
        <v>0</v>
      </c>
      <c r="BQ9" s="18"/>
      <c r="BR9" s="18"/>
      <c r="BS9" s="18"/>
    </row>
    <row r="10" spans="1:71" s="17" customFormat="1" x14ac:dyDescent="0.35">
      <c r="A10" s="32" t="s">
        <v>33</v>
      </c>
      <c r="B10" s="30">
        <f>COUNTIFS([1]Cadavers!J:J,"EFUL",[1]Cadavers!A:A,"in storage",[1]Cadavers!AO:AO,"Y",[1]Cadavers!L:L,"M")</f>
        <v>2</v>
      </c>
      <c r="C10" s="30">
        <f>COUNTIFS([1]Cadavers!J:J,"EFUL",[1]Cadavers!A:A,"in storage",[1]Cadavers!AO:AO,"Y",[1]Cadavers!L:L,"F")</f>
        <v>3</v>
      </c>
      <c r="D10" s="30">
        <f>COUNTIFS([1]Cadavers!J:J,"EFUL",[1]Cadavers!A:A,"in storage",[1]Cadavers!AO:AO,"Y",[1]Cadavers!L:L,"ND")</f>
        <v>0</v>
      </c>
      <c r="E10" s="31">
        <f>COUNTIFS([1]Cadavers!J:J,"EFUL",[1]Cadavers!A:A,"in storage",[1]Cadavers!AO:AO,"Y")</f>
        <v>5</v>
      </c>
      <c r="F10" s="30">
        <f>COUNTIFS([1]Cadavers!J:J,"EFUL",[1]Cadavers!A:A,"in storage",[1]Cadavers!AO:AO,"N",[1]Cadavers!L:L,"M")</f>
        <v>0</v>
      </c>
      <c r="G10" s="30">
        <f>COUNTIFS([1]Cadavers!J:J,"EFUL",[1]Cadavers!A:A,"in storage",[1]Cadavers!AO:AO,"N",[1]Cadavers!L:L,"F")</f>
        <v>1</v>
      </c>
      <c r="H10" s="31">
        <f>COUNTIFS([1]Cadavers!J:J,"EFUL",[1]Cadavers!A:A,"in storage",[1]Cadavers!AO:AO,"N")</f>
        <v>1</v>
      </c>
      <c r="I10" s="30">
        <f>COUNTIFS([1]Cadavers!J:J,"EFUL")</f>
        <v>7</v>
      </c>
      <c r="J10" s="30">
        <f>COUNTIFS([1]Cadavers!J:J,"EFUL",[1]Cadavers!A:A,"gone")</f>
        <v>0</v>
      </c>
      <c r="K10" s="30">
        <f>COUNTIFS([1]Cadavers!J:J,"EFUL",[1]Cadavers!AQ:AQ,"Y*")</f>
        <v>0</v>
      </c>
      <c r="L10" s="30">
        <f>COUNTIFS([1]Cadavers!J:J,"EFUL",[1]Cadavers!A:A,"ARK")</f>
        <v>1</v>
      </c>
      <c r="M10" s="19">
        <f>COUNTIFS([1]Cadavers!J:J,"EFUL",[1]Cadavers!A:A,"in storage")</f>
        <v>6</v>
      </c>
      <c r="N10" s="28">
        <f>COUNTIFS([1]Tissues!K:K,"EFUL",[1]Tissues!A:A,"in storage",[1]Tissues!AB:AB,"*adrenal*")</f>
        <v>0</v>
      </c>
      <c r="O10" s="28">
        <f>COUNTIFS([1]Tissues!K:K,"EFUL",[1]Tissues!A:A,"in storage",[1]Tissues!AB:AB,"*kidney*")</f>
        <v>4</v>
      </c>
      <c r="P10" s="28">
        <f>COUNTIFS([1]Tissues!K:K,"EFUL",[1]Tissues!A:A,"in storage",[1]Tissues!AB:AB,"*spleen*")</f>
        <v>2</v>
      </c>
      <c r="Q10" s="28">
        <f>COUNTIFS([1]Tissues!K:K,"EFUL",[1]Tissues!A:A,"in storage",[1]Tissues!AB:AB,"*U- bladder*")</f>
        <v>0</v>
      </c>
      <c r="R10" s="28">
        <f>COUNTIFS([1]Tissues!K:K,"EFUL",[1]Tissues!A:A,"in storage",[1]Tissues!AB:AB,"*R- *")</f>
        <v>1</v>
      </c>
      <c r="S10" s="28">
        <f>COUNTIFS([1]Tissues!K:K,"EFUL",[1]Tissues!A:A,"in storage",[1]Tissues!AB:AB,"*liver*")</f>
        <v>3</v>
      </c>
      <c r="T10" s="28">
        <f>COUNTIFS([1]Tissues!K:K,"EFUL",[1]Tissues!A:A,"in storage",[1]Tissues!AB:AB,"*gallbladder*")</f>
        <v>0</v>
      </c>
      <c r="U10" s="28">
        <f>COUNTIFS([1]Tissues!K:K,"EFUL",[1]Tissues!A:A,"in storage",[1]Tissues!AB:AB,"*pancreas*")</f>
        <v>2</v>
      </c>
      <c r="V10" s="28">
        <f>COUNTIFS([1]Tissues!K:K,"EFUL",[1]Tissues!A:A,"in storage",[1]Tissues!AB:AB,"*GI-*")</f>
        <v>0</v>
      </c>
      <c r="W10" s="28">
        <f>COUNTIFS([1]Tissues!K:K,"EFUL",[1]Tissues!A:A,"in storage",[1]Tissues!AB:AB,"*lung*")</f>
        <v>4</v>
      </c>
      <c r="X10" s="28">
        <f>COUNTIFS([1]Tissues!K:K,"EFUL",[1]Tissues!A:A,"in storage",[1]Tissues!AB:AB,"*heart*")</f>
        <v>3</v>
      </c>
      <c r="Y10" s="28">
        <f>COUNTIFS([1]Tissues!K:K,"EFUL",[1]Tissues!A:A,"in storage",[1]Tissues!AB:AB,"*thyroid*")</f>
        <v>0</v>
      </c>
      <c r="Z10" s="28">
        <f>COUNTIFS([1]Tissues!K:K,"EFUL",[1]Tissues!A:A,"in storage",[1]Tissues!AB:AB,"*esophagus*")</f>
        <v>0</v>
      </c>
      <c r="AA10" s="28">
        <f>COUNTIFS([1]Tissues!K:K,"EFUL",[1]Tissues!A:A,"in storage",[1]Tissues!AB:AB,"*trachea*")</f>
        <v>0</v>
      </c>
      <c r="AB10" s="28">
        <f>COUNTIFS([1]Tissues!K:K,"EFUL",[1]Tissues!A:A,"in storage",[1]Tissues!AB:AB,"*eye*")</f>
        <v>1</v>
      </c>
      <c r="AC10" s="28">
        <f>COUNTIFS([1]Tissues!K:K,"EFUL",[1]Tissues!A:A,"in storage",[1]Tissues!AB:AB,"*skin*")</f>
        <v>2</v>
      </c>
      <c r="AD10" s="28">
        <f>COUNTIFS([1]Tissues!K:K,"EFUL",[1]Tissues!A:A,"in storage",[1]Tissues!AB:AB,"*muscle*")</f>
        <v>2</v>
      </c>
      <c r="AE10" s="28">
        <f>COUNTIFS([1]Tissues!K:K,"EFUL",[1]Tissues!A:A,"in storage",[1]Tissues!AB:AB,"*digit*")</f>
        <v>0</v>
      </c>
      <c r="AF10" s="28">
        <f>COUNTIFS([1]Tissues!K:K,"EFUL",[1]Tissues!A:A,"in storage",[1]Tissues!AB:AB,"*fat*")</f>
        <v>0</v>
      </c>
      <c r="AG10" s="28">
        <f>COUNTIFS([1]Tissues!K:K,"EFUL",[1]Tissues!A:A,"in storage",[1]Tissues!AB:AB,"*lymph node*")</f>
        <v>0</v>
      </c>
      <c r="AH10" s="28">
        <f>COUNTIFS([1]Tissues!K:K,"EFUL",[1]Tissues!A:A,"in storage",[1]Tissues!AB:AB,"*Mass*")</f>
        <v>0</v>
      </c>
      <c r="AI10" s="28">
        <f>COUNTIFS([1]Tissues!K:K,"EFUL",[1]Tissues!A:A,"in storage",[1]Tissues!AB:AB,"*tooth*")</f>
        <v>0</v>
      </c>
      <c r="AJ10" s="28">
        <f>COUNTIFS([1]Tissues!K:K,"EFUL",[1]Tissues!A:A,"in storage",[1]Tissues!AB:AB,"*tail*")</f>
        <v>0</v>
      </c>
      <c r="AK10" s="28">
        <f t="shared" si="0"/>
        <v>3</v>
      </c>
      <c r="AL10" s="19">
        <f>COUNTIFS([1]Tissues!K:K,"EFUL",[1]Tissues!A:A,"in storage")</f>
        <v>27</v>
      </c>
      <c r="AM10" s="26">
        <f>COUNTIFS([1]Brains!J:J,"EFUL",[1]Brains!A:A,"IS_whole")</f>
        <v>0</v>
      </c>
      <c r="AN10" s="26">
        <f>COUNTIFS([1]Brains!J:J,"EFUL",[1]Brains!A:A,"IS_partial_brain")</f>
        <v>0</v>
      </c>
      <c r="AO10" s="26">
        <f>COUNTIFS([1]Brains!J:J,"EFUL",[1]Brains!A:A,"IS_partial_FC_RNAlater")</f>
        <v>0</v>
      </c>
      <c r="AP10" s="19">
        <f>COUNTIFS([1]Brains!J:J,"EFUL",[1]Brains!A:A,"IS*")</f>
        <v>0</v>
      </c>
      <c r="AQ10" s="25">
        <f>COUNTIFS([1]Urine!K:K,"EFUL",[1]Urine!M:M,"M",[1]Urine!A:A,"IS_alqt_plus")</f>
        <v>0</v>
      </c>
      <c r="AR10" s="25">
        <f>COUNTIFS([1]Urine!K:K,"EFUL",[1]Urine!M:M,"F",[1]Urine!A:A,"IS_alqt_plus")</f>
        <v>6</v>
      </c>
      <c r="AS10" s="19">
        <f>COUNTIFS([1]Urine!K:K,"EFUL",[1]Urine!A:A,"IS*")</f>
        <v>6</v>
      </c>
      <c r="AT10" s="24">
        <f>SUMIFS([1]Urine!AC:AC,[1]Urine!K:K,"EFUL",[1]Urine!A:A,"IS*")</f>
        <v>5.2000000000000011</v>
      </c>
      <c r="AU10" s="23">
        <f>COUNTIFS([1]Blood_Products!K:K,"EFUL",[1]Blood_Products!AB:AB,"WB",[1]Blood_Products!M:M,"M",[1]Blood_Products!A:A,"IS_alqt_plus")</f>
        <v>5</v>
      </c>
      <c r="AV10" s="23">
        <f>COUNTIFS([1]Blood_Products!K:K,"EFUL",[1]Blood_Products!AB:AB,"WB",[1]Blood_Products!M:M,"F",[1]Blood_Products!A:A,"IS_alqt_plus")</f>
        <v>24</v>
      </c>
      <c r="AW10" s="22">
        <f>COUNTIFS([1]Blood_Products!K:K,"EFUL",[1]Blood_Products!A:A,"IS*",[1]Blood_Products!AB:AB,"WB")</f>
        <v>30</v>
      </c>
      <c r="AX10" s="21">
        <f>SUMIFS([1]Blood_Products!AF:AF,[1]Blood_Products!K:K,"EFUL",[1]Blood_Products!A:A,"IS*",[1]Blood_Products!AB:AB,"WB")</f>
        <v>21.400000000000002</v>
      </c>
      <c r="AY10" s="23">
        <f>COUNTIFS([1]Blood_Products!K:K,"EFUL",[1]Blood_Products!AB:AB,"serum",[1]Blood_Products!M:M,"M",[1]Blood_Products!A:A,"IS_alqt_plus")</f>
        <v>6</v>
      </c>
      <c r="AZ10" s="23">
        <f>COUNTIFS([1]Blood_Products!K:K,"EFUL",[1]Blood_Products!AB:AB,"serum",[1]Blood_Products!M:M,"F",[1]Blood_Products!A:A,"IS_alqt_plus")</f>
        <v>34</v>
      </c>
      <c r="BA10" s="22">
        <f>COUNTIFS([1]Blood_Products!K:K,"EFUL",[1]Blood_Products!A:A,"IS*",[1]Blood_Products!AB:AB,"serum")</f>
        <v>40</v>
      </c>
      <c r="BB10" s="21">
        <f>SUMIFS([1]Blood_Products!AF:AF,[1]Blood_Products!K:K,"EFUL",[1]Blood_Products!A:A,"IS*",[1]Blood_Products!AB:AB,"serum")</f>
        <v>37.9</v>
      </c>
      <c r="BC10" s="23">
        <f>COUNTIFS([1]Blood_Products!K:K,"EFUL",[1]Blood_Products!AB:AB,"plasma",[1]Blood_Products!M:M,"M",[1]Blood_Products!A:A,"IS_alqt_plus")</f>
        <v>0</v>
      </c>
      <c r="BD10" s="23">
        <f>COUNTIFS([1]Blood_Products!K:K,"EFUL",[1]Blood_Products!AB:AB,"plasma",[1]Blood_Products!M:M,"F",[1]Blood_Products!A:A,"IS_alqt_plus")</f>
        <v>0</v>
      </c>
      <c r="BE10" s="22">
        <f>COUNTIFS([1]Blood_Products!K:K,"EFUL",[1]Blood_Products!A:A,"IS*",[1]Blood_Products!AB:AB,"plasma")</f>
        <v>0</v>
      </c>
      <c r="BF10" s="21">
        <f>SUMIFS([1]Blood_Products!AF:AF,[1]Blood_Products!K:K,"EFUL",[1]Blood_Products!A:A,"IS*",[1]Blood_Products!AB:AB,"plasma")</f>
        <v>0</v>
      </c>
      <c r="BG10" s="23">
        <f>COUNTIFS([1]Blood_Products!K:K,"EFUL",[1]Blood_Products!AB:AB,"PRBC",[1]Blood_Products!M:M,"M",[1]Blood_Products!A:A,"IS_alqt_plus")</f>
        <v>0</v>
      </c>
      <c r="BH10" s="23">
        <f>COUNTIFS([1]Blood_Products!K:K,"EFUL",[1]Blood_Products!AB:AB,"PRBC",[1]Blood_Products!M:M,"F",[1]Blood_Products!A:A,"IS_alqt_plus")</f>
        <v>0</v>
      </c>
      <c r="BI10" s="22">
        <f>COUNTIFS([1]Blood_Products!K:K,"EFUL",[1]Blood_Products!A:A,"IS*",[1]Blood_Products!AB:AB,"PRBC")</f>
        <v>0</v>
      </c>
      <c r="BJ10" s="21">
        <f>SUMIFS([1]Blood_Products!AF:AF,[1]Blood_Products!K:K,"EFUL",[1]Blood_Products!A:A,"IS*",[1]Blood_Products!AB:AB,"PRBC")</f>
        <v>0</v>
      </c>
      <c r="BK10" s="20">
        <f>COUNTIFS([1]Feces!K:K,"EFUL",[1]Feces!A:A,"in storage",[1]Feces!AB:AB,"feces",[1]Feces!M:M,"M")</f>
        <v>0</v>
      </c>
      <c r="BL10" s="20">
        <f>COUNTIFS([1]Feces!K:K,"EFUL",[1]Feces!A:A,"in storage",[1]Feces!AB:AB,"feces",[1]Feces!M:M,"F")</f>
        <v>0</v>
      </c>
      <c r="BM10" s="19">
        <f t="shared" si="1"/>
        <v>0</v>
      </c>
      <c r="BN10" s="20">
        <f>COUNTIFS([1]Feces!K:K,"EFUL",[1]Feces!A:A,"in storage",[1]Feces!AB:AB,"fecal swab",[1]Feces!M:M,"M")</f>
        <v>0</v>
      </c>
      <c r="BO10" s="20">
        <f>COUNTIFS([1]Feces!K:K,"EFUL",[1]Feces!A:A,"in storage",[1]Feces!AB:AB,"fecal swab",[1]Feces!M:M,"F")</f>
        <v>0</v>
      </c>
      <c r="BP10" s="19">
        <f t="shared" si="2"/>
        <v>0</v>
      </c>
      <c r="BQ10" s="18"/>
      <c r="BR10" s="18"/>
      <c r="BS10" s="18"/>
    </row>
    <row r="11" spans="1:71" s="17" customFormat="1" x14ac:dyDescent="0.35">
      <c r="A11" s="32" t="s">
        <v>32</v>
      </c>
      <c r="B11" s="30">
        <f>COUNTIFS([1]Cadavers!J:J,"EMAC",[1]Cadavers!A:A,"in storage",[1]Cadavers!AO:AO,"Y",[1]Cadavers!L:L,"M")</f>
        <v>2</v>
      </c>
      <c r="C11" s="30">
        <f>COUNTIFS([1]Cadavers!J:J,"EMAC",[1]Cadavers!A:A,"in storage",[1]Cadavers!AO:AO,"Y",[1]Cadavers!L:L,"F")</f>
        <v>6</v>
      </c>
      <c r="D11" s="30">
        <f>COUNTIFS([1]Cadavers!J:J,"EMAC",[1]Cadavers!A:A,"in storage",[1]Cadavers!AO:AO,"Y",[1]Cadavers!L:L,"ND")</f>
        <v>1</v>
      </c>
      <c r="E11" s="31">
        <f>COUNTIFS([1]Cadavers!J:J,"EMAC",[1]Cadavers!A:A,"in storage",[1]Cadavers!AO:AO,"Y")</f>
        <v>9</v>
      </c>
      <c r="F11" s="30">
        <f>COUNTIFS([1]Cadavers!J:J,"EMAC",[1]Cadavers!A:A,"in storage",[1]Cadavers!AO:AO,"N",[1]Cadavers!L:L,"M")</f>
        <v>3</v>
      </c>
      <c r="G11" s="30">
        <f>COUNTIFS([1]Cadavers!J:J,"EMAC",[1]Cadavers!A:A,"in storage",[1]Cadavers!AO:AO,"N",[1]Cadavers!L:L,"F")</f>
        <v>3</v>
      </c>
      <c r="H11" s="31">
        <f>COUNTIFS([1]Cadavers!J:J,"EMAC",[1]Cadavers!A:A,"in storage",[1]Cadavers!AO:AO,"N")</f>
        <v>6</v>
      </c>
      <c r="I11" s="30">
        <f>COUNTIFS([1]Cadavers!J:J,"EMAC")</f>
        <v>18</v>
      </c>
      <c r="J11" s="30">
        <f>COUNTIFS([1]Cadavers!J:J,"EMAC",[1]Cadavers!A:A,"gone")</f>
        <v>0</v>
      </c>
      <c r="K11" s="30">
        <f>COUNTIFS([1]Cadavers!J:J,"EMAC",[1]Cadavers!AQ:AQ,"Y*")</f>
        <v>0</v>
      </c>
      <c r="L11" s="30">
        <f>COUNTIFS([1]Cadavers!J:J,"EMAC",[1]Cadavers!A:A,"ARK")</f>
        <v>2</v>
      </c>
      <c r="M11" s="19">
        <f>COUNTIFS([1]Cadavers!J:J,"EMAC",[1]Cadavers!A:A,"in storage")</f>
        <v>15</v>
      </c>
      <c r="N11" s="28">
        <f>COUNTIFS([1]Tissues!K:K,"EMAC",[1]Tissues!A:A,"in storage",[1]Tissues!AB:AB,"*adrenal*")</f>
        <v>2</v>
      </c>
      <c r="O11" s="28">
        <f>COUNTIFS([1]Tissues!K:K,"EMAC",[1]Tissues!A:A,"in storage",[1]Tissues!AB:AB,"*kidney*")</f>
        <v>34</v>
      </c>
      <c r="P11" s="28">
        <f>COUNTIFS([1]Tissues!K:K,"EMAC",[1]Tissues!A:A,"in storage",[1]Tissues!AB:AB,"*spleen*")</f>
        <v>23</v>
      </c>
      <c r="Q11" s="28">
        <f>COUNTIFS([1]Tissues!K:K,"EMAC",[1]Tissues!A:A,"in storage",[1]Tissues!AB:AB,"*U- bladder*")</f>
        <v>0</v>
      </c>
      <c r="R11" s="28">
        <f>COUNTIFS([1]Tissues!K:K,"EMAC",[1]Tissues!A:A,"in storage",[1]Tissues!AB:AB,"*R- *")</f>
        <v>10</v>
      </c>
      <c r="S11" s="28">
        <f>COUNTIFS([1]Tissues!K:K,"EMAC",[1]Tissues!A:A,"in storage",[1]Tissues!AB:AB,"*liver*")</f>
        <v>34</v>
      </c>
      <c r="T11" s="28">
        <f>COUNTIFS([1]Tissues!K:K,"EMAC",[1]Tissues!A:A,"in storage",[1]Tissues!AB:AB,"*gallbladder*")</f>
        <v>0</v>
      </c>
      <c r="U11" s="28">
        <f>COUNTIFS([1]Tissues!K:K,"EMAC",[1]Tissues!A:A,"in storage",[1]Tissues!AB:AB,"*pancreas*")</f>
        <v>10</v>
      </c>
      <c r="V11" s="28">
        <f>COUNTIFS([1]Tissues!K:K,"EMAC",[1]Tissues!A:A,"in storage",[1]Tissues!AB:AB,"*GI-*")</f>
        <v>16</v>
      </c>
      <c r="W11" s="28">
        <f>COUNTIFS([1]Tissues!K:K,"EMAC",[1]Tissues!A:A,"in storage",[1]Tissues!AB:AB,"*lung*")</f>
        <v>32</v>
      </c>
      <c r="X11" s="28">
        <f>COUNTIFS([1]Tissues!K:K,"EMAC",[1]Tissues!A:A,"in storage",[1]Tissues!AB:AB,"*heart*")</f>
        <v>21</v>
      </c>
      <c r="Y11" s="28">
        <f>COUNTIFS([1]Tissues!K:K,"EMAC",[1]Tissues!A:A,"in storage",[1]Tissues!AB:AB,"*thyroid*")</f>
        <v>4</v>
      </c>
      <c r="Z11" s="28">
        <f>COUNTIFS([1]Tissues!K:K,"EMAC",[1]Tissues!A:A,"in storage",[1]Tissues!AB:AB,"*esophagus*")</f>
        <v>1</v>
      </c>
      <c r="AA11" s="28">
        <f>COUNTIFS([1]Tissues!K:K,"EMAC",[1]Tissues!A:A,"in storage",[1]Tissues!AB:AB,"*trachea*")</f>
        <v>1</v>
      </c>
      <c r="AB11" s="28">
        <f>COUNTIFS([1]Tissues!K:K,"EMAC",[1]Tissues!A:A,"in storage",[1]Tissues!AB:AB,"*eye*")</f>
        <v>3</v>
      </c>
      <c r="AC11" s="28">
        <f>COUNTIFS([1]Tissues!K:K,"EMAC",[1]Tissues!A:A,"in storage",[1]Tissues!AB:AB,"*skin*")</f>
        <v>14</v>
      </c>
      <c r="AD11" s="28">
        <f>COUNTIFS([1]Tissues!K:K,"EMAC",[1]Tissues!A:A,"in storage",[1]Tissues!AB:AB,"*muscle*")</f>
        <v>14</v>
      </c>
      <c r="AE11" s="28">
        <f>COUNTIFS([1]Tissues!K:K,"EMAC",[1]Tissues!A:A,"in storage",[1]Tissues!AB:AB,"*digit*")</f>
        <v>0</v>
      </c>
      <c r="AF11" s="28">
        <f>COUNTIFS([1]Tissues!K:K,"EMAC",[1]Tissues!A:A,"in storage",[1]Tissues!AB:AB,"*fat*")</f>
        <v>0</v>
      </c>
      <c r="AG11" s="28">
        <f>COUNTIFS([1]Tissues!K:K,"EMAC",[1]Tissues!A:A,"in storage",[1]Tissues!AB:AB,"*lymph node*")</f>
        <v>2</v>
      </c>
      <c r="AH11" s="28">
        <f>COUNTIFS([1]Tissues!K:K,"EMAC",[1]Tissues!A:A,"in storage",[1]Tissues!AB:AB,"*Mass*")</f>
        <v>3</v>
      </c>
      <c r="AI11" s="28">
        <f>COUNTIFS([1]Tissues!K:K,"EMAC",[1]Tissues!A:A,"in storage",[1]Tissues!AB:AB,"*tooth*")</f>
        <v>2</v>
      </c>
      <c r="AJ11" s="28">
        <f>COUNTIFS([1]Tissues!K:K,"EMAC",[1]Tissues!A:A,"in storage",[1]Tissues!AB:AB,"*tail*")</f>
        <v>0</v>
      </c>
      <c r="AK11" s="28">
        <f t="shared" si="0"/>
        <v>14</v>
      </c>
      <c r="AL11" s="19">
        <f>COUNTIFS([1]Tissues!K:K,"EMAC",[1]Tissues!A:A,"in storage")</f>
        <v>240</v>
      </c>
      <c r="AM11" s="26">
        <f>COUNTIFS([1]Brains!J:J,"EMAC",[1]Brains!A:A,"IS_whole")</f>
        <v>1</v>
      </c>
      <c r="AN11" s="26">
        <f>COUNTIFS([1]Brains!J:J,"EMAC",[1]Brains!A:A,"IS_partial_brain")</f>
        <v>2</v>
      </c>
      <c r="AO11" s="26">
        <f>COUNTIFS([1]Brains!J:J,"EMAC",[1]Brains!A:A,"IS_partial_FC_RNAlater")</f>
        <v>0</v>
      </c>
      <c r="AP11" s="19">
        <f>COUNTIFS([1]Brains!J:J,"EMAC",[1]Brains!A:A,"IS*")</f>
        <v>3</v>
      </c>
      <c r="AQ11" s="25">
        <f>COUNTIFS([1]Urine!K:K,"EMAC",[1]Urine!M:M,"M",[1]Urine!A:A,"IS_alqt_plus")</f>
        <v>10</v>
      </c>
      <c r="AR11" s="25">
        <f>COUNTIFS([1]Urine!K:K,"EMAC",[1]Urine!M:M,"F",[1]Urine!A:A,"IS_alqt_plus")</f>
        <v>1</v>
      </c>
      <c r="AS11" s="19">
        <f>COUNTIFS([1]Urine!K:K,"EMAC",[1]Urine!A:A,"IS*")</f>
        <v>13</v>
      </c>
      <c r="AT11" s="24">
        <f>SUMIFS([1]Urine!AC:AC,[1]Urine!K:K,"EMAC",[1]Urine!A:A,"IS*")</f>
        <v>10.55</v>
      </c>
      <c r="AU11" s="23">
        <f>COUNTIFS([1]Blood_Products!K:K,"EMAC",[1]Blood_Products!AB:AB,"WB",[1]Blood_Products!M:M,"M",[1]Blood_Products!A:A,"IS_alqt_plus")</f>
        <v>127</v>
      </c>
      <c r="AV11" s="23">
        <f>COUNTIFS([1]Blood_Products!K:K,"EMAC",[1]Blood_Products!AB:AB,"WB",[1]Blood_Products!M:M,"F",[1]Blood_Products!A:A,"IS_alqt_plus")</f>
        <v>91</v>
      </c>
      <c r="AW11" s="22">
        <f>COUNTIFS([1]Blood_Products!K:K,"EMAC",[1]Blood_Products!A:A,"IS*",[1]Blood_Products!AB:AB,"WB")</f>
        <v>220</v>
      </c>
      <c r="AX11" s="21">
        <f>SUMIFS([1]Blood_Products!AF:AF,[1]Blood_Products!K:K,"EMAC",[1]Blood_Products!A:A,"IS*",[1]Blood_Products!AB:AB,"WB")</f>
        <v>234.78999999999988</v>
      </c>
      <c r="AY11" s="23">
        <f>COUNTIFS([1]Blood_Products!K:K,"EMAC",[1]Blood_Products!AB:AB,"serum",[1]Blood_Products!M:M,"M",[1]Blood_Products!A:A,"IS_alqt_plus")</f>
        <v>117</v>
      </c>
      <c r="AZ11" s="23">
        <f>COUNTIFS([1]Blood_Products!K:K,"EMAC",[1]Blood_Products!AB:AB,"serum",[1]Blood_Products!M:M,"F",[1]Blood_Products!A:A,"IS_alqt_plus")</f>
        <v>81</v>
      </c>
      <c r="BA11" s="22">
        <f>COUNTIFS([1]Blood_Products!K:K,"EMAC",[1]Blood_Products!A:A,"IS*",[1]Blood_Products!AB:AB,"serum")</f>
        <v>198</v>
      </c>
      <c r="BB11" s="21">
        <f>SUMIFS([1]Blood_Products!AF:AF,[1]Blood_Products!K:K,"EMAC",[1]Blood_Products!A:A,"IS*",[1]Blood_Products!AB:AB,"serum")</f>
        <v>227.25</v>
      </c>
      <c r="BC11" s="23">
        <f>COUNTIFS([1]Blood_Products!K:K,"EMAC",[1]Blood_Products!AB:AB,"plasma",[1]Blood_Products!M:M,"M",[1]Blood_Products!A:A,"IS_alqt_plus")</f>
        <v>0</v>
      </c>
      <c r="BD11" s="23">
        <f>COUNTIFS([1]Blood_Products!K:K,"EMAC",[1]Blood_Products!AB:AB,"plasma",[1]Blood_Products!M:M,"F",[1]Blood_Products!A:A,"IS_alqt_plus")</f>
        <v>0</v>
      </c>
      <c r="BE11" s="22">
        <f>COUNTIFS([1]Blood_Products!K:K,"EMAC",[1]Blood_Products!A:A,"IS*",[1]Blood_Products!AB:AB,"plasma")</f>
        <v>0</v>
      </c>
      <c r="BF11" s="21">
        <f>SUMIFS([1]Blood_Products!AF:AF,[1]Blood_Products!K:K,"EMAC",[1]Blood_Products!A:A,"IS*",[1]Blood_Products!AB:AB,"plasma")</f>
        <v>0</v>
      </c>
      <c r="BG11" s="23">
        <f>COUNTIFS([1]Blood_Products!K:K,"EMAC",[1]Blood_Products!AB:AB,"PRBC",[1]Blood_Products!M:M,"M",[1]Blood_Products!A:A,"IS_alqt_plus")</f>
        <v>0</v>
      </c>
      <c r="BH11" s="23">
        <f>COUNTIFS([1]Blood_Products!K:K,"EMAC",[1]Blood_Products!AB:AB,"PRBC",[1]Blood_Products!M:M,"F",[1]Blood_Products!A:A,"IS_alqt_plus")</f>
        <v>0</v>
      </c>
      <c r="BI11" s="22">
        <f>COUNTIFS([1]Blood_Products!K:K,"EMAC",[1]Blood_Products!A:A,"IS*",[1]Blood_Products!AB:AB,"PRBC")</f>
        <v>0</v>
      </c>
      <c r="BJ11" s="21">
        <f>SUMIFS([1]Blood_Products!AF:AF,[1]Blood_Products!K:K,"EMAC",[1]Blood_Products!A:A,"IS*",[1]Blood_Products!AB:AB,"PRBC")</f>
        <v>0</v>
      </c>
      <c r="BK11" s="20">
        <f>COUNTIFS([1]Feces!K:K,"EMAC",[1]Feces!A:A,"in storage",[1]Feces!AB:AB,"feces",[1]Feces!M:M,"M")</f>
        <v>2</v>
      </c>
      <c r="BL11" s="20">
        <f>COUNTIFS([1]Feces!K:K,"EMAC",[1]Feces!A:A,"in storage",[1]Feces!AB:AB,"feces",[1]Feces!M:M,"F")</f>
        <v>0</v>
      </c>
      <c r="BM11" s="19">
        <f t="shared" si="1"/>
        <v>2</v>
      </c>
      <c r="BN11" s="20">
        <f>COUNTIFS([1]Feces!K:K,"EMAC",[1]Feces!A:A,"in storage",[1]Feces!AB:AB,"fecal swab",[1]Feces!M:M,"M")</f>
        <v>0</v>
      </c>
      <c r="BO11" s="20">
        <f>COUNTIFS([1]Feces!K:K,"EMAC",[1]Feces!A:A,"in storage",[1]Feces!AB:AB,"fecal swab",[1]Feces!M:M,"F")</f>
        <v>0</v>
      </c>
      <c r="BP11" s="19">
        <f t="shared" si="2"/>
        <v>0</v>
      </c>
      <c r="BQ11" s="18"/>
      <c r="BR11" s="18"/>
      <c r="BS11" s="18"/>
    </row>
    <row r="12" spans="1:71" s="17" customFormat="1" x14ac:dyDescent="0.35">
      <c r="A12" s="32" t="s">
        <v>31</v>
      </c>
      <c r="B12" s="30">
        <f>COUNTIFS([1]Cadavers!J:J,"EMON",[1]Cadavers!A:A,"in storage",[1]Cadavers!AO:AO,"Y",[1]Cadavers!L:L,"M")</f>
        <v>8</v>
      </c>
      <c r="C12" s="30">
        <f>COUNTIFS([1]Cadavers!J:J,"EMON",[1]Cadavers!A:A,"in storage",[1]Cadavers!AO:AO,"Y",[1]Cadavers!L:L,"F")</f>
        <v>5</v>
      </c>
      <c r="D12" s="30">
        <f>COUNTIFS([1]Cadavers!J:J,"EMON",[1]Cadavers!A:A,"in storage",[1]Cadavers!AO:AO,"Y",[1]Cadavers!L:L,"ND")</f>
        <v>1</v>
      </c>
      <c r="E12" s="31">
        <f>COUNTIFS([1]Cadavers!J:J,"EMON",[1]Cadavers!A:A,"in storage",[1]Cadavers!AO:AO,"Y")</f>
        <v>14</v>
      </c>
      <c r="F12" s="30">
        <f>COUNTIFS([1]Cadavers!J:J,"EMON",[1]Cadavers!A:A,"in storage",[1]Cadavers!AO:AO,"N",[1]Cadavers!L:L,"M")</f>
        <v>6</v>
      </c>
      <c r="G12" s="30">
        <f>COUNTIFS([1]Cadavers!J:J,"EMON",[1]Cadavers!A:A,"in storage",[1]Cadavers!AO:AO,"N",[1]Cadavers!L:L,"F")</f>
        <v>6</v>
      </c>
      <c r="H12" s="31">
        <f>COUNTIFS([1]Cadavers!J:J,"EMON",[1]Cadavers!A:A,"in storage",[1]Cadavers!AO:AO,"N")</f>
        <v>12</v>
      </c>
      <c r="I12" s="30">
        <f>COUNTIFS([1]Cadavers!J:J,"EMON")</f>
        <v>37</v>
      </c>
      <c r="J12" s="30">
        <f>COUNTIFS([1]Cadavers!J:J,"EMON",[1]Cadavers!A:A,"gone")</f>
        <v>9</v>
      </c>
      <c r="K12" s="30">
        <f>COUNTIFS([1]Cadavers!J:J,"EMON",[1]Cadavers!AQ:AQ,"Y*")</f>
        <v>6</v>
      </c>
      <c r="L12" s="30">
        <f>COUNTIFS([1]Cadavers!J:J,"EMON",[1]Cadavers!A:A,"ARK")</f>
        <v>2</v>
      </c>
      <c r="M12" s="19">
        <f>COUNTIFS([1]Cadavers!J:J,"EMON",[1]Cadavers!A:A,"in storage")</f>
        <v>26</v>
      </c>
      <c r="N12" s="28">
        <f>COUNTIFS([1]Tissues!K:K,"EMON",[1]Tissues!A:A,"in storage",[1]Tissues!AB:AB,"*adrenal*")</f>
        <v>3</v>
      </c>
      <c r="O12" s="28">
        <f>COUNTIFS([1]Tissues!K:K,"EMON",[1]Tissues!A:A,"in storage",[1]Tissues!AB:AB,"*kidney*")</f>
        <v>56</v>
      </c>
      <c r="P12" s="28">
        <f>COUNTIFS([1]Tissues!K:K,"EMON",[1]Tissues!A:A,"in storage",[1]Tissues!AB:AB,"*spleen*")</f>
        <v>28</v>
      </c>
      <c r="Q12" s="28">
        <f>COUNTIFS([1]Tissues!K:K,"EMON",[1]Tissues!A:A,"in storage",[1]Tissues!AB:AB,"*U- bladder*")</f>
        <v>4</v>
      </c>
      <c r="R12" s="28">
        <f>COUNTIFS([1]Tissues!K:K,"EMON",[1]Tissues!A:A,"in storage",[1]Tissues!AB:AB,"*R- *")</f>
        <v>25</v>
      </c>
      <c r="S12" s="28">
        <f>COUNTIFS([1]Tissues!K:K,"EMON",[1]Tissues!A:A,"in storage",[1]Tissues!AB:AB,"*liver*")</f>
        <v>51</v>
      </c>
      <c r="T12" s="28">
        <f>COUNTIFS([1]Tissues!K:K,"EMON",[1]Tissues!A:A,"in storage",[1]Tissues!AB:AB,"*gallbladder*")</f>
        <v>3</v>
      </c>
      <c r="U12" s="28">
        <f>COUNTIFS([1]Tissues!K:K,"EMON",[1]Tissues!A:A,"in storage",[1]Tissues!AB:AB,"*pancreas*")</f>
        <v>17</v>
      </c>
      <c r="V12" s="28">
        <f>COUNTIFS([1]Tissues!K:K,"EMON",[1]Tissues!A:A,"in storage",[1]Tissues!AB:AB,"*GI-*")</f>
        <v>25</v>
      </c>
      <c r="W12" s="28">
        <f>COUNTIFS([1]Tissues!K:K,"EMON",[1]Tissues!A:A,"in storage",[1]Tissues!AB:AB,"*lung*")</f>
        <v>46</v>
      </c>
      <c r="X12" s="28">
        <f>COUNTIFS([1]Tissues!K:K,"EMON",[1]Tissues!A:A,"in storage",[1]Tissues!AB:AB,"*heart*")</f>
        <v>31</v>
      </c>
      <c r="Y12" s="28">
        <f>COUNTIFS([1]Tissues!K:K,"EMON",[1]Tissues!A:A,"in storage",[1]Tissues!AB:AB,"*thyroid*")</f>
        <v>7</v>
      </c>
      <c r="Z12" s="28">
        <f>COUNTIFS([1]Tissues!K:K,"EMON",[1]Tissues!A:A,"in storage",[1]Tissues!AB:AB,"*esophagus*")</f>
        <v>2</v>
      </c>
      <c r="AA12" s="28">
        <f>COUNTIFS([1]Tissues!K:K,"EMON",[1]Tissues!A:A,"in storage",[1]Tissues!AB:AB,"*trachea*")</f>
        <v>3</v>
      </c>
      <c r="AB12" s="28">
        <f>COUNTIFS([1]Tissues!K:K,"EMON",[1]Tissues!A:A,"in storage",[1]Tissues!AB:AB,"*eye*")</f>
        <v>14</v>
      </c>
      <c r="AC12" s="28">
        <f>COUNTIFS([1]Tissues!K:K,"EMON",[1]Tissues!A:A,"in storage",[1]Tissues!AB:AB,"*skin*")</f>
        <v>26</v>
      </c>
      <c r="AD12" s="28">
        <f>COUNTIFS([1]Tissues!K:K,"EMON",[1]Tissues!A:A,"in storage",[1]Tissues!AB:AB,"*muscle*")</f>
        <v>24</v>
      </c>
      <c r="AE12" s="28">
        <f>COUNTIFS([1]Tissues!K:K,"EMON",[1]Tissues!A:A,"in storage",[1]Tissues!AB:AB,"*digit*")</f>
        <v>0</v>
      </c>
      <c r="AF12" s="28">
        <f>COUNTIFS([1]Tissues!K:K,"EMON",[1]Tissues!A:A,"in storage",[1]Tissues!AB:AB,"*fat*")</f>
        <v>0</v>
      </c>
      <c r="AG12" s="28">
        <f>COUNTIFS([1]Tissues!K:K,"EMON",[1]Tissues!A:A,"in storage",[1]Tissues!AB:AB,"*lymph node*")</f>
        <v>3</v>
      </c>
      <c r="AH12" s="28">
        <f>COUNTIFS([1]Tissues!K:K,"EMON",[1]Tissues!A:A,"in storage",[1]Tissues!AB:AB,"*Mass*")</f>
        <v>10</v>
      </c>
      <c r="AI12" s="28">
        <f>COUNTIFS([1]Tissues!K:K,"EMON",[1]Tissues!A:A,"in storage",[1]Tissues!AB:AB,"*tooth*")</f>
        <v>2</v>
      </c>
      <c r="AJ12" s="28">
        <f>COUNTIFS([1]Tissues!K:K,"EMON",[1]Tissues!A:A,"in storage",[1]Tissues!AB:AB,"*tail*")</f>
        <v>0</v>
      </c>
      <c r="AK12" s="28">
        <f t="shared" si="0"/>
        <v>20</v>
      </c>
      <c r="AL12" s="19">
        <f>COUNTIFS([1]Tissues!K:K,"EMON",[1]Tissues!A:A,"in storage")</f>
        <v>400</v>
      </c>
      <c r="AM12" s="26">
        <f>COUNTIFS([1]Brains!J:J,"EMON",[1]Brains!A:A,"IS_whole")</f>
        <v>3</v>
      </c>
      <c r="AN12" s="26">
        <f>COUNTIFS([1]Brains!J:J,"EMON",[1]Brains!A:A,"IS_partial_brain")</f>
        <v>2</v>
      </c>
      <c r="AO12" s="26">
        <f>COUNTIFS([1]Brains!J:J,"EMON",[1]Brains!A:A,"IS_partial_FC_RNAlater")</f>
        <v>3</v>
      </c>
      <c r="AP12" s="19">
        <f>COUNTIFS([1]Brains!J:J,"EMON",[1]Brains!A:A,"IS*")</f>
        <v>8</v>
      </c>
      <c r="AQ12" s="25">
        <f>COUNTIFS([1]Urine!K:K,"EMON",[1]Urine!M:M,"M",[1]Urine!A:A,"IS_alqt_plus")</f>
        <v>33</v>
      </c>
      <c r="AR12" s="25">
        <f>COUNTIFS([1]Urine!K:K,"EMON",[1]Urine!M:M,"F",[1]Urine!A:A,"IS_alqt_plus")</f>
        <v>55</v>
      </c>
      <c r="AS12" s="19">
        <f>COUNTIFS([1]Urine!K:K,"EMON",[1]Urine!A:A,"IS*")</f>
        <v>114</v>
      </c>
      <c r="AT12" s="24">
        <f>SUMIFS([1]Urine!AC:AC,[1]Urine!K:K,"EMON",[1]Urine!A:A,"IS*")</f>
        <v>98.449999999999989</v>
      </c>
      <c r="AU12" s="23">
        <f>COUNTIFS([1]Blood_Products!K:K,"EMON",[1]Blood_Products!AB:AB,"WB",[1]Blood_Products!M:M,"M",[1]Blood_Products!A:A,"IS_alqt_plus")</f>
        <v>156</v>
      </c>
      <c r="AV12" s="23">
        <f>COUNTIFS([1]Blood_Products!K:K,"EMON",[1]Blood_Products!AB:AB,"WB",[1]Blood_Products!M:M,"F",[1]Blood_Products!A:A,"IS_alqt_plus")</f>
        <v>126</v>
      </c>
      <c r="AW12" s="22">
        <f>COUNTIFS([1]Blood_Products!K:K,"EMON",[1]Blood_Products!A:A,"IS*",[1]Blood_Products!AB:AB,"WB")</f>
        <v>289</v>
      </c>
      <c r="AX12" s="21">
        <f>SUMIFS([1]Blood_Products!AF:AF,[1]Blood_Products!K:K,"EMON",[1]Blood_Products!A:A,"IS*",[1]Blood_Products!AB:AB,"WB")</f>
        <v>223.64999999999981</v>
      </c>
      <c r="AY12" s="23">
        <f>COUNTIFS([1]Blood_Products!K:K,"EMON",[1]Blood_Products!AB:AB,"serum",[1]Blood_Products!M:M,"M",[1]Blood_Products!A:A,"IS_alqt_plus")</f>
        <v>218</v>
      </c>
      <c r="AZ12" s="23">
        <f>COUNTIFS([1]Blood_Products!K:K,"EMON",[1]Blood_Products!AB:AB,"serum",[1]Blood_Products!M:M,"F",[1]Blood_Products!A:A,"IS_alqt_plus")</f>
        <v>176</v>
      </c>
      <c r="BA12" s="22">
        <f>COUNTIFS([1]Blood_Products!K:K,"EMON",[1]Blood_Products!A:A,"IS*",[1]Blood_Products!AB:AB,"serum")</f>
        <v>403</v>
      </c>
      <c r="BB12" s="21">
        <f>SUMIFS([1]Blood_Products!AF:AF,[1]Blood_Products!K:K,"EMON",[1]Blood_Products!A:A,"IS*",[1]Blood_Products!AB:AB,"serum")</f>
        <v>364.26999999999936</v>
      </c>
      <c r="BC12" s="23">
        <f>COUNTIFS([1]Blood_Products!K:K,"EMON",[1]Blood_Products!AB:AB,"plasma",[1]Blood_Products!M:M,"M",[1]Blood_Products!A:A,"IS_alqt_plus")</f>
        <v>0</v>
      </c>
      <c r="BD12" s="23">
        <f>COUNTIFS([1]Blood_Products!K:K,"EMON",[1]Blood_Products!AB:AB,"plasma",[1]Blood_Products!M:M,"F",[1]Blood_Products!A:A,"IS_alqt_plus")</f>
        <v>0</v>
      </c>
      <c r="BE12" s="22">
        <f>COUNTIFS([1]Blood_Products!K:K,"EMON",[1]Blood_Products!A:A,"IS*",[1]Blood_Products!AB:AB,"plasma")</f>
        <v>0</v>
      </c>
      <c r="BF12" s="21">
        <f>SUMIFS([1]Blood_Products!AF:AF,[1]Blood_Products!K:K,"EMON",[1]Blood_Products!A:A,"IS*",[1]Blood_Products!AB:AB,"plasma")</f>
        <v>0</v>
      </c>
      <c r="BG12" s="23">
        <f>COUNTIFS([1]Blood_Products!K:K,"EMON",[1]Blood_Products!AB:AB,"PRBC",[1]Blood_Products!M:M,"M",[1]Blood_Products!A:A,"IS_alqt_plus")</f>
        <v>0</v>
      </c>
      <c r="BH12" s="23">
        <f>COUNTIFS([1]Blood_Products!K:K,"EMON",[1]Blood_Products!AB:AB,"PRBC",[1]Blood_Products!M:M,"F",[1]Blood_Products!A:A,"IS_alqt_plus")</f>
        <v>2</v>
      </c>
      <c r="BI12" s="22">
        <f>COUNTIFS([1]Blood_Products!K:K,"EMON",[1]Blood_Products!A:A,"IS*",[1]Blood_Products!AB:AB,"PRBC")</f>
        <v>2</v>
      </c>
      <c r="BJ12" s="21">
        <f>SUMIFS([1]Blood_Products!AF:AF,[1]Blood_Products!K:K,"EMON",[1]Blood_Products!A:A,"IS*",[1]Blood_Products!AB:AB,"PRBC")</f>
        <v>1.8</v>
      </c>
      <c r="BK12" s="20">
        <f>COUNTIFS([1]Feces!K:K,"EMON",[1]Feces!A:A,"in storage",[1]Feces!AB:AB,"feces",[1]Feces!M:M,"M")</f>
        <v>5</v>
      </c>
      <c r="BL12" s="20">
        <f>COUNTIFS([1]Feces!K:K,"EMON",[1]Feces!A:A,"in storage",[1]Feces!AB:AB,"feces",[1]Feces!M:M,"F")</f>
        <v>8</v>
      </c>
      <c r="BM12" s="19">
        <f t="shared" si="1"/>
        <v>13</v>
      </c>
      <c r="BN12" s="20">
        <f>COUNTIFS([1]Feces!K:K,"EMON",[1]Feces!A:A,"in storage",[1]Feces!AB:AB,"fecal swab",[1]Feces!M:M,"M")</f>
        <v>0</v>
      </c>
      <c r="BO12" s="20">
        <f>COUNTIFS([1]Feces!K:K,"EMON",[1]Feces!A:A,"in storage",[1]Feces!AB:AB,"fecal swab",[1]Feces!M:M,"F")</f>
        <v>0</v>
      </c>
      <c r="BP12" s="19">
        <f t="shared" si="2"/>
        <v>0</v>
      </c>
      <c r="BQ12" s="18"/>
      <c r="BR12" s="18"/>
      <c r="BS12" s="18"/>
    </row>
    <row r="13" spans="1:71" s="17" customFormat="1" x14ac:dyDescent="0.35">
      <c r="A13" s="32" t="s">
        <v>30</v>
      </c>
      <c r="B13" s="30">
        <f>COUNTIFS([1]Cadavers!J:J,"ERUB",[1]Cadavers!A:A,"in storage",[1]Cadavers!AO:AO,"Y",[1]Cadavers!L:L,"M")</f>
        <v>0</v>
      </c>
      <c r="C13" s="30">
        <f>COUNTIFS([1]Cadavers!J:J,"ERUB",[1]Cadavers!A:A,"in storage",[1]Cadavers!AO:AO,"Y",[1]Cadavers!L:L,"F")</f>
        <v>0</v>
      </c>
      <c r="D13" s="30">
        <f>COUNTIFS([1]Cadavers!J:J,"ERUB",[1]Cadavers!A:A,"in storage",[1]Cadavers!AO:AO,"Y",[1]Cadavers!L:L,"ND")</f>
        <v>0</v>
      </c>
      <c r="E13" s="31">
        <f>COUNTIFS([1]Cadavers!J:J,"ERUB",[1]Cadavers!A:A,"in storage",[1]Cadavers!AO:AO,"Y")</f>
        <v>0</v>
      </c>
      <c r="F13" s="30">
        <f>COUNTIFS([1]Cadavers!J:J,"ERUB",[1]Cadavers!A:A,"in storage",[1]Cadavers!AO:AO,"N",[1]Cadavers!L:L,"M")</f>
        <v>3</v>
      </c>
      <c r="G13" s="30">
        <f>COUNTIFS([1]Cadavers!J:J,"ERUB",[1]Cadavers!A:A,"in storage",[1]Cadavers!AO:AO,"N",[1]Cadavers!L:L,"F")</f>
        <v>3</v>
      </c>
      <c r="H13" s="31">
        <f>COUNTIFS([1]Cadavers!J:J,"ERUB",[1]Cadavers!A:A,"in storage",[1]Cadavers!AO:AO,"N")</f>
        <v>6</v>
      </c>
      <c r="I13" s="30">
        <f>COUNTIFS([1]Cadavers!J:J,"ERUB")</f>
        <v>10</v>
      </c>
      <c r="J13" s="30">
        <f>COUNTIFS([1]Cadavers!J:J,"ERUB",[1]Cadavers!A:A,"gone")</f>
        <v>1</v>
      </c>
      <c r="K13" s="30">
        <f>COUNTIFS([1]Cadavers!J:J,"ERUB",[1]Cadavers!AQ:AQ,"Y*")</f>
        <v>1</v>
      </c>
      <c r="L13" s="30">
        <f>COUNTIFS([1]Cadavers!J:J,"ERUB",[1]Cadavers!A:A,"ARK")</f>
        <v>3</v>
      </c>
      <c r="M13" s="19">
        <f>COUNTIFS([1]Cadavers!J:J,"ERUB",[1]Cadavers!A:A,"in storage")</f>
        <v>6</v>
      </c>
      <c r="N13" s="28">
        <f>COUNTIFS([1]Tissues!K:K,"ERUB",[1]Tissues!A:A,"in storage",[1]Tissues!AB:AB,"*adrenal*")</f>
        <v>9</v>
      </c>
      <c r="O13" s="28">
        <f>COUNTIFS([1]Tissues!K:K,"ERUB",[1]Tissues!A:A,"in storage",[1]Tissues!AB:AB,"*kidney*")</f>
        <v>32</v>
      </c>
      <c r="P13" s="28">
        <f>COUNTIFS([1]Tissues!K:K,"ERUB",[1]Tissues!A:A,"in storage",[1]Tissues!AB:AB,"*spleen*")</f>
        <v>21</v>
      </c>
      <c r="Q13" s="28">
        <f>COUNTIFS([1]Tissues!K:K,"ERUB",[1]Tissues!A:A,"in storage",[1]Tissues!AB:AB,"*U- bladder*")</f>
        <v>0</v>
      </c>
      <c r="R13" s="28">
        <f>COUNTIFS([1]Tissues!K:K,"ERUB",[1]Tissues!A:A,"in storage",[1]Tissues!AB:AB,"*R- *")</f>
        <v>12</v>
      </c>
      <c r="S13" s="28">
        <f>COUNTIFS([1]Tissues!K:K,"ERUB",[1]Tissues!A:A,"in storage",[1]Tissues!AB:AB,"*liver*")</f>
        <v>29</v>
      </c>
      <c r="T13" s="28">
        <f>COUNTIFS([1]Tissues!K:K,"ERUB",[1]Tissues!A:A,"in storage",[1]Tissues!AB:AB,"*gallbladder*")</f>
        <v>0</v>
      </c>
      <c r="U13" s="28">
        <f>COUNTIFS([1]Tissues!K:K,"ERUB",[1]Tissues!A:A,"in storage",[1]Tissues!AB:AB,"*pancreas*")</f>
        <v>15</v>
      </c>
      <c r="V13" s="28">
        <f>COUNTIFS([1]Tissues!K:K,"ERUB",[1]Tissues!A:A,"in storage",[1]Tissues!AB:AB,"*GI-*")</f>
        <v>16</v>
      </c>
      <c r="W13" s="28">
        <f>COUNTIFS([1]Tissues!K:K,"ERUB",[1]Tissues!A:A,"in storage",[1]Tissues!AB:AB,"*lung*")</f>
        <v>31</v>
      </c>
      <c r="X13" s="28">
        <f>COUNTIFS([1]Tissues!K:K,"ERUB",[1]Tissues!A:A,"in storage",[1]Tissues!AB:AB,"*heart*")</f>
        <v>26</v>
      </c>
      <c r="Y13" s="28">
        <f>COUNTIFS([1]Tissues!K:K,"ERUB",[1]Tissues!A:A,"in storage",[1]Tissues!AB:AB,"*thyroid*")</f>
        <v>3</v>
      </c>
      <c r="Z13" s="28">
        <f>COUNTIFS([1]Tissues!K:K,"ERUB",[1]Tissues!A:A,"in storage",[1]Tissues!AB:AB,"*esophagus*")</f>
        <v>0</v>
      </c>
      <c r="AA13" s="28">
        <f>COUNTIFS([1]Tissues!K:K,"ERUB",[1]Tissues!A:A,"in storage",[1]Tissues!AB:AB,"*trachea*")</f>
        <v>3</v>
      </c>
      <c r="AB13" s="28">
        <f>COUNTIFS([1]Tissues!K:K,"ERUB",[1]Tissues!A:A,"in storage",[1]Tissues!AB:AB,"*eye*")</f>
        <v>5</v>
      </c>
      <c r="AC13" s="28">
        <f>COUNTIFS([1]Tissues!K:K,"ERUB",[1]Tissues!A:A,"in storage",[1]Tissues!AB:AB,"*skin*")</f>
        <v>14</v>
      </c>
      <c r="AD13" s="28">
        <f>COUNTIFS([1]Tissues!K:K,"ERUB",[1]Tissues!A:A,"in storage",[1]Tissues!AB:AB,"*muscle*")</f>
        <v>20</v>
      </c>
      <c r="AE13" s="28">
        <f>COUNTIFS([1]Tissues!K:K,"ERUB",[1]Tissues!A:A,"in storage",[1]Tissues!AB:AB,"*digit*")</f>
        <v>0</v>
      </c>
      <c r="AF13" s="28">
        <f>COUNTIFS([1]Tissues!K:K,"ERUB",[1]Tissues!A:A,"in storage",[1]Tissues!AB:AB,"*fat*")</f>
        <v>0</v>
      </c>
      <c r="AG13" s="28">
        <f>COUNTIFS([1]Tissues!K:K,"ERUB",[1]Tissues!A:A,"in storage",[1]Tissues!AB:AB,"*lymph node*")</f>
        <v>1</v>
      </c>
      <c r="AH13" s="28">
        <f>COUNTIFS([1]Tissues!K:K,"ERUB",[1]Tissues!A:A,"in storage",[1]Tissues!AB:AB,"*Mass*")</f>
        <v>1</v>
      </c>
      <c r="AI13" s="28">
        <f>COUNTIFS([1]Tissues!K:K,"ERUB",[1]Tissues!A:A,"in storage",[1]Tissues!AB:AB,"*tooth*")</f>
        <v>3</v>
      </c>
      <c r="AJ13" s="28">
        <f>COUNTIFS([1]Tissues!K:K,"ERUB",[1]Tissues!A:A,"in storage",[1]Tissues!AB:AB,"*tail*")</f>
        <v>0</v>
      </c>
      <c r="AK13" s="28">
        <f t="shared" si="0"/>
        <v>11</v>
      </c>
      <c r="AL13" s="19">
        <f>COUNTIFS([1]Tissues!K:K,"ERUB",[1]Tissues!A:A,"in storage")</f>
        <v>252</v>
      </c>
      <c r="AM13" s="26">
        <f>COUNTIFS([1]Brains!J:J,"ERUB",[1]Brains!A:A,"IS_whole")</f>
        <v>2</v>
      </c>
      <c r="AN13" s="26">
        <f>COUNTIFS([1]Brains!J:J,"ERUB",[1]Brains!A:A,"IS_partial_brain")</f>
        <v>3</v>
      </c>
      <c r="AO13" s="26">
        <f>COUNTIFS([1]Brains!J:J,"ERUB",[1]Brains!A:A,"IS_partial_FC_RNAlater")</f>
        <v>2</v>
      </c>
      <c r="AP13" s="19">
        <f>COUNTIFS([1]Brains!J:J,"ERUB",[1]Brains!A:A,"IS*")</f>
        <v>7</v>
      </c>
      <c r="AQ13" s="25">
        <f>COUNTIFS([1]Urine!K:K,"ERUB",[1]Urine!M:M,"M",[1]Urine!A:A,"IS_alqt_plus")</f>
        <v>6</v>
      </c>
      <c r="AR13" s="25">
        <f>COUNTIFS([1]Urine!K:K,"ERUB",[1]Urine!M:M,"F",[1]Urine!A:A,"IS_alqt_plus")</f>
        <v>10</v>
      </c>
      <c r="AS13" s="19">
        <f>COUNTIFS([1]Urine!K:K,"ERUB",[1]Urine!A:A,"IS*")</f>
        <v>16</v>
      </c>
      <c r="AT13" s="24">
        <f>SUMIFS([1]Urine!AC:AC,[1]Urine!K:K,"ERUB",[1]Urine!A:A,"IS*")</f>
        <v>17.25</v>
      </c>
      <c r="AU13" s="23">
        <f>COUNTIFS([1]Blood_Products!K:K,"ERUB",[1]Blood_Products!AB:AB,"WB",[1]Blood_Products!M:M,"M",[1]Blood_Products!A:A,"IS_alqt_plus")</f>
        <v>36</v>
      </c>
      <c r="AV13" s="23">
        <f>COUNTIFS([1]Blood_Products!K:K,"ERUB",[1]Blood_Products!AB:AB,"WB",[1]Blood_Products!M:M,"F",[1]Blood_Products!A:A,"IS_alqt_plus")</f>
        <v>108</v>
      </c>
      <c r="AW13" s="22">
        <f>COUNTIFS([1]Blood_Products!K:K,"ERUB",[1]Blood_Products!A:A,"IS*",[1]Blood_Products!AB:AB,"WB")</f>
        <v>145</v>
      </c>
      <c r="AX13" s="21">
        <f>SUMIFS([1]Blood_Products!AF:AF,[1]Blood_Products!K:K,"ERUB",[1]Blood_Products!A:A,"IS*",[1]Blood_Products!AB:AB,"WB")</f>
        <v>126.35</v>
      </c>
      <c r="AY13" s="23">
        <f>COUNTIFS([1]Blood_Products!K:K,"ERUB",[1]Blood_Products!AB:AB,"serum",[1]Blood_Products!M:M,"M",[1]Blood_Products!A:A,"IS_alqt_plus")</f>
        <v>55</v>
      </c>
      <c r="AZ13" s="23">
        <f>COUNTIFS([1]Blood_Products!K:K,"ERUB",[1]Blood_Products!AB:AB,"serum",[1]Blood_Products!M:M,"F",[1]Blood_Products!A:A,"IS_alqt_plus")</f>
        <v>141</v>
      </c>
      <c r="BA13" s="22">
        <f>COUNTIFS([1]Blood_Products!K:K,"ERUB",[1]Blood_Products!A:A,"IS*",[1]Blood_Products!AB:AB,"serum")</f>
        <v>200</v>
      </c>
      <c r="BB13" s="21">
        <f>SUMIFS([1]Blood_Products!AF:AF,[1]Blood_Products!K:K,"ERUB",[1]Blood_Products!A:A,"IS*",[1]Blood_Products!AB:AB,"serum")</f>
        <v>187.60000000000002</v>
      </c>
      <c r="BC13" s="23">
        <f>COUNTIFS([1]Blood_Products!K:K,"ERUB",[1]Blood_Products!AB:AB,"plasma",[1]Blood_Products!M:M,"M",[1]Blood_Products!A:A,"IS_alqt_plus")</f>
        <v>0</v>
      </c>
      <c r="BD13" s="23">
        <f>COUNTIFS([1]Blood_Products!K:K,"ERUB",[1]Blood_Products!AB:AB,"plasma",[1]Blood_Products!M:M,"F",[1]Blood_Products!A:A,"IS_alqt_plus")</f>
        <v>0</v>
      </c>
      <c r="BE13" s="22">
        <f>COUNTIFS([1]Blood_Products!K:K,"ERUB",[1]Blood_Products!A:A,"IS*",[1]Blood_Products!AB:AB,"plasma")</f>
        <v>0</v>
      </c>
      <c r="BF13" s="21">
        <f>SUMIFS([1]Blood_Products!AF:AF,[1]Blood_Products!K:K,"ERUB",[1]Blood_Products!A:A,"IS*",[1]Blood_Products!AB:AB,"plasma")</f>
        <v>0</v>
      </c>
      <c r="BG13" s="23">
        <f>COUNTIFS([1]Blood_Products!K:K,"ERUB",[1]Blood_Products!AB:AB,"PRBC",[1]Blood_Products!M:M,"M",[1]Blood_Products!A:A,"IS_alqt_plus")</f>
        <v>4</v>
      </c>
      <c r="BH13" s="23">
        <f>COUNTIFS([1]Blood_Products!K:K,"ERUB",[1]Blood_Products!AB:AB,"PRBC",[1]Blood_Products!M:M,"F",[1]Blood_Products!A:A,"IS_alqt_plus")</f>
        <v>0</v>
      </c>
      <c r="BI13" s="22">
        <f>COUNTIFS([1]Blood_Products!K:K,"ERUB",[1]Blood_Products!A:A,"IS*",[1]Blood_Products!AB:AB,"PRBC")</f>
        <v>4</v>
      </c>
      <c r="BJ13" s="21">
        <f>SUMIFS([1]Blood_Products!AF:AF,[1]Blood_Products!K:K,"ERUB",[1]Blood_Products!A:A,"IS*",[1]Blood_Products!AB:AB,"PRBC")</f>
        <v>4.3999999999999995</v>
      </c>
      <c r="BK13" s="20">
        <f>COUNTIFS([1]Feces!K:K,"ERUB",[1]Feces!A:A,"in storage",[1]Feces!AB:AB,"feces",[1]Feces!M:M,"M")</f>
        <v>0</v>
      </c>
      <c r="BL13" s="20">
        <f>COUNTIFS([1]Feces!K:K,"ERUB",[1]Feces!A:A,"in storage",[1]Feces!AB:AB,"feces",[1]Feces!M:M,"F")</f>
        <v>6</v>
      </c>
      <c r="BM13" s="19">
        <f t="shared" si="1"/>
        <v>6</v>
      </c>
      <c r="BN13" s="20">
        <f>COUNTIFS([1]Feces!K:K,"ERUB",[1]Feces!A:A,"in storage",[1]Feces!AB:AB,"fecal swab",[1]Feces!M:M,"M")</f>
        <v>0</v>
      </c>
      <c r="BO13" s="20">
        <f>COUNTIFS([1]Feces!K:K,"ERUB",[1]Feces!A:A,"in storage",[1]Feces!AB:AB,"fecal swab",[1]Feces!M:M,"F")</f>
        <v>0</v>
      </c>
      <c r="BP13" s="19">
        <f t="shared" si="2"/>
        <v>0</v>
      </c>
      <c r="BQ13" s="18"/>
      <c r="BR13" s="18"/>
      <c r="BS13" s="18"/>
    </row>
    <row r="14" spans="1:71" s="17" customFormat="1" x14ac:dyDescent="0.35">
      <c r="A14" s="32" t="s">
        <v>29</v>
      </c>
      <c r="B14" s="30">
        <f>COUNTIFS([1]Cadavers!J:J,"ERUF",[1]Cadavers!A:A,"in storage",[1]Cadavers!AO:AO,"Y",[1]Cadavers!L:L,"M")</f>
        <v>5</v>
      </c>
      <c r="C14" s="30">
        <f>COUNTIFS([1]Cadavers!J:J,"ERUF",[1]Cadavers!A:A,"in storage",[1]Cadavers!AO:AO,"Y",[1]Cadavers!L:L,"F")</f>
        <v>2</v>
      </c>
      <c r="D14" s="30">
        <f>COUNTIFS([1]Cadavers!J:J,"ERUF",[1]Cadavers!A:A,"in storage",[1]Cadavers!AO:AO,"Y",[1]Cadavers!L:L,"ND")</f>
        <v>0</v>
      </c>
      <c r="E14" s="31">
        <f>COUNTIFS([1]Cadavers!J:J,"ERUF",[1]Cadavers!A:A,"in storage",[1]Cadavers!AO:AO,"Y")</f>
        <v>7</v>
      </c>
      <c r="F14" s="30">
        <f>COUNTIFS([1]Cadavers!J:J,"ERUF",[1]Cadavers!A:A,"in storage",[1]Cadavers!AO:AO,"N",[1]Cadavers!L:L,"M")</f>
        <v>4</v>
      </c>
      <c r="G14" s="30">
        <f>COUNTIFS([1]Cadavers!J:J,"ERUF",[1]Cadavers!A:A,"in storage",[1]Cadavers!AO:AO,"N",[1]Cadavers!L:L,"F")</f>
        <v>1</v>
      </c>
      <c r="H14" s="31">
        <f>COUNTIFS([1]Cadavers!J:J,"ERUF",[1]Cadavers!A:A,"in storage",[1]Cadavers!AO:AO,"N")</f>
        <v>5</v>
      </c>
      <c r="I14" s="30">
        <f>COUNTIFS([1]Cadavers!J:J,"ERUF")</f>
        <v>20</v>
      </c>
      <c r="J14" s="30">
        <f>COUNTIFS([1]Cadavers!J:J,"ERUF",[1]Cadavers!A:A,"gone")</f>
        <v>5</v>
      </c>
      <c r="K14" s="30">
        <f>COUNTIFS([1]Cadavers!J:J,"ERUF",[1]Cadavers!AQ:AQ,"Y*")</f>
        <v>0</v>
      </c>
      <c r="L14" s="30">
        <f>COUNTIFS([1]Cadavers!J:J,"ERUF",[1]Cadavers!A:A,"ARK")</f>
        <v>2</v>
      </c>
      <c r="M14" s="19">
        <f>COUNTIFS([1]Cadavers!J:J,"ERUF",[1]Cadavers!A:A,"in storage")</f>
        <v>12</v>
      </c>
      <c r="N14" s="28">
        <f>COUNTIFS([1]Tissues!K:K,"ERUF",[1]Tissues!A:A,"in storage",[1]Tissues!AB:AB,"*adrenal*")</f>
        <v>3</v>
      </c>
      <c r="O14" s="28">
        <f>COUNTIFS([1]Tissues!K:K,"ERUF",[1]Tissues!A:A,"in storage",[1]Tissues!AB:AB,"*kidney*")</f>
        <v>28</v>
      </c>
      <c r="P14" s="28">
        <f>COUNTIFS([1]Tissues!K:K,"ERUF",[1]Tissues!A:A,"in storage",[1]Tissues!AB:AB,"*spleen*")</f>
        <v>18</v>
      </c>
      <c r="Q14" s="28">
        <f>COUNTIFS([1]Tissues!K:K,"ERUF",[1]Tissues!A:A,"in storage",[1]Tissues!AB:AB,"*U- bladder*")</f>
        <v>1</v>
      </c>
      <c r="R14" s="28">
        <f>COUNTIFS([1]Tissues!K:K,"ERUF",[1]Tissues!A:A,"in storage",[1]Tissues!AB:AB,"*R- *")</f>
        <v>7</v>
      </c>
      <c r="S14" s="28">
        <f>COUNTIFS([1]Tissues!K:K,"ERUF",[1]Tissues!A:A,"in storage",[1]Tissues!AB:AB,"*liver*")</f>
        <v>44</v>
      </c>
      <c r="T14" s="28">
        <f>COUNTIFS([1]Tissues!K:K,"ERUF",[1]Tissues!A:A,"in storage",[1]Tissues!AB:AB,"*gallbladder*")</f>
        <v>1</v>
      </c>
      <c r="U14" s="28">
        <f>COUNTIFS([1]Tissues!K:K,"ERUF",[1]Tissues!A:A,"in storage",[1]Tissues!AB:AB,"*pancreas*")</f>
        <v>10</v>
      </c>
      <c r="V14" s="28">
        <f>COUNTIFS([1]Tissues!K:K,"ERUF",[1]Tissues!A:A,"in storage",[1]Tissues!AB:AB,"*GI-*")</f>
        <v>8</v>
      </c>
      <c r="W14" s="28">
        <f>COUNTIFS([1]Tissues!K:K,"ERUF",[1]Tissues!A:A,"in storage",[1]Tissues!AB:AB,"*lung*")</f>
        <v>25</v>
      </c>
      <c r="X14" s="28">
        <f>COUNTIFS([1]Tissues!K:K,"ERUF",[1]Tissues!A:A,"in storage",[1]Tissues!AB:AB,"*heart*")</f>
        <v>21</v>
      </c>
      <c r="Y14" s="28">
        <f>COUNTIFS([1]Tissues!K:K,"ERUF",[1]Tissues!A:A,"in storage",[1]Tissues!AB:AB,"*thyroid*")</f>
        <v>4</v>
      </c>
      <c r="Z14" s="28">
        <f>COUNTIFS([1]Tissues!K:K,"ERUF",[1]Tissues!A:A,"in storage",[1]Tissues!AB:AB,"*esophagus*")</f>
        <v>1</v>
      </c>
      <c r="AA14" s="28">
        <f>COUNTIFS([1]Tissues!K:K,"ERUF",[1]Tissues!A:A,"in storage",[1]Tissues!AB:AB,"*trachea*")</f>
        <v>2</v>
      </c>
      <c r="AB14" s="28">
        <f>COUNTIFS([1]Tissues!K:K,"ERUF",[1]Tissues!A:A,"in storage",[1]Tissues!AB:AB,"*eye*")</f>
        <v>4</v>
      </c>
      <c r="AC14" s="28">
        <f>COUNTIFS([1]Tissues!K:K,"ERUF",[1]Tissues!A:A,"in storage",[1]Tissues!AB:AB,"*skin*")</f>
        <v>11</v>
      </c>
      <c r="AD14" s="28">
        <f>COUNTIFS([1]Tissues!K:K,"ERUF",[1]Tissues!A:A,"in storage",[1]Tissues!AB:AB,"*muscle*")</f>
        <v>10</v>
      </c>
      <c r="AE14" s="28">
        <f>COUNTIFS([1]Tissues!K:K,"ERUF",[1]Tissues!A:A,"in storage",[1]Tissues!AB:AB,"*digit*")</f>
        <v>0</v>
      </c>
      <c r="AF14" s="28">
        <f>COUNTIFS([1]Tissues!K:K,"ERUF",[1]Tissues!A:A,"in storage",[1]Tissues!AB:AB,"*fat*")</f>
        <v>0</v>
      </c>
      <c r="AG14" s="28">
        <f>COUNTIFS([1]Tissues!K:K,"ERUF",[1]Tissues!A:A,"in storage",[1]Tissues!AB:AB,"*lymph node*")</f>
        <v>1</v>
      </c>
      <c r="AH14" s="28">
        <f>COUNTIFS([1]Tissues!K:K,"ERUF",[1]Tissues!A:A,"in storage",[1]Tissues!AB:AB,"*Mass*")</f>
        <v>2</v>
      </c>
      <c r="AI14" s="28">
        <f>COUNTIFS([1]Tissues!K:K,"ERUF",[1]Tissues!A:A,"in storage",[1]Tissues!AB:AB,"*tooth*")</f>
        <v>0</v>
      </c>
      <c r="AJ14" s="28">
        <f>COUNTIFS([1]Tissues!K:K,"ERUF",[1]Tissues!A:A,"in storage",[1]Tissues!AB:AB,"*tail*")</f>
        <v>0</v>
      </c>
      <c r="AK14" s="28">
        <f t="shared" si="0"/>
        <v>9</v>
      </c>
      <c r="AL14" s="19">
        <f>COUNTIFS([1]Tissues!K:K,"ERUF",[1]Tissues!A:A,"in storage")</f>
        <v>210</v>
      </c>
      <c r="AM14" s="26">
        <f>COUNTIFS([1]Brains!J:J,"ERUF",[1]Brains!A:A,"IS_whole")</f>
        <v>0</v>
      </c>
      <c r="AN14" s="26">
        <f>COUNTIFS([1]Brains!J:J,"ERUF",[1]Brains!A:A,"IS_partial_brain")</f>
        <v>3</v>
      </c>
      <c r="AO14" s="26">
        <f>COUNTIFS([1]Brains!J:J,"ERUF",[1]Brains!A:A,"IS_partial_FC_RNAlater")</f>
        <v>2</v>
      </c>
      <c r="AP14" s="19">
        <f>COUNTIFS([1]Brains!J:J,"ERUF",[1]Brains!A:A,"IS*")</f>
        <v>5</v>
      </c>
      <c r="AQ14" s="25">
        <f>COUNTIFS([1]Urine!K:K,"ERUF",[1]Urine!M:M,"M",[1]Urine!A:A,"IS_alqt_plus")</f>
        <v>13</v>
      </c>
      <c r="AR14" s="25">
        <f>COUNTIFS([1]Urine!K:K,"ERUF",[1]Urine!M:M,"F",[1]Urine!A:A,"IS_alqt_plus")</f>
        <v>10</v>
      </c>
      <c r="AS14" s="19">
        <f>COUNTIFS([1]Urine!K:K,"ERUF",[1]Urine!A:A,"IS*")</f>
        <v>25</v>
      </c>
      <c r="AT14" s="24">
        <f>SUMIFS([1]Urine!AC:AC,[1]Urine!K:K,"ERUF",[1]Urine!A:A,"IS*")</f>
        <v>19.950000000000003</v>
      </c>
      <c r="AU14" s="23">
        <f>COUNTIFS([1]Blood_Products!K:K,"ERUF",[1]Blood_Products!AB:AB,"WB",[1]Blood_Products!M:M,"M",[1]Blood_Products!A:A,"IS_alqt_plus")</f>
        <v>84</v>
      </c>
      <c r="AV14" s="23">
        <f>COUNTIFS([1]Blood_Products!K:K,"ERUF",[1]Blood_Products!AB:AB,"WB",[1]Blood_Products!M:M,"F",[1]Blood_Products!A:A,"IS_alqt_plus")</f>
        <v>38</v>
      </c>
      <c r="AW14" s="22">
        <f>COUNTIFS([1]Blood_Products!K:K,"ERUF",[1]Blood_Products!A:A,"IS*",[1]Blood_Products!AB:AB,"WB")</f>
        <v>122</v>
      </c>
      <c r="AX14" s="21">
        <f>SUMIFS([1]Blood_Products!AF:AF,[1]Blood_Products!K:K,"ERUF",[1]Blood_Products!A:A,"IS*",[1]Blood_Products!AB:AB,"WB")</f>
        <v>88.15000000000002</v>
      </c>
      <c r="AY14" s="23">
        <f>COUNTIFS([1]Blood_Products!K:K,"ERUF",[1]Blood_Products!AB:AB,"serum",[1]Blood_Products!M:M,"M",[1]Blood_Products!A:A,"IS_alqt_plus")</f>
        <v>89</v>
      </c>
      <c r="AZ14" s="23">
        <f>COUNTIFS([1]Blood_Products!K:K,"ERUF",[1]Blood_Products!AB:AB,"serum",[1]Blood_Products!M:M,"F",[1]Blood_Products!A:A,"IS_alqt_plus")</f>
        <v>46</v>
      </c>
      <c r="BA14" s="22">
        <f>COUNTIFS([1]Blood_Products!K:K,"ERUF",[1]Blood_Products!A:A,"IS*",[1]Blood_Products!AB:AB,"serum")</f>
        <v>135</v>
      </c>
      <c r="BB14" s="21">
        <f>SUMIFS([1]Blood_Products!AF:AF,[1]Blood_Products!K:K,"ERUF",[1]Blood_Products!A:A,"IS*",[1]Blood_Products!AB:AB,"serum")</f>
        <v>144.09999999999997</v>
      </c>
      <c r="BC14" s="23">
        <f>COUNTIFS([1]Blood_Products!K:K,"ERUF",[1]Blood_Products!AB:AB,"plasma",[1]Blood_Products!M:M,"M",[1]Blood_Products!A:A,"IS_alqt_plus")</f>
        <v>0</v>
      </c>
      <c r="BD14" s="23">
        <f>COUNTIFS([1]Blood_Products!K:K,"ERUF",[1]Blood_Products!AB:AB,"plasma",[1]Blood_Products!M:M,"F",[1]Blood_Products!A:A,"IS_alqt_plus")</f>
        <v>0</v>
      </c>
      <c r="BE14" s="22">
        <f>COUNTIFS([1]Blood_Products!K:K,"ERUF",[1]Blood_Products!A:A,"IS*",[1]Blood_Products!AB:AB,"plasma")</f>
        <v>0</v>
      </c>
      <c r="BF14" s="21">
        <f>SUMIFS([1]Blood_Products!AF:AF,[1]Blood_Products!K:K,"ERUF",[1]Blood_Products!A:A,"IS*",[1]Blood_Products!AB:AB,"plasma")</f>
        <v>0</v>
      </c>
      <c r="BG14" s="23">
        <f>COUNTIFS([1]Blood_Products!K:K,"ERUF",[1]Blood_Products!AB:AB,"PRBC",[1]Blood_Products!M:M,"M",[1]Blood_Products!A:A,"IS_alqt_plus")</f>
        <v>0</v>
      </c>
      <c r="BH14" s="23">
        <f>COUNTIFS([1]Blood_Products!K:K,"ERUF",[1]Blood_Products!AB:AB,"PRBC",[1]Blood_Products!M:M,"F",[1]Blood_Products!A:A,"IS_alqt_plus")</f>
        <v>0</v>
      </c>
      <c r="BI14" s="22">
        <f>COUNTIFS([1]Blood_Products!K:K,"ERUF",[1]Blood_Products!A:A,"IS*",[1]Blood_Products!AB:AB,"PRBC")</f>
        <v>0</v>
      </c>
      <c r="BJ14" s="21">
        <f>SUMIFS([1]Blood_Products!AF:AF,[1]Blood_Products!K:K,"ERUF",[1]Blood_Products!A:A,"IS*",[1]Blood_Products!AB:AB,"PRBC")</f>
        <v>0</v>
      </c>
      <c r="BK14" s="20">
        <f>COUNTIFS([1]Feces!K:K,"ERUF",[1]Feces!A:A,"in storage",[1]Feces!AB:AB,"feces",[1]Feces!M:M,"M")</f>
        <v>1</v>
      </c>
      <c r="BL14" s="20">
        <f>COUNTIFS([1]Feces!K:K,"ERUF",[1]Feces!A:A,"in storage",[1]Feces!AB:AB,"feces",[1]Feces!M:M,"F")</f>
        <v>1</v>
      </c>
      <c r="BM14" s="19">
        <f t="shared" si="1"/>
        <v>2</v>
      </c>
      <c r="BN14" s="20">
        <f>COUNTIFS([1]Feces!K:K,"ERUF",[1]Feces!A:A,"in storage",[1]Feces!AB:AB,"fecal swab",[1]Feces!M:M,"M")</f>
        <v>0</v>
      </c>
      <c r="BO14" s="20">
        <f>COUNTIFS([1]Feces!K:K,"ERUF",[1]Feces!A:A,"in storage",[1]Feces!AB:AB,"fecal swab",[1]Feces!M:M,"F")</f>
        <v>0</v>
      </c>
      <c r="BP14" s="19">
        <f t="shared" si="2"/>
        <v>0</v>
      </c>
      <c r="BQ14" s="18"/>
      <c r="BR14" s="18"/>
      <c r="BS14" s="18"/>
    </row>
    <row r="15" spans="1:71" s="17" customFormat="1" x14ac:dyDescent="0.35">
      <c r="A15" s="32" t="s">
        <v>28</v>
      </c>
      <c r="B15" s="30">
        <f>COUNTIFS([1]Cadavers!J:J,"ESAN",[1]Cadavers!A:A,"in storage",[1]Cadavers!AO:AO,"Y",[1]Cadavers!L:L,"M")</f>
        <v>0</v>
      </c>
      <c r="C15" s="30">
        <f>COUNTIFS([1]Cadavers!J:J,"ESAN",[1]Cadavers!A:A,"in storage",[1]Cadavers!AO:AO,"Y",[1]Cadavers!L:L,"F")</f>
        <v>0</v>
      </c>
      <c r="D15" s="30">
        <f>COUNTIFS([1]Cadavers!J:J,"ESAN",[1]Cadavers!A:A,"in storage",[1]Cadavers!AO:AO,"Y",[1]Cadavers!L:L,"ND")</f>
        <v>0</v>
      </c>
      <c r="E15" s="31">
        <f>COUNTIFS([1]Cadavers!J:J,"ESAN",[1]Cadavers!A:A,"in storage",[1]Cadavers!AO:AO,"Y")</f>
        <v>0</v>
      </c>
      <c r="F15" s="30">
        <f>COUNTIFS([1]Cadavers!J:J,"ESAN",[1]Cadavers!A:A,"in storage",[1]Cadavers!AO:AO,"N",[1]Cadavers!L:L,"M")</f>
        <v>3</v>
      </c>
      <c r="G15" s="30">
        <f>COUNTIFS([1]Cadavers!J:J,"ESAN",[1]Cadavers!A:A,"in storage",[1]Cadavers!AO:AO,"N",[1]Cadavers!L:L,"F")</f>
        <v>2</v>
      </c>
      <c r="H15" s="31">
        <f>COUNTIFS([1]Cadavers!J:J,"ESAN",[1]Cadavers!A:A,"in storage",[1]Cadavers!AO:AO,"N")</f>
        <v>5</v>
      </c>
      <c r="I15" s="30">
        <f>COUNTIFS([1]Cadavers!J:J,"ESAN")</f>
        <v>8</v>
      </c>
      <c r="J15" s="30">
        <f>COUNTIFS([1]Cadavers!J:J,"ESAN",[1]Cadavers!A:A,"gone")</f>
        <v>1</v>
      </c>
      <c r="K15" s="30">
        <f>COUNTIFS([1]Cadavers!J:J,"ESAN",[1]Cadavers!AQ:AQ,"Y*")</f>
        <v>3</v>
      </c>
      <c r="L15" s="30">
        <f>COUNTIFS([1]Cadavers!J:J,"ESAN",[1]Cadavers!A:A,"ARK")</f>
        <v>2</v>
      </c>
      <c r="M15" s="19">
        <f>COUNTIFS([1]Cadavers!J:J,"ESAN",[1]Cadavers!A:A,"in storage")</f>
        <v>5</v>
      </c>
      <c r="N15" s="28">
        <f>COUNTIFS([1]Tissues!K:K,"ESAN",[1]Tissues!A:A,"in storage",[1]Tissues!AB:AB,"*adrenal*")</f>
        <v>0</v>
      </c>
      <c r="O15" s="28">
        <f>COUNTIFS([1]Tissues!K:K,"ESAN",[1]Tissues!A:A,"in storage",[1]Tissues!AB:AB,"*kidney*")</f>
        <v>9</v>
      </c>
      <c r="P15" s="28">
        <f>COUNTIFS([1]Tissues!K:K,"ESAN",[1]Tissues!A:A,"in storage",[1]Tissues!AB:AB,"*spleen*")</f>
        <v>7</v>
      </c>
      <c r="Q15" s="28">
        <f>COUNTIFS([1]Tissues!K:K,"ESAN",[1]Tissues!A:A,"in storage",[1]Tissues!AB:AB,"*U- bladder*")</f>
        <v>0</v>
      </c>
      <c r="R15" s="28">
        <f>COUNTIFS([1]Tissues!K:K,"ESAN",[1]Tissues!A:A,"in storage",[1]Tissues!AB:AB,"*R- *")</f>
        <v>3</v>
      </c>
      <c r="S15" s="28">
        <f>COUNTIFS([1]Tissues!K:K,"ESAN",[1]Tissues!A:A,"in storage",[1]Tissues!AB:AB,"*liver*")</f>
        <v>10</v>
      </c>
      <c r="T15" s="28">
        <f>COUNTIFS([1]Tissues!K:K,"ESAN",[1]Tissues!A:A,"in storage",[1]Tissues!AB:AB,"*gallbladder*")</f>
        <v>1</v>
      </c>
      <c r="U15" s="28">
        <f>COUNTIFS([1]Tissues!K:K,"ESAN",[1]Tissues!A:A,"in storage",[1]Tissues!AB:AB,"*pancreas*")</f>
        <v>3</v>
      </c>
      <c r="V15" s="28">
        <f>COUNTIFS([1]Tissues!K:K,"ESAN",[1]Tissues!A:A,"in storage",[1]Tissues!AB:AB,"*GI-*")</f>
        <v>2</v>
      </c>
      <c r="W15" s="28">
        <f>COUNTIFS([1]Tissues!K:K,"ESAN",[1]Tissues!A:A,"in storage",[1]Tissues!AB:AB,"*lung*")</f>
        <v>9</v>
      </c>
      <c r="X15" s="28">
        <f>COUNTIFS([1]Tissues!K:K,"ESAN",[1]Tissues!A:A,"in storage",[1]Tissues!AB:AB,"*heart*")</f>
        <v>10</v>
      </c>
      <c r="Y15" s="28">
        <f>COUNTIFS([1]Tissues!K:K,"ESAN",[1]Tissues!A:A,"in storage",[1]Tissues!AB:AB,"*thyroid*")</f>
        <v>1</v>
      </c>
      <c r="Z15" s="28">
        <f>COUNTIFS([1]Tissues!K:K,"ESAN",[1]Tissues!A:A,"in storage",[1]Tissues!AB:AB,"*esophagus*")</f>
        <v>0</v>
      </c>
      <c r="AA15" s="28">
        <f>COUNTIFS([1]Tissues!K:K,"ESAN",[1]Tissues!A:A,"in storage",[1]Tissues!AB:AB,"*trachea*")</f>
        <v>1</v>
      </c>
      <c r="AB15" s="28">
        <f>COUNTIFS([1]Tissues!K:K,"ESAN",[1]Tissues!A:A,"in storage",[1]Tissues!AB:AB,"*eye*")</f>
        <v>3</v>
      </c>
      <c r="AC15" s="28">
        <f>COUNTIFS([1]Tissues!K:K,"ESAN",[1]Tissues!A:A,"in storage",[1]Tissues!AB:AB,"*skin*")</f>
        <v>3</v>
      </c>
      <c r="AD15" s="28">
        <f>COUNTIFS([1]Tissues!K:K,"ESAN",[1]Tissues!A:A,"in storage",[1]Tissues!AB:AB,"*muscle*")</f>
        <v>8</v>
      </c>
      <c r="AE15" s="28">
        <f>COUNTIFS([1]Tissues!K:K,"ESAN",[1]Tissues!A:A,"in storage",[1]Tissues!AB:AB,"*digit*")</f>
        <v>0</v>
      </c>
      <c r="AF15" s="28">
        <f>COUNTIFS([1]Tissues!K:K,"ESAN",[1]Tissues!A:A,"in storage",[1]Tissues!AB:AB,"*fat*")</f>
        <v>0</v>
      </c>
      <c r="AG15" s="28">
        <f>COUNTIFS([1]Tissues!K:K,"ESAN",[1]Tissues!A:A,"in storage",[1]Tissues!AB:AB,"*lymph node*")</f>
        <v>0</v>
      </c>
      <c r="AH15" s="28">
        <f>COUNTIFS([1]Tissues!K:K,"ESAN",[1]Tissues!A:A,"in storage",[1]Tissues!AB:AB,"*Mass*")</f>
        <v>2</v>
      </c>
      <c r="AI15" s="28">
        <f>COUNTIFS([1]Tissues!K:K,"ESAN",[1]Tissues!A:A,"in storage",[1]Tissues!AB:AB,"*tooth*")</f>
        <v>0</v>
      </c>
      <c r="AJ15" s="28">
        <f>COUNTIFS([1]Tissues!K:K,"ESAN",[1]Tissues!A:A,"in storage",[1]Tissues!AB:AB,"*tail*")</f>
        <v>0</v>
      </c>
      <c r="AK15" s="28">
        <f t="shared" si="0"/>
        <v>4</v>
      </c>
      <c r="AL15" s="19">
        <f>COUNTIFS([1]Tissues!K:K,"ESAN",[1]Tissues!A:A,"in storage")</f>
        <v>76</v>
      </c>
      <c r="AM15" s="26">
        <f>COUNTIFS([1]Brains!J:J,"ESAN",[1]Brains!A:A,"IS_whole")</f>
        <v>0</v>
      </c>
      <c r="AN15" s="26">
        <f>COUNTIFS([1]Brains!J:J,"ESAN",[1]Brains!A:A,"IS_partial_brain")</f>
        <v>2</v>
      </c>
      <c r="AO15" s="26">
        <f>COUNTIFS([1]Brains!J:J,"ESAN",[1]Brains!A:A,"IS_partial_FC_RNAlater")</f>
        <v>2</v>
      </c>
      <c r="AP15" s="19">
        <f>COUNTIFS([1]Brains!J:J,"ESAN",[1]Brains!A:A,"IS*")</f>
        <v>4</v>
      </c>
      <c r="AQ15" s="25">
        <f>COUNTIFS([1]Urine!K:K,"ESAN",[1]Urine!M:M,"M",[1]Urine!A:A,"IS_alqt_plus")</f>
        <v>0</v>
      </c>
      <c r="AR15" s="25">
        <f>COUNTIFS([1]Urine!K:K,"ESAN",[1]Urine!M:M,"F",[1]Urine!A:A,"IS_alqt_plus")</f>
        <v>2</v>
      </c>
      <c r="AS15" s="19">
        <f>COUNTIFS([1]Urine!K:K,"ESAN",[1]Urine!A:A,"IS*")</f>
        <v>2</v>
      </c>
      <c r="AT15" s="24">
        <f>SUMIFS([1]Urine!AC:AC,[1]Urine!K:K,"ESAN",[1]Urine!A:A,"IS*")</f>
        <v>2.2999999999999998</v>
      </c>
      <c r="AU15" s="23">
        <f>COUNTIFS([1]Blood_Products!K:K,"ESAN",[1]Blood_Products!AB:AB,"WB",[1]Blood_Products!M:M,"M",[1]Blood_Products!A:A,"IS_alqt_plus")</f>
        <v>7</v>
      </c>
      <c r="AV15" s="23">
        <f>COUNTIFS([1]Blood_Products!K:K,"ESAN",[1]Blood_Products!AB:AB,"WB",[1]Blood_Products!M:M,"F",[1]Blood_Products!A:A,"IS_alqt_plus")</f>
        <v>58</v>
      </c>
      <c r="AW15" s="22">
        <f>COUNTIFS([1]Blood_Products!K:K,"ESAN",[1]Blood_Products!A:A,"IS*",[1]Blood_Products!AB:AB,"WB")</f>
        <v>65</v>
      </c>
      <c r="AX15" s="21">
        <f>SUMIFS([1]Blood_Products!AF:AF,[1]Blood_Products!K:K,"ESAN",[1]Blood_Products!A:A,"IS*",[1]Blood_Products!AB:AB,"WB")</f>
        <v>51.199999999999989</v>
      </c>
      <c r="AY15" s="23">
        <f>COUNTIFS([1]Blood_Products!K:K,"ESAN",[1]Blood_Products!AB:AB,"serum",[1]Blood_Products!M:M,"M",[1]Blood_Products!A:A,"IS_alqt_plus")</f>
        <v>30</v>
      </c>
      <c r="AZ15" s="23">
        <f>COUNTIFS([1]Blood_Products!K:K,"ESAN",[1]Blood_Products!AB:AB,"serum",[1]Blood_Products!M:M,"F",[1]Blood_Products!A:A,"IS_alqt_plus")</f>
        <v>61</v>
      </c>
      <c r="BA15" s="22">
        <f>COUNTIFS([1]Blood_Products!K:K,"ESAN",[1]Blood_Products!A:A,"IS*",[1]Blood_Products!AB:AB,"serum")</f>
        <v>92</v>
      </c>
      <c r="BB15" s="21">
        <f>SUMIFS([1]Blood_Products!AF:AF,[1]Blood_Products!K:K,"ESAN",[1]Blood_Products!A:A,"IS*",[1]Blood_Products!AB:AB,"serum")</f>
        <v>106.35000000000005</v>
      </c>
      <c r="BC15" s="23">
        <f>COUNTIFS([1]Blood_Products!K:K,"ESAN",[1]Blood_Products!AB:AB,"plasma",[1]Blood_Products!M:M,"M",[1]Blood_Products!A:A,"IS_alqt_plus")</f>
        <v>0</v>
      </c>
      <c r="BD15" s="23">
        <f>COUNTIFS([1]Blood_Products!K:K,"ESAN",[1]Blood_Products!AB:AB,"plasma",[1]Blood_Products!M:M,"F",[1]Blood_Products!A:A,"IS_alqt_plus")</f>
        <v>0</v>
      </c>
      <c r="BE15" s="22">
        <f>COUNTIFS([1]Blood_Products!K:K,"ESAN",[1]Blood_Products!A:A,"IS*",[1]Blood_Products!AB:AB,"plasma")</f>
        <v>0</v>
      </c>
      <c r="BF15" s="21">
        <f>SUMIFS([1]Blood_Products!AF:AF,[1]Blood_Products!K:K,"ESAN",[1]Blood_Products!A:A,"IS*",[1]Blood_Products!AB:AB,"plasma")</f>
        <v>0</v>
      </c>
      <c r="BG15" s="23">
        <f>COUNTIFS([1]Blood_Products!K:K,"ESAN",[1]Blood_Products!AB:AB,"PRBC",[1]Blood_Products!M:M,"M",[1]Blood_Products!A:A,"IS_alqt_plus")</f>
        <v>0</v>
      </c>
      <c r="BH15" s="23">
        <f>COUNTIFS([1]Blood_Products!K:K,"ESAN",[1]Blood_Products!AB:AB,"PRBC",[1]Blood_Products!M:M,"F",[1]Blood_Products!A:A,"IS_alqt_plus")</f>
        <v>0</v>
      </c>
      <c r="BI15" s="22">
        <f>COUNTIFS([1]Blood_Products!K:K,"ESAN",[1]Blood_Products!A:A,"IS*",[1]Blood_Products!AB:AB,"PRBC")</f>
        <v>0</v>
      </c>
      <c r="BJ15" s="21">
        <f>SUMIFS([1]Blood_Products!AF:AF,[1]Blood_Products!K:K,"ESAN",[1]Blood_Products!A:A,"IS*",[1]Blood_Products!AB:AB,"PRBC")</f>
        <v>0</v>
      </c>
      <c r="BK15" s="20">
        <f>COUNTIFS([1]Feces!K:K,"ESAN",[1]Feces!A:A,"in storage",[1]Feces!AB:AB,"feces",[1]Feces!M:M,"M")</f>
        <v>0</v>
      </c>
      <c r="BL15" s="20">
        <f>COUNTIFS([1]Feces!K:K,"ESAN",[1]Feces!A:A,"in storage",[1]Feces!AB:AB,"feces",[1]Feces!M:M,"F")</f>
        <v>1</v>
      </c>
      <c r="BM15" s="19">
        <f t="shared" si="1"/>
        <v>1</v>
      </c>
      <c r="BN15" s="20">
        <f>COUNTIFS([1]Feces!K:K,"ESAN",[1]Feces!A:A,"in storage",[1]Feces!AB:AB,"fecal swab",[1]Feces!M:M,"M")</f>
        <v>0</v>
      </c>
      <c r="BO15" s="20">
        <f>COUNTIFS([1]Feces!K:K,"ESAN",[1]Feces!A:A,"in storage",[1]Feces!AB:AB,"fecal swab",[1]Feces!M:M,"F")</f>
        <v>0</v>
      </c>
      <c r="BP15" s="19">
        <f t="shared" si="2"/>
        <v>0</v>
      </c>
      <c r="BQ15" s="18"/>
      <c r="BR15" s="18"/>
      <c r="BS15" s="18"/>
    </row>
    <row r="16" spans="1:71" s="17" customFormat="1" x14ac:dyDescent="0.35">
      <c r="A16" s="32" t="s">
        <v>27</v>
      </c>
      <c r="B16" s="30">
        <f>COUNTIFS([1]Cadavers!J:J,"EUL",[1]Cadavers!A:A,"in storage",[1]Cadavers!AO:AO,"Y",[1]Cadavers!L:L,"M")</f>
        <v>14</v>
      </c>
      <c r="C16" s="30">
        <f>COUNTIFS([1]Cadavers!J:J,"EUL",[1]Cadavers!A:A,"in storage",[1]Cadavers!AO:AO,"Y",[1]Cadavers!L:L,"F")</f>
        <v>13</v>
      </c>
      <c r="D16" s="30">
        <f>COUNTIFS([1]Cadavers!J:J,"EUL",[1]Cadavers!A:A,"in storage",[1]Cadavers!AO:AO,"Y",[1]Cadavers!L:L,"ND")</f>
        <v>1</v>
      </c>
      <c r="E16" s="31">
        <f>COUNTIFS([1]Cadavers!J:J,"EUL",[1]Cadavers!A:A,"in storage",[1]Cadavers!AO:AO,"Y")</f>
        <v>28</v>
      </c>
      <c r="F16" s="30">
        <f>COUNTIFS([1]Cadavers!J:J,"EUL",[1]Cadavers!A:A,"in storage",[1]Cadavers!AO:AO,"N",[1]Cadavers!L:L,"M")</f>
        <v>8</v>
      </c>
      <c r="G16" s="30">
        <f>COUNTIFS([1]Cadavers!J:J,"EUL",[1]Cadavers!A:A,"in storage",[1]Cadavers!AO:AO,"N",[1]Cadavers!L:L,"F")</f>
        <v>3</v>
      </c>
      <c r="H16" s="31">
        <f>COUNTIFS([1]Cadavers!J:J,"EUL",[1]Cadavers!A:A,"in storage",[1]Cadavers!AO:AO,"N")</f>
        <v>11</v>
      </c>
      <c r="I16" s="30">
        <f>COUNTIFS([1]Cadavers!J:J,"EUL")</f>
        <v>48</v>
      </c>
      <c r="J16" s="30">
        <f>COUNTIFS([1]Cadavers!J:J,"EUL",[1]Cadavers!A:A,"gone")</f>
        <v>7</v>
      </c>
      <c r="K16" s="30">
        <f>COUNTIFS([1]Cadavers!J:J,"EUL",[1]Cadavers!AQ:AQ,"Y*")</f>
        <v>7</v>
      </c>
      <c r="L16" s="30">
        <f>COUNTIFS([1]Cadavers!J:J,"EUL",[1]Cadavers!A:A,"ARK")</f>
        <v>1</v>
      </c>
      <c r="M16" s="19">
        <f>COUNTIFS([1]Cadavers!J:J,"EUL",[1]Cadavers!A:A,"in storage")</f>
        <v>39</v>
      </c>
      <c r="N16" s="28">
        <f>COUNTIFS([1]Tissues!K:K,"EUL",[1]Tissues!A:A,"in storage",[1]Tissues!AB:AB,"*adrenal*")</f>
        <v>2</v>
      </c>
      <c r="O16" s="28">
        <f>COUNTIFS([1]Tissues!K:K,"EUL",[1]Tissues!A:A,"in storage",[1]Tissues!AB:AB,"*kidney*")</f>
        <v>26</v>
      </c>
      <c r="P16" s="28">
        <f>COUNTIFS([1]Tissues!K:K,"EUL",[1]Tissues!A:A,"in storage",[1]Tissues!AB:AB,"*spleen*")</f>
        <v>13</v>
      </c>
      <c r="Q16" s="28">
        <f>COUNTIFS([1]Tissues!K:K,"EUL",[1]Tissues!A:A,"in storage",[1]Tissues!AB:AB,"*U- bladder*")</f>
        <v>0</v>
      </c>
      <c r="R16" s="28">
        <f>COUNTIFS([1]Tissues!K:K,"EUL",[1]Tissues!A:A,"in storage",[1]Tissues!AB:AB,"*R- *")</f>
        <v>7</v>
      </c>
      <c r="S16" s="28">
        <f>COUNTIFS([1]Tissues!K:K,"EUL",[1]Tissues!A:A,"in storage",[1]Tissues!AB:AB,"*liver*")</f>
        <v>21</v>
      </c>
      <c r="T16" s="28">
        <f>COUNTIFS([1]Tissues!K:K,"EUL",[1]Tissues!A:A,"in storage",[1]Tissues!AB:AB,"*gallbladder*")</f>
        <v>0</v>
      </c>
      <c r="U16" s="28">
        <f>COUNTIFS([1]Tissues!K:K,"EUL",[1]Tissues!A:A,"in storage",[1]Tissues!AB:AB,"*pancreas*")</f>
        <v>2</v>
      </c>
      <c r="V16" s="28">
        <f>COUNTIFS([1]Tissues!K:K,"EUL",[1]Tissues!A:A,"in storage",[1]Tissues!AB:AB,"*GI-*")</f>
        <v>3</v>
      </c>
      <c r="W16" s="28">
        <f>COUNTIFS([1]Tissues!K:K,"EUL",[1]Tissues!A:A,"in storage",[1]Tissues!AB:AB,"*lung*")</f>
        <v>22</v>
      </c>
      <c r="X16" s="28">
        <f>COUNTIFS([1]Tissues!K:K,"EUL",[1]Tissues!A:A,"in storage",[1]Tissues!AB:AB,"*heart*")</f>
        <v>15</v>
      </c>
      <c r="Y16" s="28">
        <f>COUNTIFS([1]Tissues!K:K,"EUL",[1]Tissues!A:A,"in storage",[1]Tissues!AB:AB,"*thyroid*")</f>
        <v>3</v>
      </c>
      <c r="Z16" s="28">
        <f>COUNTIFS([1]Tissues!K:K,"EUL",[1]Tissues!A:A,"in storage",[1]Tissues!AB:AB,"*esophagus*")</f>
        <v>2</v>
      </c>
      <c r="AA16" s="28">
        <f>COUNTIFS([1]Tissues!K:K,"EUL",[1]Tissues!A:A,"in storage",[1]Tissues!AB:AB,"*trachea*")</f>
        <v>2</v>
      </c>
      <c r="AB16" s="28">
        <f>COUNTIFS([1]Tissues!K:K,"EUL",[1]Tissues!A:A,"in storage",[1]Tissues!AB:AB,"*eye*")</f>
        <v>3</v>
      </c>
      <c r="AC16" s="28">
        <f>COUNTIFS([1]Tissues!K:K,"EUL",[1]Tissues!A:A,"in storage",[1]Tissues!AB:AB,"*skin*")</f>
        <v>11</v>
      </c>
      <c r="AD16" s="28">
        <f>COUNTIFS([1]Tissues!K:K,"EUL",[1]Tissues!A:A,"in storage",[1]Tissues!AB:AB,"*muscle*")</f>
        <v>9</v>
      </c>
      <c r="AE16" s="28">
        <f>COUNTIFS([1]Tissues!K:K,"EUL",[1]Tissues!A:A,"in storage",[1]Tissues!AB:AB,"*digit*")</f>
        <v>0</v>
      </c>
      <c r="AF16" s="28">
        <f>COUNTIFS([1]Tissues!K:K,"EUL",[1]Tissues!A:A,"in storage",[1]Tissues!AB:AB,"*fat*")</f>
        <v>0</v>
      </c>
      <c r="AG16" s="28">
        <f>COUNTIFS([1]Tissues!K:K,"EUL",[1]Tissues!A:A,"in storage",[1]Tissues!AB:AB,"*lymph node*")</f>
        <v>0</v>
      </c>
      <c r="AH16" s="28">
        <f>COUNTIFS([1]Tissues!K:K,"EUL",[1]Tissues!A:A,"in storage",[1]Tissues!AB:AB,"*Mass*")</f>
        <v>0</v>
      </c>
      <c r="AI16" s="28">
        <f>COUNTIFS([1]Tissues!K:K,"EUL",[1]Tissues!A:A,"in storage",[1]Tissues!AB:AB,"*tooth*")</f>
        <v>0</v>
      </c>
      <c r="AJ16" s="28">
        <f>COUNTIFS([1]Tissues!K:K,"EUL",[1]Tissues!A:A,"in storage",[1]Tissues!AB:AB,"*tail*")</f>
        <v>0</v>
      </c>
      <c r="AK16" s="28">
        <f t="shared" si="0"/>
        <v>6</v>
      </c>
      <c r="AL16" s="19">
        <f>COUNTIFS([1]Tissues!K:K,"EUL",[1]Tissues!A:A,"in storage")</f>
        <v>147</v>
      </c>
      <c r="AM16" s="26">
        <f>COUNTIFS([1]Brains!J:J,"EUL",[1]Brains!A:A,"IS_whole")</f>
        <v>1</v>
      </c>
      <c r="AN16" s="26">
        <f>COUNTIFS([1]Brains!J:J,"EUL",[1]Brains!A:A,"IS_partial_brain")</f>
        <v>3</v>
      </c>
      <c r="AO16" s="26">
        <f>COUNTIFS([1]Brains!J:J,"EUL",[1]Brains!A:A,"IS_partial_FC_RNAlater")</f>
        <v>0</v>
      </c>
      <c r="AP16" s="19">
        <f>COUNTIFS([1]Brains!J:J,"EUL",[1]Brains!A:A,"IS*")</f>
        <v>4</v>
      </c>
      <c r="AQ16" s="25">
        <f>COUNTIFS([1]Urine!K:K,"EUL",[1]Urine!M:M,"M",[1]Urine!A:A,"IS_alqt_plus")</f>
        <v>10</v>
      </c>
      <c r="AR16" s="25">
        <f>COUNTIFS([1]Urine!K:K,"EUL",[1]Urine!M:M,"F",[1]Urine!A:A,"IS_alqt_plus")</f>
        <v>4</v>
      </c>
      <c r="AS16" s="19">
        <f>COUNTIFS([1]Urine!K:K,"EUL",[1]Urine!A:A,"IS*")</f>
        <v>14</v>
      </c>
      <c r="AT16" s="24">
        <f>SUMIFS([1]Urine!AC:AC,[1]Urine!K:K,"EUL",[1]Urine!A:A,"IS*")</f>
        <v>14.15</v>
      </c>
      <c r="AU16" s="23">
        <f>COUNTIFS([1]Blood_Products!K:K,"EUL",[1]Blood_Products!AB:AB,"WB",[1]Blood_Products!M:M,"M",[1]Blood_Products!A:A,"IS_alqt_plus")</f>
        <v>66</v>
      </c>
      <c r="AV16" s="23">
        <f>COUNTIFS([1]Blood_Products!K:K,"EUL",[1]Blood_Products!AB:AB,"WB",[1]Blood_Products!M:M,"F",[1]Blood_Products!A:A,"IS_alqt_plus")</f>
        <v>22</v>
      </c>
      <c r="AW16" s="22">
        <f>COUNTIFS([1]Blood_Products!K:K,"EUL",[1]Blood_Products!A:A,"IS*",[1]Blood_Products!AB:AB,"WB")</f>
        <v>88</v>
      </c>
      <c r="AX16" s="21">
        <f>SUMIFS([1]Blood_Products!AF:AF,[1]Blood_Products!K:K,"EUL",[1]Blood_Products!A:A,"IS*",[1]Blood_Products!AB:AB,"WB")</f>
        <v>79.450000000000017</v>
      </c>
      <c r="AY16" s="23">
        <f>COUNTIFS([1]Blood_Products!K:K,"EUL",[1]Blood_Products!AB:AB,"serum",[1]Blood_Products!M:M,"M",[1]Blood_Products!A:A,"IS_alqt_plus")</f>
        <v>118</v>
      </c>
      <c r="AZ16" s="23">
        <f>COUNTIFS([1]Blood_Products!K:K,"EUL",[1]Blood_Products!AB:AB,"serum",[1]Blood_Products!M:M,"F",[1]Blood_Products!A:A,"IS_alqt_plus")</f>
        <v>51</v>
      </c>
      <c r="BA16" s="22">
        <f>COUNTIFS([1]Blood_Products!K:K,"EUL",[1]Blood_Products!A:A,"IS*",[1]Blood_Products!AB:AB,"serum")</f>
        <v>169</v>
      </c>
      <c r="BB16" s="21">
        <f>SUMIFS([1]Blood_Products!AF:AF,[1]Blood_Products!K:K,"EUL",[1]Blood_Products!A:A,"IS*",[1]Blood_Products!AB:AB,"serum")</f>
        <v>178.25000000000006</v>
      </c>
      <c r="BC16" s="23">
        <f>COUNTIFS([1]Blood_Products!K:K,"EUL",[1]Blood_Products!AB:AB,"plasma",[1]Blood_Products!M:M,"M",[1]Blood_Products!A:A,"IS_alqt_plus")</f>
        <v>0</v>
      </c>
      <c r="BD16" s="23">
        <f>COUNTIFS([1]Blood_Products!K:K,"EUL",[1]Blood_Products!AB:AB,"plasma",[1]Blood_Products!M:M,"F",[1]Blood_Products!A:A,"IS_alqt_plus")</f>
        <v>0</v>
      </c>
      <c r="BE16" s="22">
        <f>COUNTIFS([1]Blood_Products!K:K,"EUL",[1]Blood_Products!A:A,"IS*",[1]Blood_Products!AB:AB,"plasma")</f>
        <v>0</v>
      </c>
      <c r="BF16" s="21">
        <f>SUMIFS([1]Blood_Products!AF:AF,[1]Blood_Products!K:K,"EUL",[1]Blood_Products!A:A,"IS*",[1]Blood_Products!AB:AB,"plasma")</f>
        <v>0</v>
      </c>
      <c r="BG16" s="23">
        <f>COUNTIFS([1]Blood_Products!K:K,"EUL",[1]Blood_Products!AB:AB,"PRBC",[1]Blood_Products!M:M,"M",[1]Blood_Products!A:A,"IS_alqt_plus")</f>
        <v>0</v>
      </c>
      <c r="BH16" s="23">
        <f>COUNTIFS([1]Blood_Products!K:K,"EUL",[1]Blood_Products!AB:AB,"PRBC",[1]Blood_Products!M:M,"F",[1]Blood_Products!A:A,"IS_alqt_plus")</f>
        <v>0</v>
      </c>
      <c r="BI16" s="22">
        <f>COUNTIFS([1]Blood_Products!K:K,"EUL",[1]Blood_Products!A:A,"IS*",[1]Blood_Products!AB:AB,"PRBC")</f>
        <v>0</v>
      </c>
      <c r="BJ16" s="21">
        <f>SUMIFS([1]Blood_Products!AF:AF,[1]Blood_Products!K:K,"EUL",[1]Blood_Products!A:A,"IS*",[1]Blood_Products!AB:AB,"PRBC")</f>
        <v>0</v>
      </c>
      <c r="BK16" s="20">
        <f>COUNTIFS([1]Feces!K:K,"EUL",[1]Feces!A:A,"in storage",[1]Feces!AB:AB,"feces",[1]Feces!M:M,"M")</f>
        <v>0</v>
      </c>
      <c r="BL16" s="20">
        <f>COUNTIFS([1]Feces!K:K,"EUL",[1]Feces!A:A,"in storage",[1]Feces!AB:AB,"feces",[1]Feces!M:M,"F")</f>
        <v>0</v>
      </c>
      <c r="BM16" s="19">
        <f t="shared" si="1"/>
        <v>0</v>
      </c>
      <c r="BN16" s="20">
        <f>COUNTIFS([1]Feces!K:K,"EUL",[1]Feces!A:A,"in storage",[1]Feces!AB:AB,"fecal swab",[1]Feces!M:M,"M")</f>
        <v>0</v>
      </c>
      <c r="BO16" s="20">
        <f>COUNTIFS([1]Feces!K:K,"EUL",[1]Feces!A:A,"in storage",[1]Feces!AB:AB,"fecal swab",[1]Feces!M:M,"F")</f>
        <v>0</v>
      </c>
      <c r="BP16" s="19">
        <f t="shared" si="2"/>
        <v>0</v>
      </c>
      <c r="BQ16" s="18"/>
      <c r="BR16" s="18"/>
      <c r="BS16" s="18"/>
    </row>
    <row r="17" spans="1:71" s="17" customFormat="1" x14ac:dyDescent="0.35">
      <c r="A17" s="32" t="s">
        <v>26</v>
      </c>
      <c r="B17" s="30">
        <f>COUNTIFS([1]Cadavers!J:J,"GDEM",[1]Cadavers!A:A,"in storage",[1]Cadavers!AO:AO,"Y",[1]Cadavers!L:L,"M")</f>
        <v>0</v>
      </c>
      <c r="C17" s="30">
        <f>COUNTIFS([1]Cadavers!J:J,"GDEM",[1]Cadavers!A:A,"in storage",[1]Cadavers!AO:AO,"Y",[1]Cadavers!L:L,"F")</f>
        <v>1</v>
      </c>
      <c r="D17" s="30">
        <f>COUNTIFS([1]Cadavers!J:J,"GDEM",[1]Cadavers!A:A,"in storage",[1]Cadavers!AO:AO,"Y",[1]Cadavers!L:L,"ND")</f>
        <v>0</v>
      </c>
      <c r="E17" s="31">
        <f>COUNTIFS([1]Cadavers!J:J,"GDEM",[1]Cadavers!A:A,"in storage",[1]Cadavers!AO:AO,"Y")</f>
        <v>1</v>
      </c>
      <c r="F17" s="30">
        <f>COUNTIFS([1]Cadavers!J:J,"GDEM",[1]Cadavers!A:A,"in storage",[1]Cadavers!AO:AO,"N",[1]Cadavers!L:L,"M")</f>
        <v>1</v>
      </c>
      <c r="G17" s="30">
        <f>COUNTIFS([1]Cadavers!J:J,"GDEM",[1]Cadavers!A:A,"in storage",[1]Cadavers!AO:AO,"N",[1]Cadavers!L:L,"F")</f>
        <v>0</v>
      </c>
      <c r="H17" s="31">
        <f>COUNTIFS([1]Cadavers!J:J,"GDEM",[1]Cadavers!A:A,"in storage",[1]Cadavers!AO:AO,"N")</f>
        <v>1</v>
      </c>
      <c r="I17" s="30">
        <f>COUNTIFS([1]Cadavers!J:J,"GDEM")</f>
        <v>6</v>
      </c>
      <c r="J17" s="30">
        <f>COUNTIFS([1]Cadavers!J:J,"GDEM",[1]Cadavers!A:A,"gone")</f>
        <v>1</v>
      </c>
      <c r="K17" s="30">
        <f>COUNTIFS([1]Cadavers!J:J,"GDEM",[1]Cadavers!AQ:AQ,"Y*")</f>
        <v>2</v>
      </c>
      <c r="L17" s="30">
        <f>COUNTIFS([1]Cadavers!J:J,"GDEM",[1]Cadavers!A:A,"ARK")</f>
        <v>2</v>
      </c>
      <c r="M17" s="19">
        <f>COUNTIFS([1]Cadavers!J:J,"GDEM",[1]Cadavers!A:A,"in storage")</f>
        <v>3</v>
      </c>
      <c r="N17" s="28">
        <f>COUNTIFS([1]Tissues!K:K,"GDEM",[1]Tissues!A:A,"in storage",[1]Tissues!AB:AB,"*adrenal*")</f>
        <v>0</v>
      </c>
      <c r="O17" s="28">
        <f>COUNTIFS([1]Tissues!K:K,"GDEM",[1]Tissues!A:A,"in storage",[1]Tissues!AB:AB,"*kidney*")</f>
        <v>0</v>
      </c>
      <c r="P17" s="28">
        <f>COUNTIFS([1]Tissues!K:K,"GDEM",[1]Tissues!A:A,"in storage",[1]Tissues!AB:AB,"*spleen*")</f>
        <v>0</v>
      </c>
      <c r="Q17" s="28">
        <f>COUNTIFS([1]Tissues!K:K,"GDEM",[1]Tissues!A:A,"in storage",[1]Tissues!AB:AB,"*U- bladder*")</f>
        <v>0</v>
      </c>
      <c r="R17" s="28">
        <f>COUNTIFS([1]Tissues!K:K,"GDEM",[1]Tissues!A:A,"in storage",[1]Tissues!AB:AB,"*R- *")</f>
        <v>2</v>
      </c>
      <c r="S17" s="28">
        <f>COUNTIFS([1]Tissues!K:K,"GDEM",[1]Tissues!A:A,"in storage",[1]Tissues!AB:AB,"*liver*")</f>
        <v>1</v>
      </c>
      <c r="T17" s="28">
        <f>COUNTIFS([1]Tissues!K:K,"GDEM",[1]Tissues!A:A,"in storage",[1]Tissues!AB:AB,"*gallbladder*")</f>
        <v>0</v>
      </c>
      <c r="U17" s="28">
        <f>COUNTIFS([1]Tissues!K:K,"GDEM",[1]Tissues!A:A,"in storage",[1]Tissues!AB:AB,"*pancreas*")</f>
        <v>0</v>
      </c>
      <c r="V17" s="28">
        <f>COUNTIFS([1]Tissues!K:K,"GDEM",[1]Tissues!A:A,"in storage",[1]Tissues!AB:AB,"*GI-*")</f>
        <v>0</v>
      </c>
      <c r="W17" s="28">
        <f>COUNTIFS([1]Tissues!K:K,"GDEM",[1]Tissues!A:A,"in storage",[1]Tissues!AB:AB,"*lung*")</f>
        <v>0</v>
      </c>
      <c r="X17" s="28">
        <f>COUNTIFS([1]Tissues!K:K,"GDEM",[1]Tissues!A:A,"in storage",[1]Tissues!AB:AB,"*heart*")</f>
        <v>0</v>
      </c>
      <c r="Y17" s="28">
        <f>COUNTIFS([1]Tissues!K:K,"GDEM",[1]Tissues!A:A,"in storage",[1]Tissues!AB:AB,"*thyroid*")</f>
        <v>0</v>
      </c>
      <c r="Z17" s="28">
        <f>COUNTIFS([1]Tissues!K:K,"GDEM",[1]Tissues!A:A,"in storage",[1]Tissues!AB:AB,"*esophagus*")</f>
        <v>0</v>
      </c>
      <c r="AA17" s="28">
        <f>COUNTIFS([1]Tissues!K:K,"GDEM",[1]Tissues!A:A,"in storage",[1]Tissues!AB:AB,"*trachea*")</f>
        <v>0</v>
      </c>
      <c r="AB17" s="28">
        <f>COUNTIFS([1]Tissues!K:K,"GDEM",[1]Tissues!A:A,"in storage",[1]Tissues!AB:AB,"*eye*")</f>
        <v>3</v>
      </c>
      <c r="AC17" s="28">
        <f>COUNTIFS([1]Tissues!K:K,"GDEM",[1]Tissues!A:A,"in storage",[1]Tissues!AB:AB,"*skin*")</f>
        <v>1</v>
      </c>
      <c r="AD17" s="28">
        <f>COUNTIFS([1]Tissues!K:K,"GDEM",[1]Tissues!A:A,"in storage",[1]Tissues!AB:AB,"*muscle*")</f>
        <v>0</v>
      </c>
      <c r="AE17" s="28">
        <f>COUNTIFS([1]Tissues!K:K,"GDEM",[1]Tissues!A:A,"in storage",[1]Tissues!AB:AB,"*digit*")</f>
        <v>0</v>
      </c>
      <c r="AF17" s="28">
        <f>COUNTIFS([1]Tissues!K:K,"GDEM",[1]Tissues!A:A,"in storage",[1]Tissues!AB:AB,"*fat*")</f>
        <v>0</v>
      </c>
      <c r="AG17" s="28">
        <f>COUNTIFS([1]Tissues!K:K,"GDEM",[1]Tissues!A:A,"in storage",[1]Tissues!AB:AB,"*lymph node*")</f>
        <v>0</v>
      </c>
      <c r="AH17" s="28">
        <f>COUNTIFS([1]Tissues!K:K,"GDEM",[1]Tissues!A:A,"in storage",[1]Tissues!AB:AB,"*Mass*")</f>
        <v>0</v>
      </c>
      <c r="AI17" s="28">
        <f>COUNTIFS([1]Tissues!K:K,"GDEM",[1]Tissues!A:A,"in storage",[1]Tissues!AB:AB,"*tooth*")</f>
        <v>0</v>
      </c>
      <c r="AJ17" s="28">
        <f>COUNTIFS([1]Tissues!K:K,"GDEM",[1]Tissues!A:A,"in storage",[1]Tissues!AB:AB,"*tail*")</f>
        <v>0</v>
      </c>
      <c r="AK17" s="28">
        <f t="shared" si="0"/>
        <v>1</v>
      </c>
      <c r="AL17" s="19">
        <f>COUNTIFS([1]Tissues!K:K,"GDEM",[1]Tissues!A:A,"in storage")</f>
        <v>8</v>
      </c>
      <c r="AM17" s="26">
        <f>COUNTIFS([1]Brains!J:J,"GDEM",[1]Brains!A:A,"IS_whole")</f>
        <v>0</v>
      </c>
      <c r="AN17" s="26">
        <f>COUNTIFS([1]Brains!J:J,"GDEM",[1]Brains!A:A,"IS_partial_brain")</f>
        <v>0</v>
      </c>
      <c r="AO17" s="26">
        <f>COUNTIFS([1]Brains!J:J,"GDEM",[1]Brains!A:A,"IS_partial_FC_RNAlater")</f>
        <v>0</v>
      </c>
      <c r="AP17" s="19">
        <f>COUNTIFS([1]Brains!J:J,"GDEM",[1]Brains!A:A,"IS*")</f>
        <v>0</v>
      </c>
      <c r="AQ17" s="25">
        <f>COUNTIFS([1]Urine!K:K,"GDEM",[1]Urine!M:M,"M",[1]Urine!A:A,"IS_alqt_plus")</f>
        <v>0</v>
      </c>
      <c r="AR17" s="25">
        <f>COUNTIFS([1]Urine!K:K,"GDEM",[1]Urine!M:M,"F",[1]Urine!A:A,"IS_alqt_plus")</f>
        <v>0</v>
      </c>
      <c r="AS17" s="19">
        <f>COUNTIFS([1]Urine!K:K,"GDEM",[1]Urine!A:A,"IS*")</f>
        <v>0</v>
      </c>
      <c r="AT17" s="24">
        <f>SUMIFS([1]Urine!AC:AC,[1]Urine!K:K,"GDEM",[1]Urine!A:A,"IS*")</f>
        <v>0</v>
      </c>
      <c r="AU17" s="23">
        <f>COUNTIFS([1]Blood_Products!K:K,"GDEM",[1]Blood_Products!AB:AB,"WB",[1]Blood_Products!M:M,"M",[1]Blood_Products!A:A,"IS_alqt_plus")</f>
        <v>0</v>
      </c>
      <c r="AV17" s="23">
        <f>COUNTIFS([1]Blood_Products!K:K,"GDEM",[1]Blood_Products!AB:AB,"WB",[1]Blood_Products!M:M,"F",[1]Blood_Products!A:A,"IS_alqt_plus")</f>
        <v>0</v>
      </c>
      <c r="AW17" s="22">
        <f>COUNTIFS([1]Blood_Products!K:K,"GDEM",[1]Blood_Products!A:A,"IS*",[1]Blood_Products!AB:AB,"WB")</f>
        <v>0</v>
      </c>
      <c r="AX17" s="21">
        <f>SUMIFS([1]Blood_Products!AF:AF,[1]Blood_Products!K:K,"GDEM",[1]Blood_Products!A:A,"IS*",[1]Blood_Products!AB:AB,"WB")</f>
        <v>0</v>
      </c>
      <c r="AY17" s="23">
        <f>COUNTIFS([1]Blood_Products!K:K,"GDEM",[1]Blood_Products!AB:AB,"serum",[1]Blood_Products!M:M,"M",[1]Blood_Products!A:A,"IS_alqt_plus")</f>
        <v>0</v>
      </c>
      <c r="AZ17" s="23">
        <f>COUNTIFS([1]Blood_Products!K:K,"GDEM",[1]Blood_Products!AB:AB,"serum",[1]Blood_Products!M:M,"F",[1]Blood_Products!A:A,"IS_alqt_plus")</f>
        <v>0</v>
      </c>
      <c r="BA17" s="22">
        <f>COUNTIFS([1]Blood_Products!K:K,"GDEM",[1]Blood_Products!A:A,"IS*",[1]Blood_Products!AB:AB,"serum")</f>
        <v>0</v>
      </c>
      <c r="BB17" s="21">
        <f>SUMIFS([1]Blood_Products!AF:AF,[1]Blood_Products!K:K,"GDEM",[1]Blood_Products!A:A,"IS*",[1]Blood_Products!AB:AB,"serum")</f>
        <v>0</v>
      </c>
      <c r="BC17" s="23">
        <f>COUNTIFS([1]Blood_Products!K:K,"GDEM",[1]Blood_Products!AB:AB,"plasma",[1]Blood_Products!M:M,"M",[1]Blood_Products!A:A,"IS_alqt_plus")</f>
        <v>0</v>
      </c>
      <c r="BD17" s="23">
        <f>COUNTIFS([1]Blood_Products!K:K,"GDEM",[1]Blood_Products!AB:AB,"plasma",[1]Blood_Products!M:M,"F",[1]Blood_Products!A:A,"IS_alqt_plus")</f>
        <v>0</v>
      </c>
      <c r="BE17" s="22">
        <f>COUNTIFS([1]Blood_Products!K:K,"GDEM",[1]Blood_Products!A:A,"IS*",[1]Blood_Products!AB:AB,"plasma")</f>
        <v>0</v>
      </c>
      <c r="BF17" s="21">
        <f>SUMIFS([1]Blood_Products!AF:AF,[1]Blood_Products!K:K,"GDEM",[1]Blood_Products!A:A,"IS*",[1]Blood_Products!AB:AB,"plasma")</f>
        <v>0</v>
      </c>
      <c r="BG17" s="23">
        <f>COUNTIFS([1]Blood_Products!K:K,"GDEM",[1]Blood_Products!AB:AB,"PRBC",[1]Blood_Products!M:M,"M",[1]Blood_Products!A:A,"IS_alqt_plus")</f>
        <v>0</v>
      </c>
      <c r="BH17" s="23">
        <f>COUNTIFS([1]Blood_Products!K:K,"GDEM",[1]Blood_Products!AB:AB,"PRBC",[1]Blood_Products!M:M,"F",[1]Blood_Products!A:A,"IS_alqt_plus")</f>
        <v>0</v>
      </c>
      <c r="BI17" s="22">
        <f>COUNTIFS([1]Blood_Products!K:K,"GDEM",[1]Blood_Products!A:A,"IS*",[1]Blood_Products!AB:AB,"PRBC")</f>
        <v>0</v>
      </c>
      <c r="BJ17" s="21">
        <f>SUMIFS([1]Blood_Products!AF:AF,[1]Blood_Products!K:K,"GDEM",[1]Blood_Products!A:A,"IS*",[1]Blood_Products!AB:AB,"PRBC")</f>
        <v>0</v>
      </c>
      <c r="BK17" s="20">
        <f>COUNTIFS([1]Feces!K:K,"GDEM",[1]Feces!A:A,"in storage",[1]Feces!AB:AB,"feces",[1]Feces!M:M,"M")</f>
        <v>0</v>
      </c>
      <c r="BL17" s="20">
        <f>COUNTIFS([1]Feces!K:K,"GDEM",[1]Feces!A:A,"in storage",[1]Feces!AB:AB,"feces",[1]Feces!M:M,"F")</f>
        <v>0</v>
      </c>
      <c r="BM17" s="19">
        <f t="shared" si="1"/>
        <v>0</v>
      </c>
      <c r="BN17" s="20">
        <f>COUNTIFS([1]Feces!K:K,"GDEM",[1]Feces!A:A,"in storage",[1]Feces!AB:AB,"fecal swab",[1]Feces!M:M,"M")</f>
        <v>0</v>
      </c>
      <c r="BO17" s="20">
        <f>COUNTIFS([1]Feces!K:K,"GDEM",[1]Feces!A:A,"in storage",[1]Feces!AB:AB,"fecal swab",[1]Feces!M:M,"F")</f>
        <v>0</v>
      </c>
      <c r="BP17" s="19">
        <f t="shared" si="2"/>
        <v>0</v>
      </c>
      <c r="BQ17" s="18"/>
      <c r="BR17" s="18"/>
      <c r="BS17" s="18"/>
    </row>
    <row r="18" spans="1:71" s="17" customFormat="1" x14ac:dyDescent="0.35">
      <c r="A18" s="32" t="s">
        <v>25</v>
      </c>
      <c r="B18" s="30">
        <f>COUNTIFS([1]Cadavers!J:J,"GMOH",[1]Cadavers!A:A,"in storage",[1]Cadavers!AO:AO,"Y",[1]Cadavers!L:L,"M")</f>
        <v>6</v>
      </c>
      <c r="C18" s="30">
        <f>COUNTIFS([1]Cadavers!J:J,"GMOH",[1]Cadavers!A:A,"in storage",[1]Cadavers!AO:AO,"Y",[1]Cadavers!L:L,"F")</f>
        <v>4</v>
      </c>
      <c r="D18" s="30">
        <f>COUNTIFS([1]Cadavers!J:J,"GMOH",[1]Cadavers!A:A,"in storage",[1]Cadavers!AO:AO,"Y",[1]Cadavers!L:L,"ND")</f>
        <v>7</v>
      </c>
      <c r="E18" s="31">
        <f>COUNTIFS([1]Cadavers!J:J,"GMOH",[1]Cadavers!A:A,"in storage",[1]Cadavers!AO:AO,"Y")</f>
        <v>17</v>
      </c>
      <c r="F18" s="30">
        <f>COUNTIFS([1]Cadavers!J:J,"GMOH",[1]Cadavers!A:A,"in storage",[1]Cadavers!AO:AO,"N",[1]Cadavers!L:L,"M")</f>
        <v>8</v>
      </c>
      <c r="G18" s="30">
        <f>COUNTIFS([1]Cadavers!J:J,"GMOH",[1]Cadavers!A:A,"in storage",[1]Cadavers!AO:AO,"N",[1]Cadavers!L:L,"F")</f>
        <v>9</v>
      </c>
      <c r="H18" s="31">
        <f>COUNTIFS([1]Cadavers!J:J,"GMOH",[1]Cadavers!A:A,"in storage",[1]Cadavers!AO:AO,"N")</f>
        <v>17</v>
      </c>
      <c r="I18" s="30">
        <f>COUNTIFS([1]Cadavers!J:J,"GMOH")</f>
        <v>60</v>
      </c>
      <c r="J18" s="30">
        <f>COUNTIFS([1]Cadavers!J:J,"GMOH",[1]Cadavers!A:A,"gone")</f>
        <v>20</v>
      </c>
      <c r="K18" s="30">
        <f>COUNTIFS([1]Cadavers!J:J,"GMOH",[1]Cadavers!AQ:AQ,"Y*")</f>
        <v>17</v>
      </c>
      <c r="L18" s="30">
        <f>COUNTIFS([1]Cadavers!J:J,"GMOH",[1]Cadavers!A:A,"ARK")</f>
        <v>2</v>
      </c>
      <c r="M18" s="19">
        <f>COUNTIFS([1]Cadavers!J:J,"GMOH",[1]Cadavers!A:A,"in storage")</f>
        <v>36</v>
      </c>
      <c r="N18" s="28">
        <f>COUNTIFS([1]Tissues!K:K,"GMOH",[1]Tissues!A:A,"in storage",[1]Tissues!AB:AB,"*adrenal*")</f>
        <v>1</v>
      </c>
      <c r="O18" s="28">
        <f>COUNTIFS([1]Tissues!K:K,"GMOH",[1]Tissues!A:A,"in storage",[1]Tissues!AB:AB,"*kidney*")</f>
        <v>31</v>
      </c>
      <c r="P18" s="28">
        <f>COUNTIFS([1]Tissues!K:K,"GMOH",[1]Tissues!A:A,"in storage",[1]Tissues!AB:AB,"*spleen*")</f>
        <v>9</v>
      </c>
      <c r="Q18" s="28">
        <f>COUNTIFS([1]Tissues!K:K,"GMOH",[1]Tissues!A:A,"in storage",[1]Tissues!AB:AB,"*U- bladder*")</f>
        <v>3</v>
      </c>
      <c r="R18" s="28">
        <f>COUNTIFS([1]Tissues!K:K,"GMOH",[1]Tissues!A:A,"in storage",[1]Tissues!AB:AB,"*R- *")</f>
        <v>13</v>
      </c>
      <c r="S18" s="28">
        <f>COUNTIFS([1]Tissues!K:K,"GMOH",[1]Tissues!A:A,"in storage",[1]Tissues!AB:AB,"*liver*")</f>
        <v>37</v>
      </c>
      <c r="T18" s="28">
        <f>COUNTIFS([1]Tissues!K:K,"GMOH",[1]Tissues!A:A,"in storage",[1]Tissues!AB:AB,"*gallbladder*")</f>
        <v>0</v>
      </c>
      <c r="U18" s="28">
        <f>COUNTIFS([1]Tissues!K:K,"GMOH",[1]Tissues!A:A,"in storage",[1]Tissues!AB:AB,"*pancreas*")</f>
        <v>7</v>
      </c>
      <c r="V18" s="28">
        <f>COUNTIFS([1]Tissues!K:K,"GMOH",[1]Tissues!A:A,"in storage",[1]Tissues!AB:AB,"*GI-*")</f>
        <v>5</v>
      </c>
      <c r="W18" s="28">
        <f>COUNTIFS([1]Tissues!K:K,"GMOH",[1]Tissues!A:A,"in storage",[1]Tissues!AB:AB,"*lung*")</f>
        <v>22</v>
      </c>
      <c r="X18" s="28">
        <f>COUNTIFS([1]Tissues!K:K,"GMOH",[1]Tissues!A:A,"in storage",[1]Tissues!AB:AB,"*heart*")</f>
        <v>12</v>
      </c>
      <c r="Y18" s="28">
        <f>COUNTIFS([1]Tissues!K:K,"GMOH",[1]Tissues!A:A,"in storage",[1]Tissues!AB:AB,"*thyroid*")</f>
        <v>2</v>
      </c>
      <c r="Z18" s="28">
        <f>COUNTIFS([1]Tissues!K:K,"GMOH",[1]Tissues!A:A,"in storage",[1]Tissues!AB:AB,"*esophagus*")</f>
        <v>0</v>
      </c>
      <c r="AA18" s="28">
        <f>COUNTIFS([1]Tissues!K:K,"GMOH",[1]Tissues!A:A,"in storage",[1]Tissues!AB:AB,"*trachea*")</f>
        <v>1</v>
      </c>
      <c r="AB18" s="28">
        <f>COUNTIFS([1]Tissues!K:K,"GMOH",[1]Tissues!A:A,"in storage",[1]Tissues!AB:AB,"*eye*")</f>
        <v>3</v>
      </c>
      <c r="AC18" s="28">
        <f>COUNTIFS([1]Tissues!K:K,"GMOH",[1]Tissues!A:A,"in storage",[1]Tissues!AB:AB,"*skin*")</f>
        <v>17</v>
      </c>
      <c r="AD18" s="28">
        <f>COUNTIFS([1]Tissues!K:K,"GMOH",[1]Tissues!A:A,"in storage",[1]Tissues!AB:AB,"*muscle*")</f>
        <v>13</v>
      </c>
      <c r="AE18" s="28">
        <f>COUNTIFS([1]Tissues!K:K,"GMOH",[1]Tissues!A:A,"in storage",[1]Tissues!AB:AB,"*digit*")</f>
        <v>0</v>
      </c>
      <c r="AF18" s="28">
        <f>COUNTIFS([1]Tissues!K:K,"GMOH",[1]Tissues!A:A,"in storage",[1]Tissues!AB:AB,"*fat*")</f>
        <v>0</v>
      </c>
      <c r="AG18" s="28">
        <f>COUNTIFS([1]Tissues!K:K,"GMOH",[1]Tissues!A:A,"in storage",[1]Tissues!AB:AB,"*lymph node*")</f>
        <v>1</v>
      </c>
      <c r="AH18" s="28">
        <f>COUNTIFS([1]Tissues!K:K,"GMOH",[1]Tissues!A:A,"in storage",[1]Tissues!AB:AB,"*Mass*")</f>
        <v>3</v>
      </c>
      <c r="AI18" s="28">
        <f>COUNTIFS([1]Tissues!K:K,"GMOH",[1]Tissues!A:A,"in storage",[1]Tissues!AB:AB,"*tooth*")</f>
        <v>3</v>
      </c>
      <c r="AJ18" s="28">
        <f>COUNTIFS([1]Tissues!K:K,"GMOH",[1]Tissues!A:A,"in storage",[1]Tissues!AB:AB,"*tail*")</f>
        <v>3</v>
      </c>
      <c r="AK18" s="28">
        <f t="shared" si="0"/>
        <v>13</v>
      </c>
      <c r="AL18" s="19">
        <f>COUNTIFS([1]Tissues!K:K,"GMOH",[1]Tissues!A:A,"in storage")</f>
        <v>199</v>
      </c>
      <c r="AM18" s="26">
        <f>COUNTIFS([1]Brains!J:J,"GMOH",[1]Brains!A:A,"IS_whole")</f>
        <v>1</v>
      </c>
      <c r="AN18" s="26">
        <f>COUNTIFS([1]Brains!J:J,"GMOH",[1]Brains!A:A,"IS_partial_brain")</f>
        <v>1</v>
      </c>
      <c r="AO18" s="26">
        <f>COUNTIFS([1]Brains!J:J,"GMOH",[1]Brains!A:A,"IS_partial_FC_RNAlater")</f>
        <v>2</v>
      </c>
      <c r="AP18" s="19">
        <f>COUNTIFS([1]Brains!J:J,"GMOH",[1]Brains!A:A,"IS*")</f>
        <v>4</v>
      </c>
      <c r="AQ18" s="25">
        <f>COUNTIFS([1]Urine!K:K,"GMOH",[1]Urine!M:M,"M",[1]Urine!A:A,"IS_alqt_plus")</f>
        <v>0</v>
      </c>
      <c r="AR18" s="25">
        <f>COUNTIFS([1]Urine!K:K,"GMOH",[1]Urine!M:M,"F",[1]Urine!A:A,"IS_alqt_plus")</f>
        <v>6</v>
      </c>
      <c r="AS18" s="19">
        <f>COUNTIFS([1]Urine!K:K,"GMOH",[1]Urine!A:A,"IS*")</f>
        <v>7</v>
      </c>
      <c r="AT18" s="24">
        <f>SUMIFS([1]Urine!AC:AC,[1]Urine!K:K,"GMOH",[1]Urine!A:A,"IS*")</f>
        <v>4.84</v>
      </c>
      <c r="AU18" s="23">
        <f>COUNTIFS([1]Blood_Products!K:K,"GMOH",[1]Blood_Products!AB:AB,"WB",[1]Blood_Products!M:M,"M",[1]Blood_Products!A:A,"IS_alqt_plus")</f>
        <v>4</v>
      </c>
      <c r="AV18" s="23">
        <f>COUNTIFS([1]Blood_Products!K:K,"GMOH",[1]Blood_Products!AB:AB,"WB",[1]Blood_Products!M:M,"F",[1]Blood_Products!A:A,"IS_alqt_plus")</f>
        <v>26</v>
      </c>
      <c r="AW18" s="22">
        <f>COUNTIFS([1]Blood_Products!K:K,"GMOH",[1]Blood_Products!A:A,"IS*",[1]Blood_Products!AB:AB,"WB")</f>
        <v>37</v>
      </c>
      <c r="AX18" s="21">
        <f>SUMIFS([1]Blood_Products!AF:AF,[1]Blood_Products!K:K,"GMOH",[1]Blood_Products!A:A,"IS*",[1]Blood_Products!AB:AB,"WB")</f>
        <v>9.4000000000000021</v>
      </c>
      <c r="AY18" s="23">
        <f>COUNTIFS([1]Blood_Products!K:K,"GMOH",[1]Blood_Products!AB:AB,"serum",[1]Blood_Products!M:M,"M",[1]Blood_Products!A:A,"IS_alqt_plus")</f>
        <v>4</v>
      </c>
      <c r="AZ18" s="23">
        <f>COUNTIFS([1]Blood_Products!K:K,"GMOH",[1]Blood_Products!AB:AB,"serum",[1]Blood_Products!M:M,"F",[1]Blood_Products!A:A,"IS_alqt_plus")</f>
        <v>11</v>
      </c>
      <c r="BA18" s="22">
        <f>COUNTIFS([1]Blood_Products!K:K,"GMOH",[1]Blood_Products!A:A,"IS*",[1]Blood_Products!AB:AB,"serum")</f>
        <v>19</v>
      </c>
      <c r="BB18" s="21">
        <f>SUMIFS([1]Blood_Products!AF:AF,[1]Blood_Products!K:K,"GMOH",[1]Blood_Products!A:A,"IS*",[1]Blood_Products!AB:AB,"serum")</f>
        <v>7.3100000000000005</v>
      </c>
      <c r="BC18" s="23">
        <f>COUNTIFS([1]Blood_Products!K:K,"GMOH",[1]Blood_Products!AB:AB,"plasma",[1]Blood_Products!M:M,"M",[1]Blood_Products!A:A,"IS_alqt_plus")</f>
        <v>0</v>
      </c>
      <c r="BD18" s="23">
        <f>COUNTIFS([1]Blood_Products!K:K,"GMOH",[1]Blood_Products!AB:AB,"plasma",[1]Blood_Products!M:M,"F",[1]Blood_Products!A:A,"IS_alqt_plus")</f>
        <v>0</v>
      </c>
      <c r="BE18" s="22">
        <f>COUNTIFS([1]Blood_Products!K:K,"GMOH",[1]Blood_Products!A:A,"IS*",[1]Blood_Products!AB:AB,"plasma")</f>
        <v>0</v>
      </c>
      <c r="BF18" s="21">
        <f>SUMIFS([1]Blood_Products!AF:AF,[1]Blood_Products!K:K,"GMOH",[1]Blood_Products!A:A,"IS*",[1]Blood_Products!AB:AB,"plasma")</f>
        <v>0</v>
      </c>
      <c r="BG18" s="23">
        <f>COUNTIFS([1]Blood_Products!K:K,"GMOH",[1]Blood_Products!AB:AB,"PRBC",[1]Blood_Products!M:M,"M",[1]Blood_Products!A:A,"IS_alqt_plus")</f>
        <v>1</v>
      </c>
      <c r="BH18" s="23">
        <f>COUNTIFS([1]Blood_Products!K:K,"GMOH",[1]Blood_Products!AB:AB,"PRBC",[1]Blood_Products!M:M,"F",[1]Blood_Products!A:A,"IS_alqt_plus")</f>
        <v>0</v>
      </c>
      <c r="BI18" s="22">
        <f>COUNTIFS([1]Blood_Products!K:K,"GMOH",[1]Blood_Products!A:A,"IS*",[1]Blood_Products!AB:AB,"PRBC")</f>
        <v>1</v>
      </c>
      <c r="BJ18" s="21">
        <f>SUMIFS([1]Blood_Products!AF:AF,[1]Blood_Products!K:K,"GMOH",[1]Blood_Products!A:A,"IS*",[1]Blood_Products!AB:AB,"PRBC")</f>
        <v>0.5</v>
      </c>
      <c r="BK18" s="20">
        <f>COUNTIFS([1]Feces!K:K,"GMOH",[1]Feces!A:A,"in storage",[1]Feces!AB:AB,"feces",[1]Feces!M:M,"M")</f>
        <v>1</v>
      </c>
      <c r="BL18" s="20">
        <f>COUNTIFS([1]Feces!K:K,"GMOH",[1]Feces!A:A,"in storage",[1]Feces!AB:AB,"feces",[1]Feces!M:M,"F")</f>
        <v>1</v>
      </c>
      <c r="BM18" s="19">
        <f t="shared" si="1"/>
        <v>2</v>
      </c>
      <c r="BN18" s="20">
        <f>COUNTIFS([1]Feces!K:K,"GMOH",[1]Feces!A:A,"in storage",[1]Feces!AB:AB,"fecal swab",[1]Feces!M:M,"M")</f>
        <v>0</v>
      </c>
      <c r="BO18" s="20">
        <f>COUNTIFS([1]Feces!K:K,"GMOH",[1]Feces!A:A,"in storage",[1]Feces!AB:AB,"fecal swab",[1]Feces!M:M,"F")</f>
        <v>0</v>
      </c>
      <c r="BP18" s="19">
        <f t="shared" si="2"/>
        <v>0</v>
      </c>
      <c r="BQ18" s="18"/>
      <c r="BR18" s="18"/>
      <c r="BS18" s="18"/>
    </row>
    <row r="19" spans="1:71" s="17" customFormat="1" x14ac:dyDescent="0.35">
      <c r="A19" s="32" t="s">
        <v>24</v>
      </c>
      <c r="B19" s="30">
        <f>COUNTIFS([1]Cadavers!J:J,"HGG",[1]Cadavers!A:A,"in storage",[1]Cadavers!AO:AO,"Y",[1]Cadavers!L:L,"M")</f>
        <v>1</v>
      </c>
      <c r="C19" s="30">
        <f>COUNTIFS([1]Cadavers!J:J,"HGG",[1]Cadavers!A:A,"in storage",[1]Cadavers!AO:AO,"Y",[1]Cadavers!L:L,"F")</f>
        <v>0</v>
      </c>
      <c r="D19" s="30">
        <f>COUNTIFS([1]Cadavers!J:J,"HGG",[1]Cadavers!A:A,"in storage",[1]Cadavers!AO:AO,"Y",[1]Cadavers!L:L,"ND")</f>
        <v>0</v>
      </c>
      <c r="E19" s="31">
        <f>COUNTIFS([1]Cadavers!J:J,"HGG",[1]Cadavers!A:A,"in storage",[1]Cadavers!AO:AO,"Y")</f>
        <v>1</v>
      </c>
      <c r="F19" s="30">
        <f>COUNTIFS([1]Cadavers!J:J,"HGG",[1]Cadavers!A:A,"in storage",[1]Cadavers!AO:AO,"N",[1]Cadavers!L:L,"M")</f>
        <v>5</v>
      </c>
      <c r="G19" s="30">
        <f>COUNTIFS([1]Cadavers!J:J,"HGG",[1]Cadavers!A:A,"in storage",[1]Cadavers!AO:AO,"N",[1]Cadavers!L:L,"F")</f>
        <v>11</v>
      </c>
      <c r="H19" s="31">
        <f>COUNTIFS([1]Cadavers!J:J,"HGG",[1]Cadavers!A:A,"in storage",[1]Cadavers!AO:AO,"N")</f>
        <v>16</v>
      </c>
      <c r="I19" s="30">
        <f>COUNTIFS([1]Cadavers!J:J,"HGG")</f>
        <v>30</v>
      </c>
      <c r="J19" s="30">
        <f>COUNTIFS([1]Cadavers!J:J,"HGG",[1]Cadavers!A:A,"gone")</f>
        <v>9</v>
      </c>
      <c r="K19" s="30">
        <f>COUNTIFS([1]Cadavers!J:J,"HGG",[1]Cadavers!AQ:AQ,"Y*")</f>
        <v>14</v>
      </c>
      <c r="L19" s="30">
        <f>COUNTIFS([1]Cadavers!J:J,"HGG",[1]Cadavers!A:A,"ARK")</f>
        <v>2</v>
      </c>
      <c r="M19" s="19">
        <f>COUNTIFS([1]Cadavers!J:J,"HGG",[1]Cadavers!A:A,"in storage")</f>
        <v>18</v>
      </c>
      <c r="N19" s="28">
        <f>COUNTIFS([1]Tissues!K:K,"HGG",[1]Tissues!A:A,"in storage",[1]Tissues!AB:AB,"*adrenal*")</f>
        <v>10</v>
      </c>
      <c r="O19" s="28">
        <f>COUNTIFS([1]Tissues!K:K,"HGG",[1]Tissues!A:A,"in storage",[1]Tissues!AB:AB,"*kidney*")</f>
        <v>37</v>
      </c>
      <c r="P19" s="28">
        <f>COUNTIFS([1]Tissues!K:K,"HGG",[1]Tissues!A:A,"in storage",[1]Tissues!AB:AB,"*spleen*")</f>
        <v>29</v>
      </c>
      <c r="Q19" s="28">
        <f>COUNTIFS([1]Tissues!K:K,"HGG",[1]Tissues!A:A,"in storage",[1]Tissues!AB:AB,"*U- bladder*")</f>
        <v>1</v>
      </c>
      <c r="R19" s="28">
        <f>COUNTIFS([1]Tissues!K:K,"HGG",[1]Tissues!A:A,"in storage",[1]Tissues!AB:AB,"*R- *")</f>
        <v>13</v>
      </c>
      <c r="S19" s="28">
        <f>COUNTIFS([1]Tissues!K:K,"HGG",[1]Tissues!A:A,"in storage",[1]Tissues!AB:AB,"*liver*")</f>
        <v>44</v>
      </c>
      <c r="T19" s="28">
        <f>COUNTIFS([1]Tissues!K:K,"HGG",[1]Tissues!A:A,"in storage",[1]Tissues!AB:AB,"*gallbladder*")</f>
        <v>2</v>
      </c>
      <c r="U19" s="28">
        <f>COUNTIFS([1]Tissues!K:K,"HGG",[1]Tissues!A:A,"in storage",[1]Tissues!AB:AB,"*pancreas*")</f>
        <v>12</v>
      </c>
      <c r="V19" s="28">
        <f>COUNTIFS([1]Tissues!K:K,"HGG",[1]Tissues!A:A,"in storage",[1]Tissues!AB:AB,"*GI-*")</f>
        <v>42</v>
      </c>
      <c r="W19" s="28">
        <f>COUNTIFS([1]Tissues!K:K,"HGG",[1]Tissues!A:A,"in storage",[1]Tissues!AB:AB,"*lung*")</f>
        <v>34</v>
      </c>
      <c r="X19" s="28">
        <f>COUNTIFS([1]Tissues!K:K,"HGG",[1]Tissues!A:A,"in storage",[1]Tissues!AB:AB,"*heart*")</f>
        <v>24</v>
      </c>
      <c r="Y19" s="28">
        <f>COUNTIFS([1]Tissues!K:K,"HGG",[1]Tissues!A:A,"in storage",[1]Tissues!AB:AB,"*thyroid*")</f>
        <v>2</v>
      </c>
      <c r="Z19" s="28">
        <f>COUNTIFS([1]Tissues!K:K,"HGG",[1]Tissues!A:A,"in storage",[1]Tissues!AB:AB,"*esophagus*")</f>
        <v>3</v>
      </c>
      <c r="AA19" s="28">
        <f>COUNTIFS([1]Tissues!K:K,"HGG",[1]Tissues!A:A,"in storage",[1]Tissues!AB:AB,"*trachea*")</f>
        <v>4</v>
      </c>
      <c r="AB19" s="28">
        <f>COUNTIFS([1]Tissues!K:K,"HGG",[1]Tissues!A:A,"in storage",[1]Tissues!AB:AB,"*eye*")</f>
        <v>7</v>
      </c>
      <c r="AC19" s="28">
        <f>COUNTIFS([1]Tissues!K:K,"HGG",[1]Tissues!A:A,"in storage",[1]Tissues!AB:AB,"*skin*")</f>
        <v>11</v>
      </c>
      <c r="AD19" s="28">
        <f>COUNTIFS([1]Tissues!K:K,"HGG",[1]Tissues!A:A,"in storage",[1]Tissues!AB:AB,"*muscle*")</f>
        <v>20</v>
      </c>
      <c r="AE19" s="28">
        <f>COUNTIFS([1]Tissues!K:K,"HGG",[1]Tissues!A:A,"in storage",[1]Tissues!AB:AB,"*digit*")</f>
        <v>0</v>
      </c>
      <c r="AF19" s="28">
        <f>COUNTIFS([1]Tissues!K:K,"HGG",[1]Tissues!A:A,"in storage",[1]Tissues!AB:AB,"*fat*")</f>
        <v>2</v>
      </c>
      <c r="AG19" s="28">
        <f>COUNTIFS([1]Tissues!K:K,"HGG",[1]Tissues!A:A,"in storage",[1]Tissues!AB:AB,"*lymph node*")</f>
        <v>1</v>
      </c>
      <c r="AH19" s="28">
        <f>COUNTIFS([1]Tissues!K:K,"HGG",[1]Tissues!A:A,"in storage",[1]Tissues!AB:AB,"*Mass*")</f>
        <v>2</v>
      </c>
      <c r="AI19" s="28">
        <f>COUNTIFS([1]Tissues!K:K,"HGG",[1]Tissues!A:A,"in storage",[1]Tissues!AB:AB,"*tooth*")</f>
        <v>4</v>
      </c>
      <c r="AJ19" s="28">
        <f>COUNTIFS([1]Tissues!K:K,"HGG",[1]Tissues!A:A,"in storage",[1]Tissues!AB:AB,"*tail*")</f>
        <v>0</v>
      </c>
      <c r="AK19" s="28">
        <f t="shared" si="0"/>
        <v>30</v>
      </c>
      <c r="AL19" s="19">
        <f>COUNTIFS([1]Tissues!K:K,"HGG",[1]Tissues!A:A,"in storage")</f>
        <v>334</v>
      </c>
      <c r="AM19" s="26">
        <f>COUNTIFS([1]Brains!J:J,"HGG",[1]Brains!A:A,"IS_whole")</f>
        <v>1</v>
      </c>
      <c r="AN19" s="26">
        <f>COUNTIFS([1]Brains!J:J,"HGG",[1]Brains!A:A,"IS_partial_brain")</f>
        <v>4</v>
      </c>
      <c r="AO19" s="26">
        <f>COUNTIFS([1]Brains!J:J,"HGG",[1]Brains!A:A,"IS_partial_FC_RNAlater")</f>
        <v>2</v>
      </c>
      <c r="AP19" s="19">
        <f>COUNTIFS([1]Brains!J:J,"HGG",[1]Brains!A:A,"IS*")</f>
        <v>7</v>
      </c>
      <c r="AQ19" s="25">
        <f>COUNTIFS([1]Urine!K:K,"HGG",[1]Urine!M:M,"M",[1]Urine!A:A,"IS_alqt_plus")</f>
        <v>21</v>
      </c>
      <c r="AR19" s="25">
        <f>COUNTIFS([1]Urine!K:K,"HGG",[1]Urine!M:M,"F",[1]Urine!A:A,"IS_alqt_plus")</f>
        <v>2</v>
      </c>
      <c r="AS19" s="19">
        <f>COUNTIFS([1]Urine!K:K,"HGG",[1]Urine!A:A,"IS*")</f>
        <v>26</v>
      </c>
      <c r="AT19" s="24">
        <f>SUMIFS([1]Urine!AC:AC,[1]Urine!K:K,"HGG",[1]Urine!A:A,"IS*")</f>
        <v>14.9</v>
      </c>
      <c r="AU19" s="23">
        <f>COUNTIFS([1]Blood_Products!K:K,"HGG",[1]Blood_Products!AB:AB,"WB",[1]Blood_Products!M:M,"M",[1]Blood_Products!A:A,"IS_alqt_plus")</f>
        <v>35</v>
      </c>
      <c r="AV19" s="23">
        <f>COUNTIFS([1]Blood_Products!K:K,"HGG",[1]Blood_Products!AB:AB,"WB",[1]Blood_Products!M:M,"F",[1]Blood_Products!A:A,"IS_alqt_plus")</f>
        <v>79</v>
      </c>
      <c r="AW19" s="22">
        <f>COUNTIFS([1]Blood_Products!K:K,"HGG",[1]Blood_Products!A:A,"IS*",[1]Blood_Products!AB:AB,"WB")</f>
        <v>119</v>
      </c>
      <c r="AX19" s="21">
        <f>SUMIFS([1]Blood_Products!AF:AF,[1]Blood_Products!K:K,"HGG",[1]Blood_Products!A:A,"IS*",[1]Blood_Products!AB:AB,"WB")</f>
        <v>87.050000000000026</v>
      </c>
      <c r="AY19" s="23">
        <f>COUNTIFS([1]Blood_Products!K:K,"HGG",[1]Blood_Products!AB:AB,"serum",[1]Blood_Products!M:M,"M",[1]Blood_Products!A:A,"IS_alqt_plus")</f>
        <v>114</v>
      </c>
      <c r="AZ19" s="23">
        <f>COUNTIFS([1]Blood_Products!K:K,"HGG",[1]Blood_Products!AB:AB,"serum",[1]Blood_Products!M:M,"F",[1]Blood_Products!A:A,"IS_alqt_plus")</f>
        <v>114</v>
      </c>
      <c r="BA19" s="22">
        <f>COUNTIFS([1]Blood_Products!K:K,"HGG",[1]Blood_Products!A:A,"IS*",[1]Blood_Products!AB:AB,"serum")</f>
        <v>230</v>
      </c>
      <c r="BB19" s="21">
        <f>SUMIFS([1]Blood_Products!AF:AF,[1]Blood_Products!K:K,"HGG",[1]Blood_Products!A:A,"IS*",[1]Blood_Products!AB:AB,"serum")</f>
        <v>197.84999999999991</v>
      </c>
      <c r="BC19" s="23">
        <f>COUNTIFS([1]Blood_Products!K:K,"HGG",[1]Blood_Products!AB:AB,"plasma",[1]Blood_Products!M:M,"M",[1]Blood_Products!A:A,"IS_alqt_plus")</f>
        <v>1</v>
      </c>
      <c r="BD19" s="23">
        <f>COUNTIFS([1]Blood_Products!K:K,"HGG",[1]Blood_Products!AB:AB,"plasma",[1]Blood_Products!M:M,"F",[1]Blood_Products!A:A,"IS_alqt_plus")</f>
        <v>5</v>
      </c>
      <c r="BE19" s="22">
        <f>COUNTIFS([1]Blood_Products!K:K,"HGG",[1]Blood_Products!A:A,"IS*",[1]Blood_Products!AB:AB,"plasma")</f>
        <v>6</v>
      </c>
      <c r="BF19" s="21">
        <f>SUMIFS([1]Blood_Products!AF:AF,[1]Blood_Products!K:K,"HGG",[1]Blood_Products!A:A,"IS*",[1]Blood_Products!AB:AB,"plasma")</f>
        <v>1.95</v>
      </c>
      <c r="BG19" s="23">
        <f>COUNTIFS([1]Blood_Products!K:K,"HGG",[1]Blood_Products!AB:AB,"PRBC",[1]Blood_Products!M:M,"M",[1]Blood_Products!A:A,"IS_alqt_plus")</f>
        <v>1</v>
      </c>
      <c r="BH19" s="23">
        <f>COUNTIFS([1]Blood_Products!K:K,"HGG",[1]Blood_Products!AB:AB,"PRBC",[1]Blood_Products!M:M,"F",[1]Blood_Products!A:A,"IS_alqt_plus")</f>
        <v>0</v>
      </c>
      <c r="BI19" s="22">
        <f>COUNTIFS([1]Blood_Products!K:K,"HGG",[1]Blood_Products!A:A,"IS*",[1]Blood_Products!AB:AB,"PRBC")</f>
        <v>1</v>
      </c>
      <c r="BJ19" s="21">
        <f>SUMIFS([1]Blood_Products!AF:AF,[1]Blood_Products!K:K,"HGG",[1]Blood_Products!A:A,"IS*",[1]Blood_Products!AB:AB,"PRBC")</f>
        <v>0.25</v>
      </c>
      <c r="BK19" s="20">
        <f>COUNTIFS([1]Feces!K:K,"HGG",[1]Feces!A:A,"in storage",[1]Feces!AB:AB,"feces",[1]Feces!M:M,"M")</f>
        <v>7</v>
      </c>
      <c r="BL19" s="20">
        <f>COUNTIFS([1]Feces!K:K,"HGG",[1]Feces!A:A,"in storage",[1]Feces!AB:AB,"feces",[1]Feces!M:M,"F")</f>
        <v>3</v>
      </c>
      <c r="BM19" s="19">
        <f t="shared" si="1"/>
        <v>10</v>
      </c>
      <c r="BN19" s="20">
        <f>COUNTIFS([1]Feces!K:K,"HGG",[1]Feces!A:A,"in storage",[1]Feces!AB:AB,"fecal swab",[1]Feces!M:M,"M")</f>
        <v>0</v>
      </c>
      <c r="BO19" s="20">
        <f>COUNTIFS([1]Feces!K:K,"HGG",[1]Feces!A:A,"in storage",[1]Feces!AB:AB,"fecal swab",[1]Feces!M:M,"F")</f>
        <v>0</v>
      </c>
      <c r="BP19" s="19">
        <f t="shared" si="2"/>
        <v>0</v>
      </c>
      <c r="BQ19" s="18"/>
      <c r="BR19" s="18"/>
      <c r="BS19" s="18"/>
    </row>
    <row r="20" spans="1:71" s="17" customFormat="1" x14ac:dyDescent="0.35">
      <c r="A20" s="32" t="s">
        <v>23</v>
      </c>
      <c r="B20" s="30">
        <f>COUNTIFS([1]Cadavers!J:J,"LCAT",[1]Cadavers!A:A,"in storage",[1]Cadavers!AO:AO,"Y",[1]Cadavers!L:L,"M")</f>
        <v>9</v>
      </c>
      <c r="C20" s="30">
        <f>COUNTIFS([1]Cadavers!J:J,"LCAT",[1]Cadavers!A:A,"in storage",[1]Cadavers!AO:AO,"Y",[1]Cadavers!L:L,"F")</f>
        <v>9</v>
      </c>
      <c r="D20" s="30">
        <f>COUNTIFS([1]Cadavers!J:J,"LCAT",[1]Cadavers!A:A,"in storage",[1]Cadavers!AO:AO,"Y",[1]Cadavers!L:L,"ND")</f>
        <v>2</v>
      </c>
      <c r="E20" s="31">
        <f>COUNTIFS([1]Cadavers!J:J,"LCAT",[1]Cadavers!A:A,"in storage",[1]Cadavers!AO:AO,"Y")</f>
        <v>20</v>
      </c>
      <c r="F20" s="30">
        <f>COUNTIFS([1]Cadavers!J:J,"LCAT",[1]Cadavers!A:A,"in storage",[1]Cadavers!AO:AO,"N",[1]Cadavers!L:L,"M")</f>
        <v>7</v>
      </c>
      <c r="G20" s="30">
        <f>COUNTIFS([1]Cadavers!J:J,"LCAT",[1]Cadavers!A:A,"in storage",[1]Cadavers!AO:AO,"N",[1]Cadavers!L:L,"F")</f>
        <v>10</v>
      </c>
      <c r="H20" s="31">
        <f>COUNTIFS([1]Cadavers!J:J,"LCAT",[1]Cadavers!A:A,"in storage",[1]Cadavers!AO:AO,"N")</f>
        <v>17</v>
      </c>
      <c r="I20" s="30">
        <f>COUNTIFS([1]Cadavers!J:J,"LCAT")</f>
        <v>62</v>
      </c>
      <c r="J20" s="30">
        <f>COUNTIFS([1]Cadavers!J:J,"LCAT",[1]Cadavers!A:A,"gone")</f>
        <v>23</v>
      </c>
      <c r="K20" s="30">
        <f>COUNTIFS([1]Cadavers!J:J,"LCAT",[1]Cadavers!AQ:AQ,"Y*")</f>
        <v>10</v>
      </c>
      <c r="L20" s="30">
        <f>COUNTIFS([1]Cadavers!J:J,"LCAT",[1]Cadavers!A:A,"ARK")</f>
        <v>2</v>
      </c>
      <c r="M20" s="19">
        <f>COUNTIFS([1]Cadavers!J:J,"LCAT",[1]Cadavers!A:A,"in storage")</f>
        <v>37</v>
      </c>
      <c r="N20" s="28">
        <f>COUNTIFS([1]Tissues!K:K,"LCAT",[1]Tissues!A:A,"in storage",[1]Tissues!AB:AB,"*adrenal*")</f>
        <v>18</v>
      </c>
      <c r="O20" s="28">
        <f>COUNTIFS([1]Tissues!K:K,"LCAT",[1]Tissues!A:A,"in storage",[1]Tissues!AB:AB,"*kidney*")</f>
        <v>104</v>
      </c>
      <c r="P20" s="28">
        <f>COUNTIFS([1]Tissues!K:K,"LCAT",[1]Tissues!A:A,"in storage",[1]Tissues!AB:AB,"*spleen*")</f>
        <v>50</v>
      </c>
      <c r="Q20" s="28">
        <f>COUNTIFS([1]Tissues!K:K,"LCAT",[1]Tissues!A:A,"in storage",[1]Tissues!AB:AB,"*U- bladder*")</f>
        <v>19</v>
      </c>
      <c r="R20" s="28">
        <f>COUNTIFS([1]Tissues!K:K,"LCAT",[1]Tissues!A:A,"in storage",[1]Tissues!AB:AB,"*R- *")</f>
        <v>33</v>
      </c>
      <c r="S20" s="28">
        <f>COUNTIFS([1]Tissues!K:K,"LCAT",[1]Tissues!A:A,"in storage",[1]Tissues!AB:AB,"*liver*")</f>
        <v>104</v>
      </c>
      <c r="T20" s="28">
        <f>COUNTIFS([1]Tissues!K:K,"LCAT",[1]Tissues!A:A,"in storage",[1]Tissues!AB:AB,"*gallbladder*")</f>
        <v>4</v>
      </c>
      <c r="U20" s="28">
        <f>COUNTIFS([1]Tissues!K:K,"LCAT",[1]Tissues!A:A,"in storage",[1]Tissues!AB:AB,"*pancreas*")</f>
        <v>33</v>
      </c>
      <c r="V20" s="28">
        <f>COUNTIFS([1]Tissues!K:K,"LCAT",[1]Tissues!A:A,"in storage",[1]Tissues!AB:AB,"*GI-*")</f>
        <v>62</v>
      </c>
      <c r="W20" s="28">
        <f>COUNTIFS([1]Tissues!K:K,"LCAT",[1]Tissues!A:A,"in storage",[1]Tissues!AB:AB,"*lung*")</f>
        <v>110</v>
      </c>
      <c r="X20" s="28">
        <f>COUNTIFS([1]Tissues!K:K,"LCAT",[1]Tissues!A:A,"in storage",[1]Tissues!AB:AB,"*heart*")</f>
        <v>55</v>
      </c>
      <c r="Y20" s="28">
        <f>COUNTIFS([1]Tissues!K:K,"LCAT",[1]Tissues!A:A,"in storage",[1]Tissues!AB:AB,"*thyroid*")</f>
        <v>12</v>
      </c>
      <c r="Z20" s="28">
        <f>COUNTIFS([1]Tissues!K:K,"LCAT",[1]Tissues!A:A,"in storage",[1]Tissues!AB:AB,"*esophagus*")</f>
        <v>5</v>
      </c>
      <c r="AA20" s="28">
        <f>COUNTIFS([1]Tissues!K:K,"LCAT",[1]Tissues!A:A,"in storage",[1]Tissues!AB:AB,"*trachea*")</f>
        <v>11</v>
      </c>
      <c r="AB20" s="28">
        <f>COUNTIFS([1]Tissues!K:K,"LCAT",[1]Tissues!A:A,"in storage",[1]Tissues!AB:AB,"*eye*")</f>
        <v>13</v>
      </c>
      <c r="AC20" s="28">
        <f>COUNTIFS([1]Tissues!K:K,"LCAT",[1]Tissues!A:A,"in storage",[1]Tissues!AB:AB,"*skin*")</f>
        <v>28</v>
      </c>
      <c r="AD20" s="28">
        <f>COUNTIFS([1]Tissues!K:K,"LCAT",[1]Tissues!A:A,"in storage",[1]Tissues!AB:AB,"*muscle*")</f>
        <v>46</v>
      </c>
      <c r="AE20" s="28">
        <f>COUNTIFS([1]Tissues!K:K,"LCAT",[1]Tissues!A:A,"in storage",[1]Tissues!AB:AB,"*digit*")</f>
        <v>4</v>
      </c>
      <c r="AF20" s="28">
        <f>COUNTIFS([1]Tissues!K:K,"LCAT",[1]Tissues!A:A,"in storage",[1]Tissues!AB:AB,"*fat*")</f>
        <v>2</v>
      </c>
      <c r="AG20" s="28">
        <f>COUNTIFS([1]Tissues!K:K,"LCAT",[1]Tissues!A:A,"in storage",[1]Tissues!AB:AB,"*lymph node*")</f>
        <v>9</v>
      </c>
      <c r="AH20" s="28">
        <f>COUNTIFS([1]Tissues!K:K,"LCAT",[1]Tissues!A:A,"in storage",[1]Tissues!AB:AB,"*Mass*")</f>
        <v>8</v>
      </c>
      <c r="AI20" s="28">
        <f>COUNTIFS([1]Tissues!K:K,"LCAT",[1]Tissues!A:A,"in storage",[1]Tissues!AB:AB,"*tooth*")</f>
        <v>6</v>
      </c>
      <c r="AJ20" s="28">
        <f>COUNTIFS([1]Tissues!K:K,"LCAT",[1]Tissues!A:A,"in storage",[1]Tissues!AB:AB,"*tail*")</f>
        <v>6</v>
      </c>
      <c r="AK20" s="28">
        <f t="shared" si="0"/>
        <v>66</v>
      </c>
      <c r="AL20" s="27">
        <f>COUNTIFS([1]Tissues!K:K,"LCAT",[1]Tissues!A:A,"in storage")</f>
        <v>808</v>
      </c>
      <c r="AM20" s="26">
        <f>COUNTIFS([1]Brains!J:J,"LCAT",[1]Brains!A:A,"IS_whole")</f>
        <v>2</v>
      </c>
      <c r="AN20" s="26">
        <f>COUNTIFS([1]Brains!J:J,"LCAT",[1]Brains!A:A,"IS_partial_brain")</f>
        <v>7</v>
      </c>
      <c r="AO20" s="26">
        <f>COUNTIFS([1]Brains!J:J,"LCAT",[1]Brains!A:A,"IS_partial_FC_RNAlater")</f>
        <v>2</v>
      </c>
      <c r="AP20" s="19">
        <f>COUNTIFS([1]Brains!J:J,"LCAT",[1]Brains!A:A,"IS*")</f>
        <v>11</v>
      </c>
      <c r="AQ20" s="25">
        <f>COUNTIFS([1]Urine!K:K,"LCAT",[1]Urine!M:M,"M",[1]Urine!A:A,"IS_alqt_plus")</f>
        <v>152</v>
      </c>
      <c r="AR20" s="25">
        <f>COUNTIFS([1]Urine!K:K,"LCAT",[1]Urine!M:M,"F",[1]Urine!A:A,"IS_alqt_plus")</f>
        <v>352</v>
      </c>
      <c r="AS20" s="19">
        <f>COUNTIFS([1]Urine!K:K,"LCAT",[1]Urine!A:A,"IS*")</f>
        <v>652</v>
      </c>
      <c r="AT20" s="24">
        <f>SUMIFS([1]Urine!AC:AC,[1]Urine!K:K,"LCAT",[1]Urine!A:A,"IS*")</f>
        <v>465.39999999999924</v>
      </c>
      <c r="AU20" s="23">
        <f>COUNTIFS([1]Blood_Products!K:K,"LCAT",[1]Blood_Products!AB:AB,"WB",[1]Blood_Products!M:M,"M",[1]Blood_Products!A:A,"IS_alqt_plus")</f>
        <v>461</v>
      </c>
      <c r="AV20" s="23">
        <f>COUNTIFS([1]Blood_Products!K:K,"LCAT",[1]Blood_Products!AB:AB,"WB",[1]Blood_Products!M:M,"F",[1]Blood_Products!A:A,"IS_alqt_plus")</f>
        <v>770</v>
      </c>
      <c r="AW20" s="22">
        <f>COUNTIFS([1]Blood_Products!K:K,"LCAT",[1]Blood_Products!A:A,"IS*",[1]Blood_Products!AB:AB,"WB")</f>
        <v>1246</v>
      </c>
      <c r="AX20" s="21">
        <f>SUMIFS([1]Blood_Products!AF:AF,[1]Blood_Products!K:K,"LCAT",[1]Blood_Products!A:A,"IS*",[1]Blood_Products!AB:AB,"WB")</f>
        <v>781.46600000000456</v>
      </c>
      <c r="AY20" s="23">
        <f>COUNTIFS([1]Blood_Products!K:K,"LCAT",[1]Blood_Products!AB:AB,"serum",[1]Blood_Products!M:M,"M",[1]Blood_Products!A:A,"IS_alqt_plus")</f>
        <v>452</v>
      </c>
      <c r="AZ20" s="23">
        <f>COUNTIFS([1]Blood_Products!K:K,"LCAT",[1]Blood_Products!AB:AB,"serum",[1]Blood_Products!M:M,"F",[1]Blood_Products!A:A,"IS_alqt_plus")</f>
        <v>596</v>
      </c>
      <c r="BA20" s="22">
        <f>COUNTIFS([1]Blood_Products!K:K,"LCAT",[1]Blood_Products!A:A,"IS*",[1]Blood_Products!AB:AB,"serum")</f>
        <v>1062</v>
      </c>
      <c r="BB20" s="21">
        <f>SUMIFS([1]Blood_Products!AF:AF,[1]Blood_Products!K:K,"LCAT",[1]Blood_Products!A:A,"IS*",[1]Blood_Products!AB:AB,"serum")</f>
        <v>786.62000000000205</v>
      </c>
      <c r="BC20" s="23">
        <f>COUNTIFS([1]Blood_Products!K:K,"LCAT",[1]Blood_Products!AB:AB,"plasma",[1]Blood_Products!M:M,"M",[1]Blood_Products!A:A,"IS_alqt_plus")</f>
        <v>21</v>
      </c>
      <c r="BD20" s="23">
        <f>COUNTIFS([1]Blood_Products!K:K,"LCAT",[1]Blood_Products!AB:AB,"plasma",[1]Blood_Products!M:M,"F",[1]Blood_Products!A:A,"IS_alqt_plus")</f>
        <v>26</v>
      </c>
      <c r="BE20" s="22">
        <f>COUNTIFS([1]Blood_Products!K:K,"LCAT",[1]Blood_Products!A:A,"IS*",[1]Blood_Products!AB:AB,"plasma")</f>
        <v>47</v>
      </c>
      <c r="BF20" s="21">
        <f>SUMIFS([1]Blood_Products!AF:AF,[1]Blood_Products!K:K,"LCAT",[1]Blood_Products!A:A,"IS*",[1]Blood_Products!AB:AB,"plasma")</f>
        <v>11.699999999999992</v>
      </c>
      <c r="BG20" s="23">
        <f>COUNTIFS([1]Blood_Products!K:K,"LCAT",[1]Blood_Products!AB:AB,"PRBC",[1]Blood_Products!M:M,"M",[1]Blood_Products!A:A,"IS_alqt_plus")</f>
        <v>18</v>
      </c>
      <c r="BH20" s="23">
        <f>COUNTIFS([1]Blood_Products!K:K,"LCAT",[1]Blood_Products!AB:AB,"PRBC",[1]Blood_Products!M:M,"F",[1]Blood_Products!A:A,"IS_alqt_plus")</f>
        <v>16</v>
      </c>
      <c r="BI20" s="22">
        <f>COUNTIFS([1]Blood_Products!K:K,"LCAT",[1]Blood_Products!A:A,"IS*",[1]Blood_Products!AB:AB,"PRBC")</f>
        <v>34</v>
      </c>
      <c r="BJ20" s="21">
        <f>SUMIFS([1]Blood_Products!AF:AF,[1]Blood_Products!K:K,"LCAT",[1]Blood_Products!A:A,"IS*",[1]Blood_Products!AB:AB,"PRBC")</f>
        <v>20.550000000000004</v>
      </c>
      <c r="BK20" s="20">
        <f>COUNTIFS([1]Feces!K:K,"LCAT",[1]Feces!A:A,"in storage",[1]Feces!AB:AB,"feces",[1]Feces!M:M,"M")</f>
        <v>33</v>
      </c>
      <c r="BL20" s="20">
        <f>COUNTIFS([1]Feces!K:K,"LCAT",[1]Feces!A:A,"in storage",[1]Feces!AB:AB,"feces",[1]Feces!M:M,"F")</f>
        <v>34</v>
      </c>
      <c r="BM20" s="19">
        <f t="shared" si="1"/>
        <v>67</v>
      </c>
      <c r="BN20" s="20">
        <f>COUNTIFS([1]Feces!K:K,"LCAT",[1]Feces!A:A,"in storage",[1]Feces!AB:AB,"fecal swab",[1]Feces!M:M,"M")</f>
        <v>0</v>
      </c>
      <c r="BO20" s="20">
        <f>COUNTIFS([1]Feces!K:K,"LCAT",[1]Feces!A:A,"in storage",[1]Feces!AB:AB,"fecal swab",[1]Feces!M:M,"F")</f>
        <v>0</v>
      </c>
      <c r="BP20" s="19">
        <f t="shared" si="2"/>
        <v>0</v>
      </c>
      <c r="BQ20" s="18"/>
      <c r="BR20" s="18"/>
      <c r="BS20" s="18"/>
    </row>
    <row r="21" spans="1:71" s="17" customFormat="1" x14ac:dyDescent="0.35">
      <c r="A21" s="32" t="s">
        <v>22</v>
      </c>
      <c r="B21" s="30">
        <f>COUNTIFS([1]Cadavers!J:J,"LTAR",[1]Cadavers!A:A,"in storage",[1]Cadavers!AO:AO,"Y",[1]Cadavers!L:L,"M")</f>
        <v>0</v>
      </c>
      <c r="C21" s="30">
        <f>COUNTIFS([1]Cadavers!J:J,"LTAR",[1]Cadavers!A:A,"in storage",[1]Cadavers!AO:AO,"Y",[1]Cadavers!L:L,"F")</f>
        <v>0</v>
      </c>
      <c r="D21" s="30">
        <f>COUNTIFS([1]Cadavers!J:J,"LTAR",[1]Cadavers!A:A,"in storage",[1]Cadavers!AO:AO,"Y",[1]Cadavers!L:L,"ND")</f>
        <v>0</v>
      </c>
      <c r="E21" s="31">
        <f>COUNTIFS([1]Cadavers!J:J,"LTAR",[1]Cadavers!A:A,"in storage",[1]Cadavers!AO:AO,"Y")</f>
        <v>0</v>
      </c>
      <c r="F21" s="30">
        <f>COUNTIFS([1]Cadavers!J:J,"LTAR",[1]Cadavers!A:A,"in storage",[1]Cadavers!AO:AO,"N",[1]Cadavers!L:L,"M")</f>
        <v>3</v>
      </c>
      <c r="G21" s="30">
        <f>COUNTIFS([1]Cadavers!J:J,"LTAR",[1]Cadavers!A:A,"in storage",[1]Cadavers!AO:AO,"N",[1]Cadavers!L:L,"F")</f>
        <v>1</v>
      </c>
      <c r="H21" s="31">
        <f>COUNTIFS([1]Cadavers!J:J,"LTAR",[1]Cadavers!A:A,"in storage",[1]Cadavers!AO:AO,"N")</f>
        <v>4</v>
      </c>
      <c r="I21" s="30">
        <f>COUNTIFS([1]Cadavers!J:J,"LTAR")</f>
        <v>9</v>
      </c>
      <c r="J21" s="30">
        <f>COUNTIFS([1]Cadavers!J:J,"LTAR",[1]Cadavers!A:A,"gone")</f>
        <v>3</v>
      </c>
      <c r="K21" s="30">
        <f>COUNTIFS([1]Cadavers!J:J,"LTAR",[1]Cadavers!AQ:AQ,"Y*")</f>
        <v>5</v>
      </c>
      <c r="L21" s="30">
        <f>COUNTIFS([1]Cadavers!J:J,"LTAR",[1]Cadavers!A:A,"ARK")</f>
        <v>2</v>
      </c>
      <c r="M21" s="19">
        <f>COUNTIFS([1]Cadavers!J:J,"LTAR",[1]Cadavers!A:A,"in storage")</f>
        <v>4</v>
      </c>
      <c r="N21" s="28">
        <f>COUNTIFS([1]Tissues!K:K,"LTAR",[1]Tissues!A:A,"in storage",[1]Tissues!AB:AB,"*adrenal*")</f>
        <v>0</v>
      </c>
      <c r="O21" s="28">
        <f>COUNTIFS([1]Tissues!K:K,"LTAR",[1]Tissues!A:A,"in storage",[1]Tissues!AB:AB,"*kidney*")</f>
        <v>25</v>
      </c>
      <c r="P21" s="28">
        <f>COUNTIFS([1]Tissues!K:K,"LTAR",[1]Tissues!A:A,"in storage",[1]Tissues!AB:AB,"*spleen*")</f>
        <v>19</v>
      </c>
      <c r="Q21" s="28">
        <f>COUNTIFS([1]Tissues!K:K,"LTAR",[1]Tissues!A:A,"in storage",[1]Tissues!AB:AB,"*U- bladder*")</f>
        <v>1</v>
      </c>
      <c r="R21" s="29">
        <f>COUNTIFS([1]Tissues!K:K,"LTAR",[1]Tissues!A:A,"in storage",[1]Tissues!AB:AB,"*R- *")</f>
        <v>13</v>
      </c>
      <c r="S21" s="28">
        <f>COUNTIFS([1]Tissues!K:K,"LTAR",[1]Tissues!A:A,"in storage",[1]Tissues!AB:AB,"*liver*")</f>
        <v>25</v>
      </c>
      <c r="T21" s="28">
        <f>COUNTIFS([1]Tissues!K:K,"LTAR",[1]Tissues!A:A,"in storage",[1]Tissues!AB:AB,"*gallbladder*")</f>
        <v>2</v>
      </c>
      <c r="U21" s="28">
        <f>COUNTIFS([1]Tissues!K:K,"LTAR",[1]Tissues!A:A,"in storage",[1]Tissues!AB:AB,"*pancreas*")</f>
        <v>8</v>
      </c>
      <c r="V21" s="28">
        <f>COUNTIFS([1]Tissues!K:K,"LTAR",[1]Tissues!A:A,"in storage",[1]Tissues!AB:AB,"*GI-*")</f>
        <v>9</v>
      </c>
      <c r="W21" s="28">
        <f>COUNTIFS([1]Tissues!K:K,"LTAR",[1]Tissues!A:A,"in storage",[1]Tissues!AB:AB,"*lung*")</f>
        <v>22</v>
      </c>
      <c r="X21" s="28">
        <f>COUNTIFS([1]Tissues!K:K,"LTAR",[1]Tissues!A:A,"in storage",[1]Tissues!AB:AB,"*heart*")</f>
        <v>7</v>
      </c>
      <c r="Y21" s="28">
        <f>COUNTIFS([1]Tissues!K:K,"LTAR",[1]Tissues!A:A,"in storage",[1]Tissues!AB:AB,"*thyroid*")</f>
        <v>1</v>
      </c>
      <c r="Z21" s="28">
        <f>COUNTIFS([1]Tissues!K:K,"LTAR",[1]Tissues!A:A,"in storage",[1]Tissues!AB:AB,"*esophagus*")</f>
        <v>0</v>
      </c>
      <c r="AA21" s="28">
        <f>COUNTIFS([1]Tissues!K:K,"LTAR",[1]Tissues!A:A,"in storage",[1]Tissues!AB:AB,"*trachea*")</f>
        <v>0</v>
      </c>
      <c r="AB21" s="28">
        <f>COUNTIFS([1]Tissues!K:K,"LTAR",[1]Tissues!A:A,"in storage",[1]Tissues!AB:AB,"*eye*")</f>
        <v>3</v>
      </c>
      <c r="AC21" s="28">
        <f>COUNTIFS([1]Tissues!K:K,"LTAR",[1]Tissues!A:A,"in storage",[1]Tissues!AB:AB,"*skin*")</f>
        <v>9</v>
      </c>
      <c r="AD21" s="28">
        <f>COUNTIFS([1]Tissues!K:K,"LTAR",[1]Tissues!A:A,"in storage",[1]Tissues!AB:AB,"*muscle*")</f>
        <v>9</v>
      </c>
      <c r="AE21" s="28">
        <f>COUNTIFS([1]Tissues!K:K,"LTAR",[1]Tissues!A:A,"in storage",[1]Tissues!AB:AB,"*digit*")</f>
        <v>1</v>
      </c>
      <c r="AF21" s="28">
        <f>COUNTIFS([1]Tissues!K:K,"LTAR",[1]Tissues!A:A,"in storage",[1]Tissues!AB:AB,"*fat*")</f>
        <v>1</v>
      </c>
      <c r="AG21" s="28">
        <f>COUNTIFS([1]Tissues!K:K,"LTAR",[1]Tissues!A:A,"in storage",[1]Tissues!AB:AB,"*lymph node*")</f>
        <v>0</v>
      </c>
      <c r="AH21" s="28">
        <f>COUNTIFS([1]Tissues!K:K,"LTAR",[1]Tissues!A:A,"in storage",[1]Tissues!AB:AB,"*Mass*")</f>
        <v>1</v>
      </c>
      <c r="AI21" s="28">
        <f>COUNTIFS([1]Tissues!K:K,"LTAR",[1]Tissues!A:A,"in storage",[1]Tissues!AB:AB,"*tooth*")</f>
        <v>1</v>
      </c>
      <c r="AJ21" s="28">
        <f>COUNTIFS([1]Tissues!K:K,"LTAR",[1]Tissues!A:A,"in storage",[1]Tissues!AB:AB,"*tail*")</f>
        <v>0</v>
      </c>
      <c r="AK21" s="28">
        <f t="shared" si="0"/>
        <v>9</v>
      </c>
      <c r="AL21" s="27">
        <f>COUNTIFS([1]Tissues!K:K,"LTAR",[1]Tissues!A:A,"in storage")</f>
        <v>166</v>
      </c>
      <c r="AM21" s="26">
        <f>COUNTIFS([1]Brains!J:J,"LTAR",[1]Brains!A:A,"IS_whole")</f>
        <v>1</v>
      </c>
      <c r="AN21" s="26">
        <f>COUNTIFS([1]Brains!J:J,"LTAR",[1]Brains!A:A,"IS_partial_brain")</f>
        <v>1</v>
      </c>
      <c r="AO21" s="26">
        <f>COUNTIFS([1]Brains!J:J,"LTAR",[1]Brains!A:A,"IS_partial_FC_RNAlater")</f>
        <v>2</v>
      </c>
      <c r="AP21" s="19">
        <f>COUNTIFS([1]Brains!J:J,"LTAR",[1]Brains!A:A,"IS*")</f>
        <v>4</v>
      </c>
      <c r="AQ21" s="25">
        <f>COUNTIFS([1]Urine!K:K,"LTAR",[1]Urine!M:M,"M",[1]Urine!A:A,"IS_alqt_plus")</f>
        <v>0</v>
      </c>
      <c r="AR21" s="25">
        <f>COUNTIFS([1]Urine!K:K,"LTAR",[1]Urine!M:M,"F",[1]Urine!A:A,"IS_alqt_plus")</f>
        <v>4</v>
      </c>
      <c r="AS21" s="19">
        <f>COUNTIFS([1]Urine!K:K,"LTAR",[1]Urine!A:A,"IS*")</f>
        <v>5</v>
      </c>
      <c r="AT21" s="24">
        <f>SUMIFS([1]Urine!AC:AC,[1]Urine!K:K,"LTAR",[1]Urine!A:A,"IS*")</f>
        <v>4.5999999999999996</v>
      </c>
      <c r="AU21" s="23">
        <f>COUNTIFS([1]Blood_Products!K:K,"LTAR",[1]Blood_Products!AB:AB,"WB",[1]Blood_Products!M:M,"M",[1]Blood_Products!A:A,"IS_alqt_plus")</f>
        <v>2</v>
      </c>
      <c r="AV21" s="23">
        <f>COUNTIFS([1]Blood_Products!K:K,"LTAR",[1]Blood_Products!AB:AB,"WB",[1]Blood_Products!M:M,"F",[1]Blood_Products!A:A,"IS_alqt_plus")</f>
        <v>1</v>
      </c>
      <c r="AW21" s="22">
        <f>COUNTIFS([1]Blood_Products!K:K,"LTAR",[1]Blood_Products!A:A,"IS*",[1]Blood_Products!AB:AB,"WB")</f>
        <v>6</v>
      </c>
      <c r="AX21" s="21">
        <f>SUMIFS([1]Blood_Products!AF:AF,[1]Blood_Products!K:K,"LTAR",[1]Blood_Products!A:A,"IS*",[1]Blood_Products!AB:AB,"WB")</f>
        <v>1.85</v>
      </c>
      <c r="AY21" s="23">
        <f>COUNTIFS([1]Blood_Products!K:K,"LTAR",[1]Blood_Products!AB:AB,"serum",[1]Blood_Products!M:M,"M",[1]Blood_Products!A:A,"IS_alqt_plus")</f>
        <v>9</v>
      </c>
      <c r="AZ21" s="23">
        <f>COUNTIFS([1]Blood_Products!K:K,"LTAR",[1]Blood_Products!AB:AB,"serum",[1]Blood_Products!M:M,"F",[1]Blood_Products!A:A,"IS_alqt_plus")</f>
        <v>5</v>
      </c>
      <c r="BA21" s="22">
        <f>COUNTIFS([1]Blood_Products!K:K,"LTAR",[1]Blood_Products!A:A,"IS*",[1]Blood_Products!AB:AB,"serum")</f>
        <v>16</v>
      </c>
      <c r="BB21" s="21">
        <f>SUMIFS([1]Blood_Products!AF:AF,[1]Blood_Products!K:K,"LTAR",[1]Blood_Products!A:A,"IS*",[1]Blood_Products!AB:AB,"serum")</f>
        <v>9.0599999999999987</v>
      </c>
      <c r="BC21" s="23">
        <f>COUNTIFS([1]Blood_Products!K:K,"LTAR",[1]Blood_Products!AB:AB,"plasma",[1]Blood_Products!M:M,"M",[1]Blood_Products!A:A,"IS_alqt_plus")</f>
        <v>0</v>
      </c>
      <c r="BD21" s="23">
        <f>COUNTIFS([1]Blood_Products!K:K,"LTAR",[1]Blood_Products!AB:AB,"plasma",[1]Blood_Products!M:M,"F",[1]Blood_Products!A:A,"IS_alqt_plus")</f>
        <v>0</v>
      </c>
      <c r="BE21" s="22">
        <f>COUNTIFS([1]Blood_Products!K:K,"LTAR",[1]Blood_Products!A:A,"IS*",[1]Blood_Products!AB:AB,"plasma")</f>
        <v>0</v>
      </c>
      <c r="BF21" s="21">
        <f>SUMIFS([1]Blood_Products!AF:AF,[1]Blood_Products!K:K,"LTAR",[1]Blood_Products!A:A,"IS*",[1]Blood_Products!AB:AB,"plasma")</f>
        <v>0</v>
      </c>
      <c r="BG21" s="23">
        <f>COUNTIFS([1]Blood_Products!K:K,"LTAR",[1]Blood_Products!AB:AB,"PRBC",[1]Blood_Products!M:M,"M",[1]Blood_Products!A:A,"IS_alqt_plus")</f>
        <v>1</v>
      </c>
      <c r="BH21" s="23">
        <f>COUNTIFS([1]Blood_Products!K:K,"LTAR",[1]Blood_Products!AB:AB,"PRBC",[1]Blood_Products!M:M,"F",[1]Blood_Products!A:A,"IS_alqt_plus")</f>
        <v>3</v>
      </c>
      <c r="BI21" s="22">
        <f>COUNTIFS([1]Blood_Products!K:K,"LTAR",[1]Blood_Products!A:A,"IS*",[1]Blood_Products!AB:AB,"PRBC")</f>
        <v>5</v>
      </c>
      <c r="BJ21" s="21">
        <f>SUMIFS([1]Blood_Products!AF:AF,[1]Blood_Products!K:K,"LTAR",[1]Blood_Products!A:A,"IS*",[1]Blood_Products!AB:AB,"PRBC")</f>
        <v>1.65</v>
      </c>
      <c r="BK21" s="20">
        <f>COUNTIFS([1]Feces!K:K,"LTAR",[1]Feces!A:A,"in storage",[1]Feces!AB:AB,"feces",[1]Feces!M:M,"M")</f>
        <v>0</v>
      </c>
      <c r="BL21" s="20">
        <f>COUNTIFS([1]Feces!K:K,"LTAR",[1]Feces!A:A,"in storage",[1]Feces!AB:AB,"feces",[1]Feces!M:M,"F")</f>
        <v>2</v>
      </c>
      <c r="BM21" s="19">
        <f t="shared" si="1"/>
        <v>2</v>
      </c>
      <c r="BN21" s="20">
        <f>COUNTIFS([1]Feces!K:K,"LTAR",[1]Feces!A:A,"in storage",[1]Feces!AB:AB,"fecal swab",[1]Feces!M:M,"M")</f>
        <v>0</v>
      </c>
      <c r="BO21" s="20">
        <f>COUNTIFS([1]Feces!K:K,"LTAR",[1]Feces!A:A,"in storage",[1]Feces!AB:AB,"fecal swab",[1]Feces!M:M,"F")</f>
        <v>0</v>
      </c>
      <c r="BP21" s="19">
        <f t="shared" si="2"/>
        <v>0</v>
      </c>
      <c r="BQ21" s="18"/>
      <c r="BR21" s="18"/>
      <c r="BS21" s="18"/>
    </row>
    <row r="22" spans="1:71" s="17" customFormat="1" x14ac:dyDescent="0.35">
      <c r="A22" s="32" t="s">
        <v>21</v>
      </c>
      <c r="B22" s="30">
        <f>COUNTIFS([1]Cadavers!J:J,"MMUR",[1]Cadavers!A:A,"in storage",[1]Cadavers!AO:AO,"Y",[1]Cadavers!L:L,"M")</f>
        <v>0</v>
      </c>
      <c r="C22" s="30">
        <f>COUNTIFS([1]Cadavers!J:J,"MMUR",[1]Cadavers!A:A,"in storage",[1]Cadavers!AO:AO,"Y",[1]Cadavers!L:L,"F")</f>
        <v>3</v>
      </c>
      <c r="D22" s="30">
        <f>COUNTIFS([1]Cadavers!J:J,"MMUR",[1]Cadavers!A:A,"in storage",[1]Cadavers!AO:AO,"Y",[1]Cadavers!L:L,"ND")</f>
        <v>1</v>
      </c>
      <c r="E22" s="31">
        <f>COUNTIFS([1]Cadavers!J:J,"MMUR",[1]Cadavers!A:A,"in storage",[1]Cadavers!AO:AO,"Y")</f>
        <v>5</v>
      </c>
      <c r="F22" s="30">
        <f>COUNTIFS([1]Cadavers!J:J,"MMUR",[1]Cadavers!A:A,"in storage",[1]Cadavers!AO:AO,"N",[1]Cadavers!L:L,"M")</f>
        <v>38</v>
      </c>
      <c r="G22" s="30">
        <f>COUNTIFS([1]Cadavers!J:J,"MMUR",[1]Cadavers!A:A,"in storage",[1]Cadavers!AO:AO,"N",[1]Cadavers!L:L,"F")</f>
        <v>30</v>
      </c>
      <c r="H22" s="31">
        <f>COUNTIFS([1]Cadavers!J:J,"MMUR",[1]Cadavers!A:A,"in storage",[1]Cadavers!AO:AO,"N")</f>
        <v>70</v>
      </c>
      <c r="I22" s="30">
        <f>COUNTIFS([1]Cadavers!J:J,"MMUR")</f>
        <v>92</v>
      </c>
      <c r="J22" s="30">
        <f>COUNTIFS([1]Cadavers!J:J,"MMUR",[1]Cadavers!A:A,"gone")</f>
        <v>11</v>
      </c>
      <c r="K22" s="30">
        <f>COUNTIFS([1]Cadavers!J:J,"MMUR",[1]Cadavers!AQ:AQ,"Y*")</f>
        <v>19</v>
      </c>
      <c r="L22" s="30">
        <f>COUNTIFS([1]Cadavers!J:J,"MMUR",[1]Cadavers!A:A,"ARK")</f>
        <v>2</v>
      </c>
      <c r="M22" s="19">
        <f>COUNTIFS([1]Cadavers!J:J,"MMUR",[1]Cadavers!A:A,"in storage")</f>
        <v>78</v>
      </c>
      <c r="N22" s="28">
        <f>COUNTIFS([1]Tissues!K:K,"MMUR",[1]Tissues!A:A,"in storage",[1]Tissues!AB:AB,"*adrenal*")</f>
        <v>40</v>
      </c>
      <c r="O22" s="28">
        <f>COUNTIFS([1]Tissues!K:K,"MMUR",[1]Tissues!A:A,"in storage",[1]Tissues!AB:AB,"*kidney*")</f>
        <v>124</v>
      </c>
      <c r="P22" s="28">
        <f>COUNTIFS([1]Tissues!K:K,"MMUR",[1]Tissues!A:A,"in storage",[1]Tissues!AB:AB,"*spleen*")</f>
        <v>76</v>
      </c>
      <c r="Q22" s="28">
        <f>COUNTIFS([1]Tissues!K:K,"MMUR",[1]Tissues!A:A,"in storage",[1]Tissues!AB:AB,"*U- bladder*")</f>
        <v>17</v>
      </c>
      <c r="R22" s="29">
        <f>COUNTIFS([1]Tissues!K:K,"MMUR",[1]Tissues!A:A,"in storage",[1]Tissues!AB:AB,"*R- *")</f>
        <v>73</v>
      </c>
      <c r="S22" s="28">
        <f>COUNTIFS([1]Tissues!K:K,"MMUR",[1]Tissues!A:A,"in storage",[1]Tissues!AB:AB,"*liver*")</f>
        <v>214</v>
      </c>
      <c r="T22" s="28">
        <f>COUNTIFS([1]Tissues!K:K,"MMUR",[1]Tissues!A:A,"in storage",[1]Tissues!AB:AB,"*gallbladder*")</f>
        <v>24</v>
      </c>
      <c r="U22" s="28">
        <f>COUNTIFS([1]Tissues!K:K,"MMUR",[1]Tissues!A:A,"in storage",[1]Tissues!AB:AB,"*pancreas*")</f>
        <v>32</v>
      </c>
      <c r="V22" s="28">
        <f>COUNTIFS([1]Tissues!K:K,"MMUR",[1]Tissues!A:A,"in storage",[1]Tissues!AB:AB,"*GI-*")</f>
        <v>128</v>
      </c>
      <c r="W22" s="28">
        <f>COUNTIFS([1]Tissues!K:K,"MMUR",[1]Tissues!A:A,"in storage",[1]Tissues!AB:AB,"*lung*")</f>
        <v>97</v>
      </c>
      <c r="X22" s="28">
        <f>COUNTIFS([1]Tissues!K:K,"MMUR",[1]Tissues!A:A,"in storage",[1]Tissues!AB:AB,"*heart*")</f>
        <v>51</v>
      </c>
      <c r="Y22" s="28">
        <f>COUNTIFS([1]Tissues!K:K,"MMUR",[1]Tissues!A:A,"in storage",[1]Tissues!AB:AB,"*thyroid*")</f>
        <v>25</v>
      </c>
      <c r="Z22" s="28">
        <f>COUNTIFS([1]Tissues!K:K,"MMUR",[1]Tissues!A:A,"in storage",[1]Tissues!AB:AB,"*esophagus*")</f>
        <v>13</v>
      </c>
      <c r="AA22" s="28">
        <f>COUNTIFS([1]Tissues!K:K,"MMUR",[1]Tissues!A:A,"in storage",[1]Tissues!AB:AB,"*trachea*")</f>
        <v>11</v>
      </c>
      <c r="AB22" s="28">
        <f>COUNTIFS([1]Tissues!K:K,"MMUR",[1]Tissues!A:A,"in storage",[1]Tissues!AB:AB,"*eye*")</f>
        <v>20</v>
      </c>
      <c r="AC22" s="28">
        <f>COUNTIFS([1]Tissues!K:K,"MMUR",[1]Tissues!A:A,"in storage",[1]Tissues!AB:AB,"*skin*")</f>
        <v>53</v>
      </c>
      <c r="AD22" s="28">
        <f>COUNTIFS([1]Tissues!K:K,"MMUR",[1]Tissues!A:A,"in storage",[1]Tissues!AB:AB,"*muscle*")</f>
        <v>51</v>
      </c>
      <c r="AE22" s="28">
        <f>COUNTIFS([1]Tissues!K:K,"MMUR",[1]Tissues!A:A,"in storage",[1]Tissues!AB:AB,"*digit*")</f>
        <v>1</v>
      </c>
      <c r="AF22" s="28">
        <f>COUNTIFS([1]Tissues!K:K,"MMUR",[1]Tissues!A:A,"in storage",[1]Tissues!AB:AB,"*fat*")</f>
        <v>13</v>
      </c>
      <c r="AG22" s="28">
        <f>COUNTIFS([1]Tissues!K:K,"MMUR",[1]Tissues!A:A,"in storage",[1]Tissues!AB:AB,"*lymph node*")</f>
        <v>3</v>
      </c>
      <c r="AH22" s="28">
        <f>COUNTIFS([1]Tissues!K:K,"MMUR",[1]Tissues!A:A,"in storage",[1]Tissues!AB:AB,"*Mass*")</f>
        <v>29</v>
      </c>
      <c r="AI22" s="28">
        <f>COUNTIFS([1]Tissues!K:K,"MMUR",[1]Tissues!A:A,"in storage",[1]Tissues!AB:AB,"*tooth*")</f>
        <v>5</v>
      </c>
      <c r="AJ22" s="28">
        <f>COUNTIFS([1]Tissues!K:K,"MMUR",[1]Tissues!A:A,"in storage",[1]Tissues!AB:AB,"*tail*")</f>
        <v>10</v>
      </c>
      <c r="AK22" s="28">
        <f t="shared" si="0"/>
        <v>47</v>
      </c>
      <c r="AL22" s="27">
        <f>COUNTIFS([1]Tissues!K:K,"MMUR",[1]Tissues!A:A,"in storage")</f>
        <v>1157</v>
      </c>
      <c r="AM22" s="26">
        <f>COUNTIFS([1]Brains!J:J,"MMUR",[1]Brains!A:A,"IS_whole")</f>
        <v>2</v>
      </c>
      <c r="AN22" s="26">
        <f>COUNTIFS([1]Brains!J:J,"MMUR",[1]Brains!A:A,"IS_partial_brain")</f>
        <v>5</v>
      </c>
      <c r="AO22" s="26">
        <f>COUNTIFS([1]Brains!J:J,"MMUR",[1]Brains!A:A,"IS_partial_FC_RNAlater")</f>
        <v>2</v>
      </c>
      <c r="AP22" s="19">
        <f>COUNTIFS([1]Brains!J:J,"MMUR",[1]Brains!A:A,"IS*")</f>
        <v>9</v>
      </c>
      <c r="AQ22" s="25">
        <f>COUNTIFS([1]Urine!K:K,"MMUR",[1]Urine!M:M,"M",[1]Urine!A:A,"IS_alqt_plus")</f>
        <v>34</v>
      </c>
      <c r="AR22" s="25">
        <f>COUNTIFS([1]Urine!K:K,"MMUR",[1]Urine!M:M,"F",[1]Urine!A:A,"IS_alqt_plus")</f>
        <v>46</v>
      </c>
      <c r="AS22" s="19">
        <f>COUNTIFS([1]Urine!K:K,"MMUR",[1]Urine!A:A,"IS*")</f>
        <v>287</v>
      </c>
      <c r="AT22" s="24">
        <f>SUMIFS([1]Urine!AC:AC,[1]Urine!K:K,"MMUR",[1]Urine!A:A,"IS*")</f>
        <v>103.7000000000002</v>
      </c>
      <c r="AU22" s="23">
        <f>COUNTIFS([1]Blood_Products!K:K,"MMUR",[1]Blood_Products!AB:AB,"WB",[1]Blood_Products!M:M,"M",[1]Blood_Products!A:A,"IS_alqt_plus")</f>
        <v>39</v>
      </c>
      <c r="AV22" s="23">
        <f>COUNTIFS([1]Blood_Products!K:K,"MMUR",[1]Blood_Products!AB:AB,"WB",[1]Blood_Products!M:M,"F",[1]Blood_Products!A:A,"IS_alqt_plus")</f>
        <v>92</v>
      </c>
      <c r="AW22" s="22">
        <f>COUNTIFS([1]Blood_Products!K:K,"MMUR",[1]Blood_Products!A:A,"IS*",[1]Blood_Products!AB:AB,"WB")</f>
        <v>225</v>
      </c>
      <c r="AX22" s="21">
        <f>SUMIFS([1]Blood_Products!AF:AF,[1]Blood_Products!K:K,"MMUR",[1]Blood_Products!A:A,"IS*",[1]Blood_Products!AB:AB,"WB")</f>
        <v>52.70500000000014</v>
      </c>
      <c r="AY22" s="23">
        <f>COUNTIFS([1]Blood_Products!K:K,"MMUR",[1]Blood_Products!AB:AB,"serum",[1]Blood_Products!M:M,"M",[1]Blood_Products!A:A,"IS_alqt_plus")</f>
        <v>17</v>
      </c>
      <c r="AZ22" s="23">
        <f>COUNTIFS([1]Blood_Products!K:K,"MMUR",[1]Blood_Products!AB:AB,"serum",[1]Blood_Products!M:M,"F",[1]Blood_Products!A:A,"IS_alqt_plus")</f>
        <v>21</v>
      </c>
      <c r="BA22" s="22">
        <f>COUNTIFS([1]Blood_Products!K:K,"MMUR",[1]Blood_Products!A:A,"IS*",[1]Blood_Products!AB:AB,"serum")</f>
        <v>63</v>
      </c>
      <c r="BB22" s="21">
        <f>SUMIFS([1]Blood_Products!AF:AF,[1]Blood_Products!K:K,"MMUR",[1]Blood_Products!A:A,"IS*",[1]Blood_Products!AB:AB,"serum")</f>
        <v>15.579999999999991</v>
      </c>
      <c r="BC22" s="23">
        <f>COUNTIFS([1]Blood_Products!K:K,"MMUR",[1]Blood_Products!AB:AB,"plasma",[1]Blood_Products!M:M,"M",[1]Blood_Products!A:A,"IS_alqt_plus")</f>
        <v>7</v>
      </c>
      <c r="BD22" s="23">
        <f>COUNTIFS([1]Blood_Products!K:K,"MMUR",[1]Blood_Products!AB:AB,"plasma",[1]Blood_Products!M:M,"F",[1]Blood_Products!A:A,"IS_alqt_plus")</f>
        <v>4</v>
      </c>
      <c r="BE22" s="22">
        <f>COUNTIFS([1]Blood_Products!K:K,"MMUR",[1]Blood_Products!A:A,"IS*",[1]Blood_Products!AB:AB,"plasma")</f>
        <v>44</v>
      </c>
      <c r="BF22" s="21">
        <f>SUMIFS([1]Blood_Products!AF:AF,[1]Blood_Products!K:K,"MMUR",[1]Blood_Products!A:A,"IS*",[1]Blood_Products!AB:AB,"plasma")</f>
        <v>4.980999999999999</v>
      </c>
      <c r="BG22" s="23">
        <f>COUNTIFS([1]Blood_Products!K:K,"MMUR",[1]Blood_Products!AB:AB,"PRBC",[1]Blood_Products!M:M,"M",[1]Blood_Products!A:A,"IS_alqt_plus")</f>
        <v>4</v>
      </c>
      <c r="BH22" s="23">
        <f>COUNTIFS([1]Blood_Products!K:K,"MMUR",[1]Blood_Products!AB:AB,"PRBC",[1]Blood_Products!M:M,"F",[1]Blood_Products!A:A,"IS_alqt_plus")</f>
        <v>8</v>
      </c>
      <c r="BI22" s="22">
        <f>COUNTIFS([1]Blood_Products!K:K,"MMUR",[1]Blood_Products!A:A,"IS*",[1]Blood_Products!AB:AB,"PRBC")</f>
        <v>46</v>
      </c>
      <c r="BJ22" s="21">
        <f>SUMIFS([1]Blood_Products!AF:AF,[1]Blood_Products!K:K,"MMUR",[1]Blood_Products!A:A,"IS*",[1]Blood_Products!AB:AB,"PRBC")</f>
        <v>8.2000000000000064</v>
      </c>
      <c r="BK22" s="20">
        <f>COUNTIFS([1]Feces!K:K,"MMUR",[1]Feces!A:A,"in storage",[1]Feces!AB:AB,"feces",[1]Feces!M:M,"M")</f>
        <v>0</v>
      </c>
      <c r="BL22" s="20">
        <f>COUNTIFS([1]Feces!K:K,"MMUR",[1]Feces!A:A,"in storage",[1]Feces!AB:AB,"feces",[1]Feces!M:M,"F")</f>
        <v>4</v>
      </c>
      <c r="BM22" s="19">
        <f t="shared" si="1"/>
        <v>4</v>
      </c>
      <c r="BN22" s="20">
        <f>COUNTIFS([1]Feces!K:K,"MMUR",[1]Feces!A:A,"in storage",[1]Feces!AB:AB,"fecal swab",[1]Feces!M:M,"M")</f>
        <v>0</v>
      </c>
      <c r="BO22" s="20">
        <f>COUNTIFS([1]Feces!K:K,"MMUR",[1]Feces!A:A,"in storage",[1]Feces!AB:AB,"fecal swab",[1]Feces!M:M,"F")</f>
        <v>0</v>
      </c>
      <c r="BP22" s="19">
        <f t="shared" si="2"/>
        <v>0</v>
      </c>
      <c r="BQ22" s="18"/>
      <c r="BR22" s="18"/>
      <c r="BS22" s="18"/>
    </row>
    <row r="23" spans="1:71" s="17" customFormat="1" x14ac:dyDescent="0.35">
      <c r="A23" s="32" t="s">
        <v>20</v>
      </c>
      <c r="B23" s="30">
        <f>COUNTIFS([1]Cadavers!J:J,"MZAZ",[1]Cadavers!A:A,"in storage",[1]Cadavers!AO:AO,"Y",[1]Cadavers!L:L,"M")</f>
        <v>2</v>
      </c>
      <c r="C23" s="30">
        <f>COUNTIFS([1]Cadavers!J:J,"MZAZ",[1]Cadavers!A:A,"in storage",[1]Cadavers!AO:AO,"Y",[1]Cadavers!L:L,"F")</f>
        <v>0</v>
      </c>
      <c r="D23" s="30">
        <f>COUNTIFS([1]Cadavers!J:J,"MZAZ",[1]Cadavers!A:A,"in storage",[1]Cadavers!AO:AO,"Y",[1]Cadavers!L:L,"ND")</f>
        <v>0</v>
      </c>
      <c r="E23" s="31">
        <f>COUNTIFS([1]Cadavers!J:J,"MZAZ",[1]Cadavers!A:A,"in storage",[1]Cadavers!AO:AO,"Y")</f>
        <v>2</v>
      </c>
      <c r="F23" s="30">
        <f>COUNTIFS([1]Cadavers!J:J,"MZAZ",[1]Cadavers!A:A,"in storage",[1]Cadavers!AO:AO,"N",[1]Cadavers!L:L,"M")</f>
        <v>5</v>
      </c>
      <c r="G23" s="30">
        <f>COUNTIFS([1]Cadavers!J:J,"MZAZ",[1]Cadavers!A:A,"in storage",[1]Cadavers!AO:AO,"N",[1]Cadavers!L:L,"F")</f>
        <v>3</v>
      </c>
      <c r="H23" s="31">
        <f>COUNTIFS([1]Cadavers!J:J,"MZAZ",[1]Cadavers!A:A,"in storage",[1]Cadavers!AO:AO,"N")</f>
        <v>8</v>
      </c>
      <c r="I23" s="30">
        <f>COUNTIFS([1]Cadavers!J:J,"MZAZ")</f>
        <v>18</v>
      </c>
      <c r="J23" s="30">
        <f>COUNTIFS([1]Cadavers!J:J,"MZAZ",[1]Cadavers!A:A,"gone")</f>
        <v>5</v>
      </c>
      <c r="K23" s="30">
        <f>COUNTIFS([1]Cadavers!J:J,"MZAZ",[1]Cadavers!AQ:AQ,"Y*")</f>
        <v>9</v>
      </c>
      <c r="L23" s="30">
        <f>COUNTIFS([1]Cadavers!J:J,"MZAZ",[1]Cadavers!A:A,"ARK")</f>
        <v>2</v>
      </c>
      <c r="M23" s="19">
        <f>COUNTIFS([1]Cadavers!J:J,"MZAZ",[1]Cadavers!A:A,"in storage")</f>
        <v>10</v>
      </c>
      <c r="N23" s="28">
        <f>COUNTIFS([1]Tissues!K:K,"MZAZ",[1]Tissues!A:A,"in storage",[1]Tissues!AB:AB,"*adrenal*")</f>
        <v>0</v>
      </c>
      <c r="O23" s="28">
        <f>COUNTIFS([1]Tissues!K:K,"MZAZ",[1]Tissues!A:A,"in storage",[1]Tissues!AB:AB,"*kidney*")</f>
        <v>18</v>
      </c>
      <c r="P23" s="28">
        <f>COUNTIFS([1]Tissues!K:K,"MZAZ",[1]Tissues!A:A,"in storage",[1]Tissues!AB:AB,"*spleen*")</f>
        <v>15</v>
      </c>
      <c r="Q23" s="28">
        <f>COUNTIFS([1]Tissues!K:K,"MZAZ",[1]Tissues!A:A,"in storage",[1]Tissues!AB:AB,"*U- bladder*")</f>
        <v>0</v>
      </c>
      <c r="R23" s="29">
        <f>COUNTIFS([1]Tissues!K:K,"MZAZ",[1]Tissues!A:A,"in storage",[1]Tissues!AB:AB,"*R- *")</f>
        <v>11</v>
      </c>
      <c r="S23" s="28">
        <f>COUNTIFS([1]Tissues!K:K,"MZAZ",[1]Tissues!A:A,"in storage",[1]Tissues!AB:AB,"*liver*")</f>
        <v>26</v>
      </c>
      <c r="T23" s="28">
        <f>COUNTIFS([1]Tissues!K:K,"MZAZ",[1]Tissues!A:A,"in storage",[1]Tissues!AB:AB,"*gallbladder*")</f>
        <v>0</v>
      </c>
      <c r="U23" s="28">
        <f>COUNTIFS([1]Tissues!K:K,"MZAZ",[1]Tissues!A:A,"in storage",[1]Tissues!AB:AB,"*pancreas*")</f>
        <v>1</v>
      </c>
      <c r="V23" s="28">
        <f>COUNTIFS([1]Tissues!K:K,"MZAZ",[1]Tissues!A:A,"in storage",[1]Tissues!AB:AB,"*GI-*")</f>
        <v>6</v>
      </c>
      <c r="W23" s="28">
        <f>COUNTIFS([1]Tissues!K:K,"MZAZ",[1]Tissues!A:A,"in storage",[1]Tissues!AB:AB,"*lung*")</f>
        <v>11</v>
      </c>
      <c r="X23" s="28">
        <f>COUNTIFS([1]Tissues!K:K,"MZAZ",[1]Tissues!A:A,"in storage",[1]Tissues!AB:AB,"*heart*")</f>
        <v>7</v>
      </c>
      <c r="Y23" s="28">
        <f>COUNTIFS([1]Tissues!K:K,"MZAZ",[1]Tissues!A:A,"in storage",[1]Tissues!AB:AB,"*thyroid*")</f>
        <v>0</v>
      </c>
      <c r="Z23" s="28">
        <f>COUNTIFS([1]Tissues!K:K,"MZAZ",[1]Tissues!A:A,"in storage",[1]Tissues!AB:AB,"*esophagus*")</f>
        <v>0</v>
      </c>
      <c r="AA23" s="28">
        <f>COUNTIFS([1]Tissues!K:K,"MZAZ",[1]Tissues!A:A,"in storage",[1]Tissues!AB:AB,"*trachea*")</f>
        <v>0</v>
      </c>
      <c r="AB23" s="28">
        <f>COUNTIFS([1]Tissues!K:K,"MZAZ",[1]Tissues!A:A,"in storage",[1]Tissues!AB:AB,"*eye*")</f>
        <v>2</v>
      </c>
      <c r="AC23" s="28">
        <f>COUNTIFS([1]Tissues!K:K,"MZAZ",[1]Tissues!A:A,"in storage",[1]Tissues!AB:AB,"*skin*")</f>
        <v>4</v>
      </c>
      <c r="AD23" s="28">
        <f>COUNTIFS([1]Tissues!K:K,"MZAZ",[1]Tissues!A:A,"in storage",[1]Tissues!AB:AB,"*muscle*")</f>
        <v>4</v>
      </c>
      <c r="AE23" s="28">
        <f>COUNTIFS([1]Tissues!K:K,"MZAZ",[1]Tissues!A:A,"in storage",[1]Tissues!AB:AB,"*digit*")</f>
        <v>0</v>
      </c>
      <c r="AF23" s="28">
        <f>COUNTIFS([1]Tissues!K:K,"MZAZ",[1]Tissues!A:A,"in storage",[1]Tissues!AB:AB,"*fat*")</f>
        <v>0</v>
      </c>
      <c r="AG23" s="28">
        <f>COUNTIFS([1]Tissues!K:K,"MZAZ",[1]Tissues!A:A,"in storage",[1]Tissues!AB:AB,"*lymph node*")</f>
        <v>0</v>
      </c>
      <c r="AH23" s="28">
        <f>COUNTIFS([1]Tissues!K:K,"MZAZ",[1]Tissues!A:A,"in storage",[1]Tissues!AB:AB,"*Mass*")</f>
        <v>1</v>
      </c>
      <c r="AI23" s="28">
        <f>COUNTIFS([1]Tissues!K:K,"MZAZ",[1]Tissues!A:A,"in storage",[1]Tissues!AB:AB,"*tooth*")</f>
        <v>0</v>
      </c>
      <c r="AJ23" s="28">
        <f>COUNTIFS([1]Tissues!K:K,"MZAZ",[1]Tissues!A:A,"in storage",[1]Tissues!AB:AB,"*tail*")</f>
        <v>0</v>
      </c>
      <c r="AK23" s="28">
        <f t="shared" si="0"/>
        <v>3</v>
      </c>
      <c r="AL23" s="27">
        <f>COUNTIFS([1]Tissues!K:K,"MZAZ",[1]Tissues!A:A,"in storage")</f>
        <v>109</v>
      </c>
      <c r="AM23" s="26">
        <f>COUNTIFS([1]Brains!J:J,"MZAZ",[1]Brains!A:A,"IS_whole")</f>
        <v>0</v>
      </c>
      <c r="AN23" s="26">
        <f>COUNTIFS([1]Brains!J:J,"MZAZ",[1]Brains!A:A,"IS_partial_brain")</f>
        <v>1</v>
      </c>
      <c r="AO23" s="26">
        <f>COUNTIFS([1]Brains!J:J,"MZAZ",[1]Brains!A:A,"IS_partial_FC_RNAlater")</f>
        <v>1</v>
      </c>
      <c r="AP23" s="19">
        <f>COUNTIFS([1]Brains!J:J,"MZAZ",[1]Brains!A:A,"IS*")</f>
        <v>2</v>
      </c>
      <c r="AQ23" s="25">
        <f>COUNTIFS([1]Urine!K:K,"MZAZ",[1]Urine!M:M,"M",[1]Urine!A:A,"IS_alqt_plus")</f>
        <v>0</v>
      </c>
      <c r="AR23" s="25">
        <f>COUNTIFS([1]Urine!K:K,"MZAZ",[1]Urine!M:M,"F",[1]Urine!A:A,"IS_alqt_plus")</f>
        <v>0</v>
      </c>
      <c r="AS23" s="19">
        <f>COUNTIFS([1]Urine!K:K,"MZAZ",[1]Urine!A:A,"IS*")</f>
        <v>0</v>
      </c>
      <c r="AT23" s="24">
        <f>SUMIFS([1]Urine!AC:AC,[1]Urine!K:K,"MZAZ",[1]Urine!A:A,"IS*")</f>
        <v>0</v>
      </c>
      <c r="AU23" s="23">
        <f>COUNTIFS([1]Blood_Products!K:K,"MZAZ",[1]Blood_Products!AB:AB,"WB",[1]Blood_Products!M:M,"M",[1]Blood_Products!A:A,"IS_alqt_plus")</f>
        <v>6</v>
      </c>
      <c r="AV23" s="23">
        <f>COUNTIFS([1]Blood_Products!K:K,"MZAZ",[1]Blood_Products!AB:AB,"WB",[1]Blood_Products!M:M,"F",[1]Blood_Products!A:A,"IS_alqt_plus")</f>
        <v>0</v>
      </c>
      <c r="AW23" s="22">
        <f>COUNTIFS([1]Blood_Products!K:K,"MZAZ",[1]Blood_Products!A:A,"IS*",[1]Blood_Products!AB:AB,"WB")</f>
        <v>7</v>
      </c>
      <c r="AX23" s="21">
        <f>SUMIFS([1]Blood_Products!AF:AF,[1]Blood_Products!K:K,"MZAZ",[1]Blood_Products!A:A,"IS*",[1]Blood_Products!AB:AB,"WB")</f>
        <v>2.6500000000000004</v>
      </c>
      <c r="AY23" s="23">
        <f>COUNTIFS([1]Blood_Products!K:K,"MZAZ",[1]Blood_Products!AB:AB,"serum",[1]Blood_Products!M:M,"M",[1]Blood_Products!A:A,"IS_alqt_plus")</f>
        <v>16</v>
      </c>
      <c r="AZ23" s="23">
        <f>COUNTIFS([1]Blood_Products!K:K,"MZAZ",[1]Blood_Products!AB:AB,"serum",[1]Blood_Products!M:M,"F",[1]Blood_Products!A:A,"IS_alqt_plus")</f>
        <v>9</v>
      </c>
      <c r="BA23" s="22">
        <f>COUNTIFS([1]Blood_Products!K:K,"MZAZ",[1]Blood_Products!A:A,"IS*",[1]Blood_Products!AB:AB,"serum")</f>
        <v>28</v>
      </c>
      <c r="BB23" s="21">
        <f>SUMIFS([1]Blood_Products!AF:AF,[1]Blood_Products!K:K,"MZAZ",[1]Blood_Products!A:A,"IS*",[1]Blood_Products!AB:AB,"serum")</f>
        <v>15.249999999999998</v>
      </c>
      <c r="BC23" s="23">
        <f>COUNTIFS([1]Blood_Products!K:K,"MZAZ",[1]Blood_Products!AB:AB,"plasma",[1]Blood_Products!M:M,"M",[1]Blood_Products!A:A,"IS_alqt_plus")</f>
        <v>1</v>
      </c>
      <c r="BD23" s="23">
        <f>COUNTIFS([1]Blood_Products!K:K,"MZAZ",[1]Blood_Products!AB:AB,"plasma",[1]Blood_Products!M:M,"F",[1]Blood_Products!A:A,"IS_alqt_plus")</f>
        <v>0</v>
      </c>
      <c r="BE23" s="22">
        <f>COUNTIFS([1]Blood_Products!K:K,"MZAZ",[1]Blood_Products!A:A,"IS*",[1]Blood_Products!AB:AB,"plasma")</f>
        <v>2</v>
      </c>
      <c r="BF23" s="21">
        <f>SUMIFS([1]Blood_Products!AF:AF,[1]Blood_Products!K:K,"MZAZ",[1]Blood_Products!A:A,"IS*",[1]Blood_Products!AB:AB,"plasma")</f>
        <v>0.35</v>
      </c>
      <c r="BG23" s="23">
        <f>COUNTIFS([1]Blood_Products!K:K,"MZAZ",[1]Blood_Products!AB:AB,"PRBC",[1]Blood_Products!M:M,"M",[1]Blood_Products!A:A,"IS_alqt_plus")</f>
        <v>2</v>
      </c>
      <c r="BH23" s="23">
        <f>COUNTIFS([1]Blood_Products!K:K,"MZAZ",[1]Blood_Products!AB:AB,"PRBC",[1]Blood_Products!M:M,"F",[1]Blood_Products!A:A,"IS_alqt_plus")</f>
        <v>2</v>
      </c>
      <c r="BI23" s="22">
        <f>COUNTIFS([1]Blood_Products!K:K,"MZAZ",[1]Blood_Products!A:A,"IS*",[1]Blood_Products!AB:AB,"PRBC")</f>
        <v>7</v>
      </c>
      <c r="BJ23" s="21">
        <f>SUMIFS([1]Blood_Products!AF:AF,[1]Blood_Products!K:K,"MZAZ",[1]Blood_Products!A:A,"IS*",[1]Blood_Products!AB:AB,"PRBC")</f>
        <v>2.2000000000000002</v>
      </c>
      <c r="BK23" s="20">
        <f>COUNTIFS([1]Feces!K:K,"MZAZ",[1]Feces!A:A,"in storage",[1]Feces!AB:AB,"feces",[1]Feces!M:M,"M")</f>
        <v>2</v>
      </c>
      <c r="BL23" s="20">
        <f>COUNTIFS([1]Feces!K:K,"MZAZ",[1]Feces!A:A,"in storage",[1]Feces!AB:AB,"feces",[1]Feces!M:M,"F")</f>
        <v>0</v>
      </c>
      <c r="BM23" s="19">
        <f t="shared" si="1"/>
        <v>2</v>
      </c>
      <c r="BN23" s="20">
        <f>COUNTIFS([1]Feces!K:K,"MZAZ",[1]Feces!A:A,"in storage",[1]Feces!AB:AB,"fecal swab",[1]Feces!M:M,"M")</f>
        <v>0</v>
      </c>
      <c r="BO23" s="20">
        <f>COUNTIFS([1]Feces!K:K,"MZAZ",[1]Feces!A:A,"in storage",[1]Feces!AB:AB,"fecal swab",[1]Feces!M:M,"F")</f>
        <v>0</v>
      </c>
      <c r="BP23" s="19">
        <f t="shared" si="2"/>
        <v>0</v>
      </c>
      <c r="BQ23" s="18"/>
      <c r="BR23" s="18"/>
      <c r="BS23" s="18"/>
    </row>
    <row r="24" spans="1:71" s="17" customFormat="1" x14ac:dyDescent="0.35">
      <c r="A24" s="32" t="s">
        <v>19</v>
      </c>
      <c r="B24" s="30">
        <f>COUNTIFS([1]Cadavers!J:J,"NCOU",[1]Cadavers!A:A,"in storage",[1]Cadavers!AO:AO,"Y",[1]Cadavers!L:L,"M")</f>
        <v>0</v>
      </c>
      <c r="C24" s="30">
        <f>COUNTIFS([1]Cadavers!J:J,"NCOU",[1]Cadavers!A:A,"in storage",[1]Cadavers!AO:AO,"Y",[1]Cadavers!L:L,"F")</f>
        <v>0</v>
      </c>
      <c r="D24" s="30">
        <f>COUNTIFS([1]Cadavers!J:J,"NCOU",[1]Cadavers!A:A,"in storage",[1]Cadavers!AO:AO,"Y",[1]Cadavers!L:L,"ND")</f>
        <v>0</v>
      </c>
      <c r="E24" s="31">
        <f>COUNTIFS([1]Cadavers!J:J,"NCOU",[1]Cadavers!A:A,"in storage",[1]Cadavers!AO:AO,"Y")</f>
        <v>0</v>
      </c>
      <c r="F24" s="30">
        <f>COUNTIFS([1]Cadavers!J:J,"NCOU",[1]Cadavers!A:A,"in storage",[1]Cadavers!AO:AO,"N",[1]Cadavers!L:L,"M")</f>
        <v>0</v>
      </c>
      <c r="G24" s="30">
        <f>COUNTIFS([1]Cadavers!J:J,"NCOU",[1]Cadavers!A:A,"in storage",[1]Cadavers!AO:AO,"N",[1]Cadavers!L:L,"F")</f>
        <v>1</v>
      </c>
      <c r="H24" s="31">
        <f>COUNTIFS([1]Cadavers!J:J,"NCOU",[1]Cadavers!A:A,"in storage",[1]Cadavers!AO:AO,"N")</f>
        <v>1</v>
      </c>
      <c r="I24" s="30">
        <f>COUNTIFS([1]Cadavers!J:J,"NCOU")</f>
        <v>7</v>
      </c>
      <c r="J24" s="30">
        <f>COUNTIFS([1]Cadavers!J:J,"NCOU",[1]Cadavers!A:A,"gone")</f>
        <v>4</v>
      </c>
      <c r="K24" s="30">
        <f>COUNTIFS([1]Cadavers!J:J,"NCOU",[1]Cadavers!AQ:AQ,"Y*")</f>
        <v>3</v>
      </c>
      <c r="L24" s="30">
        <f>COUNTIFS([1]Cadavers!J:J,"NCOU",[1]Cadavers!A:A,"ARK")</f>
        <v>2</v>
      </c>
      <c r="M24" s="19">
        <f>COUNTIFS([1]Cadavers!J:J,"NCOU",[1]Cadavers!A:A,"in storage")</f>
        <v>1</v>
      </c>
      <c r="N24" s="28">
        <f>COUNTIFS([1]Tissues!K:K,"NCOU",[1]Tissues!A:A,"in storage",[1]Tissues!AB:AB,"*adrenal*")</f>
        <v>2</v>
      </c>
      <c r="O24" s="28">
        <f>COUNTIFS([1]Tissues!K:K,"NCOU",[1]Tissues!A:A,"in storage",[1]Tissues!AB:AB,"*kidney*")</f>
        <v>27</v>
      </c>
      <c r="P24" s="28">
        <f>COUNTIFS([1]Tissues!K:K,"NCOU",[1]Tissues!A:A,"in storage",[1]Tissues!AB:AB,"*spleen*")</f>
        <v>22</v>
      </c>
      <c r="Q24" s="28">
        <f>COUNTIFS([1]Tissues!K:K,"NCOU",[1]Tissues!A:A,"in storage",[1]Tissues!AB:AB,"*U- bladder*")</f>
        <v>0</v>
      </c>
      <c r="R24" s="29">
        <f>COUNTIFS([1]Tissues!K:K,"NCOU",[1]Tissues!A:A,"in storage",[1]Tissues!AB:AB,"*R- *")</f>
        <v>5</v>
      </c>
      <c r="S24" s="28">
        <f>COUNTIFS([1]Tissues!K:K,"NCOU",[1]Tissues!A:A,"in storage",[1]Tissues!AB:AB,"*liver*")</f>
        <v>29</v>
      </c>
      <c r="T24" s="28">
        <f>COUNTIFS([1]Tissues!K:K,"NCOU",[1]Tissues!A:A,"in storage",[1]Tissues!AB:AB,"*gallbladder*")</f>
        <v>0</v>
      </c>
      <c r="U24" s="28">
        <f>COUNTIFS([1]Tissues!K:K,"NCOU",[1]Tissues!A:A,"in storage",[1]Tissues!AB:AB,"*pancreas*")</f>
        <v>4</v>
      </c>
      <c r="V24" s="28">
        <f>COUNTIFS([1]Tissues!K:K,"NCOU",[1]Tissues!A:A,"in storage",[1]Tissues!AB:AB,"*GI-*")</f>
        <v>12</v>
      </c>
      <c r="W24" s="28">
        <f>COUNTIFS([1]Tissues!K:K,"NCOU",[1]Tissues!A:A,"in storage",[1]Tissues!AB:AB,"*lung*")</f>
        <v>15</v>
      </c>
      <c r="X24" s="28">
        <f>COUNTIFS([1]Tissues!K:K,"NCOU",[1]Tissues!A:A,"in storage",[1]Tissues!AB:AB,"*heart*")</f>
        <v>18</v>
      </c>
      <c r="Y24" s="28">
        <f>COUNTIFS([1]Tissues!K:K,"NCOU",[1]Tissues!A:A,"in storage",[1]Tissues!AB:AB,"*thyroid*")</f>
        <v>0</v>
      </c>
      <c r="Z24" s="28">
        <f>COUNTIFS([1]Tissues!K:K,"NCOU",[1]Tissues!A:A,"in storage",[1]Tissues!AB:AB,"*esophagus*")</f>
        <v>1</v>
      </c>
      <c r="AA24" s="28">
        <f>COUNTIFS([1]Tissues!K:K,"NCOU",[1]Tissues!A:A,"in storage",[1]Tissues!AB:AB,"*trachea*")</f>
        <v>0</v>
      </c>
      <c r="AB24" s="28">
        <f>COUNTIFS([1]Tissues!K:K,"NCOU",[1]Tissues!A:A,"in storage",[1]Tissues!AB:AB,"*eye*")</f>
        <v>2</v>
      </c>
      <c r="AC24" s="28">
        <f>COUNTIFS([1]Tissues!K:K,"NCOU",[1]Tissues!A:A,"in storage",[1]Tissues!AB:AB,"*skin*")</f>
        <v>8</v>
      </c>
      <c r="AD24" s="28">
        <f>COUNTIFS([1]Tissues!K:K,"NCOU",[1]Tissues!A:A,"in storage",[1]Tissues!AB:AB,"*muscle*")</f>
        <v>6</v>
      </c>
      <c r="AE24" s="28">
        <f>COUNTIFS([1]Tissues!K:K,"NCOU",[1]Tissues!A:A,"in storage",[1]Tissues!AB:AB,"*digit*")</f>
        <v>0</v>
      </c>
      <c r="AF24" s="28">
        <f>COUNTIFS([1]Tissues!K:K,"NCOU",[1]Tissues!A:A,"in storage",[1]Tissues!AB:AB,"*fat*")</f>
        <v>0</v>
      </c>
      <c r="AG24" s="28">
        <f>COUNTIFS([1]Tissues!K:K,"NCOU",[1]Tissues!A:A,"in storage",[1]Tissues!AB:AB,"*lymph node*")</f>
        <v>1</v>
      </c>
      <c r="AH24" s="28">
        <f>COUNTIFS([1]Tissues!K:K,"NCOU",[1]Tissues!A:A,"in storage",[1]Tissues!AB:AB,"*Mass*")</f>
        <v>4</v>
      </c>
      <c r="AI24" s="28">
        <f>COUNTIFS([1]Tissues!K:K,"NCOU",[1]Tissues!A:A,"in storage",[1]Tissues!AB:AB,"*tooth*")</f>
        <v>0</v>
      </c>
      <c r="AJ24" s="28">
        <f>COUNTIFS([1]Tissues!K:K,"NCOU",[1]Tissues!A:A,"in storage",[1]Tissues!AB:AB,"*tail*")</f>
        <v>0</v>
      </c>
      <c r="AK24" s="28">
        <f t="shared" si="0"/>
        <v>12</v>
      </c>
      <c r="AL24" s="27">
        <f>COUNTIFS([1]Tissues!K:K,"NCOU",[1]Tissues!A:A,"in storage")</f>
        <v>168</v>
      </c>
      <c r="AM24" s="26">
        <f>COUNTIFS([1]Brains!J:J,"NCOU",[1]Brains!A:A,"IS_whole")</f>
        <v>0</v>
      </c>
      <c r="AN24" s="26">
        <f>COUNTIFS([1]Brains!J:J,"NCOU",[1]Brains!A:A,"IS_partial_brain")</f>
        <v>0</v>
      </c>
      <c r="AO24" s="26">
        <f>COUNTIFS([1]Brains!J:J,"NCOU",[1]Brains!A:A,"IS_partial_FC_RNAlater")</f>
        <v>0</v>
      </c>
      <c r="AP24" s="19">
        <f>COUNTIFS([1]Brains!J:J,"NCOU",[1]Brains!A:A,"IS*")</f>
        <v>0</v>
      </c>
      <c r="AQ24" s="25">
        <f>COUNTIFS([1]Urine!K:K,"NCOU",[1]Urine!M:M,"M",[1]Urine!A:A,"IS_alqt_plus")</f>
        <v>0</v>
      </c>
      <c r="AR24" s="25">
        <f>COUNTIFS([1]Urine!K:K,"NCOU",[1]Urine!M:M,"F",[1]Urine!A:A,"IS_alqt_plus")</f>
        <v>19</v>
      </c>
      <c r="AS24" s="19">
        <f>COUNTIFS([1]Urine!K:K,"NCOU",[1]Urine!A:A,"IS*")</f>
        <v>21</v>
      </c>
      <c r="AT24" s="24">
        <f>SUMIFS([1]Urine!AC:AC,[1]Urine!K:K,"NCOU",[1]Urine!A:A,"IS*")</f>
        <v>27.2</v>
      </c>
      <c r="AU24" s="23">
        <f>COUNTIFS([1]Blood_Products!K:K,"NCOU",[1]Blood_Products!AB:AB,"WB",[1]Blood_Products!M:M,"M",[1]Blood_Products!A:A,"IS_alqt_plus")</f>
        <v>6</v>
      </c>
      <c r="AV24" s="23">
        <f>COUNTIFS([1]Blood_Products!K:K,"NCOU",[1]Blood_Products!AB:AB,"WB",[1]Blood_Products!M:M,"F",[1]Blood_Products!A:A,"IS_alqt_plus")</f>
        <v>32</v>
      </c>
      <c r="AW24" s="22">
        <f>COUNTIFS([1]Blood_Products!K:K,"NCOU",[1]Blood_Products!A:A,"IS*",[1]Blood_Products!AB:AB,"WB")</f>
        <v>40</v>
      </c>
      <c r="AX24" s="21">
        <f>SUMIFS([1]Blood_Products!AF:AF,[1]Blood_Products!K:K,"NCOU",[1]Blood_Products!A:A,"IS*",[1]Blood_Products!AB:AB,"WB")</f>
        <v>35.5</v>
      </c>
      <c r="AY24" s="23">
        <f>COUNTIFS([1]Blood_Products!K:K,"NCOU",[1]Blood_Products!AB:AB,"serum",[1]Blood_Products!M:M,"M",[1]Blood_Products!A:A,"IS_alqt_plus")</f>
        <v>32</v>
      </c>
      <c r="AZ24" s="23">
        <f>COUNTIFS([1]Blood_Products!K:K,"NCOU",[1]Blood_Products!AB:AB,"serum",[1]Blood_Products!M:M,"F",[1]Blood_Products!A:A,"IS_alqt_plus")</f>
        <v>38</v>
      </c>
      <c r="BA24" s="22">
        <f>COUNTIFS([1]Blood_Products!K:K,"NCOU",[1]Blood_Products!A:A,"IS*",[1]Blood_Products!AB:AB,"serum")</f>
        <v>74</v>
      </c>
      <c r="BB24" s="21">
        <f>SUMIFS([1]Blood_Products!AF:AF,[1]Blood_Products!K:K,"NCOU",[1]Blood_Products!A:A,"IS*",[1]Blood_Products!AB:AB,"serum")</f>
        <v>58.440000000000005</v>
      </c>
      <c r="BC24" s="23">
        <f>COUNTIFS([1]Blood_Products!K:K,"NCOU",[1]Blood_Products!AB:AB,"plasma",[1]Blood_Products!M:M,"M",[1]Blood_Products!A:A,"IS_alqt_plus")</f>
        <v>0</v>
      </c>
      <c r="BD24" s="23">
        <f>COUNTIFS([1]Blood_Products!K:K,"NCOU",[1]Blood_Products!AB:AB,"plasma",[1]Blood_Products!M:M,"F",[1]Blood_Products!A:A,"IS_alqt_plus")</f>
        <v>1</v>
      </c>
      <c r="BE24" s="22">
        <f>COUNTIFS([1]Blood_Products!K:K,"NCOU",[1]Blood_Products!A:A,"IS*",[1]Blood_Products!AB:AB,"plasma")</f>
        <v>1</v>
      </c>
      <c r="BF24" s="21">
        <f>SUMIFS([1]Blood_Products!AF:AF,[1]Blood_Products!K:K,"NCOU",[1]Blood_Products!A:A,"IS*",[1]Blood_Products!AB:AB,"plasma")</f>
        <v>0.2</v>
      </c>
      <c r="BG24" s="23">
        <f>COUNTIFS([1]Blood_Products!K:K,"NCOU",[1]Blood_Products!AB:AB,"PRBC",[1]Blood_Products!M:M,"M",[1]Blood_Products!A:A,"IS_alqt_plus")</f>
        <v>0</v>
      </c>
      <c r="BH24" s="23">
        <f>COUNTIFS([1]Blood_Products!K:K,"NCOU",[1]Blood_Products!AB:AB,"PRBC",[1]Blood_Products!M:M,"F",[1]Blood_Products!A:A,"IS_alqt_plus")</f>
        <v>0</v>
      </c>
      <c r="BI24" s="22">
        <f>COUNTIFS([1]Blood_Products!K:K,"NCOU",[1]Blood_Products!A:A,"IS*",[1]Blood_Products!AB:AB,"PRBC")</f>
        <v>0</v>
      </c>
      <c r="BJ24" s="21">
        <f>SUMIFS([1]Blood_Products!AF:AF,[1]Blood_Products!K:K,"NCOU",[1]Blood_Products!A:A,"IS*",[1]Blood_Products!AB:AB,"PRBC")</f>
        <v>0</v>
      </c>
      <c r="BK24" s="20">
        <f>COUNTIFS([1]Feces!K:K,"NCOU",[1]Feces!A:A,"in storage",[1]Feces!AB:AB,"feces",[1]Feces!M:M,"M")</f>
        <v>1</v>
      </c>
      <c r="BL24" s="20">
        <f>COUNTIFS([1]Feces!K:K,"NCOU",[1]Feces!A:A,"in storage",[1]Feces!AB:AB,"feces",[1]Feces!M:M,"F")</f>
        <v>2</v>
      </c>
      <c r="BM24" s="19">
        <f t="shared" si="1"/>
        <v>3</v>
      </c>
      <c r="BN24" s="20">
        <f>COUNTIFS([1]Feces!K:K,"NCOU",[1]Feces!A:A,"in storage",[1]Feces!AB:AB,"fecal swab",[1]Feces!M:M,"M")</f>
        <v>0</v>
      </c>
      <c r="BO24" s="20">
        <f>COUNTIFS([1]Feces!K:K,"NCOU",[1]Feces!A:A,"in storage",[1]Feces!AB:AB,"fecal swab",[1]Feces!M:M,"F")</f>
        <v>0</v>
      </c>
      <c r="BP24" s="19">
        <f t="shared" si="2"/>
        <v>0</v>
      </c>
      <c r="BQ24" s="18"/>
      <c r="BR24" s="18"/>
      <c r="BS24" s="18"/>
    </row>
    <row r="25" spans="1:71" s="17" customFormat="1" x14ac:dyDescent="0.35">
      <c r="A25" s="32" t="s">
        <v>18</v>
      </c>
      <c r="B25" s="30">
        <f>COUNTIFS([1]Cadavers!J:J,"NPYG",[1]Cadavers!A:A,"in storage",[1]Cadavers!AO:AO,"Y",[1]Cadavers!L:L,"M")</f>
        <v>3</v>
      </c>
      <c r="C25" s="30">
        <f>COUNTIFS([1]Cadavers!J:J,"NPYG",[1]Cadavers!A:A,"in storage",[1]Cadavers!AO:AO,"Y",[1]Cadavers!L:L,"F")</f>
        <v>0</v>
      </c>
      <c r="D25" s="30">
        <f>COUNTIFS([1]Cadavers!J:J,"NPYG",[1]Cadavers!A:A,"in storage",[1]Cadavers!AO:AO,"Y",[1]Cadavers!L:L,"ND")</f>
        <v>1</v>
      </c>
      <c r="E25" s="31">
        <f>COUNTIFS([1]Cadavers!J:J,"NPYG",[1]Cadavers!A:A,"in storage",[1]Cadavers!AO:AO,"Y")</f>
        <v>4</v>
      </c>
      <c r="F25" s="30">
        <f>COUNTIFS([1]Cadavers!J:J,"NPYG",[1]Cadavers!A:A,"in storage",[1]Cadavers!AO:AO,"N",[1]Cadavers!L:L,"M")</f>
        <v>3</v>
      </c>
      <c r="G25" s="30">
        <f>COUNTIFS([1]Cadavers!J:J,"NPYG",[1]Cadavers!A:A,"in storage",[1]Cadavers!AO:AO,"N",[1]Cadavers!L:L,"F")</f>
        <v>3</v>
      </c>
      <c r="H25" s="31">
        <f>COUNTIFS([1]Cadavers!J:J,"NPYG",[1]Cadavers!A:A,"in storage",[1]Cadavers!AO:AO,"N")</f>
        <v>6</v>
      </c>
      <c r="I25" s="30">
        <f>COUNTIFS([1]Cadavers!J:J,"NPYG")</f>
        <v>16</v>
      </c>
      <c r="J25" s="30">
        <f>COUNTIFS([1]Cadavers!J:J,"NPYG",[1]Cadavers!A:A,"gone")</f>
        <v>4</v>
      </c>
      <c r="K25" s="30">
        <f>COUNTIFS([1]Cadavers!J:J,"NPYG",[1]Cadavers!AQ:AQ,"Y*")</f>
        <v>8</v>
      </c>
      <c r="L25" s="30">
        <f>COUNTIFS([1]Cadavers!J:J,"NPYG",[1]Cadavers!A:A,"ARK")</f>
        <v>2</v>
      </c>
      <c r="M25" s="19">
        <f>COUNTIFS([1]Cadavers!J:J,"NPYG",[1]Cadavers!A:A,"in storage")</f>
        <v>10</v>
      </c>
      <c r="N25" s="28">
        <f>COUNTIFS([1]Tissues!K:K,"NPYG",[1]Tissues!A:A,"in storage",[1]Tissues!AB:AB,"*adrenal*")</f>
        <v>6</v>
      </c>
      <c r="O25" s="28">
        <f>COUNTIFS([1]Tissues!K:K,"NPYG",[1]Tissues!A:A,"in storage",[1]Tissues!AB:AB,"*kidney*")</f>
        <v>33</v>
      </c>
      <c r="P25" s="28">
        <f>COUNTIFS([1]Tissues!K:K,"NPYG",[1]Tissues!A:A,"in storage",[1]Tissues!AB:AB,"*spleen*")</f>
        <v>16</v>
      </c>
      <c r="Q25" s="28">
        <f>COUNTIFS([1]Tissues!K:K,"NPYG",[1]Tissues!A:A,"in storage",[1]Tissues!AB:AB,"*U- bladder*")</f>
        <v>3</v>
      </c>
      <c r="R25" s="29">
        <f>COUNTIFS([1]Tissues!K:K,"NPYG",[1]Tissues!A:A,"in storage",[1]Tissues!AB:AB,"*R- *")</f>
        <v>14</v>
      </c>
      <c r="S25" s="28">
        <f>COUNTIFS([1]Tissues!K:K,"NPYG",[1]Tissues!A:A,"in storage",[1]Tissues!AB:AB,"*liver*")</f>
        <v>34</v>
      </c>
      <c r="T25" s="28">
        <f>COUNTIFS([1]Tissues!K:K,"NPYG",[1]Tissues!A:A,"in storage",[1]Tissues!AB:AB,"*gallbladder*")</f>
        <v>1</v>
      </c>
      <c r="U25" s="28">
        <f>COUNTIFS([1]Tissues!K:K,"NPYG",[1]Tissues!A:A,"in storage",[1]Tissues!AB:AB,"*pancreas*")</f>
        <v>13</v>
      </c>
      <c r="V25" s="28">
        <f>COUNTIFS([1]Tissues!K:K,"NPYG",[1]Tissues!A:A,"in storage",[1]Tissues!AB:AB,"*GI-*")</f>
        <v>13</v>
      </c>
      <c r="W25" s="28">
        <f>COUNTIFS([1]Tissues!K:K,"NPYG",[1]Tissues!A:A,"in storage",[1]Tissues!AB:AB,"*lung*")</f>
        <v>31</v>
      </c>
      <c r="X25" s="28">
        <f>COUNTIFS([1]Tissues!K:K,"NPYG",[1]Tissues!A:A,"in storage",[1]Tissues!AB:AB,"*heart*")</f>
        <v>17</v>
      </c>
      <c r="Y25" s="28">
        <f>COUNTIFS([1]Tissues!K:K,"NPYG",[1]Tissues!A:A,"in storage",[1]Tissues!AB:AB,"*thyroid*")</f>
        <v>2</v>
      </c>
      <c r="Z25" s="28">
        <f>COUNTIFS([1]Tissues!K:K,"NPYG",[1]Tissues!A:A,"in storage",[1]Tissues!AB:AB,"*esophagus*")</f>
        <v>1</v>
      </c>
      <c r="AA25" s="28">
        <f>COUNTIFS([1]Tissues!K:K,"NPYG",[1]Tissues!A:A,"in storage",[1]Tissues!AB:AB,"*trachea*")</f>
        <v>0</v>
      </c>
      <c r="AB25" s="28">
        <f>COUNTIFS([1]Tissues!K:K,"NPYG",[1]Tissues!A:A,"in storage",[1]Tissues!AB:AB,"*eye*")</f>
        <v>8</v>
      </c>
      <c r="AC25" s="28">
        <f>COUNTIFS([1]Tissues!K:K,"NPYG",[1]Tissues!A:A,"in storage",[1]Tissues!AB:AB,"*skin*")</f>
        <v>15</v>
      </c>
      <c r="AD25" s="28">
        <f>COUNTIFS([1]Tissues!K:K,"NPYG",[1]Tissues!A:A,"in storage",[1]Tissues!AB:AB,"*muscle*")</f>
        <v>15</v>
      </c>
      <c r="AE25" s="28">
        <f>COUNTIFS([1]Tissues!K:K,"NPYG",[1]Tissues!A:A,"in storage",[1]Tissues!AB:AB,"*digit*")</f>
        <v>0</v>
      </c>
      <c r="AF25" s="28">
        <f>COUNTIFS([1]Tissues!K:K,"NPYG",[1]Tissues!A:A,"in storage",[1]Tissues!AB:AB,"*fat*")</f>
        <v>0</v>
      </c>
      <c r="AG25" s="28">
        <f>COUNTIFS([1]Tissues!K:K,"NPYG",[1]Tissues!A:A,"in storage",[1]Tissues!AB:AB,"*lymph node*")</f>
        <v>2</v>
      </c>
      <c r="AH25" s="28">
        <f>COUNTIFS([1]Tissues!K:K,"NPYG",[1]Tissues!A:A,"in storage",[1]Tissues!AB:AB,"*Mass*")</f>
        <v>2</v>
      </c>
      <c r="AI25" s="28">
        <f>COUNTIFS([1]Tissues!K:K,"NPYG",[1]Tissues!A:A,"in storage",[1]Tissues!AB:AB,"*tooth*")</f>
        <v>3</v>
      </c>
      <c r="AJ25" s="28">
        <f>COUNTIFS([1]Tissues!K:K,"NPYG",[1]Tissues!A:A,"in storage",[1]Tissues!AB:AB,"*tail*")</f>
        <v>0</v>
      </c>
      <c r="AK25" s="28">
        <f t="shared" si="0"/>
        <v>26</v>
      </c>
      <c r="AL25" s="27">
        <f>COUNTIFS([1]Tissues!K:K,"NPYG",[1]Tissues!A:A,"in storage")</f>
        <v>255</v>
      </c>
      <c r="AM25" s="26">
        <f>COUNTIFS([1]Brains!J:J,"NPYG",[1]Brains!A:A,"IS_whole")</f>
        <v>0</v>
      </c>
      <c r="AN25" s="26">
        <f>COUNTIFS([1]Brains!J:J,"NPYG",[1]Brains!A:A,"IS_partial_brain")</f>
        <v>2</v>
      </c>
      <c r="AO25" s="26">
        <f>COUNTIFS([1]Brains!J:J,"NPYG",[1]Brains!A:A,"IS_partial_FC_RNAlater")</f>
        <v>0</v>
      </c>
      <c r="AP25" s="19">
        <f>COUNTIFS([1]Brains!J:J,"NPYG",[1]Brains!A:A,"IS*")</f>
        <v>2</v>
      </c>
      <c r="AQ25" s="25">
        <f>COUNTIFS([1]Urine!K:K,"NPYG",[1]Urine!M:M,"M",[1]Urine!A:A,"IS_alqt_plus")</f>
        <v>24</v>
      </c>
      <c r="AR25" s="25">
        <f>COUNTIFS([1]Urine!K:K,"NPYG",[1]Urine!M:M,"F",[1]Urine!A:A,"IS_alqt_plus")</f>
        <v>35</v>
      </c>
      <c r="AS25" s="19">
        <f>COUNTIFS([1]Urine!K:K,"NPYG",[1]Urine!A:A,"IS*")</f>
        <v>62</v>
      </c>
      <c r="AT25" s="24">
        <f>SUMIFS([1]Urine!AC:AC,[1]Urine!K:K,"NPYG",[1]Urine!A:A,"IS*")</f>
        <v>73.100000000000009</v>
      </c>
      <c r="AU25" s="23">
        <f>COUNTIFS([1]Blood_Products!K:K,"NPYG",[1]Blood_Products!AB:AB,"WB",[1]Blood_Products!M:M,"M",[1]Blood_Products!A:A,"IS_alqt_plus")</f>
        <v>31</v>
      </c>
      <c r="AV25" s="23">
        <f>COUNTIFS([1]Blood_Products!K:K,"NPYG",[1]Blood_Products!AB:AB,"WB",[1]Blood_Products!M:M,"F",[1]Blood_Products!A:A,"IS_alqt_plus")</f>
        <v>33</v>
      </c>
      <c r="AW25" s="22">
        <f>COUNTIFS([1]Blood_Products!K:K,"NPYG",[1]Blood_Products!A:A,"IS*",[1]Blood_Products!AB:AB,"WB")</f>
        <v>73</v>
      </c>
      <c r="AX25" s="21">
        <f>SUMIFS([1]Blood_Products!AF:AF,[1]Blood_Products!K:K,"NPYG",[1]Blood_Products!A:A,"IS*",[1]Blood_Products!AB:AB,"WB")</f>
        <v>45.050000000000018</v>
      </c>
      <c r="AY25" s="23">
        <f>COUNTIFS([1]Blood_Products!K:K,"NPYG",[1]Blood_Products!AB:AB,"serum",[1]Blood_Products!M:M,"M",[1]Blood_Products!A:A,"IS_alqt_plus")</f>
        <v>32</v>
      </c>
      <c r="AZ25" s="23">
        <f>COUNTIFS([1]Blood_Products!K:K,"NPYG",[1]Blood_Products!AB:AB,"serum",[1]Blood_Products!M:M,"F",[1]Blood_Products!A:A,"IS_alqt_plus")</f>
        <v>20</v>
      </c>
      <c r="BA25" s="22">
        <f>COUNTIFS([1]Blood_Products!K:K,"NPYG",[1]Blood_Products!A:A,"IS*",[1]Blood_Products!AB:AB,"serum")</f>
        <v>57</v>
      </c>
      <c r="BB25" s="21">
        <f>SUMIFS([1]Blood_Products!AF:AF,[1]Blood_Products!K:K,"NPYG",[1]Blood_Products!A:A,"IS*",[1]Blood_Products!AB:AB,"serum")</f>
        <v>42.2</v>
      </c>
      <c r="BC25" s="23">
        <f>COUNTIFS([1]Blood_Products!K:K,"NPYG",[1]Blood_Products!AB:AB,"plasma",[1]Blood_Products!M:M,"M",[1]Blood_Products!A:A,"IS_alqt_plus")</f>
        <v>1</v>
      </c>
      <c r="BD25" s="23">
        <f>COUNTIFS([1]Blood_Products!K:K,"NPYG",[1]Blood_Products!AB:AB,"plasma",[1]Blood_Products!M:M,"F",[1]Blood_Products!A:A,"IS_alqt_plus")</f>
        <v>3</v>
      </c>
      <c r="BE25" s="22">
        <f>COUNTIFS([1]Blood_Products!K:K,"NPYG",[1]Blood_Products!A:A,"IS*",[1]Blood_Products!AB:AB,"plasma")</f>
        <v>4</v>
      </c>
      <c r="BF25" s="21">
        <f>SUMIFS([1]Blood_Products!AF:AF,[1]Blood_Products!K:K,"NPYG",[1]Blood_Products!A:A,"IS*",[1]Blood_Products!AB:AB,"plasma")</f>
        <v>0.75</v>
      </c>
      <c r="BG25" s="23">
        <f>COUNTIFS([1]Blood_Products!K:K,"NPYG",[1]Blood_Products!AB:AB,"PRBC",[1]Blood_Products!M:M,"M",[1]Blood_Products!A:A,"IS_alqt_plus")</f>
        <v>1</v>
      </c>
      <c r="BH25" s="23">
        <f>COUNTIFS([1]Blood_Products!K:K,"NPYG",[1]Blood_Products!AB:AB,"PRBC",[1]Blood_Products!M:M,"F",[1]Blood_Products!A:A,"IS_alqt_plus")</f>
        <v>2</v>
      </c>
      <c r="BI25" s="22">
        <f>COUNTIFS([1]Blood_Products!K:K,"NPYG",[1]Blood_Products!A:A,"IS*",[1]Blood_Products!AB:AB,"PRBC")</f>
        <v>4</v>
      </c>
      <c r="BJ25" s="21">
        <f>SUMIFS([1]Blood_Products!AF:AF,[1]Blood_Products!K:K,"NPYG",[1]Blood_Products!A:A,"IS*",[1]Blood_Products!AB:AB,"PRBC")</f>
        <v>1.7000000000000002</v>
      </c>
      <c r="BK25" s="20">
        <f>COUNTIFS([1]Feces!K:K,"NPYG",[1]Feces!A:A,"in storage",[1]Feces!AB:AB,"feces",[1]Feces!M:M,"M")</f>
        <v>1</v>
      </c>
      <c r="BL25" s="20">
        <f>COUNTIFS([1]Feces!K:K,"NPYG",[1]Feces!A:A,"in storage",[1]Feces!AB:AB,"feces",[1]Feces!M:M,"F")</f>
        <v>1</v>
      </c>
      <c r="BM25" s="19">
        <f t="shared" si="1"/>
        <v>2</v>
      </c>
      <c r="BN25" s="20">
        <f>COUNTIFS([1]Feces!K:K,"NPYG",[1]Feces!A:A,"in storage",[1]Feces!AB:AB,"fecal swab",[1]Feces!M:M,"M")</f>
        <v>0</v>
      </c>
      <c r="BO25" s="20">
        <f>COUNTIFS([1]Feces!K:K,"NPYG",[1]Feces!A:A,"in storage",[1]Feces!AB:AB,"fecal swab",[1]Feces!M:M,"F")</f>
        <v>0</v>
      </c>
      <c r="BP25" s="19">
        <f t="shared" si="2"/>
        <v>0</v>
      </c>
      <c r="BQ25" s="18"/>
      <c r="BR25" s="18"/>
      <c r="BS25" s="18"/>
    </row>
    <row r="26" spans="1:71" s="17" customFormat="1" x14ac:dyDescent="0.35">
      <c r="A26" s="32" t="s">
        <v>17</v>
      </c>
      <c r="B26" s="30">
        <f>COUNTIFS([1]Cadavers!J:J,"OCRA",[1]Cadavers!A:A,"in storage",[1]Cadavers!AO:AO,"Y",[1]Cadavers!L:L,"M")</f>
        <v>0</v>
      </c>
      <c r="C26" s="30">
        <f>COUNTIFS([1]Cadavers!J:J,"OCRA",[1]Cadavers!A:A,"in storage",[1]Cadavers!AO:AO,"Y",[1]Cadavers!L:L,"F")</f>
        <v>0</v>
      </c>
      <c r="D26" s="30">
        <f>COUNTIFS([1]Cadavers!J:J,"OCRA",[1]Cadavers!A:A,"in storage",[1]Cadavers!AO:AO,"Y",[1]Cadavers!L:L,"ND")</f>
        <v>0</v>
      </c>
      <c r="E26" s="31">
        <f>COUNTIFS([1]Cadavers!J:J,"OCRA",[1]Cadavers!A:A,"in storage",[1]Cadavers!AO:AO,"Y")</f>
        <v>0</v>
      </c>
      <c r="F26" s="30">
        <f>COUNTIFS([1]Cadavers!J:J,"OCRA",[1]Cadavers!A:A,"in storage",[1]Cadavers!AO:AO,"N",[1]Cadavers!L:L,"M")</f>
        <v>0</v>
      </c>
      <c r="G26" s="30">
        <f>COUNTIFS([1]Cadavers!J:J,"OCRA",[1]Cadavers!A:A,"in storage",[1]Cadavers!AO:AO,"N",[1]Cadavers!L:L,"F")</f>
        <v>0</v>
      </c>
      <c r="H26" s="31">
        <f>COUNTIFS([1]Cadavers!J:J,"OCRA",[1]Cadavers!A:A,"in storage",[1]Cadavers!AO:AO,"N")</f>
        <v>0</v>
      </c>
      <c r="I26" s="30">
        <f>COUNTIFS([1]Cadavers!J:J,"OCRA")</f>
        <v>1</v>
      </c>
      <c r="J26" s="30">
        <f>COUNTIFS([1]Cadavers!J:J,"OCRA",[1]Cadavers!A:A,"gone")</f>
        <v>0</v>
      </c>
      <c r="K26" s="30">
        <f>COUNTIFS([1]Cadavers!J:J,"OCRA",[1]Cadavers!AQ:AQ,"Y*")</f>
        <v>1</v>
      </c>
      <c r="L26" s="30">
        <f>COUNTIFS([1]Cadavers!J:J,"OCRA",[1]Cadavers!A:A,"ARK")</f>
        <v>1</v>
      </c>
      <c r="M26" s="19">
        <f>COUNTIFS([1]Cadavers!J:J,"OCRA",[1]Cadavers!A:A,"in storage")</f>
        <v>0</v>
      </c>
      <c r="N26" s="28">
        <f>COUNTIFS([1]Tissues!K:K,"OCRA",[1]Tissues!A:A,"in storage",[1]Tissues!AB:AB,"*adrenal*")</f>
        <v>2</v>
      </c>
      <c r="O26" s="28">
        <f>COUNTIFS([1]Tissues!K:K,"OCRA",[1]Tissues!A:A,"in storage",[1]Tissues!AB:AB,"*kidney*")</f>
        <v>5</v>
      </c>
      <c r="P26" s="28">
        <f>COUNTIFS([1]Tissues!K:K,"OCRA",[1]Tissues!A:A,"in storage",[1]Tissues!AB:AB,"*spleen*")</f>
        <v>5</v>
      </c>
      <c r="Q26" s="28">
        <f>COUNTIFS([1]Tissues!K:K,"OCRA",[1]Tissues!A:A,"in storage",[1]Tissues!AB:AB,"*U- bladder*")</f>
        <v>1</v>
      </c>
      <c r="R26" s="29">
        <f>COUNTIFS([1]Tissues!K:K,"OCRA",[1]Tissues!A:A,"in storage",[1]Tissues!AB:AB,"*R- *")</f>
        <v>1</v>
      </c>
      <c r="S26" s="28">
        <f>COUNTIFS([1]Tissues!K:K,"OCRA",[1]Tissues!A:A,"in storage",[1]Tissues!AB:AB,"*liver*")</f>
        <v>4</v>
      </c>
      <c r="T26" s="28">
        <f>COUNTIFS([1]Tissues!K:K,"OCRA",[1]Tissues!A:A,"in storage",[1]Tissues!AB:AB,"*gallbladder*")</f>
        <v>0</v>
      </c>
      <c r="U26" s="28">
        <f>COUNTIFS([1]Tissues!K:K,"OCRA",[1]Tissues!A:A,"in storage",[1]Tissues!AB:AB,"*pancreas*")</f>
        <v>4</v>
      </c>
      <c r="V26" s="28">
        <f>COUNTIFS([1]Tissues!K:K,"OCRA",[1]Tissues!A:A,"in storage",[1]Tissues!AB:AB,"*GI-*")</f>
        <v>4</v>
      </c>
      <c r="W26" s="28">
        <f>COUNTIFS([1]Tissues!K:K,"OCRA",[1]Tissues!A:A,"in storage",[1]Tissues!AB:AB,"*lung*")</f>
        <v>5</v>
      </c>
      <c r="X26" s="28">
        <f>COUNTIFS([1]Tissues!K:K,"OCRA",[1]Tissues!A:A,"in storage",[1]Tissues!AB:AB,"*heart*")</f>
        <v>4</v>
      </c>
      <c r="Y26" s="28">
        <f>COUNTIFS([1]Tissues!K:K,"OCRA",[1]Tissues!A:A,"in storage",[1]Tissues!AB:AB,"*thyroid*")</f>
        <v>2</v>
      </c>
      <c r="Z26" s="28">
        <f>COUNTIFS([1]Tissues!K:K,"OCRA",[1]Tissues!A:A,"in storage",[1]Tissues!AB:AB,"*esophagus*")</f>
        <v>1</v>
      </c>
      <c r="AA26" s="28">
        <f>COUNTIFS([1]Tissues!K:K,"OCRA",[1]Tissues!A:A,"in storage",[1]Tissues!AB:AB,"*trachea*")</f>
        <v>1</v>
      </c>
      <c r="AB26" s="28">
        <f>COUNTIFS([1]Tissues!K:K,"OCRA",[1]Tissues!A:A,"in storage",[1]Tissues!AB:AB,"*eye*")</f>
        <v>1</v>
      </c>
      <c r="AC26" s="28">
        <f>COUNTIFS([1]Tissues!K:K,"OCRA",[1]Tissues!A:A,"in storage",[1]Tissues!AB:AB,"*skin*")</f>
        <v>2</v>
      </c>
      <c r="AD26" s="28">
        <f>COUNTIFS([1]Tissues!K:K,"OCRA",[1]Tissues!A:A,"in storage",[1]Tissues!AB:AB,"*muscle*")</f>
        <v>4</v>
      </c>
      <c r="AE26" s="28">
        <f>COUNTIFS([1]Tissues!K:K,"OCRA",[1]Tissues!A:A,"in storage",[1]Tissues!AB:AB,"*digit*")</f>
        <v>0</v>
      </c>
      <c r="AF26" s="28">
        <f>COUNTIFS([1]Tissues!K:K,"OCRA",[1]Tissues!A:A,"in storage",[1]Tissues!AB:AB,"*fat*")</f>
        <v>0</v>
      </c>
      <c r="AG26" s="28">
        <f>COUNTIFS([1]Tissues!K:K,"OCRA",[1]Tissues!A:A,"in storage",[1]Tissues!AB:AB,"*lymph node*")</f>
        <v>1</v>
      </c>
      <c r="AH26" s="28">
        <f>COUNTIFS([1]Tissues!K:K,"OCRA",[1]Tissues!A:A,"in storage",[1]Tissues!AB:AB,"*Mass*")</f>
        <v>0</v>
      </c>
      <c r="AI26" s="28">
        <f>COUNTIFS([1]Tissues!K:K,"OCRA",[1]Tissues!A:A,"in storage",[1]Tissues!AB:AB,"*tooth*")</f>
        <v>0</v>
      </c>
      <c r="AJ26" s="28">
        <f>COUNTIFS([1]Tissues!K:K,"OCRA",[1]Tissues!A:A,"in storage",[1]Tissues!AB:AB,"*tail*")</f>
        <v>0</v>
      </c>
      <c r="AK26" s="28">
        <f t="shared" si="0"/>
        <v>2</v>
      </c>
      <c r="AL26" s="27">
        <f>COUNTIFS([1]Tissues!K:K,"OCRA",[1]Tissues!A:A,"in storage")</f>
        <v>49</v>
      </c>
      <c r="AM26" s="26">
        <f>COUNTIFS([1]Brains!J:J,"OCRA",[1]Brains!A:A,"IS_whole")</f>
        <v>0</v>
      </c>
      <c r="AN26" s="26">
        <f>COUNTIFS([1]Brains!J:J,"OCRA",[1]Brains!A:A,"IS_partial_brain")</f>
        <v>0</v>
      </c>
      <c r="AO26" s="26">
        <f>COUNTIFS([1]Brains!J:J,"OCRA",[1]Brains!A:A,"IS_partial_FC_RNAlater")</f>
        <v>0</v>
      </c>
      <c r="AP26" s="19">
        <f>COUNTIFS([1]Brains!J:J,"OCRA",[1]Brains!A:A,"IS*")</f>
        <v>0</v>
      </c>
      <c r="AQ26" s="25">
        <f>COUNTIFS([1]Urine!K:K,"OCRA",[1]Urine!M:M,"M",[1]Urine!A:A,"IS_alqt_plus")</f>
        <v>0</v>
      </c>
      <c r="AR26" s="25">
        <f>COUNTIFS([1]Urine!K:K,"OCRA",[1]Urine!M:M,"F",[1]Urine!A:A,"IS_alqt_plus")</f>
        <v>0</v>
      </c>
      <c r="AS26" s="19">
        <f>COUNTIFS([1]Urine!K:K,"OCRA",[1]Urine!A:A,"IS*")</f>
        <v>1</v>
      </c>
      <c r="AT26" s="24">
        <f>SUMIFS([1]Urine!AC:AC,[1]Urine!K:K,"OCRA",[1]Urine!A:A,"IS*")</f>
        <v>0.4</v>
      </c>
      <c r="AU26" s="23">
        <f>COUNTIFS([1]Blood_Products!K:K,"OCRA",[1]Blood_Products!AB:AB,"WB",[1]Blood_Products!M:M,"M",[1]Blood_Products!A:A,"IS_alqt_plus")</f>
        <v>0</v>
      </c>
      <c r="AV26" s="23">
        <f>COUNTIFS([1]Blood_Products!K:K,"OCRA",[1]Blood_Products!AB:AB,"WB",[1]Blood_Products!M:M,"F",[1]Blood_Products!A:A,"IS_alqt_plus")</f>
        <v>22</v>
      </c>
      <c r="AW26" s="22">
        <f>COUNTIFS([1]Blood_Products!K:K,"OCRA",[1]Blood_Products!A:A,"IS*",[1]Blood_Products!AB:AB,"WB")</f>
        <v>22</v>
      </c>
      <c r="AX26" s="21">
        <f>SUMIFS([1]Blood_Products!AF:AF,[1]Blood_Products!K:K,"OCRA",[1]Blood_Products!A:A,"IS*",[1]Blood_Products!AB:AB,"WB")</f>
        <v>14.699999999999996</v>
      </c>
      <c r="AY26" s="23">
        <f>COUNTIFS([1]Blood_Products!K:K,"OCRA",[1]Blood_Products!AB:AB,"serum",[1]Blood_Products!M:M,"M",[1]Blood_Products!A:A,"IS_alqt_plus")</f>
        <v>0</v>
      </c>
      <c r="AZ26" s="23">
        <f>COUNTIFS([1]Blood_Products!K:K,"OCRA",[1]Blood_Products!AB:AB,"serum",[1]Blood_Products!M:M,"F",[1]Blood_Products!A:A,"IS_alqt_plus")</f>
        <v>17</v>
      </c>
      <c r="BA26" s="22">
        <f>COUNTIFS([1]Blood_Products!K:K,"OCRA",[1]Blood_Products!A:A,"IS*",[1]Blood_Products!AB:AB,"serum")</f>
        <v>17</v>
      </c>
      <c r="BB26" s="21">
        <f>SUMIFS([1]Blood_Products!AF:AF,[1]Blood_Products!K:K,"OCRA",[1]Blood_Products!A:A,"IS*",[1]Blood_Products!AB:AB,"serum")</f>
        <v>14.949999999999998</v>
      </c>
      <c r="BC26" s="23">
        <f>COUNTIFS([1]Blood_Products!K:K,"OCRA",[1]Blood_Products!AB:AB,"plasma",[1]Blood_Products!M:M,"M",[1]Blood_Products!A:A,"IS_alqt_plus")</f>
        <v>0</v>
      </c>
      <c r="BD26" s="23">
        <f>COUNTIFS([1]Blood_Products!K:K,"OCRA",[1]Blood_Products!AB:AB,"plasma",[1]Blood_Products!M:M,"F",[1]Blood_Products!A:A,"IS_alqt_plus")</f>
        <v>0</v>
      </c>
      <c r="BE26" s="22">
        <f>COUNTIFS([1]Blood_Products!K:K,"OCRA",[1]Blood_Products!A:A,"IS*",[1]Blood_Products!AB:AB,"plasma")</f>
        <v>0</v>
      </c>
      <c r="BF26" s="21">
        <f>SUMIFS([1]Blood_Products!AF:AF,[1]Blood_Products!K:K,"OCRA",[1]Blood_Products!A:A,"IS*",[1]Blood_Products!AB:AB,"plasma")</f>
        <v>0</v>
      </c>
      <c r="BG26" s="23">
        <f>COUNTIFS([1]Blood_Products!K:K,"OCRA",[1]Blood_Products!AB:AB,"PRBC",[1]Blood_Products!M:M,"M",[1]Blood_Products!A:A,"IS_alqt_plus")</f>
        <v>0</v>
      </c>
      <c r="BH26" s="23">
        <f>COUNTIFS([1]Blood_Products!K:K,"OCRA",[1]Blood_Products!AB:AB,"PRBC",[1]Blood_Products!M:M,"F",[1]Blood_Products!A:A,"IS_alqt_plus")</f>
        <v>0</v>
      </c>
      <c r="BI26" s="22">
        <f>COUNTIFS([1]Blood_Products!K:K,"OCRA",[1]Blood_Products!A:A,"IS*",[1]Blood_Products!AB:AB,"PRBC")</f>
        <v>0</v>
      </c>
      <c r="BJ26" s="21">
        <f>SUMIFS([1]Blood_Products!AF:AF,[1]Blood_Products!K:K,"OCRA",[1]Blood_Products!A:A,"IS*",[1]Blood_Products!AB:AB,"PRBC")</f>
        <v>0</v>
      </c>
      <c r="BK26" s="20">
        <f>COUNTIFS([1]Feces!K:K,"OCRA",[1]Feces!A:A,"in storage",[1]Feces!AB:AB,"feces",[1]Feces!M:M,"M")</f>
        <v>0</v>
      </c>
      <c r="BL26" s="20">
        <f>COUNTIFS([1]Feces!K:K,"OCRA",[1]Feces!A:A,"in storage",[1]Feces!AB:AB,"feces",[1]Feces!M:M,"F")</f>
        <v>2</v>
      </c>
      <c r="BM26" s="19">
        <f t="shared" si="1"/>
        <v>2</v>
      </c>
      <c r="BN26" s="20">
        <f>COUNTIFS([1]Feces!K:K,"OCRA",[1]Feces!A:A,"in storage",[1]Feces!AB:AB,"fecal swab",[1]Feces!M:M,"M")</f>
        <v>0</v>
      </c>
      <c r="BO26" s="20">
        <f>COUNTIFS([1]Feces!K:K,"OCRA",[1]Feces!A:A,"in storage",[1]Feces!AB:AB,"fecal swab",[1]Feces!M:M,"F")</f>
        <v>0</v>
      </c>
      <c r="BP26" s="19">
        <f t="shared" si="2"/>
        <v>0</v>
      </c>
      <c r="BQ26" s="18"/>
      <c r="BR26" s="18"/>
      <c r="BS26" s="18"/>
    </row>
    <row r="27" spans="1:71" s="17" customFormat="1" x14ac:dyDescent="0.35">
      <c r="A27" s="32" t="s">
        <v>16</v>
      </c>
      <c r="B27" s="30">
        <f>COUNTIFS([1]Cadavers!J:J,"OGG",[1]Cadavers!A:A,"in storage",[1]Cadavers!AO:AO,"Y",[1]Cadavers!L:L,"M")</f>
        <v>2</v>
      </c>
      <c r="C27" s="30">
        <f>COUNTIFS([1]Cadavers!J:J,"OGG",[1]Cadavers!A:A,"in storage",[1]Cadavers!AO:AO,"Y",[1]Cadavers!L:L,"F")</f>
        <v>0</v>
      </c>
      <c r="D27" s="30">
        <f>COUNTIFS([1]Cadavers!J:J,"OGG",[1]Cadavers!A:A,"in storage",[1]Cadavers!AO:AO,"Y",[1]Cadavers!L:L,"ND")</f>
        <v>1</v>
      </c>
      <c r="E27" s="31">
        <f>COUNTIFS([1]Cadavers!J:J,"OGG",[1]Cadavers!A:A,"in storage",[1]Cadavers!AO:AO,"Y")</f>
        <v>3</v>
      </c>
      <c r="F27" s="30">
        <f>COUNTIFS([1]Cadavers!J:J,"OGG",[1]Cadavers!A:A,"in storage",[1]Cadavers!AO:AO,"N",[1]Cadavers!L:L,"M")</f>
        <v>1</v>
      </c>
      <c r="G27" s="30">
        <f>COUNTIFS([1]Cadavers!J:J,"OGG",[1]Cadavers!A:A,"in storage",[1]Cadavers!AO:AO,"N",[1]Cadavers!L:L,"F")</f>
        <v>1</v>
      </c>
      <c r="H27" s="31">
        <f>COUNTIFS([1]Cadavers!J:J,"OGG",[1]Cadavers!A:A,"in storage",[1]Cadavers!AO:AO,"N")</f>
        <v>3</v>
      </c>
      <c r="I27" s="30">
        <f>COUNTIFS([1]Cadavers!J:J,"OGG")</f>
        <v>14</v>
      </c>
      <c r="J27" s="30">
        <f>COUNTIFS([1]Cadavers!J:J,"OGG",[1]Cadavers!A:A,"gone")</f>
        <v>4</v>
      </c>
      <c r="K27" s="30">
        <f>COUNTIFS([1]Cadavers!J:J,"OGG",[1]Cadavers!AQ:AQ,"Y*")</f>
        <v>1</v>
      </c>
      <c r="L27" s="30">
        <f>COUNTIFS([1]Cadavers!J:J,"OGG",[1]Cadavers!A:A,"ARK")</f>
        <v>3</v>
      </c>
      <c r="M27" s="19">
        <f>COUNTIFS([1]Cadavers!J:J,"OGG",[1]Cadavers!A:A,"in storage")</f>
        <v>6</v>
      </c>
      <c r="N27" s="28">
        <f>COUNTIFS([1]Tissues!K:K,"OGG",[1]Tissues!A:A,"in storage",[1]Tissues!AB:AB,"*adrenal*")</f>
        <v>0</v>
      </c>
      <c r="O27" s="28">
        <f>COUNTIFS([1]Tissues!K:K,"OGG",[1]Tissues!A:A,"in storage",[1]Tissues!AB:AB,"*kidney*")</f>
        <v>1</v>
      </c>
      <c r="P27" s="28">
        <f>COUNTIFS([1]Tissues!K:K,"OGG",[1]Tissues!A:A,"in storage",[1]Tissues!AB:AB,"*spleen*")</f>
        <v>0</v>
      </c>
      <c r="Q27" s="28">
        <f>COUNTIFS([1]Tissues!K:K,"OGG",[1]Tissues!A:A,"in storage",[1]Tissues!AB:AB,"*U- bladder*")</f>
        <v>0</v>
      </c>
      <c r="R27" s="29">
        <f>COUNTIFS([1]Tissues!K:K,"OGG",[1]Tissues!A:A,"in storage",[1]Tissues!AB:AB,"*R- *")</f>
        <v>1</v>
      </c>
      <c r="S27" s="28">
        <f>COUNTIFS([1]Tissues!K:K,"OGG",[1]Tissues!A:A,"in storage",[1]Tissues!AB:AB,"*liver*")</f>
        <v>5</v>
      </c>
      <c r="T27" s="28">
        <f>COUNTIFS([1]Tissues!K:K,"OGG",[1]Tissues!A:A,"in storage",[1]Tissues!AB:AB,"*gallbladder*")</f>
        <v>0</v>
      </c>
      <c r="U27" s="28">
        <f>COUNTIFS([1]Tissues!K:K,"OGG",[1]Tissues!A:A,"in storage",[1]Tissues!AB:AB,"*pancreas*")</f>
        <v>0</v>
      </c>
      <c r="V27" s="28">
        <f>COUNTIFS([1]Tissues!K:K,"OGG",[1]Tissues!A:A,"in storage",[1]Tissues!AB:AB,"*GI-*")</f>
        <v>0</v>
      </c>
      <c r="W27" s="28">
        <f>COUNTIFS([1]Tissues!K:K,"OGG",[1]Tissues!A:A,"in storage",[1]Tissues!AB:AB,"*lung*")</f>
        <v>2</v>
      </c>
      <c r="X27" s="28">
        <f>COUNTIFS([1]Tissues!K:K,"OGG",[1]Tissues!A:A,"in storage",[1]Tissues!AB:AB,"*heart*")</f>
        <v>3</v>
      </c>
      <c r="Y27" s="28">
        <f>COUNTIFS([1]Tissues!K:K,"OGG",[1]Tissues!A:A,"in storage",[1]Tissues!AB:AB,"*thyroid*")</f>
        <v>0</v>
      </c>
      <c r="Z27" s="28">
        <f>COUNTIFS([1]Tissues!K:K,"OGG",[1]Tissues!A:A,"in storage",[1]Tissues!AB:AB,"*esophagus*")</f>
        <v>0</v>
      </c>
      <c r="AA27" s="28">
        <f>COUNTIFS([1]Tissues!K:K,"OGG",[1]Tissues!A:A,"in storage",[1]Tissues!AB:AB,"*trachea*")</f>
        <v>0</v>
      </c>
      <c r="AB27" s="28">
        <f>COUNTIFS([1]Tissues!K:K,"OGG",[1]Tissues!A:A,"in storage",[1]Tissues!AB:AB,"*eye*")</f>
        <v>0</v>
      </c>
      <c r="AC27" s="28">
        <f>COUNTIFS([1]Tissues!K:K,"OGG",[1]Tissues!A:A,"in storage",[1]Tissues!AB:AB,"*skin*")</f>
        <v>1</v>
      </c>
      <c r="AD27" s="28">
        <f>COUNTIFS([1]Tissues!K:K,"OGG",[1]Tissues!A:A,"in storage",[1]Tissues!AB:AB,"*muscle*")</f>
        <v>1</v>
      </c>
      <c r="AE27" s="28">
        <f>COUNTIFS([1]Tissues!K:K,"OGG",[1]Tissues!A:A,"in storage",[1]Tissues!AB:AB,"*digit*")</f>
        <v>0</v>
      </c>
      <c r="AF27" s="28">
        <f>COUNTIFS([1]Tissues!K:K,"OGG",[1]Tissues!A:A,"in storage",[1]Tissues!AB:AB,"*fat*")</f>
        <v>0</v>
      </c>
      <c r="AG27" s="28">
        <f>COUNTIFS([1]Tissues!K:K,"OGG",[1]Tissues!A:A,"in storage",[1]Tissues!AB:AB,"*lymph node*")</f>
        <v>0</v>
      </c>
      <c r="AH27" s="28">
        <f>COUNTIFS([1]Tissues!K:K,"OGG",[1]Tissues!A:A,"in storage",[1]Tissues!AB:AB,"*Mass*")</f>
        <v>1</v>
      </c>
      <c r="AI27" s="28">
        <f>COUNTIFS([1]Tissues!K:K,"OGG",[1]Tissues!A:A,"in storage",[1]Tissues!AB:AB,"*tooth*")</f>
        <v>0</v>
      </c>
      <c r="AJ27" s="28">
        <f>COUNTIFS([1]Tissues!K:K,"OGG",[1]Tissues!A:A,"in storage",[1]Tissues!AB:AB,"*tail*")</f>
        <v>0</v>
      </c>
      <c r="AK27" s="28">
        <f t="shared" si="0"/>
        <v>-1</v>
      </c>
      <c r="AL27" s="27">
        <f>COUNTIFS([1]Tissues!K:K,"OGG",[1]Tissues!A:A,"in storage")</f>
        <v>14</v>
      </c>
      <c r="AM27" s="26">
        <f>COUNTIFS([1]Brains!J:J,"OGG",[1]Brains!A:A,"IS_whole")</f>
        <v>0</v>
      </c>
      <c r="AN27" s="26">
        <f>COUNTIFS([1]Brains!J:J,"OGG",[1]Brains!A:A,"IS_partial_brain")</f>
        <v>0</v>
      </c>
      <c r="AO27" s="26">
        <f>COUNTIFS([1]Brains!J:J,"OGG",[1]Brains!A:A,"IS_partial_FC_RNAlater")</f>
        <v>0</v>
      </c>
      <c r="AP27" s="19">
        <f>COUNTIFS([1]Brains!J:J,"OGG",[1]Brains!A:A,"IS*")</f>
        <v>0</v>
      </c>
      <c r="AQ27" s="25">
        <f>COUNTIFS([1]Urine!K:K,"OGG",[1]Urine!M:M,"M",[1]Urine!A:A,"IS_alqt_plus")</f>
        <v>0</v>
      </c>
      <c r="AR27" s="25">
        <f>COUNTIFS([1]Urine!K:K,"OGG",[1]Urine!M:M,"F",[1]Urine!A:A,"IS_alqt_plus")</f>
        <v>0</v>
      </c>
      <c r="AS27" s="19">
        <f>COUNTIFS([1]Urine!K:K,"OGG",[1]Urine!A:A,"IS*")</f>
        <v>0</v>
      </c>
      <c r="AT27" s="24">
        <f>SUMIFS([1]Urine!AC:AC,[1]Urine!K:K,"OGG",[1]Urine!A:A,"IS*")</f>
        <v>0</v>
      </c>
      <c r="AU27" s="23">
        <f>COUNTIFS([1]Blood_Products!K:K,"OGG",[1]Blood_Products!AB:AB,"WB",[1]Blood_Products!M:M,"M",[1]Blood_Products!A:A,"IS_alqt_plus")</f>
        <v>0</v>
      </c>
      <c r="AV27" s="23">
        <f>COUNTIFS([1]Blood_Products!K:K,"OGG",[1]Blood_Products!AB:AB,"WB",[1]Blood_Products!M:M,"F",[1]Blood_Products!A:A,"IS_alqt_plus")</f>
        <v>0</v>
      </c>
      <c r="AW27" s="22">
        <f>COUNTIFS([1]Blood_Products!K:K,"OGG",[1]Blood_Products!A:A,"IS*",[1]Blood_Products!AB:AB,"WB")</f>
        <v>0</v>
      </c>
      <c r="AX27" s="21">
        <f>SUMIFS([1]Blood_Products!AF:AF,[1]Blood_Products!K:K,"OGG",[1]Blood_Products!A:A,"IS*",[1]Blood_Products!AB:AB,"WB")</f>
        <v>0</v>
      </c>
      <c r="AY27" s="23">
        <f>COUNTIFS([1]Blood_Products!K:K,"OGG",[1]Blood_Products!AB:AB,"serum",[1]Blood_Products!M:M,"M",[1]Blood_Products!A:A,"IS_alqt_plus")</f>
        <v>3</v>
      </c>
      <c r="AZ27" s="23">
        <f>COUNTIFS([1]Blood_Products!K:K,"OGG",[1]Blood_Products!AB:AB,"serum",[1]Blood_Products!M:M,"F",[1]Blood_Products!A:A,"IS_alqt_plus")</f>
        <v>11</v>
      </c>
      <c r="BA27" s="22">
        <f>COUNTIFS([1]Blood_Products!K:K,"OGG",[1]Blood_Products!A:A,"IS*",[1]Blood_Products!AB:AB,"serum")</f>
        <v>18</v>
      </c>
      <c r="BB27" s="21">
        <f>SUMIFS([1]Blood_Products!AF:AF,[1]Blood_Products!K:K,"OGG",[1]Blood_Products!A:A,"IS*",[1]Blood_Products!AB:AB,"serum")</f>
        <v>9.3499999999999979</v>
      </c>
      <c r="BC27" s="23">
        <f>COUNTIFS([1]Blood_Products!K:K,"OGG",[1]Blood_Products!AB:AB,"plasma",[1]Blood_Products!M:M,"M",[1]Blood_Products!A:A,"IS_alqt_plus")</f>
        <v>0</v>
      </c>
      <c r="BD27" s="23">
        <f>COUNTIFS([1]Blood_Products!K:K,"OGG",[1]Blood_Products!AB:AB,"plasma",[1]Blood_Products!M:M,"F",[1]Blood_Products!A:A,"IS_alqt_plus")</f>
        <v>0</v>
      </c>
      <c r="BE27" s="22">
        <f>COUNTIFS([1]Blood_Products!K:K,"OGG",[1]Blood_Products!A:A,"IS*",[1]Blood_Products!AB:AB,"plasma")</f>
        <v>0</v>
      </c>
      <c r="BF27" s="21">
        <f>SUMIFS([1]Blood_Products!AF:AF,[1]Blood_Products!K:K,"OGG",[1]Blood_Products!A:A,"IS*",[1]Blood_Products!AB:AB,"plasma")</f>
        <v>0</v>
      </c>
      <c r="BG27" s="23">
        <f>COUNTIFS([1]Blood_Products!K:K,"OGG",[1]Blood_Products!AB:AB,"PRBC",[1]Blood_Products!M:M,"M",[1]Blood_Products!A:A,"IS_alqt_plus")</f>
        <v>0</v>
      </c>
      <c r="BH27" s="23">
        <f>COUNTIFS([1]Blood_Products!K:K,"OGG",[1]Blood_Products!AB:AB,"PRBC",[1]Blood_Products!M:M,"F",[1]Blood_Products!A:A,"IS_alqt_plus")</f>
        <v>0</v>
      </c>
      <c r="BI27" s="22">
        <f>COUNTIFS([1]Blood_Products!K:K,"OGG",[1]Blood_Products!A:A,"IS*",[1]Blood_Products!AB:AB,"PRBC")</f>
        <v>0</v>
      </c>
      <c r="BJ27" s="21">
        <f>SUMIFS([1]Blood_Products!AF:AF,[1]Blood_Products!K:K,"OGG",[1]Blood_Products!A:A,"IS*",[1]Blood_Products!AB:AB,"PRBC")</f>
        <v>0</v>
      </c>
      <c r="BK27" s="20">
        <f>COUNTIFS([1]Feces!K:K,"OGG",[1]Feces!A:A,"in storage",[1]Feces!AB:AB,"feces",[1]Feces!M:M,"M")</f>
        <v>0</v>
      </c>
      <c r="BL27" s="20">
        <f>COUNTIFS([1]Feces!K:K,"OGG",[1]Feces!A:A,"in storage",[1]Feces!AB:AB,"feces",[1]Feces!M:M,"F")</f>
        <v>0</v>
      </c>
      <c r="BM27" s="19">
        <f t="shared" si="1"/>
        <v>0</v>
      </c>
      <c r="BN27" s="20">
        <f>COUNTIFS([1]Feces!K:K,"OGG",[1]Feces!A:A,"in storage",[1]Feces!AB:AB,"fecal swab",[1]Feces!M:M,"M")</f>
        <v>0</v>
      </c>
      <c r="BO27" s="20">
        <f>COUNTIFS([1]Feces!K:K,"OGG",[1]Feces!A:A,"in storage",[1]Feces!AB:AB,"fecal swab",[1]Feces!M:M,"F")</f>
        <v>0</v>
      </c>
      <c r="BP27" s="19">
        <f t="shared" si="2"/>
        <v>0</v>
      </c>
      <c r="BQ27" s="18"/>
      <c r="BR27" s="18"/>
      <c r="BS27" s="18"/>
    </row>
    <row r="28" spans="1:71" s="17" customFormat="1" x14ac:dyDescent="0.35">
      <c r="A28" s="32" t="s">
        <v>15</v>
      </c>
      <c r="B28" s="30">
        <f>COUNTIFS([1]Cadavers!J:J,"OMA",[1]Cadavers!A:A,"in storage",[1]Cadavers!AO:AO,"Y",[1]Cadavers!L:L,"M")</f>
        <v>7</v>
      </c>
      <c r="C28" s="30">
        <f>COUNTIFS([1]Cadavers!J:J,"OMA",[1]Cadavers!A:A,"in storage",[1]Cadavers!AO:AO,"Y",[1]Cadavers!L:L,"F")</f>
        <v>8</v>
      </c>
      <c r="D28" s="30">
        <f>COUNTIFS([1]Cadavers!J:J,"OMA",[1]Cadavers!A:A,"in storage",[1]Cadavers!AO:AO,"Y",[1]Cadavers!L:L,"ND")</f>
        <v>2</v>
      </c>
      <c r="E28" s="31">
        <f>COUNTIFS([1]Cadavers!J:J,"OMA",[1]Cadavers!A:A,"in storage",[1]Cadavers!AO:AO,"Y")</f>
        <v>17</v>
      </c>
      <c r="F28" s="30">
        <f>COUNTIFS([1]Cadavers!J:J,"OMA",[1]Cadavers!A:A,"in storage",[1]Cadavers!AO:AO,"N",[1]Cadavers!L:L,"M")</f>
        <v>0</v>
      </c>
      <c r="G28" s="30">
        <f>COUNTIFS([1]Cadavers!J:J,"OMA",[1]Cadavers!A:A,"in storage",[1]Cadavers!AO:AO,"N",[1]Cadavers!L:L,"F")</f>
        <v>0</v>
      </c>
      <c r="H28" s="31">
        <f>COUNTIFS([1]Cadavers!J:J,"OMA",[1]Cadavers!A:A,"in storage",[1]Cadavers!AO:AO,"N")</f>
        <v>1</v>
      </c>
      <c r="I28" s="30">
        <f>COUNTIFS([1]Cadavers!J:J,"OMA")</f>
        <v>22</v>
      </c>
      <c r="J28" s="30">
        <f>COUNTIFS([1]Cadavers!J:J,"OMA",[1]Cadavers!A:A,"gone")</f>
        <v>1</v>
      </c>
      <c r="K28" s="30">
        <f>COUNTIFS([1]Cadavers!J:J,"OMA",[1]Cadavers!AQ:AQ,"Y*")</f>
        <v>0</v>
      </c>
      <c r="L28" s="30">
        <f>COUNTIFS([1]Cadavers!J:J,"OMA",[1]Cadavers!A:A,"ARK")</f>
        <v>1</v>
      </c>
      <c r="M28" s="19">
        <f>COUNTIFS([1]Cadavers!J:J,"OMA",[1]Cadavers!A:A,"in storage")</f>
        <v>18</v>
      </c>
      <c r="N28" s="28">
        <f>COUNTIFS([1]Tissues!K:K,"OMA",[1]Tissues!A:A,"in storage",[1]Tissues!AB:AB,"*adrenal*")</f>
        <v>0</v>
      </c>
      <c r="O28" s="28">
        <f>COUNTIFS([1]Tissues!K:K,"OMA",[1]Tissues!A:A,"in storage",[1]Tissues!AB:AB,"*kidney*")</f>
        <v>0</v>
      </c>
      <c r="P28" s="28">
        <f>COUNTIFS([1]Tissues!K:K,"OMA",[1]Tissues!A:A,"in storage",[1]Tissues!AB:AB,"*spleen*")</f>
        <v>0</v>
      </c>
      <c r="Q28" s="28">
        <f>COUNTIFS([1]Tissues!K:K,"OMA",[1]Tissues!A:A,"in storage",[1]Tissues!AB:AB,"*U- bladder*")</f>
        <v>0</v>
      </c>
      <c r="R28" s="29">
        <f>COUNTIFS([1]Tissues!K:K,"OMA",[1]Tissues!A:A,"in storage",[1]Tissues!AB:AB,"*R- *")</f>
        <v>0</v>
      </c>
      <c r="S28" s="28">
        <f>COUNTIFS([1]Tissues!K:K,"OMA",[1]Tissues!A:A,"in storage",[1]Tissues!AB:AB,"*liver*")</f>
        <v>0</v>
      </c>
      <c r="T28" s="28">
        <f>COUNTIFS([1]Tissues!K:K,"OMA",[1]Tissues!A:A,"in storage",[1]Tissues!AB:AB,"*gallbladder*")</f>
        <v>0</v>
      </c>
      <c r="U28" s="28">
        <f>COUNTIFS([1]Tissues!K:K,"OMA",[1]Tissues!A:A,"in storage",[1]Tissues!AB:AB,"*pancreas*")</f>
        <v>0</v>
      </c>
      <c r="V28" s="28">
        <f>COUNTIFS([1]Tissues!K:K,"OMA",[1]Tissues!A:A,"in storage",[1]Tissues!AB:AB,"*GI-*")</f>
        <v>0</v>
      </c>
      <c r="W28" s="28">
        <f>COUNTIFS([1]Tissues!K:K,"OMA",[1]Tissues!A:A,"in storage",[1]Tissues!AB:AB,"*lung*")</f>
        <v>0</v>
      </c>
      <c r="X28" s="28">
        <f>COUNTIFS([1]Tissues!K:K,"OMA",[1]Tissues!A:A,"in storage",[1]Tissues!AB:AB,"*heart*")</f>
        <v>1</v>
      </c>
      <c r="Y28" s="28">
        <f>COUNTIFS([1]Tissues!K:K,"OMA",[1]Tissues!A:A,"in storage",[1]Tissues!AB:AB,"*thyroid*")</f>
        <v>0</v>
      </c>
      <c r="Z28" s="28">
        <f>COUNTIFS([1]Tissues!K:K,"OMA",[1]Tissues!A:A,"in storage",[1]Tissues!AB:AB,"*esophagus*")</f>
        <v>0</v>
      </c>
      <c r="AA28" s="28">
        <f>COUNTIFS([1]Tissues!K:K,"OMA",[1]Tissues!A:A,"in storage",[1]Tissues!AB:AB,"*trachea*")</f>
        <v>0</v>
      </c>
      <c r="AB28" s="28">
        <f>COUNTIFS([1]Tissues!K:K,"OMA",[1]Tissues!A:A,"in storage",[1]Tissues!AB:AB,"*eye*")</f>
        <v>1</v>
      </c>
      <c r="AC28" s="28">
        <f>COUNTIFS([1]Tissues!K:K,"OMA",[1]Tissues!A:A,"in storage",[1]Tissues!AB:AB,"*skin*")</f>
        <v>0</v>
      </c>
      <c r="AD28" s="28">
        <f>COUNTIFS([1]Tissues!K:K,"OMA",[1]Tissues!A:A,"in storage",[1]Tissues!AB:AB,"*muscle*")</f>
        <v>0</v>
      </c>
      <c r="AE28" s="28">
        <f>COUNTIFS([1]Tissues!K:K,"OMA",[1]Tissues!A:A,"in storage",[1]Tissues!AB:AB,"*digit*")</f>
        <v>0</v>
      </c>
      <c r="AF28" s="28">
        <f>COUNTIFS([1]Tissues!K:K,"OMA",[1]Tissues!A:A,"in storage",[1]Tissues!AB:AB,"*fat*")</f>
        <v>0</v>
      </c>
      <c r="AG28" s="28">
        <f>COUNTIFS([1]Tissues!K:K,"OMA",[1]Tissues!A:A,"in storage",[1]Tissues!AB:AB,"*lymph node*")</f>
        <v>0</v>
      </c>
      <c r="AH28" s="28">
        <f>COUNTIFS([1]Tissues!K:K,"OMA",[1]Tissues!A:A,"in storage",[1]Tissues!AB:AB,"*Mass*")</f>
        <v>0</v>
      </c>
      <c r="AI28" s="28">
        <f>COUNTIFS([1]Tissues!K:K,"OMA",[1]Tissues!A:A,"in storage",[1]Tissues!AB:AB,"*tooth*")</f>
        <v>0</v>
      </c>
      <c r="AJ28" s="28">
        <f>COUNTIFS([1]Tissues!K:K,"OMA",[1]Tissues!A:A,"in storage",[1]Tissues!AB:AB,"*tail*")</f>
        <v>0</v>
      </c>
      <c r="AK28" s="28">
        <f t="shared" si="0"/>
        <v>1</v>
      </c>
      <c r="AL28" s="27">
        <f>COUNTIFS([1]Tissues!K:K,"OMA",[1]Tissues!A:A,"in storage")</f>
        <v>3</v>
      </c>
      <c r="AM28" s="26">
        <f>COUNTIFS([1]Brains!J:J,"OMA",[1]Brains!A:A,"IS_whole")</f>
        <v>0</v>
      </c>
      <c r="AN28" s="26">
        <f>COUNTIFS([1]Brains!J:J,"OMA",[1]Brains!A:A,"IS_partial_brain")</f>
        <v>0</v>
      </c>
      <c r="AO28" s="26">
        <f>COUNTIFS([1]Brains!J:J,"OMA",[1]Brains!A:A,"IS_partial_FC_RNAlater")</f>
        <v>0</v>
      </c>
      <c r="AP28" s="19">
        <f>COUNTIFS([1]Brains!J:J,"OMA",[1]Brains!A:A,"IS*")</f>
        <v>0</v>
      </c>
      <c r="AQ28" s="25">
        <f>COUNTIFS([1]Urine!K:K,"OMA",[1]Urine!M:M,"M",[1]Urine!A:A,"IS_alqt_plus")</f>
        <v>0</v>
      </c>
      <c r="AR28" s="25">
        <f>COUNTIFS([1]Urine!K:K,"OMA",[1]Urine!M:M,"F",[1]Urine!A:A,"IS_alqt_plus")</f>
        <v>0</v>
      </c>
      <c r="AS28" s="19">
        <f>COUNTIFS([1]Urine!K:K,"OMA",[1]Urine!A:A,"IS*")</f>
        <v>0</v>
      </c>
      <c r="AT28" s="24">
        <f>SUMIFS([1]Urine!AC:AC,[1]Urine!K:K,"OMA",[1]Urine!A:A,"IS*")</f>
        <v>0</v>
      </c>
      <c r="AU28" s="23">
        <f>COUNTIFS([1]Blood_Products!K:K,"OMA",[1]Blood_Products!AB:AB,"WB",[1]Blood_Products!M:M,"M",[1]Blood_Products!A:A,"IS_alqt_plus")</f>
        <v>0</v>
      </c>
      <c r="AV28" s="23">
        <f>COUNTIFS([1]Blood_Products!K:K,"OMA",[1]Blood_Products!AB:AB,"WB",[1]Blood_Products!M:M,"F",[1]Blood_Products!A:A,"IS_alqt_plus")</f>
        <v>0</v>
      </c>
      <c r="AW28" s="22">
        <f>COUNTIFS([1]Blood_Products!K:K,"OMA",[1]Blood_Products!A:A,"IS*",[1]Blood_Products!AB:AB,"WB")</f>
        <v>0</v>
      </c>
      <c r="AX28" s="21">
        <f>SUMIFS([1]Blood_Products!AF:AF,[1]Blood_Products!K:K,"OMA",[1]Blood_Products!A:A,"IS*",[1]Blood_Products!AB:AB,"WB")</f>
        <v>0</v>
      </c>
      <c r="AY28" s="23">
        <f>COUNTIFS([1]Blood_Products!K:K,"OMA",[1]Blood_Products!AB:AB,"serum",[1]Blood_Products!M:M,"M",[1]Blood_Products!A:A,"IS_alqt_plus")</f>
        <v>0</v>
      </c>
      <c r="AZ28" s="23">
        <f>COUNTIFS([1]Blood_Products!K:K,"OMA",[1]Blood_Products!AB:AB,"serum",[1]Blood_Products!M:M,"F",[1]Blood_Products!A:A,"IS_alqt_plus")</f>
        <v>0</v>
      </c>
      <c r="BA28" s="22">
        <f>COUNTIFS([1]Blood_Products!K:K,"OMA",[1]Blood_Products!A:A,"IS*",[1]Blood_Products!AB:AB,"serum")</f>
        <v>0</v>
      </c>
      <c r="BB28" s="21">
        <f>SUMIFS([1]Blood_Products!AF:AF,[1]Blood_Products!K:K,"OMA",[1]Blood_Products!A:A,"IS*",[1]Blood_Products!AB:AB,"serum")</f>
        <v>0</v>
      </c>
      <c r="BC28" s="23">
        <f>COUNTIFS([1]Blood_Products!K:K,"OMA",[1]Blood_Products!AB:AB,"plasma",[1]Blood_Products!M:M,"M",[1]Blood_Products!A:A,"IS_alqt_plus")</f>
        <v>0</v>
      </c>
      <c r="BD28" s="23">
        <f>COUNTIFS([1]Blood_Products!K:K,"OMA",[1]Blood_Products!AB:AB,"plasma",[1]Blood_Products!M:M,"F",[1]Blood_Products!A:A,"IS_alqt_plus")</f>
        <v>0</v>
      </c>
      <c r="BE28" s="22">
        <f>COUNTIFS([1]Blood_Products!K:K,"OMA",[1]Blood_Products!A:A,"IS*",[1]Blood_Products!AB:AB,"plasma")</f>
        <v>0</v>
      </c>
      <c r="BF28" s="21">
        <f>SUMIFS([1]Blood_Products!AF:AF,[1]Blood_Products!K:K,"OMA",[1]Blood_Products!A:A,"IS*",[1]Blood_Products!AB:AB,"plasma")</f>
        <v>0</v>
      </c>
      <c r="BG28" s="23">
        <f>COUNTIFS([1]Blood_Products!K:K,"OMA",[1]Blood_Products!AB:AB,"PRBC",[1]Blood_Products!M:M,"M",[1]Blood_Products!A:A,"IS_alqt_plus")</f>
        <v>0</v>
      </c>
      <c r="BH28" s="23">
        <f>COUNTIFS([1]Blood_Products!K:K,"OMA",[1]Blood_Products!AB:AB,"PRBC",[1]Blood_Products!M:M,"F",[1]Blood_Products!A:A,"IS_alqt_plus")</f>
        <v>0</v>
      </c>
      <c r="BI28" s="22">
        <f>COUNTIFS([1]Blood_Products!K:K,"OMA",[1]Blood_Products!A:A,"IS*",[1]Blood_Products!AB:AB,"PRBC")</f>
        <v>0</v>
      </c>
      <c r="BJ28" s="21">
        <f>SUMIFS([1]Blood_Products!AF:AF,[1]Blood_Products!K:K,"OMA",[1]Blood_Products!A:A,"IS*",[1]Blood_Products!AB:AB,"PRBC")</f>
        <v>0</v>
      </c>
      <c r="BK28" s="20">
        <f>COUNTIFS([1]Feces!K:K,"OMA",[1]Feces!A:A,"in storage",[1]Feces!AB:AB,"feces",[1]Feces!M:M,"M")</f>
        <v>0</v>
      </c>
      <c r="BL28" s="20">
        <f>COUNTIFS([1]Feces!K:K,"OMA",[1]Feces!A:A,"in storage",[1]Feces!AB:AB,"feces",[1]Feces!M:M,"F")</f>
        <v>0</v>
      </c>
      <c r="BM28" s="19">
        <f t="shared" si="1"/>
        <v>0</v>
      </c>
      <c r="BN28" s="20">
        <f>COUNTIFS([1]Feces!K:K,"OMA",[1]Feces!A:A,"in storage",[1]Feces!AB:AB,"fecal swab",[1]Feces!M:M,"M")</f>
        <v>0</v>
      </c>
      <c r="BO28" s="20">
        <f>COUNTIFS([1]Feces!K:K,"OMA",[1]Feces!A:A,"in storage",[1]Feces!AB:AB,"fecal swab",[1]Feces!M:M,"F")</f>
        <v>0</v>
      </c>
      <c r="BP28" s="19">
        <f t="shared" si="2"/>
        <v>0</v>
      </c>
      <c r="BQ28" s="18"/>
      <c r="BR28" s="18"/>
      <c r="BS28" s="18"/>
    </row>
    <row r="29" spans="1:71" s="17" customFormat="1" x14ac:dyDescent="0.35">
      <c r="A29" s="32" t="s">
        <v>14</v>
      </c>
      <c r="B29" s="30">
        <f>COUNTIFS([1]Cadavers!J:J,"OMON",[1]Cadavers!A:A,"in storage",[1]Cadavers!AO:AO,"Y",[1]Cadavers!L:L,"M")</f>
        <v>2</v>
      </c>
      <c r="C29" s="30">
        <f>COUNTIFS([1]Cadavers!J:J,"OMON",[1]Cadavers!A:A,"in storage",[1]Cadavers!AO:AO,"Y",[1]Cadavers!L:L,"F")</f>
        <v>3</v>
      </c>
      <c r="D29" s="30">
        <f>COUNTIFS([1]Cadavers!J:J,"OMON",[1]Cadavers!A:A,"in storage",[1]Cadavers!AO:AO,"Y",[1]Cadavers!L:L,"ND")</f>
        <v>2</v>
      </c>
      <c r="E29" s="31">
        <f>COUNTIFS([1]Cadavers!J:J,"OMON",[1]Cadavers!A:A,"in storage",[1]Cadavers!AO:AO,"Y")</f>
        <v>7</v>
      </c>
      <c r="F29" s="30">
        <f>COUNTIFS([1]Cadavers!J:J,"OMON",[1]Cadavers!A:A,"in storage",[1]Cadavers!AO:AO,"N",[1]Cadavers!L:L,"M")</f>
        <v>0</v>
      </c>
      <c r="G29" s="30">
        <f>COUNTIFS([1]Cadavers!J:J,"OMON",[1]Cadavers!A:A,"in storage",[1]Cadavers!AO:AO,"N",[1]Cadavers!L:L,"F")</f>
        <v>0</v>
      </c>
      <c r="H29" s="31">
        <f>COUNTIFS([1]Cadavers!J:J,"OMON",[1]Cadavers!A:A,"in storage",[1]Cadavers!AO:AO,"N")</f>
        <v>0</v>
      </c>
      <c r="I29" s="30">
        <f>COUNTIFS([1]Cadavers!J:J,"OMON")</f>
        <v>17</v>
      </c>
      <c r="J29" s="30">
        <f>COUNTIFS([1]Cadavers!J:J,"OMON",[1]Cadavers!A:A,"gone")</f>
        <v>6</v>
      </c>
      <c r="K29" s="30">
        <f>COUNTIFS([1]Cadavers!J:J,"OMON",[1]Cadavers!AQ:AQ,"Y*")</f>
        <v>1</v>
      </c>
      <c r="L29" s="30">
        <f>COUNTIFS([1]Cadavers!J:J,"OMON",[1]Cadavers!A:A,"ARK")</f>
        <v>1</v>
      </c>
      <c r="M29" s="19">
        <f>COUNTIFS([1]Cadavers!J:J,"OMON",[1]Cadavers!A:A,"in storage")</f>
        <v>8</v>
      </c>
      <c r="N29" s="28">
        <f>COUNTIFS([1]Tissues!K:K,"OMON",[1]Tissues!A:A,"in storage",[1]Tissues!AB:AB,"*adrenal*")</f>
        <v>0</v>
      </c>
      <c r="O29" s="28">
        <f>COUNTIFS([1]Tissues!K:K,"OMON",[1]Tissues!A:A,"in storage",[1]Tissues!AB:AB,"*kidney*")</f>
        <v>1</v>
      </c>
      <c r="P29" s="28">
        <f>COUNTIFS([1]Tissues!K:K,"OMON",[1]Tissues!A:A,"in storage",[1]Tissues!AB:AB,"*spleen*")</f>
        <v>5</v>
      </c>
      <c r="Q29" s="28">
        <f>COUNTIFS([1]Tissues!K:K,"OMON",[1]Tissues!A:A,"in storage",[1]Tissues!AB:AB,"*U- bladder*")</f>
        <v>0</v>
      </c>
      <c r="R29" s="29">
        <f>COUNTIFS([1]Tissues!K:K,"OMON",[1]Tissues!A:A,"in storage",[1]Tissues!AB:AB,"*R- *")</f>
        <v>1</v>
      </c>
      <c r="S29" s="28">
        <f>COUNTIFS([1]Tissues!K:K,"OMON",[1]Tissues!A:A,"in storage",[1]Tissues!AB:AB,"*liver*")</f>
        <v>2</v>
      </c>
      <c r="T29" s="28">
        <f>COUNTIFS([1]Tissues!K:K,"OMON",[1]Tissues!A:A,"in storage",[1]Tissues!AB:AB,"*gallbladder*")</f>
        <v>0</v>
      </c>
      <c r="U29" s="28">
        <f>COUNTIFS([1]Tissues!K:K,"OMON",[1]Tissues!A:A,"in storage",[1]Tissues!AB:AB,"*pancreas*")</f>
        <v>0</v>
      </c>
      <c r="V29" s="28">
        <f>COUNTIFS([1]Tissues!K:K,"OMON",[1]Tissues!A:A,"in storage",[1]Tissues!AB:AB,"*GI-*")</f>
        <v>0</v>
      </c>
      <c r="W29" s="28">
        <f>COUNTIFS([1]Tissues!K:K,"OMON",[1]Tissues!A:A,"in storage",[1]Tissues!AB:AB,"*lung*")</f>
        <v>0</v>
      </c>
      <c r="X29" s="28">
        <f>COUNTIFS([1]Tissues!K:K,"OMON",[1]Tissues!A:A,"in storage",[1]Tissues!AB:AB,"*heart*")</f>
        <v>3</v>
      </c>
      <c r="Y29" s="28">
        <f>COUNTIFS([1]Tissues!K:K,"OMON",[1]Tissues!A:A,"in storage",[1]Tissues!AB:AB,"*thyroid*")</f>
        <v>0</v>
      </c>
      <c r="Z29" s="28">
        <f>COUNTIFS([1]Tissues!K:K,"OMON",[1]Tissues!A:A,"in storage",[1]Tissues!AB:AB,"*esophagus*")</f>
        <v>0</v>
      </c>
      <c r="AA29" s="28">
        <f>COUNTIFS([1]Tissues!K:K,"OMON",[1]Tissues!A:A,"in storage",[1]Tissues!AB:AB,"*trachea*")</f>
        <v>0</v>
      </c>
      <c r="AB29" s="28">
        <f>COUNTIFS([1]Tissues!K:K,"OMON",[1]Tissues!A:A,"in storage",[1]Tissues!AB:AB,"*eye*")</f>
        <v>1</v>
      </c>
      <c r="AC29" s="28">
        <f>COUNTIFS([1]Tissues!K:K,"OMON",[1]Tissues!A:A,"in storage",[1]Tissues!AB:AB,"*skin*")</f>
        <v>4</v>
      </c>
      <c r="AD29" s="28">
        <f>COUNTIFS([1]Tissues!K:K,"OMON",[1]Tissues!A:A,"in storage",[1]Tissues!AB:AB,"*muscle*")</f>
        <v>1</v>
      </c>
      <c r="AE29" s="28">
        <f>COUNTIFS([1]Tissues!K:K,"OMON",[1]Tissues!A:A,"in storage",[1]Tissues!AB:AB,"*digit*")</f>
        <v>0</v>
      </c>
      <c r="AF29" s="28">
        <f>COUNTIFS([1]Tissues!K:K,"OMON",[1]Tissues!A:A,"in storage",[1]Tissues!AB:AB,"*fat*")</f>
        <v>0</v>
      </c>
      <c r="AG29" s="28">
        <f>COUNTIFS([1]Tissues!K:K,"OMON",[1]Tissues!A:A,"in storage",[1]Tissues!AB:AB,"*lymph node*")</f>
        <v>0</v>
      </c>
      <c r="AH29" s="28">
        <f>COUNTIFS([1]Tissues!K:K,"OMON",[1]Tissues!A:A,"in storage",[1]Tissues!AB:AB,"*Mass*")</f>
        <v>0</v>
      </c>
      <c r="AI29" s="28">
        <f>COUNTIFS([1]Tissues!K:K,"OMON",[1]Tissues!A:A,"in storage",[1]Tissues!AB:AB,"*tooth*")</f>
        <v>0</v>
      </c>
      <c r="AJ29" s="28">
        <f>COUNTIFS([1]Tissues!K:K,"OMON",[1]Tissues!A:A,"in storage",[1]Tissues!AB:AB,"*tail*")</f>
        <v>0</v>
      </c>
      <c r="AK29" s="28">
        <f t="shared" si="0"/>
        <v>5</v>
      </c>
      <c r="AL29" s="27">
        <f>COUNTIFS([1]Tissues!K:K,"OMON",[1]Tissues!A:A,"in storage")</f>
        <v>23</v>
      </c>
      <c r="AM29" s="26">
        <f>COUNTIFS([1]Brains!J:J,"OMON",[1]Brains!A:A,"IS_whole")</f>
        <v>0</v>
      </c>
      <c r="AN29" s="26">
        <f>COUNTIFS([1]Brains!J:J,"OMON",[1]Brains!A:A,"IS_partial_brain")</f>
        <v>0</v>
      </c>
      <c r="AO29" s="26">
        <f>COUNTIFS([1]Brains!J:J,"OMON",[1]Brains!A:A,"IS_partial_FC_RNAlater")</f>
        <v>0</v>
      </c>
      <c r="AP29" s="19">
        <f>COUNTIFS([1]Brains!J:J,"OMON",[1]Brains!A:A,"IS*")</f>
        <v>0</v>
      </c>
      <c r="AQ29" s="25">
        <f>COUNTIFS([1]Urine!K:K,"OMON",[1]Urine!M:M,"M",[1]Urine!A:A,"IS_alqt_plus")</f>
        <v>0</v>
      </c>
      <c r="AR29" s="25">
        <f>COUNTIFS([1]Urine!K:K,"OMON",[1]Urine!M:M,"F",[1]Urine!A:A,"IS_alqt_plus")</f>
        <v>0</v>
      </c>
      <c r="AS29" s="19">
        <f>COUNTIFS([1]Urine!K:K,"OMON",[1]Urine!A:A,"IS*")</f>
        <v>0</v>
      </c>
      <c r="AT29" s="24">
        <f>SUMIFS([1]Urine!AC:AC,[1]Urine!K:K,"OMON",[1]Urine!A:A,"IS*")</f>
        <v>0</v>
      </c>
      <c r="AU29" s="23">
        <f>COUNTIFS([1]Blood_Products!K:K,"OMON",[1]Blood_Products!AB:AB,"WB",[1]Blood_Products!M:M,"M",[1]Blood_Products!A:A,"IS_alqt_plus")</f>
        <v>0</v>
      </c>
      <c r="AV29" s="23">
        <f>COUNTIFS([1]Blood_Products!K:K,"OMON",[1]Blood_Products!AB:AB,"WB",[1]Blood_Products!M:M,"F",[1]Blood_Products!A:A,"IS_alqt_plus")</f>
        <v>0</v>
      </c>
      <c r="AW29" s="22">
        <f>COUNTIFS([1]Blood_Products!K:K,"OMON",[1]Blood_Products!A:A,"IS*",[1]Blood_Products!AB:AB,"WB")</f>
        <v>0</v>
      </c>
      <c r="AX29" s="21">
        <f>SUMIFS([1]Blood_Products!AF:AF,[1]Blood_Products!K:K,"OMON",[1]Blood_Products!A:A,"IS*",[1]Blood_Products!AB:AB,"WB")</f>
        <v>0</v>
      </c>
      <c r="AY29" s="23">
        <f>COUNTIFS([1]Blood_Products!K:K,"OMON",[1]Blood_Products!AB:AB,"serum",[1]Blood_Products!M:M,"M",[1]Blood_Products!A:A,"IS_alqt_plus")</f>
        <v>0</v>
      </c>
      <c r="AZ29" s="23">
        <f>COUNTIFS([1]Blood_Products!K:K,"OMON",[1]Blood_Products!AB:AB,"serum",[1]Blood_Products!M:M,"F",[1]Blood_Products!A:A,"IS_alqt_plus")</f>
        <v>0</v>
      </c>
      <c r="BA29" s="22">
        <f>COUNTIFS([1]Blood_Products!K:K,"OMON",[1]Blood_Products!A:A,"IS*",[1]Blood_Products!AB:AB,"serum")</f>
        <v>0</v>
      </c>
      <c r="BB29" s="21">
        <f>SUMIFS([1]Blood_Products!AF:AF,[1]Blood_Products!K:K,"OMON",[1]Blood_Products!A:A,"IS*",[1]Blood_Products!AB:AB,"serum")</f>
        <v>0</v>
      </c>
      <c r="BC29" s="23">
        <f>COUNTIFS([1]Blood_Products!K:K,"OMON",[1]Blood_Products!AB:AB,"plasma",[1]Blood_Products!M:M,"M",[1]Blood_Products!A:A,"IS_alqt_plus")</f>
        <v>0</v>
      </c>
      <c r="BD29" s="23">
        <f>COUNTIFS([1]Blood_Products!K:K,"OMON",[1]Blood_Products!AB:AB,"plasma",[1]Blood_Products!M:M,"F",[1]Blood_Products!A:A,"IS_alqt_plus")</f>
        <v>0</v>
      </c>
      <c r="BE29" s="22">
        <f>COUNTIFS([1]Blood_Products!K:K,"OMON",[1]Blood_Products!A:A,"IS*",[1]Blood_Products!AB:AB,"plasma")</f>
        <v>0</v>
      </c>
      <c r="BF29" s="21">
        <f>SUMIFS([1]Blood_Products!AF:AF,[1]Blood_Products!K:K,"OMON",[1]Blood_Products!A:A,"IS*",[1]Blood_Products!AB:AB,"plasma")</f>
        <v>0</v>
      </c>
      <c r="BG29" s="23">
        <f>COUNTIFS([1]Blood_Products!K:K,"OMON",[1]Blood_Products!AB:AB,"PRBC",[1]Blood_Products!M:M,"M",[1]Blood_Products!A:A,"IS_alqt_plus")</f>
        <v>0</v>
      </c>
      <c r="BH29" s="23">
        <f>COUNTIFS([1]Blood_Products!K:K,"OMON",[1]Blood_Products!AB:AB,"PRBC",[1]Blood_Products!M:M,"F",[1]Blood_Products!A:A,"IS_alqt_plus")</f>
        <v>0</v>
      </c>
      <c r="BI29" s="22">
        <f>COUNTIFS([1]Blood_Products!K:K,"OMON",[1]Blood_Products!A:A,"IS*",[1]Blood_Products!AB:AB,"PRBC")</f>
        <v>0</v>
      </c>
      <c r="BJ29" s="21">
        <f>SUMIFS([1]Blood_Products!AF:AF,[1]Blood_Products!K:K,"OMON",[1]Blood_Products!A:A,"IS*",[1]Blood_Products!AB:AB,"PRBC")</f>
        <v>0</v>
      </c>
      <c r="BK29" s="20">
        <f>COUNTIFS([1]Feces!K:K,"OMON",[1]Feces!A:A,"in storage",[1]Feces!AB:AB,"feces",[1]Feces!M:M,"M")</f>
        <v>0</v>
      </c>
      <c r="BL29" s="20">
        <f>COUNTIFS([1]Feces!K:K,"OMON",[1]Feces!A:A,"in storage",[1]Feces!AB:AB,"feces",[1]Feces!M:M,"F")</f>
        <v>0</v>
      </c>
      <c r="BM29" s="19">
        <f t="shared" si="1"/>
        <v>0</v>
      </c>
      <c r="BN29" s="20">
        <f>COUNTIFS([1]Feces!K:K,"OMON",[1]Feces!A:A,"in storage",[1]Feces!AB:AB,"fecal swab",[1]Feces!M:M,"M")</f>
        <v>0</v>
      </c>
      <c r="BO29" s="20">
        <f>COUNTIFS([1]Feces!K:K,"OMON",[1]Feces!A:A,"in storage",[1]Feces!AB:AB,"fecal swab",[1]Feces!M:M,"F")</f>
        <v>0</v>
      </c>
      <c r="BP29" s="19">
        <f t="shared" si="2"/>
        <v>0</v>
      </c>
      <c r="BQ29" s="18"/>
      <c r="BR29" s="18"/>
      <c r="BS29" s="18"/>
    </row>
    <row r="30" spans="1:71" s="17" customFormat="1" x14ac:dyDescent="0.35">
      <c r="A30" s="32" t="s">
        <v>13</v>
      </c>
      <c r="B30" s="30">
        <f>COUNTIFS([1]Cadavers!J:J,"PCOQ",[1]Cadavers!A:A,"in storage",[1]Cadavers!AO:AO,"Y",[1]Cadavers!L:L,"M")</f>
        <v>25</v>
      </c>
      <c r="C30" s="30">
        <f>COUNTIFS([1]Cadavers!J:J,"PCOQ",[1]Cadavers!A:A,"in storage",[1]Cadavers!AO:AO,"Y",[1]Cadavers!L:L,"F")</f>
        <v>11</v>
      </c>
      <c r="D30" s="30">
        <f>COUNTIFS([1]Cadavers!J:J,"PCOQ",[1]Cadavers!A:A,"in storage",[1]Cadavers!AO:AO,"Y",[1]Cadavers!L:L,"ND")</f>
        <v>3</v>
      </c>
      <c r="E30" s="31">
        <f>COUNTIFS([1]Cadavers!J:J,"PCOQ",[1]Cadavers!A:A,"in storage",[1]Cadavers!AO:AO,"Y")</f>
        <v>39</v>
      </c>
      <c r="F30" s="30">
        <f>COUNTIFS([1]Cadavers!J:J,"PCOQ",[1]Cadavers!A:A,"in storage",[1]Cadavers!AO:AO,"N",[1]Cadavers!L:L,"M")</f>
        <v>26</v>
      </c>
      <c r="G30" s="30">
        <f>COUNTIFS([1]Cadavers!J:J,"PCOQ",[1]Cadavers!A:A,"in storage",[1]Cadavers!AO:AO,"N",[1]Cadavers!L:L,"F")</f>
        <v>18</v>
      </c>
      <c r="H30" s="31">
        <f>COUNTIFS([1]Cadavers!J:J,"PCOQ",[1]Cadavers!A:A,"in storage",[1]Cadavers!AO:AO,"N")</f>
        <v>45</v>
      </c>
      <c r="I30" s="30">
        <f>COUNTIFS([1]Cadavers!J:J,"PCOQ")</f>
        <v>124</v>
      </c>
      <c r="J30" s="30">
        <f>COUNTIFS([1]Cadavers!J:J,"PCOQ",[1]Cadavers!A:A,"gone")</f>
        <v>34</v>
      </c>
      <c r="K30" s="30">
        <f>COUNTIFS([1]Cadavers!J:J,"PCOQ",[1]Cadavers!AQ:AQ,"Y*")</f>
        <v>7</v>
      </c>
      <c r="L30" s="30">
        <f>COUNTIFS([1]Cadavers!J:J,"PCOQ",[1]Cadavers!A:A,"ARK")</f>
        <v>2</v>
      </c>
      <c r="M30" s="19">
        <f>COUNTIFS([1]Cadavers!J:J,"PCOQ",[1]Cadavers!A:A,"in storage")</f>
        <v>84</v>
      </c>
      <c r="N30" s="28">
        <f>COUNTIFS([1]Tissues!K:K,"PCOQ",[1]Tissues!A:A,"in storage",[1]Tissues!AB:AB,"*adrenal*")</f>
        <v>34</v>
      </c>
      <c r="O30" s="28">
        <f>COUNTIFS([1]Tissues!K:K,"PCOQ",[1]Tissues!A:A,"in storage",[1]Tissues!AB:AB,"*kidney*")</f>
        <v>170</v>
      </c>
      <c r="P30" s="28">
        <f>COUNTIFS([1]Tissues!K:K,"PCOQ",[1]Tissues!A:A,"in storage",[1]Tissues!AB:AB,"*spleen*")</f>
        <v>125</v>
      </c>
      <c r="Q30" s="28">
        <f>COUNTIFS([1]Tissues!K:K,"PCOQ",[1]Tissues!A:A,"in storage",[1]Tissues!AB:AB,"*U- bladder*")</f>
        <v>22</v>
      </c>
      <c r="R30" s="29">
        <f>COUNTIFS([1]Tissues!K:K,"PCOQ",[1]Tissues!A:A,"in storage",[1]Tissues!AB:AB,"*R- *")</f>
        <v>98</v>
      </c>
      <c r="S30" s="28">
        <f>COUNTIFS([1]Tissues!K:K,"PCOQ",[1]Tissues!A:A,"in storage",[1]Tissues!AB:AB,"*liver*")</f>
        <v>166</v>
      </c>
      <c r="T30" s="28">
        <f>COUNTIFS([1]Tissues!K:K,"PCOQ",[1]Tissues!A:A,"in storage",[1]Tissues!AB:AB,"*gallbladder*")</f>
        <v>15</v>
      </c>
      <c r="U30" s="28">
        <f>COUNTIFS([1]Tissues!K:K,"PCOQ",[1]Tissues!A:A,"in storage",[1]Tissues!AB:AB,"*pancreas*")</f>
        <v>61</v>
      </c>
      <c r="V30" s="28">
        <f>COUNTIFS([1]Tissues!K:K,"PCOQ",[1]Tissues!A:A,"in storage",[1]Tissues!AB:AB,"*GI-*")</f>
        <v>132</v>
      </c>
      <c r="W30" s="28">
        <f>COUNTIFS([1]Tissues!K:K,"PCOQ",[1]Tissues!A:A,"in storage",[1]Tissues!AB:AB,"*lung*")</f>
        <v>179</v>
      </c>
      <c r="X30" s="28">
        <f>COUNTIFS([1]Tissues!K:K,"PCOQ",[1]Tissues!A:A,"in storage",[1]Tissues!AB:AB,"*heart*")</f>
        <v>111</v>
      </c>
      <c r="Y30" s="28">
        <f>COUNTIFS([1]Tissues!K:K,"PCOQ",[1]Tissues!A:A,"in storage",[1]Tissues!AB:AB,"*thyroid*")</f>
        <v>20</v>
      </c>
      <c r="Z30" s="28">
        <f>COUNTIFS([1]Tissues!K:K,"PCOQ",[1]Tissues!A:A,"in storage",[1]Tissues!AB:AB,"*esophagus*")</f>
        <v>10</v>
      </c>
      <c r="AA30" s="28">
        <f>COUNTIFS([1]Tissues!K:K,"PCOQ",[1]Tissues!A:A,"in storage",[1]Tissues!AB:AB,"*trachea*")</f>
        <v>13</v>
      </c>
      <c r="AB30" s="28">
        <f>COUNTIFS([1]Tissues!K:K,"PCOQ",[1]Tissues!A:A,"in storage",[1]Tissues!AB:AB,"*eye*")</f>
        <v>8</v>
      </c>
      <c r="AC30" s="28">
        <f>COUNTIFS([1]Tissues!K:K,"PCOQ",[1]Tissues!A:A,"in storage",[1]Tissues!AB:AB,"*skin*")</f>
        <v>47</v>
      </c>
      <c r="AD30" s="28">
        <f>COUNTIFS([1]Tissues!K:K,"PCOQ",[1]Tissues!A:A,"in storage",[1]Tissues!AB:AB,"*muscle*")</f>
        <v>69</v>
      </c>
      <c r="AE30" s="28">
        <f>COUNTIFS([1]Tissues!K:K,"PCOQ",[1]Tissues!A:A,"in storage",[1]Tissues!AB:AB,"*digit*")</f>
        <v>0</v>
      </c>
      <c r="AF30" s="28">
        <f>COUNTIFS([1]Tissues!K:K,"PCOQ",[1]Tissues!A:A,"in storage",[1]Tissues!AB:AB,"*fat*")</f>
        <v>0</v>
      </c>
      <c r="AG30" s="28">
        <f>COUNTIFS([1]Tissues!K:K,"PCOQ",[1]Tissues!A:A,"in storage",[1]Tissues!AB:AB,"*lymph node*")</f>
        <v>13</v>
      </c>
      <c r="AH30" s="28">
        <f>COUNTIFS([1]Tissues!K:K,"PCOQ",[1]Tissues!A:A,"in storage",[1]Tissues!AB:AB,"*Mass*")</f>
        <v>3</v>
      </c>
      <c r="AI30" s="28">
        <f>COUNTIFS([1]Tissues!K:K,"PCOQ",[1]Tissues!A:A,"in storage",[1]Tissues!AB:AB,"*tooth*")</f>
        <v>7</v>
      </c>
      <c r="AJ30" s="28">
        <f>COUNTIFS([1]Tissues!K:K,"PCOQ",[1]Tissues!A:A,"in storage",[1]Tissues!AB:AB,"*tail*")</f>
        <v>6</v>
      </c>
      <c r="AK30" s="28">
        <f t="shared" si="0"/>
        <v>107</v>
      </c>
      <c r="AL30" s="27">
        <f>COUNTIFS([1]Tissues!K:K,"PCOQ",[1]Tissues!A:A,"in storage")</f>
        <v>1416</v>
      </c>
      <c r="AM30" s="26">
        <f>COUNTIFS([1]Brains!J:J,"PCOQ",[1]Brains!A:A,"IS_whole")</f>
        <v>5</v>
      </c>
      <c r="AN30" s="26">
        <f>COUNTIFS([1]Brains!J:J,"PCOQ",[1]Brains!A:A,"IS_partial_brain")</f>
        <v>8</v>
      </c>
      <c r="AO30" s="26">
        <f>COUNTIFS([1]Brains!J:J,"PCOQ",[1]Brains!A:A,"IS_partial_FC_RNAlater")</f>
        <v>4</v>
      </c>
      <c r="AP30" s="19">
        <f>COUNTIFS([1]Brains!J:J,"PCOQ",[1]Brains!A:A,"IS*")</f>
        <v>17</v>
      </c>
      <c r="AQ30" s="25">
        <f>COUNTIFS([1]Urine!K:K,"PCOQ",[1]Urine!M:M,"M",[1]Urine!A:A,"IS_alqt_plus")</f>
        <v>1050</v>
      </c>
      <c r="AR30" s="25">
        <f>COUNTIFS([1]Urine!K:K,"PCOQ",[1]Urine!M:M,"F",[1]Urine!A:A,"IS_alqt_plus")</f>
        <v>733</v>
      </c>
      <c r="AS30" s="19">
        <f>COUNTIFS([1]Urine!K:K,"PCOQ",[1]Urine!A:A,"IS*")</f>
        <v>1950</v>
      </c>
      <c r="AT30" s="24">
        <f>SUMIFS([1]Urine!AC:AC,[1]Urine!K:K,"PCOQ",[1]Urine!A:A,"IS*")</f>
        <v>1789.5800000000031</v>
      </c>
      <c r="AU30" s="23">
        <f>COUNTIFS([1]Blood_Products!K:K,"PCOQ",[1]Blood_Products!AB:AB,"WB",[1]Blood_Products!M:M,"M",[1]Blood_Products!A:A,"IS_alqt_plus")</f>
        <v>737</v>
      </c>
      <c r="AV30" s="23">
        <f>COUNTIFS([1]Blood_Products!K:K,"PCOQ",[1]Blood_Products!AB:AB,"WB",[1]Blood_Products!M:M,"F",[1]Blood_Products!A:A,"IS_alqt_plus")</f>
        <v>685</v>
      </c>
      <c r="AW30" s="22">
        <f>COUNTIFS([1]Blood_Products!K:K,"PCOQ",[1]Blood_Products!A:A,"IS*",[1]Blood_Products!AB:AB,"WB")</f>
        <v>1434</v>
      </c>
      <c r="AX30" s="21">
        <f>SUMIFS([1]Blood_Products!AF:AF,[1]Blood_Products!K:K,"PCOQ",[1]Blood_Products!A:A,"IS*",[1]Blood_Products!AB:AB,"WB")</f>
        <v>1120.2700000000063</v>
      </c>
      <c r="AY30" s="23">
        <f>COUNTIFS([1]Blood_Products!K:K,"PCOQ",[1]Blood_Products!AB:AB,"serum",[1]Blood_Products!M:M,"M",[1]Blood_Products!A:A,"IS_alqt_plus")</f>
        <v>687</v>
      </c>
      <c r="AZ30" s="23">
        <f>COUNTIFS([1]Blood_Products!K:K,"PCOQ",[1]Blood_Products!AB:AB,"serum",[1]Blood_Products!M:M,"F",[1]Blood_Products!A:A,"IS_alqt_plus")</f>
        <v>631</v>
      </c>
      <c r="BA30" s="22">
        <f>COUNTIFS([1]Blood_Products!K:K,"PCOQ",[1]Blood_Products!A:A,"IS*",[1]Blood_Products!AB:AB,"serum")</f>
        <v>1338</v>
      </c>
      <c r="BB30" s="21">
        <f>SUMIFS([1]Blood_Products!AF:AF,[1]Blood_Products!K:K,"PCOQ",[1]Blood_Products!A:A,"IS*",[1]Blood_Products!AB:AB,"serum")</f>
        <v>1040.8410000000094</v>
      </c>
      <c r="BC30" s="23">
        <f>COUNTIFS([1]Blood_Products!K:K,"PCOQ",[1]Blood_Products!AB:AB,"plasma",[1]Blood_Products!M:M,"M",[1]Blood_Products!A:A,"IS_alqt_plus")</f>
        <v>3</v>
      </c>
      <c r="BD30" s="23">
        <f>COUNTIFS([1]Blood_Products!K:K,"PCOQ",[1]Blood_Products!AB:AB,"plasma",[1]Blood_Products!M:M,"F",[1]Blood_Products!A:A,"IS_alqt_plus")</f>
        <v>4</v>
      </c>
      <c r="BE30" s="22">
        <f>COUNTIFS([1]Blood_Products!K:K,"PCOQ",[1]Blood_Products!A:A,"IS*",[1]Blood_Products!AB:AB,"plasma")</f>
        <v>7</v>
      </c>
      <c r="BF30" s="21">
        <f>SUMIFS([1]Blood_Products!AF:AF,[1]Blood_Products!K:K,"PCOQ",[1]Blood_Products!A:A,"IS*",[1]Blood_Products!AB:AB,"plasma")</f>
        <v>2.9500000000000006</v>
      </c>
      <c r="BG30" s="23">
        <f>COUNTIFS([1]Blood_Products!K:K,"PCOQ",[1]Blood_Products!AB:AB,"PRBC",[1]Blood_Products!M:M,"M",[1]Blood_Products!A:A,"IS_alqt_plus")</f>
        <v>11</v>
      </c>
      <c r="BH30" s="23">
        <f>COUNTIFS([1]Blood_Products!K:K,"PCOQ",[1]Blood_Products!AB:AB,"PRBC",[1]Blood_Products!M:M,"F",[1]Blood_Products!A:A,"IS_alqt_plus")</f>
        <v>7</v>
      </c>
      <c r="BI30" s="22">
        <f>COUNTIFS([1]Blood_Products!K:K,"PCOQ",[1]Blood_Products!A:A,"IS*",[1]Blood_Products!AB:AB,"PRBC")</f>
        <v>20</v>
      </c>
      <c r="BJ30" s="21">
        <f>SUMIFS([1]Blood_Products!AF:AF,[1]Blood_Products!K:K,"PCOQ",[1]Blood_Products!A:A,"IS*",[1]Blood_Products!AB:AB,"PRBC")</f>
        <v>5.75</v>
      </c>
      <c r="BK30" s="20">
        <f>COUNTIFS([1]Feces!K:K,"PCOQ",[1]Feces!A:A,"in storage",[1]Feces!AB:AB,"feces",[1]Feces!M:M,"M")</f>
        <v>23</v>
      </c>
      <c r="BL30" s="20">
        <f>COUNTIFS([1]Feces!K:K,"PCOQ",[1]Feces!A:A,"in storage",[1]Feces!AB:AB,"feces",[1]Feces!M:M,"F")</f>
        <v>104</v>
      </c>
      <c r="BM30" s="19">
        <f t="shared" si="1"/>
        <v>127</v>
      </c>
      <c r="BN30" s="20">
        <f>COUNTIFS([1]Feces!K:K,"PCOQ",[1]Feces!A:A,"in storage",[1]Feces!AB:AB,"fecal swab",[1]Feces!M:M,"M")</f>
        <v>3</v>
      </c>
      <c r="BO30" s="20">
        <f>COUNTIFS([1]Feces!K:K,"PCOQ",[1]Feces!A:A,"in storage",[1]Feces!AB:AB,"fecal swab",[1]Feces!M:M,"F")</f>
        <v>15</v>
      </c>
      <c r="BP30" s="19">
        <f t="shared" si="2"/>
        <v>18</v>
      </c>
      <c r="BQ30" s="18"/>
      <c r="BR30" s="18"/>
      <c r="BS30" s="18"/>
    </row>
    <row r="31" spans="1:71" s="17" customFormat="1" x14ac:dyDescent="0.35">
      <c r="A31" s="32" t="s">
        <v>12</v>
      </c>
      <c r="B31" s="30">
        <f>COUNTIFS([1]Cadavers!J:J,"PDIA",[1]Cadavers!A:A,"in storage",[1]Cadavers!AO:AO,"Y",[1]Cadavers!L:L,"M")</f>
        <v>0</v>
      </c>
      <c r="C31" s="30">
        <f>COUNTIFS([1]Cadavers!J:J,"PDIA",[1]Cadavers!A:A,"in storage",[1]Cadavers!AO:AO,"Y",[1]Cadavers!L:L,"F")</f>
        <v>0</v>
      </c>
      <c r="D31" s="30">
        <f>COUNTIFS([1]Cadavers!J:J,"PDIA",[1]Cadavers!A:A,"in storage",[1]Cadavers!AO:AO,"Y",[1]Cadavers!L:L,"ND")</f>
        <v>0</v>
      </c>
      <c r="E31" s="31">
        <f>COUNTIFS([1]Cadavers!J:J,"PDIA",[1]Cadavers!A:A,"in storage",[1]Cadavers!AO:AO,"Y")</f>
        <v>0</v>
      </c>
      <c r="F31" s="30">
        <f>COUNTIFS([1]Cadavers!J:J,"PDIA",[1]Cadavers!A:A,"in storage",[1]Cadavers!AO:AO,"N",[1]Cadavers!L:L,"M")</f>
        <v>0</v>
      </c>
      <c r="G31" s="30">
        <f>COUNTIFS([1]Cadavers!J:J,"PDIA",[1]Cadavers!A:A,"in storage",[1]Cadavers!AO:AO,"N",[1]Cadavers!L:L,"F")</f>
        <v>0</v>
      </c>
      <c r="H31" s="31">
        <f>COUNTIFS([1]Cadavers!J:J,"PDIA",[1]Cadavers!A:A,"in storage",[1]Cadavers!AO:AO,"N")</f>
        <v>0</v>
      </c>
      <c r="I31" s="30">
        <f>COUNTIFS([1]Cadavers!J:J,"PDIA")</f>
        <v>2</v>
      </c>
      <c r="J31" s="30">
        <f>COUNTIFS([1]Cadavers!J:J,"PDIA",[1]Cadavers!A:A,"gone")</f>
        <v>0</v>
      </c>
      <c r="K31" s="30">
        <f>COUNTIFS([1]Cadavers!J:J,"PDIA",[1]Cadavers!AQ:AQ,"Y*")</f>
        <v>0</v>
      </c>
      <c r="L31" s="30">
        <f>COUNTIFS([1]Cadavers!J:J,"PDIA",[1]Cadavers!A:A,"ARK")</f>
        <v>2</v>
      </c>
      <c r="M31" s="19">
        <f>COUNTIFS([1]Cadavers!J:J,"PDIA",[1]Cadavers!A:A,"in storage")</f>
        <v>0</v>
      </c>
      <c r="N31" s="28">
        <f>COUNTIFS([1]Tissues!K:K,"PDIA",[1]Tissues!A:A,"in storage",[1]Tissues!AB:AB,"*adrenal*")</f>
        <v>2</v>
      </c>
      <c r="O31" s="28">
        <f>COUNTIFS([1]Tissues!K:K,"PDIA",[1]Tissues!A:A,"in storage",[1]Tissues!AB:AB,"*kidney*")</f>
        <v>7</v>
      </c>
      <c r="P31" s="28">
        <f>COUNTIFS([1]Tissues!K:K,"PDIA",[1]Tissues!A:A,"in storage",[1]Tissues!AB:AB,"*spleen*")</f>
        <v>5</v>
      </c>
      <c r="Q31" s="28">
        <f>COUNTIFS([1]Tissues!K:K,"PDIA",[1]Tissues!A:A,"in storage",[1]Tissues!AB:AB,"*U- bladder*")</f>
        <v>0</v>
      </c>
      <c r="R31" s="29">
        <f>COUNTIFS([1]Tissues!K:K,"PDIA",[1]Tissues!A:A,"in storage",[1]Tissues!AB:AB,"*R- *")</f>
        <v>4</v>
      </c>
      <c r="S31" s="28">
        <f>COUNTIFS([1]Tissues!K:K,"PDIA",[1]Tissues!A:A,"in storage",[1]Tissues!AB:AB,"*liver*")</f>
        <v>6</v>
      </c>
      <c r="T31" s="28">
        <f>COUNTIFS([1]Tissues!K:K,"PDIA",[1]Tissues!A:A,"in storage",[1]Tissues!AB:AB,"*gallbladder*")</f>
        <v>0</v>
      </c>
      <c r="U31" s="28">
        <f>COUNTIFS([1]Tissues!K:K,"PDIA",[1]Tissues!A:A,"in storage",[1]Tissues!AB:AB,"*pancreas*")</f>
        <v>3</v>
      </c>
      <c r="V31" s="28">
        <f>COUNTIFS([1]Tissues!K:K,"PDIA",[1]Tissues!A:A,"in storage",[1]Tissues!AB:AB,"*GI-*")</f>
        <v>4</v>
      </c>
      <c r="W31" s="28">
        <f>COUNTIFS([1]Tissues!K:K,"PDIA",[1]Tissues!A:A,"in storage",[1]Tissues!AB:AB,"*lung*")</f>
        <v>6</v>
      </c>
      <c r="X31" s="28">
        <f>COUNTIFS([1]Tissues!K:K,"PDIA",[1]Tissues!A:A,"in storage",[1]Tissues!AB:AB,"*heart*")</f>
        <v>3</v>
      </c>
      <c r="Y31" s="28">
        <f>COUNTIFS([1]Tissues!K:K,"PDIA",[1]Tissues!A:A,"in storage",[1]Tissues!AB:AB,"*thyroid*")</f>
        <v>1</v>
      </c>
      <c r="Z31" s="28">
        <f>COUNTIFS([1]Tissues!K:K,"PDIA",[1]Tissues!A:A,"in storage",[1]Tissues!AB:AB,"*esophagus*")</f>
        <v>0</v>
      </c>
      <c r="AA31" s="28">
        <f>COUNTIFS([1]Tissues!K:K,"PDIA",[1]Tissues!A:A,"in storage",[1]Tissues!AB:AB,"*trachea*")</f>
        <v>1</v>
      </c>
      <c r="AB31" s="28">
        <f>COUNTIFS([1]Tissues!K:K,"PDIA",[1]Tissues!A:A,"in storage",[1]Tissues!AB:AB,"*eye*")</f>
        <v>1</v>
      </c>
      <c r="AC31" s="28">
        <f>COUNTIFS([1]Tissues!K:K,"PDIA",[1]Tissues!A:A,"in storage",[1]Tissues!AB:AB,"*skin*")</f>
        <v>3</v>
      </c>
      <c r="AD31" s="28">
        <f>COUNTIFS([1]Tissues!K:K,"PDIA",[1]Tissues!A:A,"in storage",[1]Tissues!AB:AB,"*muscle*")</f>
        <v>3</v>
      </c>
      <c r="AE31" s="28">
        <f>COUNTIFS([1]Tissues!K:K,"PDIA",[1]Tissues!A:A,"in storage",[1]Tissues!AB:AB,"*digit*")</f>
        <v>0</v>
      </c>
      <c r="AF31" s="28">
        <f>COUNTIFS([1]Tissues!K:K,"PDIA",[1]Tissues!A:A,"in storage",[1]Tissues!AB:AB,"*fat*")</f>
        <v>0</v>
      </c>
      <c r="AG31" s="28">
        <f>COUNTIFS([1]Tissues!K:K,"PDIA",[1]Tissues!A:A,"in storage",[1]Tissues!AB:AB,"*lymph node*")</f>
        <v>1</v>
      </c>
      <c r="AH31" s="28">
        <f>COUNTIFS([1]Tissues!K:K,"PDIA",[1]Tissues!A:A,"in storage",[1]Tissues!AB:AB,"*Mass*")</f>
        <v>0</v>
      </c>
      <c r="AI31" s="28">
        <f>COUNTIFS([1]Tissues!K:K,"PDIA",[1]Tissues!A:A,"in storage",[1]Tissues!AB:AB,"*tooth*")</f>
        <v>0</v>
      </c>
      <c r="AJ31" s="28">
        <f>COUNTIFS([1]Tissues!K:K,"PDIA",[1]Tissues!A:A,"in storage",[1]Tissues!AB:AB,"*tail*")</f>
        <v>0</v>
      </c>
      <c r="AK31" s="28">
        <f t="shared" si="0"/>
        <v>6</v>
      </c>
      <c r="AL31" s="27">
        <f>COUNTIFS([1]Tissues!K:K,"PDIA",[1]Tissues!A:A,"in storage")</f>
        <v>56</v>
      </c>
      <c r="AM31" s="26">
        <f>COUNTIFS([1]Brains!J:J,"PDIA",[1]Brains!A:A,"IS_whole")</f>
        <v>0</v>
      </c>
      <c r="AN31" s="26">
        <f>COUNTIFS([1]Brains!J:J,"PDIA",[1]Brains!A:A,"IS_partial_brain")</f>
        <v>0</v>
      </c>
      <c r="AO31" s="26">
        <f>COUNTIFS([1]Brains!J:J,"PDIA",[1]Brains!A:A,"IS_partial_FC_RNAlater")</f>
        <v>0</v>
      </c>
      <c r="AP31" s="19">
        <f>COUNTIFS([1]Brains!J:J,"PDIA",[1]Brains!A:A,"IS*")</f>
        <v>0</v>
      </c>
      <c r="AQ31" s="25">
        <f>COUNTIFS([1]Urine!K:K,"PDIA",[1]Urine!M:M,"M",[1]Urine!A:A,"IS_alqt_plus")</f>
        <v>1</v>
      </c>
      <c r="AR31" s="25">
        <f>COUNTIFS([1]Urine!K:K,"PDIA",[1]Urine!M:M,"F",[1]Urine!A:A,"IS_alqt_plus")</f>
        <v>0</v>
      </c>
      <c r="AS31" s="19">
        <f>COUNTIFS([1]Urine!K:K,"PDIA",[1]Urine!A:A,"IS*")</f>
        <v>2</v>
      </c>
      <c r="AT31" s="24">
        <f>SUMIFS([1]Urine!AC:AC,[1]Urine!K:K,"PDIA",[1]Urine!A:A,"IS*")</f>
        <v>1.1000000000000001</v>
      </c>
      <c r="AU31" s="23">
        <f>COUNTIFS([1]Blood_Products!K:K,"PDIA",[1]Blood_Products!AB:AB,"WB",[1]Blood_Products!M:M,"M",[1]Blood_Products!A:A,"IS_alqt_plus")</f>
        <v>6</v>
      </c>
      <c r="AV31" s="23">
        <f>COUNTIFS([1]Blood_Products!K:K,"PDIA",[1]Blood_Products!AB:AB,"WB",[1]Blood_Products!M:M,"F",[1]Blood_Products!A:A,"IS_alqt_plus")</f>
        <v>0</v>
      </c>
      <c r="AW31" s="22">
        <f>COUNTIFS([1]Blood_Products!K:K,"PDIA",[1]Blood_Products!A:A,"IS*",[1]Blood_Products!AB:AB,"WB")</f>
        <v>6</v>
      </c>
      <c r="AX31" s="21">
        <f>SUMIFS([1]Blood_Products!AF:AF,[1]Blood_Products!K:K,"PDIA",[1]Blood_Products!A:A,"IS*",[1]Blood_Products!AB:AB,"WB")</f>
        <v>3</v>
      </c>
      <c r="AY31" s="23">
        <f>COUNTIFS([1]Blood_Products!K:K,"PDIA",[1]Blood_Products!AB:AB,"serum",[1]Blood_Products!M:M,"M",[1]Blood_Products!A:A,"IS_alqt_plus")</f>
        <v>15</v>
      </c>
      <c r="AZ31" s="23">
        <f>COUNTIFS([1]Blood_Products!K:K,"PDIA",[1]Blood_Products!AB:AB,"serum",[1]Blood_Products!M:M,"F",[1]Blood_Products!A:A,"IS_alqt_plus")</f>
        <v>7</v>
      </c>
      <c r="BA31" s="22">
        <f>COUNTIFS([1]Blood_Products!K:K,"PDIA",[1]Blood_Products!A:A,"IS*",[1]Blood_Products!AB:AB,"serum")</f>
        <v>24</v>
      </c>
      <c r="BB31" s="21">
        <f>SUMIFS([1]Blood_Products!AF:AF,[1]Blood_Products!K:K,"PDIA",[1]Blood_Products!A:A,"IS*",[1]Blood_Products!AB:AB,"serum")</f>
        <v>16.659999999999997</v>
      </c>
      <c r="BC31" s="23">
        <f>COUNTIFS([1]Blood_Products!K:K,"PDIA",[1]Blood_Products!AB:AB,"plasma",[1]Blood_Products!M:M,"M",[1]Blood_Products!A:A,"IS_alqt_plus")</f>
        <v>1</v>
      </c>
      <c r="BD31" s="23">
        <f>COUNTIFS([1]Blood_Products!K:K,"PDIA",[1]Blood_Products!AB:AB,"plasma",[1]Blood_Products!M:M,"F",[1]Blood_Products!A:A,"IS_alqt_plus")</f>
        <v>0</v>
      </c>
      <c r="BE31" s="22">
        <f>COUNTIFS([1]Blood_Products!K:K,"PDIA",[1]Blood_Products!A:A,"IS*",[1]Blood_Products!AB:AB,"plasma")</f>
        <v>1</v>
      </c>
      <c r="BF31" s="21">
        <f>SUMIFS([1]Blood_Products!AF:AF,[1]Blood_Products!K:K,"PDIA",[1]Blood_Products!A:A,"IS*",[1]Blood_Products!AB:AB,"plasma")</f>
        <v>0.3</v>
      </c>
      <c r="BG31" s="23">
        <f>COUNTIFS([1]Blood_Products!K:K,"PDIA",[1]Blood_Products!AB:AB,"PRBC",[1]Blood_Products!M:M,"M",[1]Blood_Products!A:A,"IS_alqt_plus")</f>
        <v>0</v>
      </c>
      <c r="BH31" s="23">
        <f>COUNTIFS([1]Blood_Products!K:K,"PDIA",[1]Blood_Products!AB:AB,"PRBC",[1]Blood_Products!M:M,"F",[1]Blood_Products!A:A,"IS_alqt_plus")</f>
        <v>0</v>
      </c>
      <c r="BI31" s="22">
        <f>COUNTIFS([1]Blood_Products!K:K,"PDIA",[1]Blood_Products!A:A,"IS*",[1]Blood_Products!AB:AB,"PRBC")</f>
        <v>0</v>
      </c>
      <c r="BJ31" s="21">
        <f>SUMIFS([1]Blood_Products!AF:AF,[1]Blood_Products!K:K,"PDIA",[1]Blood_Products!A:A,"IS*",[1]Blood_Products!AB:AB,"PRBC")</f>
        <v>0</v>
      </c>
      <c r="BK31" s="20">
        <f>COUNTIFS([1]Feces!K:K,"PDIA",[1]Feces!A:A,"in storage",[1]Feces!AB:AB,"feces",[1]Feces!M:M,"M")</f>
        <v>0</v>
      </c>
      <c r="BL31" s="20">
        <f>COUNTIFS([1]Feces!K:K,"PDIA",[1]Feces!A:A,"in storage",[1]Feces!AB:AB,"feces",[1]Feces!M:M,"F")</f>
        <v>1</v>
      </c>
      <c r="BM31" s="19">
        <f t="shared" si="1"/>
        <v>1</v>
      </c>
      <c r="BN31" s="20">
        <f>COUNTIFS([1]Feces!K:K,"PDIA",[1]Feces!A:A,"in storage",[1]Feces!AB:AB,"fecal swab",[1]Feces!M:M,"M")</f>
        <v>0</v>
      </c>
      <c r="BO31" s="20">
        <f>COUNTIFS([1]Feces!K:K,"PDIA",[1]Feces!A:A,"in storage",[1]Feces!AB:AB,"fecal swab",[1]Feces!M:M,"F")</f>
        <v>0</v>
      </c>
      <c r="BP31" s="19">
        <f t="shared" si="2"/>
        <v>0</v>
      </c>
      <c r="BQ31" s="18"/>
      <c r="BR31" s="18"/>
      <c r="BS31" s="18"/>
    </row>
    <row r="32" spans="1:71" s="17" customFormat="1" x14ac:dyDescent="0.35">
      <c r="A32" s="32" t="s">
        <v>11</v>
      </c>
      <c r="B32" s="30">
        <f>COUNTIFS([1]Cadavers!J:J,"PPOT",[1]Cadavers!A:A,"in storage",[1]Cadavers!AO:AO,"Y",[1]Cadavers!L:L,"M")</f>
        <v>0</v>
      </c>
      <c r="C32" s="30">
        <f>COUNTIFS([1]Cadavers!J:J,"PPOT",[1]Cadavers!A:A,"in storage",[1]Cadavers!AO:AO,"Y",[1]Cadavers!L:L,"F")</f>
        <v>0</v>
      </c>
      <c r="D32" s="30">
        <f>COUNTIFS([1]Cadavers!J:J,"PPOT",[1]Cadavers!A:A,"in storage",[1]Cadavers!AO:AO,"Y",[1]Cadavers!L:L,"ND")</f>
        <v>0</v>
      </c>
      <c r="E32" s="31">
        <f>COUNTIFS([1]Cadavers!J:J,"PPOT",[1]Cadavers!A:A,"in storage",[1]Cadavers!AO:AO,"Y")</f>
        <v>0</v>
      </c>
      <c r="F32" s="30">
        <f>COUNTIFS([1]Cadavers!J:J,"PPOT",[1]Cadavers!A:A,"in storage",[1]Cadavers!AO:AO,"N",[1]Cadavers!L:L,"M")</f>
        <v>0</v>
      </c>
      <c r="G32" s="30">
        <f>COUNTIFS([1]Cadavers!J:J,"PPOT",[1]Cadavers!A:A,"in storage",[1]Cadavers!AO:AO,"N",[1]Cadavers!L:L,"F")</f>
        <v>0</v>
      </c>
      <c r="H32" s="31">
        <f>COUNTIFS([1]Cadavers!J:J,"PPOT",[1]Cadavers!A:A,"in storage",[1]Cadavers!AO:AO,"N")</f>
        <v>2</v>
      </c>
      <c r="I32" s="30">
        <f>COUNTIFS([1]Cadavers!J:J,"PPOT")</f>
        <v>4</v>
      </c>
      <c r="J32" s="30">
        <f>COUNTIFS([1]Cadavers!J:J,"PPOT",[1]Cadavers!A:A,"gone")</f>
        <v>1</v>
      </c>
      <c r="K32" s="30">
        <f>COUNTIFS([1]Cadavers!J:J,"PPOT",[1]Cadavers!AQ:AQ,"Y*")</f>
        <v>2</v>
      </c>
      <c r="L32" s="30">
        <f>COUNTIFS([1]Cadavers!J:J,"PPOT",[1]Cadavers!A:A,"ARK")</f>
        <v>1</v>
      </c>
      <c r="M32" s="19">
        <f>COUNTIFS([1]Cadavers!J:J,"PPOT",[1]Cadavers!A:A,"in storage")</f>
        <v>2</v>
      </c>
      <c r="N32" s="28">
        <f>COUNTIFS([1]Tissues!K:K,"PPOT",[1]Tissues!A:A,"in storage",[1]Tissues!AB:AB,"*adrenal*")</f>
        <v>0</v>
      </c>
      <c r="O32" s="28">
        <f>COUNTIFS([1]Tissues!K:K,"PPOT",[1]Tissues!A:A,"in storage",[1]Tissues!AB:AB,"*kidney*")</f>
        <v>1</v>
      </c>
      <c r="P32" s="28">
        <f>COUNTIFS([1]Tissues!K:K,"PPOT",[1]Tissues!A:A,"in storage",[1]Tissues!AB:AB,"*spleen*")</f>
        <v>3</v>
      </c>
      <c r="Q32" s="28">
        <f>COUNTIFS([1]Tissues!K:K,"PPOT",[1]Tissues!A:A,"in storage",[1]Tissues!AB:AB,"*U- bladder*")</f>
        <v>0</v>
      </c>
      <c r="R32" s="29">
        <f>COUNTIFS([1]Tissues!K:K,"PPOT",[1]Tissues!A:A,"in storage",[1]Tissues!AB:AB,"*R- *")</f>
        <v>0</v>
      </c>
      <c r="S32" s="28">
        <f>COUNTIFS([1]Tissues!K:K,"PPOT",[1]Tissues!A:A,"in storage",[1]Tissues!AB:AB,"*liver*")</f>
        <v>4</v>
      </c>
      <c r="T32" s="28">
        <f>COUNTIFS([1]Tissues!K:K,"PPOT",[1]Tissues!A:A,"in storage",[1]Tissues!AB:AB,"*gallbladder*")</f>
        <v>0</v>
      </c>
      <c r="U32" s="28">
        <f>COUNTIFS([1]Tissues!K:K,"PPOT",[1]Tissues!A:A,"in storage",[1]Tissues!AB:AB,"*pancreas*")</f>
        <v>0</v>
      </c>
      <c r="V32" s="28">
        <f>COUNTIFS([1]Tissues!K:K,"PPOT",[1]Tissues!A:A,"in storage",[1]Tissues!AB:AB,"*GI-*")</f>
        <v>0</v>
      </c>
      <c r="W32" s="28">
        <f>COUNTIFS([1]Tissues!K:K,"PPOT",[1]Tissues!A:A,"in storage",[1]Tissues!AB:AB,"*lung*")</f>
        <v>1</v>
      </c>
      <c r="X32" s="28">
        <f>COUNTIFS([1]Tissues!K:K,"PPOT",[1]Tissues!A:A,"in storage",[1]Tissues!AB:AB,"*heart*")</f>
        <v>1</v>
      </c>
      <c r="Y32" s="28">
        <f>COUNTIFS([1]Tissues!K:K,"PPOT",[1]Tissues!A:A,"in storage",[1]Tissues!AB:AB,"*thyroid*")</f>
        <v>0</v>
      </c>
      <c r="Z32" s="28">
        <f>COUNTIFS([1]Tissues!K:K,"PPOT",[1]Tissues!A:A,"in storage",[1]Tissues!AB:AB,"*esophagus*")</f>
        <v>0</v>
      </c>
      <c r="AA32" s="28">
        <f>COUNTIFS([1]Tissues!K:K,"PPOT",[1]Tissues!A:A,"in storage",[1]Tissues!AB:AB,"*trachea*")</f>
        <v>0</v>
      </c>
      <c r="AB32" s="28">
        <f>COUNTIFS([1]Tissues!K:K,"PPOT",[1]Tissues!A:A,"in storage",[1]Tissues!AB:AB,"*eye*")</f>
        <v>0</v>
      </c>
      <c r="AC32" s="28">
        <f>COUNTIFS([1]Tissues!K:K,"PPOT",[1]Tissues!A:A,"in storage",[1]Tissues!AB:AB,"*skin*")</f>
        <v>0</v>
      </c>
      <c r="AD32" s="28">
        <f>COUNTIFS([1]Tissues!K:K,"PPOT",[1]Tissues!A:A,"in storage",[1]Tissues!AB:AB,"*muscle*")</f>
        <v>0</v>
      </c>
      <c r="AE32" s="28">
        <f>COUNTIFS([1]Tissues!K:K,"PPOT",[1]Tissues!A:A,"in storage",[1]Tissues!AB:AB,"*digit*")</f>
        <v>0</v>
      </c>
      <c r="AF32" s="28">
        <f>COUNTIFS([1]Tissues!K:K,"PPOT",[1]Tissues!A:A,"in storage",[1]Tissues!AB:AB,"*fat*")</f>
        <v>0</v>
      </c>
      <c r="AG32" s="28">
        <f>COUNTIFS([1]Tissues!K:K,"PPOT",[1]Tissues!A:A,"in storage",[1]Tissues!AB:AB,"*lymph node*")</f>
        <v>0</v>
      </c>
      <c r="AH32" s="28">
        <f>COUNTIFS([1]Tissues!K:K,"PPOT",[1]Tissues!A:A,"in storage",[1]Tissues!AB:AB,"*Mass*")</f>
        <v>0</v>
      </c>
      <c r="AI32" s="28">
        <f>COUNTIFS([1]Tissues!K:K,"PPOT",[1]Tissues!A:A,"in storage",[1]Tissues!AB:AB,"*tooth*")</f>
        <v>0</v>
      </c>
      <c r="AJ32" s="28">
        <f>COUNTIFS([1]Tissues!K:K,"PPOT",[1]Tissues!A:A,"in storage",[1]Tissues!AB:AB,"*tail*")</f>
        <v>0</v>
      </c>
      <c r="AK32" s="28">
        <f t="shared" si="0"/>
        <v>0</v>
      </c>
      <c r="AL32" s="27">
        <f>COUNTIFS([1]Tissues!K:K,"PPOT",[1]Tissues!A:A,"in storage")</f>
        <v>10</v>
      </c>
      <c r="AM32" s="26">
        <f>COUNTIFS([1]Brains!J:J,"PPOT",[1]Brains!A:A,"IS_whole")</f>
        <v>0</v>
      </c>
      <c r="AN32" s="26">
        <f>COUNTIFS([1]Brains!J:J,"PPOT",[1]Brains!A:A,"IS_partial_brain")</f>
        <v>0</v>
      </c>
      <c r="AO32" s="26">
        <f>COUNTIFS([1]Brains!J:J,"PPOT",[1]Brains!A:A,"IS_partial_FC_RNAlater")</f>
        <v>0</v>
      </c>
      <c r="AP32" s="19">
        <f>COUNTIFS([1]Brains!J:J,"PPOT",[1]Brains!A:A,"IS*")</f>
        <v>0</v>
      </c>
      <c r="AQ32" s="25">
        <f>COUNTIFS([1]Urine!K:K,"PPOT",[1]Urine!M:M,"M",[1]Urine!A:A,"IS_alqt_plus")</f>
        <v>0</v>
      </c>
      <c r="AR32" s="25">
        <f>COUNTIFS([1]Urine!K:K,"PPOT",[1]Urine!M:M,"F",[1]Urine!A:A,"IS_alqt_plus")</f>
        <v>0</v>
      </c>
      <c r="AS32" s="19">
        <f>COUNTIFS([1]Urine!K:K,"PPOT",[1]Urine!A:A,"IS*")</f>
        <v>0</v>
      </c>
      <c r="AT32" s="24">
        <f>SUMIFS([1]Urine!AC:AC,[1]Urine!K:K,"PPOT",[1]Urine!A:A,"IS*")</f>
        <v>0</v>
      </c>
      <c r="AU32" s="23">
        <f>COUNTIFS([1]Blood_Products!K:K,"PPOT",[1]Blood_Products!AB:AB,"WB",[1]Blood_Products!M:M,"M",[1]Blood_Products!A:A,"IS_alqt_plus")</f>
        <v>0</v>
      </c>
      <c r="AV32" s="23">
        <f>COUNTIFS([1]Blood_Products!K:K,"PPOT",[1]Blood_Products!AB:AB,"WB",[1]Blood_Products!M:M,"F",[1]Blood_Products!A:A,"IS_alqt_plus")</f>
        <v>0</v>
      </c>
      <c r="AW32" s="22">
        <f>COUNTIFS([1]Blood_Products!K:K,"PPOT",[1]Blood_Products!A:A,"IS*",[1]Blood_Products!AB:AB,"WB")</f>
        <v>0</v>
      </c>
      <c r="AX32" s="21">
        <f>SUMIFS([1]Blood_Products!AF:AF,[1]Blood_Products!K:K,"PPOT",[1]Blood_Products!A:A,"IS*",[1]Blood_Products!AB:AB,"WB")</f>
        <v>0</v>
      </c>
      <c r="AY32" s="23">
        <f>COUNTIFS([1]Blood_Products!K:K,"PPOT",[1]Blood_Products!AB:AB,"serum",[1]Blood_Products!M:M,"M",[1]Blood_Products!A:A,"IS_alqt_plus")</f>
        <v>2</v>
      </c>
      <c r="AZ32" s="23">
        <f>COUNTIFS([1]Blood_Products!K:K,"PPOT",[1]Blood_Products!AB:AB,"serum",[1]Blood_Products!M:M,"F",[1]Blood_Products!A:A,"IS_alqt_plus")</f>
        <v>4</v>
      </c>
      <c r="BA32" s="22">
        <f>COUNTIFS([1]Blood_Products!K:K,"PPOT",[1]Blood_Products!A:A,"IS*",[1]Blood_Products!AB:AB,"serum")</f>
        <v>8</v>
      </c>
      <c r="BB32" s="21">
        <f>SUMIFS([1]Blood_Products!AF:AF,[1]Blood_Products!K:K,"PPOT",[1]Blood_Products!A:A,"IS*",[1]Blood_Products!AB:AB,"serum")</f>
        <v>4.4000000000000004</v>
      </c>
      <c r="BC32" s="23">
        <f>COUNTIFS([1]Blood_Products!K:K,"PPOT",[1]Blood_Products!AB:AB,"plasma",[1]Blood_Products!M:M,"M",[1]Blood_Products!A:A,"IS_alqt_plus")</f>
        <v>0</v>
      </c>
      <c r="BD32" s="23">
        <f>COUNTIFS([1]Blood_Products!K:K,"PPOT",[1]Blood_Products!AB:AB,"plasma",[1]Blood_Products!M:M,"F",[1]Blood_Products!A:A,"IS_alqt_plus")</f>
        <v>0</v>
      </c>
      <c r="BE32" s="22">
        <f>COUNTIFS([1]Blood_Products!K:K,"PPOT",[1]Blood_Products!A:A,"IS*",[1]Blood_Products!AB:AB,"plasma")</f>
        <v>0</v>
      </c>
      <c r="BF32" s="21">
        <f>SUMIFS([1]Blood_Products!AF:AF,[1]Blood_Products!K:K,"PPOT",[1]Blood_Products!A:A,"IS*",[1]Blood_Products!AB:AB,"plasma")</f>
        <v>0</v>
      </c>
      <c r="BG32" s="23">
        <f>COUNTIFS([1]Blood_Products!K:K,"PPOT",[1]Blood_Products!AB:AB,"PRBC",[1]Blood_Products!M:M,"M",[1]Blood_Products!A:A,"IS_alqt_plus")</f>
        <v>0</v>
      </c>
      <c r="BH32" s="23">
        <f>COUNTIFS([1]Blood_Products!K:K,"PPOT",[1]Blood_Products!AB:AB,"PRBC",[1]Blood_Products!M:M,"F",[1]Blood_Products!A:A,"IS_alqt_plus")</f>
        <v>0</v>
      </c>
      <c r="BI32" s="22">
        <f>COUNTIFS([1]Blood_Products!K:K,"PPOT",[1]Blood_Products!A:A,"IS*",[1]Blood_Products!AB:AB,"PRBC")</f>
        <v>0</v>
      </c>
      <c r="BJ32" s="21">
        <f>SUMIFS([1]Blood_Products!AF:AF,[1]Blood_Products!K:K,"PPOT",[1]Blood_Products!A:A,"IS*",[1]Blood_Products!AB:AB,"PRBC")</f>
        <v>0</v>
      </c>
      <c r="BK32" s="20">
        <f>COUNTIFS([1]Feces!K:K,"PPOT",[1]Feces!A:A,"in storage",[1]Feces!AB:AB,"feces",[1]Feces!M:M,"M")</f>
        <v>0</v>
      </c>
      <c r="BL32" s="20">
        <f>COUNTIFS([1]Feces!K:K,"PPOT",[1]Feces!A:A,"in storage",[1]Feces!AB:AB,"feces",[1]Feces!M:M,"F")</f>
        <v>0</v>
      </c>
      <c r="BM32" s="19">
        <f t="shared" si="1"/>
        <v>0</v>
      </c>
      <c r="BN32" s="20">
        <f>COUNTIFS([1]Feces!K:K,"PPOT",[1]Feces!A:A,"in storage",[1]Feces!AB:AB,"fecal swab",[1]Feces!M:M,"M")</f>
        <v>0</v>
      </c>
      <c r="BO32" s="20">
        <f>COUNTIFS([1]Feces!K:K,"PPOT",[1]Feces!A:A,"in storage",[1]Feces!AB:AB,"fecal swab",[1]Feces!M:M,"F")</f>
        <v>0</v>
      </c>
      <c r="BP32" s="19">
        <f t="shared" si="2"/>
        <v>0</v>
      </c>
      <c r="BQ32" s="18"/>
      <c r="BR32" s="18"/>
      <c r="BS32" s="18"/>
    </row>
    <row r="33" spans="1:71" s="17" customFormat="1" x14ac:dyDescent="0.35">
      <c r="A33" s="32" t="s">
        <v>10</v>
      </c>
      <c r="B33" s="30">
        <f>COUNTIFS([1]Cadavers!J:J,"Prop sp",[1]Cadavers!A:A,"in storage",[1]Cadavers!AO:AO,"Y",[1]Cadavers!L:L,"M")</f>
        <v>0</v>
      </c>
      <c r="C33" s="30">
        <f>COUNTIFS([1]Cadavers!J:J,"Prop sp",[1]Cadavers!A:A,"in storage",[1]Cadavers!AO:AO,"Y",[1]Cadavers!L:L,"F")</f>
        <v>0</v>
      </c>
      <c r="D33" s="30">
        <f>COUNTIFS([1]Cadavers!J:J,"Prop sp",[1]Cadavers!A:A,"in storage",[1]Cadavers!AO:AO,"Y",[1]Cadavers!L:L,"ND")</f>
        <v>0</v>
      </c>
      <c r="E33" s="31">
        <f>COUNTIFS([1]Cadavers!J:J,"Prop sp",[1]Cadavers!A:A,"in storage",[1]Cadavers!AO:AO,"Y")</f>
        <v>0</v>
      </c>
      <c r="F33" s="30">
        <f>COUNTIFS([1]Cadavers!J:J,"Prop sp",[1]Cadavers!A:A,"in storage",[1]Cadavers!AO:AO,"N",[1]Cadavers!L:L,"M")</f>
        <v>0</v>
      </c>
      <c r="G33" s="30">
        <f>COUNTIFS([1]Cadavers!J:J,"Prop sp",[1]Cadavers!A:A,"in storage",[1]Cadavers!AO:AO,"N",[1]Cadavers!L:L,"F")</f>
        <v>0</v>
      </c>
      <c r="H33" s="31">
        <f>COUNTIFS([1]Cadavers!J:J,"Prop sp",[1]Cadavers!A:A,"in storage",[1]Cadavers!AO:AO,"N")</f>
        <v>0</v>
      </c>
      <c r="I33" s="30">
        <f>COUNTIFS([1]Cadavers!J:J,"Prop sp")</f>
        <v>1</v>
      </c>
      <c r="J33" s="30">
        <f>COUNTIFS([1]Cadavers!J:J,"Prop sp",[1]Cadavers!A:A,"gone")</f>
        <v>0</v>
      </c>
      <c r="K33" s="30">
        <f>COUNTIFS([1]Cadavers!J:J,"Prop sp",[1]Cadavers!AQ:AQ,"Y*")</f>
        <v>0</v>
      </c>
      <c r="L33" s="30">
        <f>COUNTIFS([1]Cadavers!J:J,"Prop sp",[1]Cadavers!A:A,"ARK")</f>
        <v>0</v>
      </c>
      <c r="M33" s="19">
        <f>COUNTIFS([1]Cadavers!J:J,"Prop sp",[1]Cadavers!A:A,"in storage")</f>
        <v>1</v>
      </c>
      <c r="N33" s="28">
        <f>COUNTIFS([1]Tissues!K:K,"Prop sp",[1]Tissues!A:A,"in storage",[1]Tissues!AB:AB,"*adrenal*")</f>
        <v>0</v>
      </c>
      <c r="O33" s="28">
        <f>COUNTIFS([1]Tissues!K:K,"Prop sp",[1]Tissues!A:A,"in storage",[1]Tissues!AB:AB,"*kidney*")</f>
        <v>0</v>
      </c>
      <c r="P33" s="28">
        <f>COUNTIFS([1]Tissues!K:K,"Prop sp",[1]Tissues!A:A,"in storage",[1]Tissues!AB:AB,"*spleen*")</f>
        <v>0</v>
      </c>
      <c r="Q33" s="28">
        <f>COUNTIFS([1]Tissues!K:K,"Prop sp",[1]Tissues!A:A,"in storage",[1]Tissues!AB:AB,"*U- bladder*")</f>
        <v>0</v>
      </c>
      <c r="R33" s="29">
        <f>COUNTIFS([1]Tissues!K:K,"Prop sp",[1]Tissues!A:A,"in storage",[1]Tissues!AB:AB,"*R- *")</f>
        <v>0</v>
      </c>
      <c r="S33" s="28">
        <f>COUNTIFS([1]Tissues!K:K,"Prop sp",[1]Tissues!A:A,"in storage",[1]Tissues!AB:AB,"*liver*")</f>
        <v>0</v>
      </c>
      <c r="T33" s="28">
        <f>COUNTIFS([1]Tissues!K:K,"Prop sp",[1]Tissues!A:A,"in storage",[1]Tissues!AB:AB,"*gallbladder*")</f>
        <v>0</v>
      </c>
      <c r="U33" s="28">
        <f>COUNTIFS([1]Tissues!K:K,"Prop sp",[1]Tissues!A:A,"in storage",[1]Tissues!AB:AB,"*pancreas*")</f>
        <v>0</v>
      </c>
      <c r="V33" s="28">
        <f>COUNTIFS([1]Tissues!K:K,"Prop sp",[1]Tissues!A:A,"in storage",[1]Tissues!AB:AB,"*GI-*")</f>
        <v>0</v>
      </c>
      <c r="W33" s="28">
        <f>COUNTIFS([1]Tissues!K:K,"Prop sp",[1]Tissues!A:A,"in storage",[1]Tissues!AB:AB,"*lung*")</f>
        <v>0</v>
      </c>
      <c r="X33" s="28">
        <f>COUNTIFS([1]Tissues!K:K,"Prop sp",[1]Tissues!A:A,"in storage",[1]Tissues!AB:AB,"*heart*")</f>
        <v>0</v>
      </c>
      <c r="Y33" s="28">
        <f>COUNTIFS([1]Tissues!K:K,"Prop sp",[1]Tissues!A:A,"in storage",[1]Tissues!AB:AB,"*thyroid*")</f>
        <v>0</v>
      </c>
      <c r="Z33" s="28">
        <f>COUNTIFS([1]Tissues!K:K,"Prop sp",[1]Tissues!A:A,"in storage",[1]Tissues!AB:AB,"*esophagus*")</f>
        <v>0</v>
      </c>
      <c r="AA33" s="28">
        <f>COUNTIFS([1]Tissues!K:K,"Prop sp",[1]Tissues!A:A,"in storage",[1]Tissues!AB:AB,"*trachea*")</f>
        <v>0</v>
      </c>
      <c r="AB33" s="28">
        <f>COUNTIFS([1]Tissues!K:K,"Prop sp",[1]Tissues!A:A,"in storage",[1]Tissues!AB:AB,"*eye*")</f>
        <v>0</v>
      </c>
      <c r="AC33" s="28">
        <f>COUNTIFS([1]Tissues!K:K,"Prop sp",[1]Tissues!A:A,"in storage",[1]Tissues!AB:AB,"*skin*")</f>
        <v>0</v>
      </c>
      <c r="AD33" s="28">
        <f>COUNTIFS([1]Tissues!K:K,"Prop sp",[1]Tissues!A:A,"in storage",[1]Tissues!AB:AB,"*muscle*")</f>
        <v>0</v>
      </c>
      <c r="AE33" s="28">
        <f>COUNTIFS([1]Tissues!K:K,"Prop sp",[1]Tissues!A:A,"in storage",[1]Tissues!AB:AB,"*digit*")</f>
        <v>0</v>
      </c>
      <c r="AF33" s="28">
        <f>COUNTIFS([1]Tissues!K:K,"Prop sp",[1]Tissues!A:A,"in storage",[1]Tissues!AB:AB,"*fat*")</f>
        <v>0</v>
      </c>
      <c r="AG33" s="28">
        <f>COUNTIFS([1]Tissues!K:K,"Prop sp",[1]Tissues!A:A,"in storage",[1]Tissues!AB:AB,"*lymph node*")</f>
        <v>0</v>
      </c>
      <c r="AH33" s="28">
        <f>COUNTIFS([1]Tissues!K:K,"Prop sp",[1]Tissues!A:A,"in storage",[1]Tissues!AB:AB,"*Mass*")</f>
        <v>0</v>
      </c>
      <c r="AI33" s="28">
        <f>COUNTIFS([1]Tissues!K:K,"Prop sp",[1]Tissues!A:A,"in storage",[1]Tissues!AB:AB,"*tooth*")</f>
        <v>0</v>
      </c>
      <c r="AJ33" s="28">
        <f>COUNTIFS([1]Tissues!K:K,"Prop sp",[1]Tissues!A:A,"in storage",[1]Tissues!AB:AB,"*tail*")</f>
        <v>0</v>
      </c>
      <c r="AK33" s="28">
        <f t="shared" si="0"/>
        <v>0</v>
      </c>
      <c r="AL33" s="27">
        <f>COUNTIFS([1]Tissues!K:K,"Prop sp",[1]Tissues!A:A,"in storage")</f>
        <v>0</v>
      </c>
      <c r="AM33" s="26">
        <f>COUNTIFS([1]Brains!J:J,"Prop sp",[1]Brains!A:A,"IS_whole")</f>
        <v>0</v>
      </c>
      <c r="AN33" s="26">
        <f>COUNTIFS([1]Brains!J:J,"Prop sp",[1]Brains!A:A,"IS_partial_brain")</f>
        <v>0</v>
      </c>
      <c r="AO33" s="26">
        <f>COUNTIFS([1]Brains!J:J,"Prop sp",[1]Brains!A:A,"IS_partial_FC_RNAlater")</f>
        <v>0</v>
      </c>
      <c r="AP33" s="19">
        <f>COUNTIFS([1]Brains!J:J,"Prop sp",[1]Brains!A:A,"IS*")</f>
        <v>0</v>
      </c>
      <c r="AQ33" s="25">
        <f>COUNTIFS([1]Urine!K:K,"Prop sp",[1]Urine!M:M,"M",[1]Urine!A:A,"IS_alqt_plus")</f>
        <v>0</v>
      </c>
      <c r="AR33" s="25">
        <f>COUNTIFS([1]Urine!K:K,"Prop sp",[1]Urine!M:M,"F",[1]Urine!A:A,"IS_alqt_plus")</f>
        <v>0</v>
      </c>
      <c r="AS33" s="19">
        <f>COUNTIFS([1]Urine!K:K,"Prop sp",[1]Urine!A:A,"IS*")</f>
        <v>0</v>
      </c>
      <c r="AT33" s="24">
        <f>SUMIFS([1]Urine!AC:AC,[1]Urine!K:K,"Prop sp",[1]Urine!A:A,"IS*")</f>
        <v>0</v>
      </c>
      <c r="AU33" s="23">
        <f>COUNTIFS([1]Blood_Products!K:K,"Prop sp",[1]Blood_Products!AB:AB,"WB",[1]Blood_Products!M:M,"M",[1]Blood_Products!A:A,"IS_alqt_plus")</f>
        <v>0</v>
      </c>
      <c r="AV33" s="23">
        <f>COUNTIFS([1]Blood_Products!K:K,"Prop sp",[1]Blood_Products!AB:AB,"WB",[1]Blood_Products!M:M,"F",[1]Blood_Products!A:A,"IS_alqt_plus")</f>
        <v>0</v>
      </c>
      <c r="AW33" s="22">
        <f>COUNTIFS([1]Blood_Products!K:K,"Prop sp",[1]Blood_Products!A:A,"IS*",[1]Blood_Products!AB:AB,"WB")</f>
        <v>0</v>
      </c>
      <c r="AX33" s="21">
        <f>SUMIFS([1]Blood_Products!AF:AF,[1]Blood_Products!K:K,"Prop sp",[1]Blood_Products!A:A,"IS*",[1]Blood_Products!AB:AB,"WB")</f>
        <v>0</v>
      </c>
      <c r="AY33" s="23">
        <f>COUNTIFS([1]Blood_Products!K:K,"Prop sp",[1]Blood_Products!AB:AB,"serum",[1]Blood_Products!M:M,"M",[1]Blood_Products!A:A,"IS_alqt_plus")</f>
        <v>0</v>
      </c>
      <c r="AZ33" s="23">
        <f>COUNTIFS([1]Blood_Products!K:K,"Prop sp",[1]Blood_Products!AB:AB,"serum",[1]Blood_Products!M:M,"F",[1]Blood_Products!A:A,"IS_alqt_plus")</f>
        <v>0</v>
      </c>
      <c r="BA33" s="22">
        <f>COUNTIFS([1]Blood_Products!K:K,"Prop sp",[1]Blood_Products!A:A,"IS*",[1]Blood_Products!AB:AB,"serum")</f>
        <v>0</v>
      </c>
      <c r="BB33" s="21">
        <f>SUMIFS([1]Blood_Products!AF:AF,[1]Blood_Products!K:K,"Prop sp",[1]Blood_Products!A:A,"IS*",[1]Blood_Products!AB:AB,"serum")</f>
        <v>0</v>
      </c>
      <c r="BC33" s="23">
        <f>COUNTIFS([1]Blood_Products!K:K,"Prop sp",[1]Blood_Products!AB:AB,"plasma",[1]Blood_Products!M:M,"M",[1]Blood_Products!A:A,"IS_alqt_plus")</f>
        <v>0</v>
      </c>
      <c r="BD33" s="23">
        <f>COUNTIFS([1]Blood_Products!K:K,"Prop sp",[1]Blood_Products!AB:AB,"plasma",[1]Blood_Products!M:M,"F",[1]Blood_Products!A:A,"IS_alqt_plus")</f>
        <v>0</v>
      </c>
      <c r="BE33" s="22">
        <f>COUNTIFS([1]Blood_Products!K:K,"Prop sp",[1]Blood_Products!A:A,"IS*",[1]Blood_Products!AB:AB,"plasma")</f>
        <v>0</v>
      </c>
      <c r="BF33" s="21">
        <f>SUMIFS([1]Blood_Products!AF:AF,[1]Blood_Products!K:K,"Prop sp",[1]Blood_Products!A:A,"IS*",[1]Blood_Products!AB:AB,"plasma")</f>
        <v>0</v>
      </c>
      <c r="BG33" s="23">
        <f>COUNTIFS([1]Blood_Products!K:K,"Prop sp",[1]Blood_Products!AB:AB,"PRBC",[1]Blood_Products!M:M,"M",[1]Blood_Products!A:A,"IS_alqt_plus")</f>
        <v>0</v>
      </c>
      <c r="BH33" s="23">
        <f>COUNTIFS([1]Blood_Products!K:K,"Prop sp",[1]Blood_Products!AB:AB,"PRBC",[1]Blood_Products!M:M,"F",[1]Blood_Products!A:A,"IS_alqt_plus")</f>
        <v>0</v>
      </c>
      <c r="BI33" s="22">
        <f>COUNTIFS([1]Blood_Products!K:K,"Prop sp",[1]Blood_Products!A:A,"IS*",[1]Blood_Products!AB:AB,"PRBC")</f>
        <v>0</v>
      </c>
      <c r="BJ33" s="21">
        <f>SUMIFS([1]Blood_Products!AF:AF,[1]Blood_Products!K:K,"Prop sp",[1]Blood_Products!A:A,"IS*",[1]Blood_Products!AB:AB,"PRBC")</f>
        <v>0</v>
      </c>
      <c r="BK33" s="20">
        <f>COUNTIFS([1]Feces!K:K,"Prop sp",[1]Feces!A:A,"in storage",[1]Feces!AB:AB,"feces",[1]Feces!M:M,"M")</f>
        <v>0</v>
      </c>
      <c r="BL33" s="20">
        <f>COUNTIFS([1]Feces!K:K,"Prop sp",[1]Feces!A:A,"in storage",[1]Feces!AB:AB,"feces",[1]Feces!M:M,"F")</f>
        <v>0</v>
      </c>
      <c r="BM33" s="19">
        <f t="shared" si="1"/>
        <v>0</v>
      </c>
      <c r="BN33" s="20">
        <f>COUNTIFS([1]Feces!K:K,"Prop sp",[1]Feces!A:A,"in storage",[1]Feces!AB:AB,"fecal swab",[1]Feces!M:M,"M")</f>
        <v>0</v>
      </c>
      <c r="BO33" s="20">
        <f>COUNTIFS([1]Feces!K:K,"Prop sp",[1]Feces!A:A,"in storage",[1]Feces!AB:AB,"fecal swab",[1]Feces!M:M,"F")</f>
        <v>0</v>
      </c>
      <c r="BP33" s="19">
        <f t="shared" si="2"/>
        <v>0</v>
      </c>
      <c r="BQ33" s="18"/>
      <c r="BR33" s="18"/>
      <c r="BS33" s="18"/>
    </row>
    <row r="34" spans="1:71" s="17" customFormat="1" x14ac:dyDescent="0.35">
      <c r="A34" s="32" t="s">
        <v>9</v>
      </c>
      <c r="B34" s="30">
        <f>COUNTIFS([1]Cadavers!J:J,"PTAT",[1]Cadavers!A:A,"in storage",[1]Cadavers!AO:AO,"Y",[1]Cadavers!L:L,"M")</f>
        <v>1</v>
      </c>
      <c r="C34" s="30">
        <f>COUNTIFS([1]Cadavers!J:J,"PTAT",[1]Cadavers!A:A,"in storage",[1]Cadavers!AO:AO,"Y",[1]Cadavers!L:L,"F")</f>
        <v>0</v>
      </c>
      <c r="D34" s="30">
        <f>COUNTIFS([1]Cadavers!J:J,"PTAT",[1]Cadavers!A:A,"in storage",[1]Cadavers!AO:AO,"Y",[1]Cadavers!L:L,"ND")</f>
        <v>0</v>
      </c>
      <c r="E34" s="31">
        <f>COUNTIFS([1]Cadavers!J:J,"PTAT",[1]Cadavers!A:A,"in storage",[1]Cadavers!AO:AO,"Y")</f>
        <v>1</v>
      </c>
      <c r="F34" s="30">
        <f>COUNTIFS([1]Cadavers!J:J,"PTAT",[1]Cadavers!A:A,"in storage",[1]Cadavers!AO:AO,"N",[1]Cadavers!L:L,"M")</f>
        <v>2</v>
      </c>
      <c r="G34" s="30">
        <f>COUNTIFS([1]Cadavers!J:J,"PTAT",[1]Cadavers!A:A,"in storage",[1]Cadavers!AO:AO,"N",[1]Cadavers!L:L,"F")</f>
        <v>1</v>
      </c>
      <c r="H34" s="31">
        <f>COUNTIFS([1]Cadavers!J:J,"PTAT",[1]Cadavers!A:A,"in storage",[1]Cadavers!AO:AO,"N")</f>
        <v>3</v>
      </c>
      <c r="I34" s="30">
        <f>COUNTIFS([1]Cadavers!J:J,"PTAT")</f>
        <v>9</v>
      </c>
      <c r="J34" s="30">
        <f>COUNTIFS([1]Cadavers!J:J,"PTAT",[1]Cadavers!A:A,"gone")</f>
        <v>2</v>
      </c>
      <c r="K34" s="30">
        <f>COUNTIFS([1]Cadavers!J:J,"PTAT",[1]Cadavers!AQ:AQ,"Y*")</f>
        <v>0</v>
      </c>
      <c r="L34" s="30">
        <f>COUNTIFS([1]Cadavers!J:J,"PTAT",[1]Cadavers!A:A,"ARK")</f>
        <v>3</v>
      </c>
      <c r="M34" s="19">
        <f>COUNTIFS([1]Cadavers!J:J,"PTAT",[1]Cadavers!A:A,"in storage")</f>
        <v>4</v>
      </c>
      <c r="N34" s="28">
        <f>COUNTIFS([1]Tissues!K:K,"PTAT",[1]Tissues!A:A,"in storage",[1]Tissues!AB:AB,"*adrenal*")</f>
        <v>0</v>
      </c>
      <c r="O34" s="28">
        <f>COUNTIFS([1]Tissues!K:K,"PTAT",[1]Tissues!A:A,"in storage",[1]Tissues!AB:AB,"*kidney*")</f>
        <v>11</v>
      </c>
      <c r="P34" s="28">
        <f>COUNTIFS([1]Tissues!K:K,"PTAT",[1]Tissues!A:A,"in storage",[1]Tissues!AB:AB,"*spleen*")</f>
        <v>10</v>
      </c>
      <c r="Q34" s="28">
        <f>COUNTIFS([1]Tissues!K:K,"PTAT",[1]Tissues!A:A,"in storage",[1]Tissues!AB:AB,"*U- bladder*")</f>
        <v>0</v>
      </c>
      <c r="R34" s="29">
        <f>COUNTIFS([1]Tissues!K:K,"PTAT",[1]Tissues!A:A,"in storage",[1]Tissues!AB:AB,"*R- *")</f>
        <v>5</v>
      </c>
      <c r="S34" s="28">
        <f>COUNTIFS([1]Tissues!K:K,"PTAT",[1]Tissues!A:A,"in storage",[1]Tissues!AB:AB,"*liver*")</f>
        <v>20</v>
      </c>
      <c r="T34" s="28">
        <f>COUNTIFS([1]Tissues!K:K,"PTAT",[1]Tissues!A:A,"in storage",[1]Tissues!AB:AB,"*gallbladder*")</f>
        <v>0</v>
      </c>
      <c r="U34" s="28">
        <f>COUNTIFS([1]Tissues!K:K,"PTAT",[1]Tissues!A:A,"in storage",[1]Tissues!AB:AB,"*pancreas*")</f>
        <v>3</v>
      </c>
      <c r="V34" s="28">
        <f>COUNTIFS([1]Tissues!K:K,"PTAT",[1]Tissues!A:A,"in storage",[1]Tissues!AB:AB,"*GI-*")</f>
        <v>5</v>
      </c>
      <c r="W34" s="28">
        <f>COUNTIFS([1]Tissues!K:K,"PTAT",[1]Tissues!A:A,"in storage",[1]Tissues!AB:AB,"*lung*")</f>
        <v>11</v>
      </c>
      <c r="X34" s="28">
        <f>COUNTIFS([1]Tissues!K:K,"PTAT",[1]Tissues!A:A,"in storage",[1]Tissues!AB:AB,"*heart*")</f>
        <v>7</v>
      </c>
      <c r="Y34" s="28">
        <f>COUNTIFS([1]Tissues!K:K,"PTAT",[1]Tissues!A:A,"in storage",[1]Tissues!AB:AB,"*thyroid*")</f>
        <v>0</v>
      </c>
      <c r="Z34" s="28">
        <f>COUNTIFS([1]Tissues!K:K,"PTAT",[1]Tissues!A:A,"in storage",[1]Tissues!AB:AB,"*esophagus*")</f>
        <v>0</v>
      </c>
      <c r="AA34" s="28">
        <f>COUNTIFS([1]Tissues!K:K,"PTAT",[1]Tissues!A:A,"in storage",[1]Tissues!AB:AB,"*trachea*")</f>
        <v>0</v>
      </c>
      <c r="AB34" s="28">
        <f>COUNTIFS([1]Tissues!K:K,"PTAT",[1]Tissues!A:A,"in storage",[1]Tissues!AB:AB,"*eye*")</f>
        <v>1</v>
      </c>
      <c r="AC34" s="28">
        <f>COUNTIFS([1]Tissues!K:K,"PTAT",[1]Tissues!A:A,"in storage",[1]Tissues!AB:AB,"*skin*")</f>
        <v>3</v>
      </c>
      <c r="AD34" s="28">
        <f>COUNTIFS([1]Tissues!K:K,"PTAT",[1]Tissues!A:A,"in storage",[1]Tissues!AB:AB,"*muscle*")</f>
        <v>6</v>
      </c>
      <c r="AE34" s="28">
        <f>COUNTIFS([1]Tissues!K:K,"PTAT",[1]Tissues!A:A,"in storage",[1]Tissues!AB:AB,"*digit*")</f>
        <v>0</v>
      </c>
      <c r="AF34" s="28">
        <f>COUNTIFS([1]Tissues!K:K,"PTAT",[1]Tissues!A:A,"in storage",[1]Tissues!AB:AB,"*fat*")</f>
        <v>0</v>
      </c>
      <c r="AG34" s="28">
        <f>COUNTIFS([1]Tissues!K:K,"PTAT",[1]Tissues!A:A,"in storage",[1]Tissues!AB:AB,"*lymph node*")</f>
        <v>1</v>
      </c>
      <c r="AH34" s="28">
        <f>COUNTIFS([1]Tissues!K:K,"PTAT",[1]Tissues!A:A,"in storage",[1]Tissues!AB:AB,"*Mass*")</f>
        <v>7</v>
      </c>
      <c r="AI34" s="28">
        <f>COUNTIFS([1]Tissues!K:K,"PTAT",[1]Tissues!A:A,"in storage",[1]Tissues!AB:AB,"*tooth*")</f>
        <v>0</v>
      </c>
      <c r="AJ34" s="28">
        <f>COUNTIFS([1]Tissues!K:K,"PTAT",[1]Tissues!A:A,"in storage",[1]Tissues!AB:AB,"*tail*")</f>
        <v>0</v>
      </c>
      <c r="AK34" s="28">
        <f t="shared" si="0"/>
        <v>4</v>
      </c>
      <c r="AL34" s="27">
        <f>COUNTIFS([1]Tissues!K:K,"PTAT",[1]Tissues!A:A,"in storage")</f>
        <v>94</v>
      </c>
      <c r="AM34" s="26">
        <f>COUNTIFS([1]Brains!J:J,"PTAT",[1]Brains!A:A,"IS_whole")</f>
        <v>0</v>
      </c>
      <c r="AN34" s="26">
        <f>COUNTIFS([1]Brains!J:J,"PTAT",[1]Brains!A:A,"IS_partial_brain")</f>
        <v>1</v>
      </c>
      <c r="AO34" s="26">
        <f>COUNTIFS([1]Brains!J:J,"PTAT",[1]Brains!A:A,"IS_partial_FC_RNAlater")</f>
        <v>2</v>
      </c>
      <c r="AP34" s="19">
        <f>COUNTIFS([1]Brains!J:J,"PTAT",[1]Brains!A:A,"IS*")</f>
        <v>3</v>
      </c>
      <c r="AQ34" s="25">
        <f>COUNTIFS([1]Urine!K:K,"PTAT",[1]Urine!M:M,"M",[1]Urine!A:A,"IS_alqt_plus")</f>
        <v>0</v>
      </c>
      <c r="AR34" s="25">
        <f>COUNTIFS([1]Urine!K:K,"PTAT",[1]Urine!M:M,"F",[1]Urine!A:A,"IS_alqt_plus")</f>
        <v>0</v>
      </c>
      <c r="AS34" s="19">
        <f>COUNTIFS([1]Urine!K:K,"PTAT",[1]Urine!A:A,"IS*")</f>
        <v>0</v>
      </c>
      <c r="AT34" s="24">
        <f>SUMIFS([1]Urine!AC:AC,[1]Urine!K:K,"PTAT",[1]Urine!A:A,"IS*")</f>
        <v>0</v>
      </c>
      <c r="AU34" s="23">
        <f>COUNTIFS([1]Blood_Products!K:K,"PTAT",[1]Blood_Products!AB:AB,"WB",[1]Blood_Products!M:M,"M",[1]Blood_Products!A:A,"IS_alqt_plus")</f>
        <v>22</v>
      </c>
      <c r="AV34" s="23">
        <f>COUNTIFS([1]Blood_Products!K:K,"PTAT",[1]Blood_Products!AB:AB,"WB",[1]Blood_Products!M:M,"F",[1]Blood_Products!A:A,"IS_alqt_plus")</f>
        <v>0</v>
      </c>
      <c r="AW34" s="22">
        <f>COUNTIFS([1]Blood_Products!K:K,"PTAT",[1]Blood_Products!A:A,"IS*",[1]Blood_Products!AB:AB,"WB")</f>
        <v>24</v>
      </c>
      <c r="AX34" s="21">
        <f>SUMIFS([1]Blood_Products!AF:AF,[1]Blood_Products!K:K,"PTAT",[1]Blood_Products!A:A,"IS*",[1]Blood_Products!AB:AB,"WB")</f>
        <v>12.25</v>
      </c>
      <c r="AY34" s="23">
        <f>COUNTIFS([1]Blood_Products!K:K,"PTAT",[1]Blood_Products!AB:AB,"serum",[1]Blood_Products!M:M,"M",[1]Blood_Products!A:A,"IS_alqt_plus")</f>
        <v>33</v>
      </c>
      <c r="AZ34" s="23">
        <f>COUNTIFS([1]Blood_Products!K:K,"PTAT",[1]Blood_Products!AB:AB,"serum",[1]Blood_Products!M:M,"F",[1]Blood_Products!A:A,"IS_alqt_plus")</f>
        <v>0</v>
      </c>
      <c r="BA34" s="22">
        <f>COUNTIFS([1]Blood_Products!K:K,"PTAT",[1]Blood_Products!A:A,"IS*",[1]Blood_Products!AB:AB,"serum")</f>
        <v>33</v>
      </c>
      <c r="BB34" s="21">
        <f>SUMIFS([1]Blood_Products!AF:AF,[1]Blood_Products!K:K,"PTAT",[1]Blood_Products!A:A,"IS*",[1]Blood_Products!AB:AB,"serum")</f>
        <v>29.549999999999997</v>
      </c>
      <c r="BC34" s="23">
        <f>COUNTIFS([1]Blood_Products!K:K,"PTAT",[1]Blood_Products!AB:AB,"plasma",[1]Blood_Products!M:M,"M",[1]Blood_Products!A:A,"IS_alqt_plus")</f>
        <v>0</v>
      </c>
      <c r="BD34" s="23">
        <f>COUNTIFS([1]Blood_Products!K:K,"PTAT",[1]Blood_Products!AB:AB,"plasma",[1]Blood_Products!M:M,"F",[1]Blood_Products!A:A,"IS_alqt_plus")</f>
        <v>0</v>
      </c>
      <c r="BE34" s="22">
        <f>COUNTIFS([1]Blood_Products!K:K,"PTAT",[1]Blood_Products!A:A,"IS*",[1]Blood_Products!AB:AB,"plasma")</f>
        <v>0</v>
      </c>
      <c r="BF34" s="21">
        <f>SUMIFS([1]Blood_Products!AF:AF,[1]Blood_Products!K:K,"PTAT",[1]Blood_Products!A:A,"IS*",[1]Blood_Products!AB:AB,"plasma")</f>
        <v>0</v>
      </c>
      <c r="BG34" s="23">
        <f>COUNTIFS([1]Blood_Products!K:K,"PTAT",[1]Blood_Products!AB:AB,"PRBC",[1]Blood_Products!M:M,"M",[1]Blood_Products!A:A,"IS_alqt_plus")</f>
        <v>0</v>
      </c>
      <c r="BH34" s="23">
        <f>COUNTIFS([1]Blood_Products!K:K,"PTAT",[1]Blood_Products!AB:AB,"PRBC",[1]Blood_Products!M:M,"F",[1]Blood_Products!A:A,"IS_alqt_plus")</f>
        <v>0</v>
      </c>
      <c r="BI34" s="22">
        <f>COUNTIFS([1]Blood_Products!K:K,"PTAT",[1]Blood_Products!A:A,"IS*",[1]Blood_Products!AB:AB,"PRBC")</f>
        <v>0</v>
      </c>
      <c r="BJ34" s="21">
        <f>SUMIFS([1]Blood_Products!AF:AF,[1]Blood_Products!K:K,"PTAT",[1]Blood_Products!A:A,"IS*",[1]Blood_Products!AB:AB,"PRBC")</f>
        <v>0</v>
      </c>
      <c r="BK34" s="20">
        <f>COUNTIFS([1]Feces!K:K,"PTAT",[1]Feces!A:A,"in storage",[1]Feces!AB:AB,"feces",[1]Feces!M:M,"M")</f>
        <v>0</v>
      </c>
      <c r="BL34" s="20">
        <f>COUNTIFS([1]Feces!K:K,"PTAT",[1]Feces!A:A,"in storage",[1]Feces!AB:AB,"feces",[1]Feces!M:M,"F")</f>
        <v>0</v>
      </c>
      <c r="BM34" s="19">
        <f t="shared" si="1"/>
        <v>0</v>
      </c>
      <c r="BN34" s="20">
        <f>COUNTIFS([1]Feces!K:K,"PTAT",[1]Feces!A:A,"in storage",[1]Feces!AB:AB,"fecal swab",[1]Feces!M:M,"M")</f>
        <v>0</v>
      </c>
      <c r="BO34" s="20">
        <f>COUNTIFS([1]Feces!K:K,"PTAT",[1]Feces!A:A,"in storage",[1]Feces!AB:AB,"fecal swab",[1]Feces!M:M,"F")</f>
        <v>0</v>
      </c>
      <c r="BP34" s="19">
        <f t="shared" si="2"/>
        <v>0</v>
      </c>
      <c r="BQ34" s="18"/>
      <c r="BR34" s="18"/>
      <c r="BS34" s="18"/>
    </row>
    <row r="35" spans="1:71" s="17" customFormat="1" x14ac:dyDescent="0.35">
      <c r="A35" s="32" t="s">
        <v>8</v>
      </c>
      <c r="B35" s="30">
        <f>COUNTIFS([1]Cadavers!J:J,"PVV",[1]Cadavers!A:A,"in storage",[1]Cadavers!AO:AO,"Y",[1]Cadavers!L:L,"M")</f>
        <v>0</v>
      </c>
      <c r="C35" s="30">
        <f>COUNTIFS([1]Cadavers!J:J,"PVV",[1]Cadavers!A:A,"in storage",[1]Cadavers!AO:AO,"Y",[1]Cadavers!L:L,"F")</f>
        <v>0</v>
      </c>
      <c r="D35" s="30">
        <f>COUNTIFS([1]Cadavers!J:J,"PVV",[1]Cadavers!A:A,"in storage",[1]Cadavers!AO:AO,"Y",[1]Cadavers!L:L,"ND")</f>
        <v>0</v>
      </c>
      <c r="E35" s="31">
        <f>COUNTIFS([1]Cadavers!J:J,"PVV",[1]Cadavers!A:A,"in storage",[1]Cadavers!AO:AO,"Y")</f>
        <v>0</v>
      </c>
      <c r="F35" s="30">
        <f>COUNTIFS([1]Cadavers!J:J,"PVV",[1]Cadavers!A:A,"in storage",[1]Cadavers!AO:AO,"N",[1]Cadavers!L:L,"M")</f>
        <v>0</v>
      </c>
      <c r="G35" s="30">
        <f>COUNTIFS([1]Cadavers!J:J,"PVV",[1]Cadavers!A:A,"in storage",[1]Cadavers!AO:AO,"N",[1]Cadavers!L:L,"F")</f>
        <v>0</v>
      </c>
      <c r="H35" s="31">
        <f>COUNTIFS([1]Cadavers!J:J,"PVV",[1]Cadavers!A:A,"in storage",[1]Cadavers!AO:AO,"N")</f>
        <v>0</v>
      </c>
      <c r="I35" s="30">
        <f>COUNTIFS([1]Cadavers!J:J,"PVV")</f>
        <v>4</v>
      </c>
      <c r="J35" s="30">
        <f>COUNTIFS([1]Cadavers!J:J,"PVV",[1]Cadavers!A:A,"gone")</f>
        <v>2</v>
      </c>
      <c r="K35" s="30">
        <f>COUNTIFS([1]Cadavers!J:J,"PVV",[1]Cadavers!AQ:AQ,"Y*")</f>
        <v>0</v>
      </c>
      <c r="L35" s="30">
        <f>COUNTIFS([1]Cadavers!J:J,"PVV",[1]Cadavers!A:A,"ARK")</f>
        <v>1</v>
      </c>
      <c r="M35" s="19">
        <f>COUNTIFS([1]Cadavers!J:J,"PVV",[1]Cadavers!A:A,"in storage")</f>
        <v>1</v>
      </c>
      <c r="N35" s="28">
        <f>COUNTIFS([1]Tissues!K:K,"PVV",[1]Tissues!A:A,"in storage",[1]Tissues!AB:AB,"*adrenal*")</f>
        <v>0</v>
      </c>
      <c r="O35" s="28">
        <f>COUNTIFS([1]Tissues!K:K,"PVV",[1]Tissues!A:A,"in storage",[1]Tissues!AB:AB,"*kidney*")</f>
        <v>0</v>
      </c>
      <c r="P35" s="28">
        <f>COUNTIFS([1]Tissues!K:K,"PVV",[1]Tissues!A:A,"in storage",[1]Tissues!AB:AB,"*spleen*")</f>
        <v>0</v>
      </c>
      <c r="Q35" s="28">
        <f>COUNTIFS([1]Tissues!K:K,"PVV",[1]Tissues!A:A,"in storage",[1]Tissues!AB:AB,"*U- bladder*")</f>
        <v>0</v>
      </c>
      <c r="R35" s="29">
        <f>COUNTIFS([1]Tissues!K:K,"PVV",[1]Tissues!A:A,"in storage",[1]Tissues!AB:AB,"*R- *")</f>
        <v>0</v>
      </c>
      <c r="S35" s="28">
        <f>COUNTIFS([1]Tissues!K:K,"PVV",[1]Tissues!A:A,"in storage",[1]Tissues!AB:AB,"*liver*")</f>
        <v>0</v>
      </c>
      <c r="T35" s="28">
        <f>COUNTIFS([1]Tissues!K:K,"PVV",[1]Tissues!A:A,"in storage",[1]Tissues!AB:AB,"*gallbladder*")</f>
        <v>0</v>
      </c>
      <c r="U35" s="28">
        <f>COUNTIFS([1]Tissues!K:K,"PVV",[1]Tissues!A:A,"in storage",[1]Tissues!AB:AB,"*pancreas*")</f>
        <v>0</v>
      </c>
      <c r="V35" s="28">
        <f>COUNTIFS([1]Tissues!K:K,"PVV",[1]Tissues!A:A,"in storage",[1]Tissues!AB:AB,"*GI-*")</f>
        <v>0</v>
      </c>
      <c r="W35" s="28">
        <f>COUNTIFS([1]Tissues!K:K,"PVV",[1]Tissues!A:A,"in storage",[1]Tissues!AB:AB,"*lung*")</f>
        <v>0</v>
      </c>
      <c r="X35" s="28">
        <f>COUNTIFS([1]Tissues!K:K,"PVV",[1]Tissues!A:A,"in storage",[1]Tissues!AB:AB,"*heart*")</f>
        <v>0</v>
      </c>
      <c r="Y35" s="28">
        <f>COUNTIFS([1]Tissues!K:K,"PVV",[1]Tissues!A:A,"in storage",[1]Tissues!AB:AB,"*thyroid*")</f>
        <v>0</v>
      </c>
      <c r="Z35" s="28">
        <f>COUNTIFS([1]Tissues!K:K,"PVV",[1]Tissues!A:A,"in storage",[1]Tissues!AB:AB,"*esophagus*")</f>
        <v>0</v>
      </c>
      <c r="AA35" s="28">
        <f>COUNTIFS([1]Tissues!K:K,"PVV",[1]Tissues!A:A,"in storage",[1]Tissues!AB:AB,"*trachea*")</f>
        <v>0</v>
      </c>
      <c r="AB35" s="28">
        <f>COUNTIFS([1]Tissues!K:K,"PVV",[1]Tissues!A:A,"in storage",[1]Tissues!AB:AB,"*eye*")</f>
        <v>1</v>
      </c>
      <c r="AC35" s="28">
        <f>COUNTIFS([1]Tissues!K:K,"PVV",[1]Tissues!A:A,"in storage",[1]Tissues!AB:AB,"*skin*")</f>
        <v>0</v>
      </c>
      <c r="AD35" s="28">
        <f>COUNTIFS([1]Tissues!K:K,"PVV",[1]Tissues!A:A,"in storage",[1]Tissues!AB:AB,"*muscle*")</f>
        <v>0</v>
      </c>
      <c r="AE35" s="28">
        <f>COUNTIFS([1]Tissues!K:K,"PVV",[1]Tissues!A:A,"in storage",[1]Tissues!AB:AB,"*digit*")</f>
        <v>0</v>
      </c>
      <c r="AF35" s="28">
        <f>COUNTIFS([1]Tissues!K:K,"PVV",[1]Tissues!A:A,"in storage",[1]Tissues!AB:AB,"*fat*")</f>
        <v>0</v>
      </c>
      <c r="AG35" s="28">
        <f>COUNTIFS([1]Tissues!K:K,"PVV",[1]Tissues!A:A,"in storage",[1]Tissues!AB:AB,"*lymph node*")</f>
        <v>0</v>
      </c>
      <c r="AH35" s="28">
        <f>COUNTIFS([1]Tissues!K:K,"PVV",[1]Tissues!A:A,"in storage",[1]Tissues!AB:AB,"*Mass*")</f>
        <v>0</v>
      </c>
      <c r="AI35" s="28">
        <f>COUNTIFS([1]Tissues!K:K,"PVV",[1]Tissues!A:A,"in storage",[1]Tissues!AB:AB,"*tooth*")</f>
        <v>0</v>
      </c>
      <c r="AJ35" s="28">
        <f>COUNTIFS([1]Tissues!K:K,"PVV",[1]Tissues!A:A,"in storage",[1]Tissues!AB:AB,"*tail*")</f>
        <v>0</v>
      </c>
      <c r="AK35" s="28">
        <f t="shared" si="0"/>
        <v>0</v>
      </c>
      <c r="AL35" s="27">
        <f>COUNTIFS([1]Tissues!K:K,"PVV",[1]Tissues!A:A,"in storage")</f>
        <v>1</v>
      </c>
      <c r="AM35" s="26">
        <f>COUNTIFS([1]Brains!J:J,"PVV",[1]Brains!A:A,"IS_whole")</f>
        <v>0</v>
      </c>
      <c r="AN35" s="26">
        <f>COUNTIFS([1]Brains!J:J,"PVV",[1]Brains!A:A,"IS_partial_brain")</f>
        <v>0</v>
      </c>
      <c r="AO35" s="26">
        <f>COUNTIFS([1]Brains!J:J,"PVV",[1]Brains!A:A,"IS_partial_FC_RNAlater")</f>
        <v>0</v>
      </c>
      <c r="AP35" s="19">
        <f>COUNTIFS([1]Brains!J:J,"PVV",[1]Brains!A:A,"IS*")</f>
        <v>0</v>
      </c>
      <c r="AQ35" s="25">
        <f>COUNTIFS([1]Urine!K:K,"PVV",[1]Urine!M:M,"M",[1]Urine!A:A,"IS_alqt_plus")</f>
        <v>0</v>
      </c>
      <c r="AR35" s="25">
        <f>COUNTIFS([1]Urine!K:K,"PVV",[1]Urine!M:M,"F",[1]Urine!A:A,"IS_alqt_plus")</f>
        <v>0</v>
      </c>
      <c r="AS35" s="19">
        <f>COUNTIFS([1]Urine!K:K,"PVV",[1]Urine!A:A,"IS*")</f>
        <v>0</v>
      </c>
      <c r="AT35" s="24">
        <f>SUMIFS([1]Urine!AC:AC,[1]Urine!K:K,"PVV",[1]Urine!A:A,"IS*")</f>
        <v>0</v>
      </c>
      <c r="AU35" s="23">
        <f>COUNTIFS([1]Blood_Products!K:K,"PVV",[1]Blood_Products!AB:AB,"WB",[1]Blood_Products!M:M,"M",[1]Blood_Products!A:A,"IS_alqt_plus")</f>
        <v>0</v>
      </c>
      <c r="AV35" s="23">
        <f>COUNTIFS([1]Blood_Products!K:K,"PVV",[1]Blood_Products!AB:AB,"WB",[1]Blood_Products!M:M,"F",[1]Blood_Products!A:A,"IS_alqt_plus")</f>
        <v>0</v>
      </c>
      <c r="AW35" s="22">
        <f>COUNTIFS([1]Blood_Products!K:K,"PVV",[1]Blood_Products!A:A,"IS*",[1]Blood_Products!AB:AB,"WB")</f>
        <v>0</v>
      </c>
      <c r="AX35" s="21">
        <f>SUMIFS([1]Blood_Products!AF:AF,[1]Blood_Products!K:K,"PVV",[1]Blood_Products!A:A,"IS*",[1]Blood_Products!AB:AB,"WB")</f>
        <v>0</v>
      </c>
      <c r="AY35" s="23">
        <f>COUNTIFS([1]Blood_Products!K:K,"PVV",[1]Blood_Products!AB:AB,"serum",[1]Blood_Products!M:M,"M",[1]Blood_Products!A:A,"IS_alqt_plus")</f>
        <v>0</v>
      </c>
      <c r="AZ35" s="23">
        <f>COUNTIFS([1]Blood_Products!K:K,"PVV",[1]Blood_Products!AB:AB,"serum",[1]Blood_Products!M:M,"F",[1]Blood_Products!A:A,"IS_alqt_plus")</f>
        <v>0</v>
      </c>
      <c r="BA35" s="22">
        <f>COUNTIFS([1]Blood_Products!K:K,"PVV",[1]Blood_Products!A:A,"IS*",[1]Blood_Products!AB:AB,"serum")</f>
        <v>0</v>
      </c>
      <c r="BB35" s="21">
        <f>SUMIFS([1]Blood_Products!AF:AF,[1]Blood_Products!K:K,"PVV",[1]Blood_Products!A:A,"IS*",[1]Blood_Products!AB:AB,"serum")</f>
        <v>0</v>
      </c>
      <c r="BC35" s="23">
        <f>COUNTIFS([1]Blood_Products!K:K,"PVV",[1]Blood_Products!AB:AB,"plasma",[1]Blood_Products!M:M,"M",[1]Blood_Products!A:A,"IS_alqt_plus")</f>
        <v>0</v>
      </c>
      <c r="BD35" s="23">
        <f>COUNTIFS([1]Blood_Products!K:K,"PVV",[1]Blood_Products!AB:AB,"plasma",[1]Blood_Products!M:M,"F",[1]Blood_Products!A:A,"IS_alqt_plus")</f>
        <v>0</v>
      </c>
      <c r="BE35" s="22">
        <f>COUNTIFS([1]Blood_Products!K:K,"PVV",[1]Blood_Products!A:A,"IS*",[1]Blood_Products!AB:AB,"plasma")</f>
        <v>0</v>
      </c>
      <c r="BF35" s="21">
        <f>SUMIFS([1]Blood_Products!AF:AF,[1]Blood_Products!K:K,"PVV",[1]Blood_Products!A:A,"IS*",[1]Blood_Products!AB:AB,"plasma")</f>
        <v>0</v>
      </c>
      <c r="BG35" s="23">
        <f>COUNTIFS([1]Blood_Products!K:K,"PVV",[1]Blood_Products!AB:AB,"PRBC",[1]Blood_Products!M:M,"M",[1]Blood_Products!A:A,"IS_alqt_plus")</f>
        <v>0</v>
      </c>
      <c r="BH35" s="23">
        <f>COUNTIFS([1]Blood_Products!K:K,"PVV",[1]Blood_Products!AB:AB,"PRBC",[1]Blood_Products!M:M,"F",[1]Blood_Products!A:A,"IS_alqt_plus")</f>
        <v>0</v>
      </c>
      <c r="BI35" s="22">
        <f>COUNTIFS([1]Blood_Products!K:K,"PVV",[1]Blood_Products!A:A,"IS*",[1]Blood_Products!AB:AB,"PRBC")</f>
        <v>0</v>
      </c>
      <c r="BJ35" s="21">
        <f>SUMIFS([1]Blood_Products!AF:AF,[1]Blood_Products!K:K,"PVV",[1]Blood_Products!A:A,"IS*",[1]Blood_Products!AB:AB,"PRBC")</f>
        <v>0</v>
      </c>
      <c r="BK35" s="20">
        <f>COUNTIFS([1]Feces!K:K,"PVV",[1]Feces!A:A,"in storage",[1]Feces!AB:AB,"feces",[1]Feces!M:M,"M")</f>
        <v>0</v>
      </c>
      <c r="BL35" s="20">
        <f>COUNTIFS([1]Feces!K:K,"PVV",[1]Feces!A:A,"in storage",[1]Feces!AB:AB,"feces",[1]Feces!M:M,"F")</f>
        <v>0</v>
      </c>
      <c r="BM35" s="19">
        <f t="shared" si="1"/>
        <v>0</v>
      </c>
      <c r="BN35" s="20">
        <f>COUNTIFS([1]Feces!K:K,"PVV",[1]Feces!A:A,"in storage",[1]Feces!AB:AB,"fecal swab",[1]Feces!M:M,"M")</f>
        <v>0</v>
      </c>
      <c r="BO35" s="20">
        <f>COUNTIFS([1]Feces!K:K,"PVV",[1]Feces!A:A,"in storage",[1]Feces!AB:AB,"fecal swab",[1]Feces!M:M,"F")</f>
        <v>0</v>
      </c>
      <c r="BP35" s="19">
        <f t="shared" si="2"/>
        <v>0</v>
      </c>
      <c r="BQ35" s="18"/>
      <c r="BR35" s="18"/>
      <c r="BS35" s="18"/>
    </row>
    <row r="36" spans="1:71" s="17" customFormat="1" x14ac:dyDescent="0.35">
      <c r="A36" s="32" t="s">
        <v>7</v>
      </c>
      <c r="B36" s="30">
        <f>COUNTIFS([1]Cadavers!J:J,"Sang.Mid",[1]Cadavers!A:A,"in storage",[1]Cadavers!AO:AO,"Y",[1]Cadavers!L:L,"M")</f>
        <v>1</v>
      </c>
      <c r="C36" s="30">
        <f>COUNTIFS([1]Cadavers!J:J,"Sang.Mid",[1]Cadavers!A:A,"in storage",[1]Cadavers!AO:AO,"Y",[1]Cadavers!L:L,"F")</f>
        <v>0</v>
      </c>
      <c r="D36" s="30">
        <f>COUNTIFS([1]Cadavers!J:J,"Sang.Mid",[1]Cadavers!A:A,"in storage",[1]Cadavers!AO:AO,"Y",[1]Cadavers!L:L,"ND")</f>
        <v>0</v>
      </c>
      <c r="E36" s="31">
        <f>COUNTIFS([1]Cadavers!J:J,"Sang.Mid",[1]Cadavers!A:A,"in storage",[1]Cadavers!AO:AO,"Y")</f>
        <v>1</v>
      </c>
      <c r="F36" s="30">
        <f>COUNTIFS([1]Cadavers!J:J,"Sang.Mid",[1]Cadavers!A:A,"in storage",[1]Cadavers!AO:AO,"N",[1]Cadavers!L:L,"M")</f>
        <v>0</v>
      </c>
      <c r="G36" s="30">
        <f>COUNTIFS([1]Cadavers!J:J,"Sang.Mid",[1]Cadavers!A:A,"in storage",[1]Cadavers!AO:AO,"N",[1]Cadavers!L:L,"F")</f>
        <v>0</v>
      </c>
      <c r="H36" s="31">
        <f>COUNTIFS([1]Cadavers!J:J,"Sang.Mid",[1]Cadavers!A:A,"in storage",[1]Cadavers!AO:AO,"N")</f>
        <v>0</v>
      </c>
      <c r="I36" s="30">
        <f>COUNTIFS([1]Cadavers!J:J,"Sang.Mid")</f>
        <v>1</v>
      </c>
      <c r="J36" s="30">
        <f>COUNTIFS([1]Cadavers!J:J,"Sang.Mid",[1]Cadavers!A:A,"gone")</f>
        <v>0</v>
      </c>
      <c r="K36" s="30">
        <f>COUNTIFS([1]Cadavers!J:J,"Sang.Mid",[1]Cadavers!AQ:AQ,"Y*")</f>
        <v>0</v>
      </c>
      <c r="L36" s="30">
        <f>COUNTIFS([1]Cadavers!J:J,"Sang.Mid",[1]Cadavers!A:A,"ARK")</f>
        <v>0</v>
      </c>
      <c r="M36" s="19">
        <f>COUNTIFS([1]Cadavers!J:J,"Sang.MId",[1]Cadavers!A:A,"in storage")</f>
        <v>1</v>
      </c>
      <c r="N36" s="28">
        <f>COUNTIFS([1]Tissues!K:K,"Sang.Mid",[1]Tissues!A:A,"in storage",[1]Tissues!AB:AB,"*adrenal*")</f>
        <v>0</v>
      </c>
      <c r="O36" s="28">
        <f>COUNTIFS([1]Tissues!K:K,"Sang.MId",[1]Tissues!A:A,"in storage",[1]Tissues!AB:AB,"*kidney*")</f>
        <v>0</v>
      </c>
      <c r="P36" s="28">
        <f>COUNTIFS([1]Tissues!K:K,"Sang.Mid",[1]Tissues!A:A,"in storage",[1]Tissues!AB:AB,"*spleen*")</f>
        <v>0</v>
      </c>
      <c r="Q36" s="28">
        <f>COUNTIFS([1]Tissues!K:K,"Sang.Mid",[1]Tissues!A:A,"in storage",[1]Tissues!AB:AB,"*U- bladder*")</f>
        <v>0</v>
      </c>
      <c r="R36" s="29">
        <f>COUNTIFS([1]Tissues!K:K,"Sang.Mid",[1]Tissues!A:A,"in storage",[1]Tissues!AB:AB,"*R- *")</f>
        <v>0</v>
      </c>
      <c r="S36" s="28">
        <f>COUNTIFS([1]Tissues!K:K,"Sang.Mid",[1]Tissues!A:A,"in storage",[1]Tissues!AB:AB,"*liver*")</f>
        <v>0</v>
      </c>
      <c r="T36" s="28">
        <f>COUNTIFS([1]Tissues!K:K,"Sang.Mid",[1]Tissues!A:A,"in storage",[1]Tissues!AB:AB,"*gallbladder*")</f>
        <v>0</v>
      </c>
      <c r="U36" s="28">
        <f>COUNTIFS([1]Tissues!K:K,"Sang.Mid",[1]Tissues!A:A,"in storage",[1]Tissues!AB:AB,"*pancreas*")</f>
        <v>0</v>
      </c>
      <c r="V36" s="28">
        <f>COUNTIFS([1]Tissues!K:K,"Sang.Mid",[1]Tissues!A:A,"in storage",[1]Tissues!AB:AB,"*GI-*")</f>
        <v>0</v>
      </c>
      <c r="W36" s="28">
        <f>COUNTIFS([1]Tissues!K:K,"Sang.Mid",[1]Tissues!A:A,"in storage",[1]Tissues!AB:AB,"*lung*")</f>
        <v>0</v>
      </c>
      <c r="X36" s="28">
        <f>COUNTIFS([1]Tissues!K:K,"Sang.Mid",[1]Tissues!A:A,"in storage",[1]Tissues!AB:AB,"*heart*")</f>
        <v>0</v>
      </c>
      <c r="Y36" s="28">
        <f>COUNTIFS([1]Tissues!K:K,"Sang.Mid",[1]Tissues!A:A,"in storage",[1]Tissues!AB:AB,"*thyroid*")</f>
        <v>0</v>
      </c>
      <c r="Z36" s="28">
        <f>COUNTIFS([1]Tissues!K:K,"Sang.Mid",[1]Tissues!A:A,"in storage",[1]Tissues!AB:AB,"*esophagus*")</f>
        <v>0</v>
      </c>
      <c r="AA36" s="28">
        <f>COUNTIFS([1]Tissues!K:K,"Sang.Mid",[1]Tissues!A:A,"in storage",[1]Tissues!AB:AB,"*trachea*")</f>
        <v>0</v>
      </c>
      <c r="AB36" s="28">
        <f>COUNTIFS([1]Tissues!K:K,"Sang.Mid",[1]Tissues!A:A,"in storage",[1]Tissues!AB:AB,"*eye*")</f>
        <v>0</v>
      </c>
      <c r="AC36" s="28">
        <f>COUNTIFS([1]Tissues!K:K,"Sang.Mid",[1]Tissues!A:A,"in storage",[1]Tissues!AB:AB,"*skin*")</f>
        <v>0</v>
      </c>
      <c r="AD36" s="28">
        <f>COUNTIFS([1]Tissues!K:K,"Sang.Mid",[1]Tissues!A:A,"in storage",[1]Tissues!AB:AB,"*muscle*")</f>
        <v>0</v>
      </c>
      <c r="AE36" s="28">
        <f>COUNTIFS([1]Tissues!K:K,"Sang.Mid",[1]Tissues!A:A,"in storage",[1]Tissues!AB:AB,"*digit*")</f>
        <v>0</v>
      </c>
      <c r="AF36" s="28">
        <f>COUNTIFS([1]Tissues!K:K,"Sang.Mid",[1]Tissues!A:A,"in storage",[1]Tissues!AB:AB,"*fat*")</f>
        <v>0</v>
      </c>
      <c r="AG36" s="28">
        <f>COUNTIFS([1]Tissues!K:K,"Sang.Mid",[1]Tissues!A:A,"in storage",[1]Tissues!AB:AB,"*lymph node*")</f>
        <v>0</v>
      </c>
      <c r="AH36" s="28">
        <f>COUNTIFS([1]Tissues!K:K,"Sang.Mid",[1]Tissues!A:A,"in storage",[1]Tissues!AB:AB,"*Mass*")</f>
        <v>0</v>
      </c>
      <c r="AI36" s="28">
        <f>COUNTIFS([1]Tissues!K:K,"Sang.Mid",[1]Tissues!A:A,"in storage",[1]Tissues!AB:AB,"*tooth*")</f>
        <v>0</v>
      </c>
      <c r="AJ36" s="28">
        <f>COUNTIFS([1]Tissues!K:K,"Sang.Mid",[1]Tissues!A:A,"in storage",[1]Tissues!AB:AB,"*tail*")</f>
        <v>0</v>
      </c>
      <c r="AK36" s="28">
        <f t="shared" si="0"/>
        <v>0</v>
      </c>
      <c r="AL36" s="27">
        <f>COUNTIFS([1]Tissues!K:K,"Sang.Mid",[1]Tissues!A:A,"in storage")</f>
        <v>0</v>
      </c>
      <c r="AM36" s="26">
        <f>COUNTIFS([1]Brains!J:J,"Sang.Mid",[1]Brains!A:A,"IS_whole")</f>
        <v>0</v>
      </c>
      <c r="AN36" s="26">
        <f>COUNTIFS([1]Brains!J:J,"Sang.Mid",[1]Brains!A:A,"IS_partial_brain")</f>
        <v>0</v>
      </c>
      <c r="AO36" s="26">
        <f>COUNTIFS([1]Brains!J:J,"Sang.Mid",[1]Brains!A:A,"IS_partial_FC_RNAlater")</f>
        <v>0</v>
      </c>
      <c r="AP36" s="19">
        <f>COUNTIFS([1]Brains!J:J,"Sang.Mid",[1]Brains!A:A,"IS*")</f>
        <v>0</v>
      </c>
      <c r="AQ36" s="25">
        <f>COUNTIFS([1]Urine!K:K,"Sang.Mid",[1]Urine!M:M,"M",[1]Urine!A:A,"IS_alqt_plus")</f>
        <v>0</v>
      </c>
      <c r="AR36" s="25">
        <f>COUNTIFS([1]Urine!K:K,"Sang.Mid",[1]Urine!M:M,"F",[1]Urine!A:A,"IS_alqt_plus")</f>
        <v>0</v>
      </c>
      <c r="AS36" s="19">
        <f>COUNTIFS([1]Urine!K:K,"Sang.Mid",[1]Urine!A:A,"IS*")</f>
        <v>0</v>
      </c>
      <c r="AT36" s="24">
        <f>SUMIFS([1]Urine!AC:AC,[1]Urine!K:K,"Sang.Mid",[1]Urine!A:A,"IS*")</f>
        <v>0</v>
      </c>
      <c r="AU36" s="23">
        <f>COUNTIFS([1]Blood_Products!K:K,"Sang.Mid",[1]Blood_Products!AB:AB,"WB",[1]Blood_Products!M:M,"M",[1]Blood_Products!A:A,"IS_alqt_plus")</f>
        <v>0</v>
      </c>
      <c r="AV36" s="23">
        <f>COUNTIFS([1]Blood_Products!K:K,"Sang.Mid",[1]Blood_Products!AB:AB,"WB",[1]Blood_Products!M:M,"F",[1]Blood_Products!A:A,"IS_alqt_plus")</f>
        <v>0</v>
      </c>
      <c r="AW36" s="22">
        <f>COUNTIFS([1]Blood_Products!K:K,"Sang.Mid",[1]Blood_Products!A:A,"IS*",[1]Blood_Products!AB:AB,"WB")</f>
        <v>0</v>
      </c>
      <c r="AX36" s="21">
        <f>SUMIFS([1]Blood_Products!AF:AF,[1]Blood_Products!K:K,"Sang.Mid",[1]Blood_Products!A:A,"IS*",[1]Blood_Products!AB:AB,"WB")</f>
        <v>0</v>
      </c>
      <c r="AY36" s="23">
        <f>COUNTIFS([1]Blood_Products!K:K,"Sang.Mid",[1]Blood_Products!AB:AB,"serum",[1]Blood_Products!M:M,"M",[1]Blood_Products!A:A,"IS_alqt_plus")</f>
        <v>0</v>
      </c>
      <c r="AZ36" s="23">
        <f>COUNTIFS([1]Blood_Products!K:K,"Sang.Mid",[1]Blood_Products!AB:AB,"serum",[1]Blood_Products!M:M,"F",[1]Blood_Products!A:A,"IS_alqt_plus")</f>
        <v>0</v>
      </c>
      <c r="BA36" s="22">
        <f>COUNTIFS([1]Blood_Products!K:K,"Sang.Mid",[1]Blood_Products!A:A,"IS*",[1]Blood_Products!AB:AB,"serum")</f>
        <v>0</v>
      </c>
      <c r="BB36" s="21">
        <f>SUMIFS([1]Blood_Products!AF:AF,[1]Blood_Products!K:K,"Sang.Mid",[1]Blood_Products!A:A,"IS*",[1]Blood_Products!AB:AB,"serum")</f>
        <v>0</v>
      </c>
      <c r="BC36" s="23">
        <f>COUNTIFS([1]Blood_Products!K:K,"Sang.Mid",[1]Blood_Products!AB:AB,"plasma",[1]Blood_Products!M:M,"M",[1]Blood_Products!A:A,"IS_alqt_plus")</f>
        <v>0</v>
      </c>
      <c r="BD36" s="23">
        <f>COUNTIFS([1]Blood_Products!K:K,"Sang.Mid",[1]Blood_Products!AB:AB,"plasma",[1]Blood_Products!M:M,"F",[1]Blood_Products!A:A,"IS_alqt_plus")</f>
        <v>0</v>
      </c>
      <c r="BE36" s="22">
        <f>COUNTIFS([1]Blood_Products!K:K,"Sang.Mid",[1]Blood_Products!A:A,"IS*",[1]Blood_Products!AB:AB,"plasma")</f>
        <v>0</v>
      </c>
      <c r="BF36" s="21">
        <f>SUMIFS([1]Blood_Products!AF:AF,[1]Blood_Products!K:K,"Sang.Mid",[1]Blood_Products!A:A,"IS*",[1]Blood_Products!AB:AB,"plasma")</f>
        <v>0</v>
      </c>
      <c r="BG36" s="23">
        <f>COUNTIFS([1]Blood_Products!K:K,"Sang.Mid",[1]Blood_Products!AB:AB,"PRBC",[1]Blood_Products!M:M,"M",[1]Blood_Products!A:A,"IS_alqt_plus")</f>
        <v>0</v>
      </c>
      <c r="BH36" s="23">
        <f>COUNTIFS([1]Blood_Products!K:K,"Sang.Mid",[1]Blood_Products!AB:AB,"PRBC",[1]Blood_Products!M:M,"F",[1]Blood_Products!A:A,"IS_alqt_plus")</f>
        <v>0</v>
      </c>
      <c r="BI36" s="22">
        <f>COUNTIFS([1]Blood_Products!K:K,"Sang.Mid",[1]Blood_Products!A:A,"IS*",[1]Blood_Products!AB:AB,"PRBC")</f>
        <v>0</v>
      </c>
      <c r="BJ36" s="21">
        <f>SUMIFS([1]Blood_Products!AF:AF,[1]Blood_Products!K:K,"Sang.Mid",[1]Blood_Products!A:A,"IS*",[1]Blood_Products!AB:AB,"PRBC")</f>
        <v>0</v>
      </c>
      <c r="BK36" s="20">
        <f>COUNTIFS([1]Feces!K:K,"Sang.Mid",[1]Feces!A:A,"in storage",[1]Feces!AB:AB,"feces",[1]Feces!M:M,"M")</f>
        <v>0</v>
      </c>
      <c r="BL36" s="20">
        <f>COUNTIFS([1]Feces!K:K,"Sang.Mid",[1]Feces!A:A,"in storage",[1]Feces!AB:AB,"feces",[1]Feces!M:M,"F")</f>
        <v>0</v>
      </c>
      <c r="BM36" s="19">
        <f t="shared" si="1"/>
        <v>0</v>
      </c>
      <c r="BN36" s="20">
        <f>COUNTIFS([1]Feces!K:K,"Sang.Mid",[1]Feces!A:A,"in storage",[1]Feces!AB:AB,"fecal swab",[1]Feces!M:M,"M")</f>
        <v>0</v>
      </c>
      <c r="BO36" s="20">
        <f>COUNTIFS([1]Feces!K:K,"Sang.Mid",[1]Feces!A:A,"in storage",[1]Feces!AB:AB,"fecal swab",[1]Feces!M:M,"F")</f>
        <v>0</v>
      </c>
      <c r="BP36" s="19">
        <f t="shared" si="2"/>
        <v>0</v>
      </c>
      <c r="BQ36" s="18"/>
      <c r="BR36" s="18"/>
      <c r="BS36" s="18"/>
    </row>
    <row r="37" spans="1:71" s="17" customFormat="1" x14ac:dyDescent="0.35">
      <c r="A37" s="32" t="s">
        <v>6</v>
      </c>
      <c r="B37" s="30">
        <f>COUNTIFS([1]Cadavers!J:J,"TBAN",[1]Cadavers!A:A,"in storage",[1]Cadavers!AO:AO,"Y",[1]Cadavers!L:L,"M")</f>
        <v>0</v>
      </c>
      <c r="C37" s="30">
        <f>COUNTIFS([1]Cadavers!J:J,"TBAN",[1]Cadavers!A:A,"in storage",[1]Cadavers!AO:AO,"Y",[1]Cadavers!L:L,"F")</f>
        <v>0</v>
      </c>
      <c r="D37" s="30">
        <f>COUNTIFS([1]Cadavers!J:J,"TBAN",[1]Cadavers!A:A,"in storage",[1]Cadavers!AO:AO,"Y",[1]Cadavers!L:L,"ND")</f>
        <v>0</v>
      </c>
      <c r="E37" s="31">
        <f>COUNTIFS([1]Cadavers!J:J,"TBAN",[1]Cadavers!A:A,"in storage",[1]Cadavers!AO:AO,"Y")</f>
        <v>0</v>
      </c>
      <c r="F37" s="30">
        <f>COUNTIFS([1]Cadavers!J:J,"TBAN",[1]Cadavers!A:A,"in storage",[1]Cadavers!AO:AO,"N",[1]Cadavers!L:L,"M")</f>
        <v>0</v>
      </c>
      <c r="G37" s="30">
        <f>COUNTIFS([1]Cadavers!J:J,"TBAN",[1]Cadavers!A:A,"in storage",[1]Cadavers!AO:AO,"N",[1]Cadavers!L:L,"F")</f>
        <v>0</v>
      </c>
      <c r="H37" s="31">
        <f>COUNTIFS([1]Cadavers!J:J,"TBAN",[1]Cadavers!A:A,"in storage",[1]Cadavers!AO:AO,"N")</f>
        <v>0</v>
      </c>
      <c r="I37" s="30">
        <f>COUNTIFS([1]Cadavers!J:J,"TBAN")</f>
        <v>1</v>
      </c>
      <c r="J37" s="30">
        <f>COUNTIFS([1]Cadavers!J:J,"TBAN",[1]Cadavers!A:A,"gone")</f>
        <v>0</v>
      </c>
      <c r="K37" s="30">
        <f>COUNTIFS([1]Cadavers!J:J,"TBAN",[1]Cadavers!AQ:AQ,"Y*")</f>
        <v>1</v>
      </c>
      <c r="L37" s="30">
        <f>COUNTIFS([1]Cadavers!J:J,"TBAN",[1]Cadavers!A:A,"ARK")</f>
        <v>1</v>
      </c>
      <c r="M37" s="19">
        <f>COUNTIFS([1]Cadavers!J:J,"TBAN",[1]Cadavers!A:A,"in storage")</f>
        <v>0</v>
      </c>
      <c r="N37" s="28">
        <f>COUNTIFS([1]Tissues!K:K,"TBAN",[1]Tissues!A:A,"in storage",[1]Tissues!AB:AB,"*adrenal*")</f>
        <v>0</v>
      </c>
      <c r="O37" s="28">
        <f>COUNTIFS([1]Tissues!K:K,"TBAN",[1]Tissues!A:A,"in storage",[1]Tissues!AB:AB,"*kidney*")</f>
        <v>0</v>
      </c>
      <c r="P37" s="28">
        <f>COUNTIFS([1]Tissues!K:K,"TBAN",[1]Tissues!A:A,"in storage",[1]Tissues!AB:AB,"*spleen*")</f>
        <v>0</v>
      </c>
      <c r="Q37" s="28">
        <f>COUNTIFS([1]Tissues!K:K,"TBAN",[1]Tissues!A:A,"in storage",[1]Tissues!AB:AB,"*U- bladder*")</f>
        <v>0</v>
      </c>
      <c r="R37" s="29">
        <f>COUNTIFS([1]Tissues!K:K,"TBAN",[1]Tissues!A:A,"in storage",[1]Tissues!AB:AB,"*R- *")</f>
        <v>0</v>
      </c>
      <c r="S37" s="28">
        <f>COUNTIFS([1]Tissues!K:K,"TBAN",[1]Tissues!A:A,"in storage",[1]Tissues!AB:AB,"*liver*")</f>
        <v>0</v>
      </c>
      <c r="T37" s="28">
        <f>COUNTIFS([1]Tissues!K:K,"TBAN",[1]Tissues!A:A,"in storage",[1]Tissues!AB:AB,"*gallbladder*")</f>
        <v>0</v>
      </c>
      <c r="U37" s="28">
        <f>COUNTIFS([1]Tissues!K:K,"TBAN",[1]Tissues!A:A,"in storage",[1]Tissues!AB:AB,"*pancreas*")</f>
        <v>0</v>
      </c>
      <c r="V37" s="28">
        <f>COUNTIFS([1]Tissues!K:K,"TBAN",[1]Tissues!A:A,"in storage",[1]Tissues!AB:AB,"*GI-*")</f>
        <v>0</v>
      </c>
      <c r="W37" s="28">
        <f>COUNTIFS([1]Tissues!K:K,"TBAN",[1]Tissues!A:A,"in storage",[1]Tissues!AB:AB,"*lung*")</f>
        <v>0</v>
      </c>
      <c r="X37" s="28">
        <f>COUNTIFS([1]Tissues!K:K,"TBAN",[1]Tissues!A:A,"in storage",[1]Tissues!AB:AB,"*heart*")</f>
        <v>0</v>
      </c>
      <c r="Y37" s="28">
        <f>COUNTIFS([1]Tissues!K:K,"TBAN",[1]Tissues!A:A,"in storage",[1]Tissues!AB:AB,"*thyroid*")</f>
        <v>0</v>
      </c>
      <c r="Z37" s="28">
        <f>COUNTIFS([1]Tissues!K:K,"TBAN",[1]Tissues!A:A,"in storage",[1]Tissues!AB:AB,"*esophagus*")</f>
        <v>0</v>
      </c>
      <c r="AA37" s="28">
        <f>COUNTIFS([1]Tissues!K:K,"TBAN",[1]Tissues!A:A,"in storage",[1]Tissues!AB:AB,"*trachea*")</f>
        <v>0</v>
      </c>
      <c r="AB37" s="28">
        <f>COUNTIFS([1]Tissues!K:K,"TBAN",[1]Tissues!A:A,"in storage",[1]Tissues!AB:AB,"*eye*")</f>
        <v>1</v>
      </c>
      <c r="AC37" s="28">
        <f>COUNTIFS([1]Tissues!K:K,"TBAN",[1]Tissues!A:A,"in storage",[1]Tissues!AB:AB,"*skin*")</f>
        <v>0</v>
      </c>
      <c r="AD37" s="28">
        <f>COUNTIFS([1]Tissues!K:K,"TBAN",[1]Tissues!A:A,"in storage",[1]Tissues!AB:AB,"*muscle*")</f>
        <v>0</v>
      </c>
      <c r="AE37" s="28">
        <f>COUNTIFS([1]Tissues!K:K,"TBAN",[1]Tissues!A:A,"in storage",[1]Tissues!AB:AB,"*digit*")</f>
        <v>0</v>
      </c>
      <c r="AF37" s="28">
        <f>COUNTIFS([1]Tissues!K:K,"TBAN",[1]Tissues!A:A,"in storage",[1]Tissues!AB:AB,"*fat*")</f>
        <v>0</v>
      </c>
      <c r="AG37" s="28">
        <f>COUNTIFS([1]Tissues!K:K,"TBAN",[1]Tissues!A:A,"in storage",[1]Tissues!AB:AB,"*lymph node*")</f>
        <v>0</v>
      </c>
      <c r="AH37" s="28">
        <f>COUNTIFS([1]Tissues!K:K,"TBAN",[1]Tissues!A:A,"in storage",[1]Tissues!AB:AB,"*Mass*")</f>
        <v>0</v>
      </c>
      <c r="AI37" s="28">
        <f>COUNTIFS([1]Tissues!K:K,"TBAN",[1]Tissues!A:A,"in storage",[1]Tissues!AB:AB,"*tooth*")</f>
        <v>0</v>
      </c>
      <c r="AJ37" s="28">
        <f>COUNTIFS([1]Tissues!K:K,"TBAN",[1]Tissues!A:A,"in storage",[1]Tissues!AB:AB,"*tail*")</f>
        <v>0</v>
      </c>
      <c r="AK37" s="28">
        <f t="shared" si="0"/>
        <v>0</v>
      </c>
      <c r="AL37" s="27">
        <f>COUNTIFS([1]Tissues!K:K,"TBAN",[1]Tissues!A:A,"in storage")</f>
        <v>1</v>
      </c>
      <c r="AM37" s="26">
        <f>COUNTIFS([1]Brains!J:J,"TBAN",[1]Brains!A:A,"IS_whole")</f>
        <v>0</v>
      </c>
      <c r="AN37" s="26">
        <f>COUNTIFS([1]Brains!J:J,"TBAN",[1]Brains!A:A,"IS_partial_brain")</f>
        <v>0</v>
      </c>
      <c r="AO37" s="26">
        <f>COUNTIFS([1]Brains!J:J,"TBAN",[1]Brains!A:A,"IS_partial_FC_RNAlater")</f>
        <v>0</v>
      </c>
      <c r="AP37" s="19">
        <f>COUNTIFS([1]Brains!J:J,"TBAN",[1]Brains!A:A,"IS*")</f>
        <v>0</v>
      </c>
      <c r="AQ37" s="25">
        <f>COUNTIFS([1]Urine!K:K,"TBAN",[1]Urine!M:M,"M",[1]Urine!A:A,"IS_alqt_plus")</f>
        <v>0</v>
      </c>
      <c r="AR37" s="25">
        <f>COUNTIFS([1]Urine!K:K,"TBAN",[1]Urine!M:M,"F",[1]Urine!A:A,"IS_alqt_plus")</f>
        <v>0</v>
      </c>
      <c r="AS37" s="19">
        <f>COUNTIFS([1]Urine!K:K,"TBAN",[1]Urine!A:A,"IS*")</f>
        <v>0</v>
      </c>
      <c r="AT37" s="24">
        <f>SUMIFS([1]Urine!AC:AC,[1]Urine!K:K,"TBAN",[1]Urine!A:A,"IS*")</f>
        <v>0</v>
      </c>
      <c r="AU37" s="23">
        <f>COUNTIFS([1]Blood_Products!K:K,"TBAN",[1]Blood_Products!AB:AB,"WB",[1]Blood_Products!M:M,"M",[1]Blood_Products!A:A,"IS_alqt_plus")</f>
        <v>0</v>
      </c>
      <c r="AV37" s="23">
        <f>COUNTIFS([1]Blood_Products!K:K,"TBAN",[1]Blood_Products!AB:AB,"WB",[1]Blood_Products!M:M,"F",[1]Blood_Products!A:A,"IS_alqt_plus")</f>
        <v>0</v>
      </c>
      <c r="AW37" s="22">
        <f>COUNTIFS([1]Blood_Products!K:K,"TBAN",[1]Blood_Products!A:A,"IS*",[1]Blood_Products!AB:AB,"WB")</f>
        <v>0</v>
      </c>
      <c r="AX37" s="21">
        <f>SUMIFS([1]Blood_Products!AF:AF,[1]Blood_Products!K:K,"TBAN",[1]Blood_Products!A:A,"IS*",[1]Blood_Products!AB:AB,"WB")</f>
        <v>0</v>
      </c>
      <c r="AY37" s="23">
        <f>COUNTIFS([1]Blood_Products!K:K,"TBAN",[1]Blood_Products!AB:AB,"serum",[1]Blood_Products!M:M,"M",[1]Blood_Products!A:A,"IS_alqt_plus")</f>
        <v>0</v>
      </c>
      <c r="AZ37" s="23">
        <f>COUNTIFS([1]Blood_Products!K:K,"TBAN",[1]Blood_Products!AB:AB,"serum",[1]Blood_Products!M:M,"F",[1]Blood_Products!A:A,"IS_alqt_plus")</f>
        <v>0</v>
      </c>
      <c r="BA37" s="22">
        <f>COUNTIFS([1]Blood_Products!K:K,"TBAN",[1]Blood_Products!A:A,"IS*",[1]Blood_Products!AB:AB,"serum")</f>
        <v>0</v>
      </c>
      <c r="BB37" s="21">
        <f>SUMIFS([1]Blood_Products!AF:AF,[1]Blood_Products!K:K,"TBAN",[1]Blood_Products!A:A,"IS*",[1]Blood_Products!AB:AB,"serum")</f>
        <v>0</v>
      </c>
      <c r="BC37" s="23">
        <f>COUNTIFS([1]Blood_Products!K:K,"TBAN",[1]Blood_Products!AB:AB,"plasma",[1]Blood_Products!M:M,"M",[1]Blood_Products!A:A,"IS_alqt_plus")</f>
        <v>0</v>
      </c>
      <c r="BD37" s="23">
        <f>COUNTIFS([1]Blood_Products!K:K,"TBAN",[1]Blood_Products!AB:AB,"plasma",[1]Blood_Products!M:M,"F",[1]Blood_Products!A:A,"IS_alqt_plus")</f>
        <v>0</v>
      </c>
      <c r="BE37" s="22">
        <f>COUNTIFS([1]Blood_Products!K:K,"TBAN",[1]Blood_Products!A:A,"IS*",[1]Blood_Products!AB:AB,"plasma")</f>
        <v>0</v>
      </c>
      <c r="BF37" s="21">
        <f>SUMIFS([1]Blood_Products!AF:AF,[1]Blood_Products!K:K,"TBAN",[1]Blood_Products!A:A,"IS*",[1]Blood_Products!AB:AB,"plasma")</f>
        <v>0</v>
      </c>
      <c r="BG37" s="23">
        <f>COUNTIFS([1]Blood_Products!K:K,"TBAN",[1]Blood_Products!AB:AB,"PRBC",[1]Blood_Products!M:M,"M",[1]Blood_Products!A:A,"IS_alqt_plus")</f>
        <v>0</v>
      </c>
      <c r="BH37" s="23">
        <f>COUNTIFS([1]Blood_Products!K:K,"TBAN",[1]Blood_Products!AB:AB,"PRBC",[1]Blood_Products!M:M,"F",[1]Blood_Products!A:A,"IS_alqt_plus")</f>
        <v>0</v>
      </c>
      <c r="BI37" s="22">
        <f>COUNTIFS([1]Blood_Products!K:K,"TBAN",[1]Blood_Products!A:A,"IS*",[1]Blood_Products!AB:AB,"PRBC")</f>
        <v>0</v>
      </c>
      <c r="BJ37" s="21">
        <f>SUMIFS([1]Blood_Products!AF:AF,[1]Blood_Products!K:K,"TBAN",[1]Blood_Products!A:A,"IS*",[1]Blood_Products!AB:AB,"PRBC")</f>
        <v>0</v>
      </c>
      <c r="BK37" s="20">
        <f>COUNTIFS([1]Feces!K:K,"TBAN",[1]Feces!A:A,"in storage",[1]Feces!AB:AB,"feces",[1]Feces!M:M,"M")</f>
        <v>0</v>
      </c>
      <c r="BL37" s="20">
        <f>COUNTIFS([1]Feces!K:K,"TBAN",[1]Feces!A:A,"in storage",[1]Feces!AB:AB,"feces",[1]Feces!M:M,"F")</f>
        <v>0</v>
      </c>
      <c r="BM37" s="19">
        <f t="shared" si="1"/>
        <v>0</v>
      </c>
      <c r="BN37" s="20">
        <f>COUNTIFS([1]Feces!K:K,"TBAN",[1]Feces!A:A,"in storage",[1]Feces!AB:AB,"fecal swab",[1]Feces!M:M,"M")</f>
        <v>0</v>
      </c>
      <c r="BO37" s="20">
        <f>COUNTIFS([1]Feces!K:K,"TBAN",[1]Feces!A:A,"in storage",[1]Feces!AB:AB,"fecal swab",[1]Feces!M:M,"F")</f>
        <v>0</v>
      </c>
      <c r="BP37" s="19">
        <f t="shared" si="2"/>
        <v>0</v>
      </c>
      <c r="BQ37" s="18"/>
      <c r="BR37" s="18"/>
      <c r="BS37" s="18"/>
    </row>
    <row r="38" spans="1:71" s="17" customFormat="1" x14ac:dyDescent="0.35">
      <c r="A38" s="32" t="s">
        <v>5</v>
      </c>
      <c r="B38" s="30">
        <f>COUNTIFS([1]Cadavers!J:J,"TSYR",[1]Cadavers!A:A,"in storage",[1]Cadavers!AO:AO,"Y",[1]Cadavers!L:L,"M")</f>
        <v>0</v>
      </c>
      <c r="C38" s="30">
        <f>COUNTIFS([1]Cadavers!J:J,"TSYR",[1]Cadavers!A:A,"in storage",[1]Cadavers!AO:AO,"Y",[1]Cadavers!L:L,"F")</f>
        <v>0</v>
      </c>
      <c r="D38" s="30">
        <f>COUNTIFS([1]Cadavers!J:J,"TSYR",[1]Cadavers!A:A,"in storage",[1]Cadavers!AO:AO,"Y",[1]Cadavers!L:L,"ND")</f>
        <v>0</v>
      </c>
      <c r="E38" s="31">
        <f>COUNTIFS([1]Cadavers!J:J,"TSYR",[1]Cadavers!A:A,"in storage",[1]Cadavers!AO:AO,"Y")</f>
        <v>0</v>
      </c>
      <c r="F38" s="30">
        <f>COUNTIFS([1]Cadavers!J:J,"TSYR",[1]Cadavers!A:A,"in storage",[1]Cadavers!AO:AO,"N",[1]Cadavers!L:L,"M")</f>
        <v>0</v>
      </c>
      <c r="G38" s="30">
        <f>COUNTIFS([1]Cadavers!J:J,"TSYR",[1]Cadavers!A:A,"in storage",[1]Cadavers!AO:AO,"N",[1]Cadavers!L:L,"F")</f>
        <v>0</v>
      </c>
      <c r="H38" s="31">
        <f>COUNTIFS([1]Cadavers!J:J,"TSYR",[1]Cadavers!A:A,"in storage",[1]Cadavers!AO:AO,"N")</f>
        <v>0</v>
      </c>
      <c r="I38" s="30">
        <f>COUNTIFS([1]Cadavers!J:J,"TSYR")</f>
        <v>2</v>
      </c>
      <c r="J38" s="30">
        <f>COUNTIFS([1]Cadavers!J:J,"TSYR",[1]Cadavers!A:A,"gone")</f>
        <v>0</v>
      </c>
      <c r="K38" s="30">
        <f>COUNTIFS([1]Cadavers!J:J,"TSYR",[1]Cadavers!AQ:AQ,"Y*")</f>
        <v>2</v>
      </c>
      <c r="L38" s="30">
        <f>COUNTIFS([1]Cadavers!J:J,"TSYR",[1]Cadavers!A:A,"ARK")</f>
        <v>2</v>
      </c>
      <c r="M38" s="19">
        <f>COUNTIFS([1]Cadavers!J:J,"TSYR",[1]Cadavers!A:A,"in storage")</f>
        <v>0</v>
      </c>
      <c r="N38" s="28">
        <f>COUNTIFS([1]Tissues!K:K,"TSYR",[1]Tissues!A:A,"in storage",[1]Tissues!AB:AB,"*adrenal*")</f>
        <v>1</v>
      </c>
      <c r="O38" s="28">
        <f>COUNTIFS([1]Tissues!K:K,"TSYR",[1]Tissues!A:A,"in storage",[1]Tissues!AB:AB,"*kidney*")</f>
        <v>0</v>
      </c>
      <c r="P38" s="28">
        <f>COUNTIFS([1]Tissues!K:K,"TSYR",[1]Tissues!A:A,"in storage",[1]Tissues!AB:AB,"*spleen*")</f>
        <v>0</v>
      </c>
      <c r="Q38" s="28">
        <f>COUNTIFS([1]Tissues!K:K,"TSYR",[1]Tissues!A:A,"in storage",[1]Tissues!AB:AB,"*U- bladder*")</f>
        <v>0</v>
      </c>
      <c r="R38" s="29">
        <f>COUNTIFS([1]Tissues!K:K,"TSYR",[1]Tissues!A:A,"in storage",[1]Tissues!AB:AB,"*R- *")</f>
        <v>2</v>
      </c>
      <c r="S38" s="28">
        <f>COUNTIFS([1]Tissues!K:K,"TSYR",[1]Tissues!A:A,"in storage",[1]Tissues!AB:AB,"*liver*")</f>
        <v>0</v>
      </c>
      <c r="T38" s="28">
        <f>COUNTIFS([1]Tissues!K:K,"TSYR",[1]Tissues!A:A,"in storage",[1]Tissues!AB:AB,"*gallbladder*")</f>
        <v>0</v>
      </c>
      <c r="U38" s="28">
        <f>COUNTIFS([1]Tissues!K:K,"TSYR",[1]Tissues!A:A,"in storage",[1]Tissues!AB:AB,"*pancreas*")</f>
        <v>0</v>
      </c>
      <c r="V38" s="28">
        <f>COUNTIFS([1]Tissues!K:K,"TSYR",[1]Tissues!A:A,"in storage",[1]Tissues!AB:AB,"*GI-*")</f>
        <v>0</v>
      </c>
      <c r="W38" s="28">
        <f>COUNTIFS([1]Tissues!K:K,"TSYR",[1]Tissues!A:A,"in storage",[1]Tissues!AB:AB,"*lung*")</f>
        <v>0</v>
      </c>
      <c r="X38" s="28">
        <f>COUNTIFS([1]Tissues!K:K,"TSYR",[1]Tissues!A:A,"in storage",[1]Tissues!AB:AB,"*heart*")</f>
        <v>0</v>
      </c>
      <c r="Y38" s="28">
        <f>COUNTIFS([1]Tissues!K:K,"TSYR",[1]Tissues!A:A,"in storage",[1]Tissues!AB:AB,"*thyroid*")</f>
        <v>0</v>
      </c>
      <c r="Z38" s="28">
        <f>COUNTIFS([1]Tissues!K:K,"TSYR",[1]Tissues!A:A,"in storage",[1]Tissues!AB:AB,"*esophagus*")</f>
        <v>0</v>
      </c>
      <c r="AA38" s="28">
        <f>COUNTIFS([1]Tissues!K:K,"TSYR",[1]Tissues!A:A,"in storage",[1]Tissues!AB:AB,"*trachea*")</f>
        <v>0</v>
      </c>
      <c r="AB38" s="28">
        <f>COUNTIFS([1]Tissues!K:K,"TSYR",[1]Tissues!A:A,"in storage",[1]Tissues!AB:AB,"*eye*")</f>
        <v>3</v>
      </c>
      <c r="AC38" s="28">
        <f>COUNTIFS([1]Tissues!K:K,"TSYR",[1]Tissues!A:A,"in storage",[1]Tissues!AB:AB,"*skin*")</f>
        <v>4</v>
      </c>
      <c r="AD38" s="28">
        <f>COUNTIFS([1]Tissues!K:K,"TSYR",[1]Tissues!A:A,"in storage",[1]Tissues!AB:AB,"*muscle*")</f>
        <v>0</v>
      </c>
      <c r="AE38" s="28">
        <f>COUNTIFS([1]Tissues!K:K,"TSYR",[1]Tissues!A:A,"in storage",[1]Tissues!AB:AB,"*digit*")</f>
        <v>0</v>
      </c>
      <c r="AF38" s="28">
        <f>COUNTIFS([1]Tissues!K:K,"TSYR",[1]Tissues!A:A,"in storage",[1]Tissues!AB:AB,"*fat*")</f>
        <v>0</v>
      </c>
      <c r="AG38" s="28">
        <f>COUNTIFS([1]Tissues!K:K,"TSYR",[1]Tissues!A:A,"in storage",[1]Tissues!AB:AB,"*lymph node*")</f>
        <v>0</v>
      </c>
      <c r="AH38" s="28">
        <f>COUNTIFS([1]Tissues!K:K,"TSYR",[1]Tissues!A:A,"in storage",[1]Tissues!AB:AB,"*Mass*")</f>
        <v>0</v>
      </c>
      <c r="AI38" s="28">
        <f>COUNTIFS([1]Tissues!K:K,"TSYR",[1]Tissues!A:A,"in storage",[1]Tissues!AB:AB,"*tooth*")</f>
        <v>0</v>
      </c>
      <c r="AJ38" s="28">
        <f>COUNTIFS([1]Tissues!K:K,"TSYR",[1]Tissues!A:A,"in storage",[1]Tissues!AB:AB,"*tail*")</f>
        <v>0</v>
      </c>
      <c r="AK38" s="28">
        <f t="shared" si="0"/>
        <v>1</v>
      </c>
      <c r="AL38" s="27">
        <f>COUNTIFS([1]Tissues!K:K,"TSYR",[1]Tissues!A:A,"in storage")</f>
        <v>11</v>
      </c>
      <c r="AM38" s="26">
        <f>COUNTIFS([1]Brains!J:J,"TSYR",[1]Brains!A:A,"IS_whole")</f>
        <v>0</v>
      </c>
      <c r="AN38" s="26">
        <f>COUNTIFS([1]Brains!J:J,"TSYR",[1]Brains!A:A,"IS_partial_brain")</f>
        <v>0</v>
      </c>
      <c r="AO38" s="26">
        <f>COUNTIFS([1]Brains!J:J,"TSYR",[1]Brains!A:A,"IS_partial_FC_RNAlater")</f>
        <v>0</v>
      </c>
      <c r="AP38" s="19">
        <f>COUNTIFS([1]Brains!J:J,"TSYR",[1]Brains!A:A,"IS*")</f>
        <v>0</v>
      </c>
      <c r="AQ38" s="25">
        <f>COUNTIFS([1]Urine!K:K,"TSYR",[1]Urine!M:M,"M",[1]Urine!A:A,"IS_alqt_plus")</f>
        <v>0</v>
      </c>
      <c r="AR38" s="25">
        <f>COUNTIFS([1]Urine!K:K,"TSYR",[1]Urine!M:M,"F",[1]Urine!A:A,"IS_alqt_plus")</f>
        <v>0</v>
      </c>
      <c r="AS38" s="19">
        <f>COUNTIFS([1]Urine!K:K,"TSYR",[1]Urine!A:A,"IS*")</f>
        <v>0</v>
      </c>
      <c r="AT38" s="24">
        <f>SUMIFS([1]Urine!AC:AC,[1]Urine!K:K,"TSYR",[1]Urine!A:A,"IS*")</f>
        <v>0</v>
      </c>
      <c r="AU38" s="23">
        <f>COUNTIFS([1]Blood_Products!K:K,"TSYR",[1]Blood_Products!AB:AB,"WB",[1]Blood_Products!M:M,"M",[1]Blood_Products!A:A,"IS_alqt_plus")</f>
        <v>0</v>
      </c>
      <c r="AV38" s="23">
        <f>COUNTIFS([1]Blood_Products!K:K,"TSYR",[1]Blood_Products!AB:AB,"WB",[1]Blood_Products!M:M,"F",[1]Blood_Products!A:A,"IS_alqt_plus")</f>
        <v>0</v>
      </c>
      <c r="AW38" s="22">
        <f>COUNTIFS([1]Blood_Products!K:K,"TSYR",[1]Blood_Products!A:A,"IS*",[1]Blood_Products!AB:AB,"WB")</f>
        <v>0</v>
      </c>
      <c r="AX38" s="21">
        <f>SUMIFS([1]Blood_Products!AF:AF,[1]Blood_Products!K:K,"TSYR",[1]Blood_Products!A:A,"IS*",[1]Blood_Products!AB:AB,"WB")</f>
        <v>0</v>
      </c>
      <c r="AY38" s="23">
        <f>COUNTIFS([1]Blood_Products!K:K,"TSYR",[1]Blood_Products!AB:AB,"serum",[1]Blood_Products!M:M,"M",[1]Blood_Products!A:A,"IS_alqt_plus")</f>
        <v>0</v>
      </c>
      <c r="AZ38" s="23">
        <f>COUNTIFS([1]Blood_Products!K:K,"TSYR",[1]Blood_Products!AB:AB,"serum",[1]Blood_Products!M:M,"F",[1]Blood_Products!A:A,"IS_alqt_plus")</f>
        <v>0</v>
      </c>
      <c r="BA38" s="22">
        <f>COUNTIFS([1]Blood_Products!K:K,"TSYR",[1]Blood_Products!A:A,"IS*",[1]Blood_Products!AB:AB,"serum")</f>
        <v>0</v>
      </c>
      <c r="BB38" s="21">
        <f>SUMIFS([1]Blood_Products!AF:AF,[1]Blood_Products!K:K,"TSYR",[1]Blood_Products!A:A,"IS*",[1]Blood_Products!AB:AB,"serum")</f>
        <v>0</v>
      </c>
      <c r="BC38" s="23">
        <f>COUNTIFS([1]Blood_Products!K:K,"TSYR",[1]Blood_Products!AB:AB,"plasma",[1]Blood_Products!M:M,"M",[1]Blood_Products!A:A,"IS_alqt_plus")</f>
        <v>0</v>
      </c>
      <c r="BD38" s="23">
        <f>COUNTIFS([1]Blood_Products!K:K,"TSYR",[1]Blood_Products!AB:AB,"plasma",[1]Blood_Products!M:M,"F",[1]Blood_Products!A:A,"IS_alqt_plus")</f>
        <v>0</v>
      </c>
      <c r="BE38" s="22">
        <f>COUNTIFS([1]Blood_Products!K:K,"TSYR",[1]Blood_Products!A:A,"IS*",[1]Blood_Products!AB:AB,"plasma")</f>
        <v>0</v>
      </c>
      <c r="BF38" s="21">
        <f>SUMIFS([1]Blood_Products!AF:AF,[1]Blood_Products!K:K,"TSYR",[1]Blood_Products!A:A,"IS*",[1]Blood_Products!AB:AB,"plasma")</f>
        <v>0</v>
      </c>
      <c r="BG38" s="23">
        <f>COUNTIFS([1]Blood_Products!K:K,"TSYR",[1]Blood_Products!AB:AB,"PRBC",[1]Blood_Products!M:M,"M",[1]Blood_Products!A:A,"IS_alqt_plus")</f>
        <v>0</v>
      </c>
      <c r="BH38" s="23">
        <f>COUNTIFS([1]Blood_Products!K:K,"TSYR",[1]Blood_Products!AB:AB,"PRBC",[1]Blood_Products!M:M,"F",[1]Blood_Products!A:A,"IS_alqt_plus")</f>
        <v>0</v>
      </c>
      <c r="BI38" s="22">
        <f>COUNTIFS([1]Blood_Products!K:K,"TSYR",[1]Blood_Products!A:A,"IS*",[1]Blood_Products!AB:AB,"PRBC")</f>
        <v>0</v>
      </c>
      <c r="BJ38" s="21">
        <f>SUMIFS([1]Blood_Products!AF:AF,[1]Blood_Products!K:K,"TSYR",[1]Blood_Products!A:A,"IS*",[1]Blood_Products!AB:AB,"PRBC")</f>
        <v>0</v>
      </c>
      <c r="BK38" s="20">
        <f>COUNTIFS([1]Feces!K:K,"TSYR",[1]Feces!A:A,"in storage",[1]Feces!AB:AB,"feces",[1]Feces!M:M,"M")</f>
        <v>0</v>
      </c>
      <c r="BL38" s="20">
        <f>COUNTIFS([1]Feces!K:K,"TSYR",[1]Feces!A:A,"in storage",[1]Feces!AB:AB,"feces",[1]Feces!M:M,"F")</f>
        <v>0</v>
      </c>
      <c r="BM38" s="19">
        <f t="shared" si="1"/>
        <v>0</v>
      </c>
      <c r="BN38" s="20">
        <f>COUNTIFS([1]Feces!K:K,"TSYR",[1]Feces!A:A,"in storage",[1]Feces!AB:AB,"fecal swab",[1]Feces!M:M,"M")</f>
        <v>0</v>
      </c>
      <c r="BO38" s="20">
        <f>COUNTIFS([1]Feces!K:K,"TSYR",[1]Feces!A:A,"in storage",[1]Feces!AB:AB,"fecal swab",[1]Feces!M:M,"F")</f>
        <v>0</v>
      </c>
      <c r="BP38" s="19">
        <f t="shared" si="2"/>
        <v>0</v>
      </c>
      <c r="BQ38" s="18"/>
      <c r="BR38" s="18"/>
      <c r="BS38" s="18"/>
    </row>
    <row r="39" spans="1:71" s="17" customFormat="1" x14ac:dyDescent="0.35">
      <c r="A39" s="33" t="s">
        <v>4</v>
      </c>
      <c r="B39" s="30">
        <f>COUNTIFS([1]Cadavers!J:J,"unknown",[1]Cadavers!A:A,"in storage",[1]Cadavers!AO:AO,"Y",[1]Cadavers!L:L,"M")</f>
        <v>0</v>
      </c>
      <c r="C39" s="30">
        <f>COUNTIFS([1]Cadavers!J:J,"unknown",[1]Cadavers!A:A,"in storage",[1]Cadavers!AO:AO,"Y",[1]Cadavers!L:L,"F")</f>
        <v>0</v>
      </c>
      <c r="D39" s="30">
        <f>COUNTIFS([1]Cadavers!J:J,"unknown",[1]Cadavers!A:A,"in storage",[1]Cadavers!AO:AO,"Y",[1]Cadavers!L:L,"ND")</f>
        <v>0</v>
      </c>
      <c r="E39" s="31">
        <f>COUNTIFS([1]Cadavers!J:J,"unknown",[1]Cadavers!A:A,"in storage",[1]Cadavers!AO:AO,"Y")</f>
        <v>0</v>
      </c>
      <c r="F39" s="30">
        <f>COUNTIFS([1]Cadavers!J:J,"unknown",[1]Cadavers!A:A,"in storage",[1]Cadavers!AO:AO,"N",[1]Cadavers!L:L,"M")</f>
        <v>0</v>
      </c>
      <c r="G39" s="30">
        <f>COUNTIFS([1]Cadavers!J:J,"unknown",[1]Cadavers!A:A,"in storage",[1]Cadavers!AO:AO,"N",[1]Cadavers!L:L,"F")</f>
        <v>0</v>
      </c>
      <c r="H39" s="31">
        <f>COUNTIFS([1]Cadavers!J:J,"unknown",[1]Cadavers!A:A,"in storage",[1]Cadavers!AO:AO,"N")</f>
        <v>0</v>
      </c>
      <c r="I39" s="30">
        <f>COUNTIFS([1]Cadavers!J:J,"unknown")</f>
        <v>2</v>
      </c>
      <c r="J39" s="30">
        <f>COUNTIFS([1]Cadavers!J:J,"unknown",[1]Cadavers!A:A,"gone")</f>
        <v>0</v>
      </c>
      <c r="K39" s="30">
        <f>COUNTIFS([1]Cadavers!J:J,"unknown",[1]Cadavers!AQ:AQ,"Y*")</f>
        <v>0</v>
      </c>
      <c r="L39" s="30">
        <f>COUNTIFS([1]Cadavers!J:J,"unknown",[1]Cadavers!A:A,"ARK")</f>
        <v>0</v>
      </c>
      <c r="M39" s="19">
        <f>COUNTIFS([1]Cadavers!J:J,"unknown",[1]Cadavers!A:A,"in storage")</f>
        <v>2</v>
      </c>
      <c r="N39" s="28">
        <f>COUNTIFS([1]Tissues!K:K,"unknown",[1]Tissues!A:A,"in storage",[1]Tissues!AB:AB,"*adrenal*")</f>
        <v>0</v>
      </c>
      <c r="O39" s="28">
        <f>COUNTIFS([1]Tissues!K:K,"unknown",[1]Tissues!A:A,"in storage",[1]Tissues!AB:AB,"*kidney*")</f>
        <v>0</v>
      </c>
      <c r="P39" s="28">
        <f>COUNTIFS([1]Tissues!K:K,"unknown",[1]Tissues!A:A,"in storage",[1]Tissues!AB:AB,"*spleen*")</f>
        <v>0</v>
      </c>
      <c r="Q39" s="28">
        <f>COUNTIFS([1]Tissues!K:K,"unknown",[1]Tissues!A:A,"in storage",[1]Tissues!AB:AB,"*U- bladder*")</f>
        <v>0</v>
      </c>
      <c r="R39" s="29">
        <f>COUNTIFS([1]Tissues!K:K,"unknown",[1]Tissues!A:A,"in storage",[1]Tissues!AB:AB,"*R- *")</f>
        <v>0</v>
      </c>
      <c r="S39" s="28">
        <f>COUNTIFS([1]Tissues!K:K,"unknown",[1]Tissues!A:A,"in storage",[1]Tissues!AB:AB,"*liver*")</f>
        <v>0</v>
      </c>
      <c r="T39" s="28">
        <f>COUNTIFS([1]Tissues!K:K,"unknown",[1]Tissues!A:A,"in storage",[1]Tissues!AB:AB,"*gallbladder*")</f>
        <v>0</v>
      </c>
      <c r="U39" s="28">
        <f>COUNTIFS([1]Tissues!K:K,"unknown",[1]Tissues!A:A,"in storage",[1]Tissues!AB:AB,"*pancreas*")</f>
        <v>0</v>
      </c>
      <c r="V39" s="28">
        <f>COUNTIFS([1]Tissues!K:K,"unknown",[1]Tissues!A:A,"in storage",[1]Tissues!AB:AB,"*GI-*")</f>
        <v>0</v>
      </c>
      <c r="W39" s="28">
        <f>COUNTIFS([1]Tissues!K:K,"unknown",[1]Tissues!A:A,"in storage",[1]Tissues!AB:AB,"*lung*")</f>
        <v>0</v>
      </c>
      <c r="X39" s="28">
        <f>COUNTIFS([1]Tissues!K:K,"unknown",[1]Tissues!A:A,"in storage",[1]Tissues!AB:AB,"*heart*")</f>
        <v>0</v>
      </c>
      <c r="Y39" s="28">
        <f>COUNTIFS([1]Tissues!K:K,"unknown",[1]Tissues!A:A,"in storage",[1]Tissues!AB:AB,"*thyroid*")</f>
        <v>0</v>
      </c>
      <c r="Z39" s="28">
        <f>COUNTIFS([1]Tissues!K:K,"unknown",[1]Tissues!A:A,"in storage",[1]Tissues!AB:AB,"*esophagus*")</f>
        <v>0</v>
      </c>
      <c r="AA39" s="28">
        <f>COUNTIFS([1]Tissues!K:K,"unknown",[1]Tissues!A:A,"in storage",[1]Tissues!AB:AB,"*trachea*")</f>
        <v>0</v>
      </c>
      <c r="AB39" s="28">
        <f>COUNTIFS([1]Tissues!K:K,"unknown",[1]Tissues!A:A,"in storage",[1]Tissues!AB:AB,"*eye*")</f>
        <v>0</v>
      </c>
      <c r="AC39" s="28">
        <f>COUNTIFS([1]Tissues!K:K,"unknown",[1]Tissues!A:A,"in storage",[1]Tissues!AB:AB,"*skin*")</f>
        <v>0</v>
      </c>
      <c r="AD39" s="28">
        <f>COUNTIFS([1]Tissues!K:K,"unknown",[1]Tissues!A:A,"in storage",[1]Tissues!AB:AB,"*muscle*")</f>
        <v>0</v>
      </c>
      <c r="AE39" s="28">
        <f>COUNTIFS([1]Tissues!K:K,"unknown",[1]Tissues!A:A,"in storage",[1]Tissues!AB:AB,"*digit*")</f>
        <v>0</v>
      </c>
      <c r="AF39" s="28">
        <f>COUNTIFS([1]Tissues!K:K,"unknown",[1]Tissues!A:A,"in storage",[1]Tissues!AB:AB,"*fat*")</f>
        <v>0</v>
      </c>
      <c r="AG39" s="28">
        <f>COUNTIFS([1]Tissues!K:K,"unknown",[1]Tissues!A:A,"in storage",[1]Tissues!AB:AB,"*lymph node*")</f>
        <v>0</v>
      </c>
      <c r="AH39" s="28">
        <f>COUNTIFS([1]Tissues!K:K,"unknown",[1]Tissues!A:A,"in storage",[1]Tissues!AB:AB,"*Mass*")</f>
        <v>0</v>
      </c>
      <c r="AI39" s="28">
        <f>COUNTIFS([1]Tissues!K:K,"unknown",[1]Tissues!A:A,"in storage",[1]Tissues!AB:AB,"*tooth*")</f>
        <v>0</v>
      </c>
      <c r="AJ39" s="28">
        <f>COUNTIFS([1]Tissues!K:K,"unknown",[1]Tissues!A:A,"in storage",[1]Tissues!AB:AB,"*tail*")</f>
        <v>0</v>
      </c>
      <c r="AK39" s="28">
        <f t="shared" si="0"/>
        <v>0</v>
      </c>
      <c r="AL39" s="27">
        <f>COUNTIFS([1]Tissues!K:K,"unknown",[1]Tissues!A:A,"in storage")</f>
        <v>0</v>
      </c>
      <c r="AM39" s="26">
        <f>COUNTIFS([1]Brains!J:J,"unknown",[1]Brains!A:A,"IS_whole")</f>
        <v>0</v>
      </c>
      <c r="AN39" s="26">
        <f>COUNTIFS([1]Brains!J:J,"unknown",[1]Brains!A:A,"IS_partial_brain")</f>
        <v>0</v>
      </c>
      <c r="AO39" s="26">
        <f>COUNTIFS([1]Brains!J:J,"unknown",[1]Brains!A:A,"IS_partial_FC_RNAlater")</f>
        <v>0</v>
      </c>
      <c r="AP39" s="19">
        <f>COUNTIFS([1]Brains!J:J,"unknown",[1]Brains!A:A,"IS*")</f>
        <v>0</v>
      </c>
      <c r="AQ39" s="25">
        <f>COUNTIFS([1]Urine!K:K,"unknown",[1]Urine!M:M,"M",[1]Urine!A:A,"IS_alqt_plus")</f>
        <v>0</v>
      </c>
      <c r="AR39" s="25">
        <f>COUNTIFS([1]Urine!K:K,"unknown",[1]Urine!M:M,"F",[1]Urine!A:A,"IS_alqt_plus")</f>
        <v>0</v>
      </c>
      <c r="AS39" s="19">
        <f>COUNTIFS([1]Urine!K:K,"unknown",[1]Urine!A:A,"IS*")</f>
        <v>0</v>
      </c>
      <c r="AT39" s="24">
        <f>SUMIFS([1]Urine!AC:AC,[1]Urine!K:K,"unknown",[1]Urine!A:A,"IS*")</f>
        <v>0</v>
      </c>
      <c r="AU39" s="23">
        <f>COUNTIFS([1]Blood_Products!K:K,"unknown",[1]Blood_Products!AB:AB,"WB",[1]Blood_Products!M:M,"M",[1]Blood_Products!A:A,"IS_alqt_plus")</f>
        <v>0</v>
      </c>
      <c r="AV39" s="23">
        <f>COUNTIFS([1]Blood_Products!K:K,"unknown",[1]Blood_Products!AB:AB,"WB",[1]Blood_Products!M:M,"F",[1]Blood_Products!A:A,"IS_alqt_plus")</f>
        <v>0</v>
      </c>
      <c r="AW39" s="22">
        <f>COUNTIFS([1]Blood_Products!K:K,"unknown",[1]Blood_Products!A:A,"IS*",[1]Blood_Products!AB:AB,"WB")</f>
        <v>0</v>
      </c>
      <c r="AX39" s="21">
        <f>SUMIFS([1]Blood_Products!AF:AF,[1]Blood_Products!K:K,"unknown",[1]Blood_Products!A:A,"IS*",[1]Blood_Products!AB:AB,"WB")</f>
        <v>0</v>
      </c>
      <c r="AY39" s="23">
        <f>COUNTIFS([1]Blood_Products!K:K,"unknown",[1]Blood_Products!AB:AB,"serum",[1]Blood_Products!M:M,"M",[1]Blood_Products!A:A,"IS_alqt_plus")</f>
        <v>0</v>
      </c>
      <c r="AZ39" s="23">
        <f>COUNTIFS([1]Blood_Products!K:K,"unknown",[1]Blood_Products!AB:AB,"serum",[1]Blood_Products!M:M,"F",[1]Blood_Products!A:A,"IS_alqt_plus")</f>
        <v>0</v>
      </c>
      <c r="BA39" s="22">
        <f>COUNTIFS([1]Blood_Products!K:K,"unknown",[1]Blood_Products!A:A,"IS*",[1]Blood_Products!AB:AB,"serum")</f>
        <v>0</v>
      </c>
      <c r="BB39" s="21">
        <f>SUMIFS([1]Blood_Products!AF:AF,[1]Blood_Products!K:K,"unknown",[1]Blood_Products!A:A,"IS*",[1]Blood_Products!AB:AB,"serum")</f>
        <v>0</v>
      </c>
      <c r="BC39" s="23">
        <f>COUNTIFS([1]Blood_Products!K:K,"unknown",[1]Blood_Products!AB:AB,"plasma",[1]Blood_Products!M:M,"M",[1]Blood_Products!A:A,"IS_alqt_plus")</f>
        <v>0</v>
      </c>
      <c r="BD39" s="23">
        <f>COUNTIFS([1]Blood_Products!K:K,"unknown",[1]Blood_Products!AB:AB,"plasma",[1]Blood_Products!M:M,"F",[1]Blood_Products!A:A,"IS_alqt_plus")</f>
        <v>0</v>
      </c>
      <c r="BE39" s="22">
        <f>COUNTIFS([1]Blood_Products!K:K,"unknown",[1]Blood_Products!A:A,"IS*",[1]Blood_Products!AB:AB,"plasma")</f>
        <v>0</v>
      </c>
      <c r="BF39" s="21">
        <f>SUMIFS([1]Blood_Products!AF:AF,[1]Blood_Products!K:K,"unknown",[1]Blood_Products!A:A,"IS*",[1]Blood_Products!AB:AB,"plasma")</f>
        <v>0</v>
      </c>
      <c r="BG39" s="23">
        <f>COUNTIFS([1]Blood_Products!K:K,"unknown",[1]Blood_Products!AB:AB,"PRBC",[1]Blood_Products!M:M,"M",[1]Blood_Products!A:A,"IS_alqt_plus")</f>
        <v>0</v>
      </c>
      <c r="BH39" s="23">
        <f>COUNTIFS([1]Blood_Products!K:K,"unknown",[1]Blood_Products!AB:AB,"PRBC",[1]Blood_Products!M:M,"F",[1]Blood_Products!A:A,"IS_alqt_plus")</f>
        <v>0</v>
      </c>
      <c r="BI39" s="22">
        <f>COUNTIFS([1]Blood_Products!K:K,"unknown",[1]Blood_Products!A:A,"IS*",[1]Blood_Products!AB:AB,"PRBC")</f>
        <v>0</v>
      </c>
      <c r="BJ39" s="21">
        <f>SUMIFS([1]Blood_Products!AF:AF,[1]Blood_Products!K:K,"unknown",[1]Blood_Products!A:A,"IS*",[1]Blood_Products!AB:AB,"PRBC")</f>
        <v>0</v>
      </c>
      <c r="BK39" s="20">
        <f>COUNTIFS([1]Feces!K:K,"unknown",[1]Feces!A:A,"in storage",[1]Feces!AB:AB,"feces",[1]Feces!M:M,"M")</f>
        <v>0</v>
      </c>
      <c r="BL39" s="20">
        <f>COUNTIFS([1]Feces!K:K,"unknown",[1]Feces!A:A,"in storage",[1]Feces!AB:AB,"feces",[1]Feces!M:M,"F")</f>
        <v>0</v>
      </c>
      <c r="BM39" s="19">
        <f t="shared" si="1"/>
        <v>0</v>
      </c>
      <c r="BN39" s="20">
        <f>COUNTIFS([1]Feces!K:K,"unknown",[1]Feces!A:A,"in storage",[1]Feces!AB:AB,"fecal swab",[1]Feces!M:M,"M")</f>
        <v>0</v>
      </c>
      <c r="BO39" s="20">
        <f>COUNTIFS([1]Feces!K:K,"unknown",[1]Feces!A:A,"in storage",[1]Feces!AB:AB,"fecal swab",[1]Feces!M:M,"F")</f>
        <v>0</v>
      </c>
      <c r="BP39" s="19">
        <f t="shared" si="2"/>
        <v>0</v>
      </c>
      <c r="BQ39" s="18"/>
      <c r="BR39" s="18"/>
      <c r="BS39" s="18"/>
    </row>
    <row r="40" spans="1:71" s="17" customFormat="1" x14ac:dyDescent="0.35">
      <c r="A40" s="32" t="s">
        <v>3</v>
      </c>
      <c r="B40" s="30">
        <f>COUNTIFS([1]Cadavers!J:J,"VAR",[1]Cadavers!A:A,"in storage",[1]Cadavers!AO:AO,"Y",[1]Cadavers!L:L,"M")</f>
        <v>0</v>
      </c>
      <c r="C40" s="30">
        <f>COUNTIFS([1]Cadavers!J:J,"VAR",[1]Cadavers!A:A,"in storage",[1]Cadavers!AO:AO,"Y",[1]Cadavers!L:L,"F")</f>
        <v>0</v>
      </c>
      <c r="D40" s="30">
        <f>COUNTIFS([1]Cadavers!J:J,"VAR",[1]Cadavers!A:A,"in storage",[1]Cadavers!AO:AO,"Y",[1]Cadavers!L:L,"ND")</f>
        <v>0</v>
      </c>
      <c r="E40" s="31">
        <f>COUNTIFS([1]Cadavers!J:J,"VAR",[1]Cadavers!A:A,"in storage",[1]Cadavers!AO:AO,"Y")</f>
        <v>0</v>
      </c>
      <c r="F40" s="30">
        <f>COUNTIFS([1]Cadavers!J:J,"VAR",[1]Cadavers!A:A,"in storage",[1]Cadavers!AO:AO,"N",[1]Cadavers!L:L,"M")</f>
        <v>0</v>
      </c>
      <c r="G40" s="30">
        <f>COUNTIFS([1]Cadavers!J:J,"VAR",[1]Cadavers!A:A,"in storage",[1]Cadavers!AO:AO,"N",[1]Cadavers!L:L,"F")</f>
        <v>1</v>
      </c>
      <c r="H40" s="31">
        <f>COUNTIFS([1]Cadavers!J:J,"VAR",[1]Cadavers!A:A,"in storage",[1]Cadavers!AO:AO,"N")</f>
        <v>1</v>
      </c>
      <c r="I40" s="30">
        <f>COUNTIFS([1]Cadavers!J:J,"VAR")</f>
        <v>1</v>
      </c>
      <c r="J40" s="30">
        <f>COUNTIFS([1]Cadavers!J:J,"VAR",[1]Cadavers!A:A,"gone")</f>
        <v>0</v>
      </c>
      <c r="K40" s="30">
        <f>COUNTIFS([1]Cadavers!J:J,"VAR",[1]Cadavers!AQ:AQ,"Y*")</f>
        <v>0</v>
      </c>
      <c r="L40" s="30">
        <f>COUNTIFS([1]Cadavers!J:J,"VAR",[1]Cadavers!A:A,"ARK")</f>
        <v>0</v>
      </c>
      <c r="M40" s="19">
        <f>COUNTIFS([1]Cadavers!J:J,"VAR",[1]Cadavers!A:A,"in storage")</f>
        <v>1</v>
      </c>
      <c r="N40" s="28">
        <f>COUNTIFS([1]Tissues!K:K,"VAR",[1]Tissues!A:A,"in storage",[1]Tissues!AB:AB,"*adrenal*")</f>
        <v>0</v>
      </c>
      <c r="O40" s="28">
        <f>COUNTIFS([1]Tissues!K:K,"VAR",[1]Tissues!A:A,"in storage",[1]Tissues!AB:AB,"*kidney*")</f>
        <v>0</v>
      </c>
      <c r="P40" s="28">
        <f>COUNTIFS([1]Tissues!K:K,"VAR",[1]Tissues!A:A,"in storage",[1]Tissues!AB:AB,"*spleen*")</f>
        <v>0</v>
      </c>
      <c r="Q40" s="28">
        <f>COUNTIFS([1]Tissues!K:K,"VAR",[1]Tissues!A:A,"in storage",[1]Tissues!AB:AB,"*U- bladder*")</f>
        <v>0</v>
      </c>
      <c r="R40" s="29">
        <f>COUNTIFS([1]Tissues!K:K,"VAR",[1]Tissues!A:A,"in storage",[1]Tissues!AB:AB,"*R- *")</f>
        <v>0</v>
      </c>
      <c r="S40" s="28">
        <f>COUNTIFS([1]Tissues!K:K,"VAR",[1]Tissues!A:A,"in storage",[1]Tissues!AB:AB,"*liver*")</f>
        <v>0</v>
      </c>
      <c r="T40" s="28">
        <f>COUNTIFS([1]Tissues!K:K,"VAR",[1]Tissues!A:A,"in storage",[1]Tissues!AB:AB,"*gallbladder*")</f>
        <v>0</v>
      </c>
      <c r="U40" s="28">
        <f>COUNTIFS([1]Tissues!K:K,"VAR",[1]Tissues!A:A,"in storage",[1]Tissues!AB:AB,"*pancreas*")</f>
        <v>0</v>
      </c>
      <c r="V40" s="28">
        <f>COUNTIFS([1]Tissues!K:K,"VAR",[1]Tissues!A:A,"in storage",[1]Tissues!AB:AB,"*GI-*")</f>
        <v>0</v>
      </c>
      <c r="W40" s="28">
        <f>COUNTIFS([1]Tissues!K:K,"VAR",[1]Tissues!A:A,"in storage",[1]Tissues!AB:AB,"*lung*")</f>
        <v>0</v>
      </c>
      <c r="X40" s="28">
        <f>COUNTIFS([1]Tissues!K:K,"VAR",[1]Tissues!A:A,"in storage",[1]Tissues!AB:AB,"*heart*")</f>
        <v>0</v>
      </c>
      <c r="Y40" s="28">
        <f>COUNTIFS([1]Tissues!K:K,"VAR",[1]Tissues!A:A,"in storage",[1]Tissues!AB:AB,"*thyroid*")</f>
        <v>0</v>
      </c>
      <c r="Z40" s="28">
        <f>COUNTIFS([1]Tissues!K:K,"VAR",[1]Tissues!A:A,"in storage",[1]Tissues!AB:AB,"*esophagus*")</f>
        <v>0</v>
      </c>
      <c r="AA40" s="28">
        <f>COUNTIFS([1]Tissues!K:K,"VAR",[1]Tissues!A:A,"in storage",[1]Tissues!AB:AB,"*trachea*")</f>
        <v>0</v>
      </c>
      <c r="AB40" s="28">
        <f>COUNTIFS([1]Tissues!K:K,"VAR",[1]Tissues!A:A,"in storage",[1]Tissues!AB:AB,"*eye*")</f>
        <v>0</v>
      </c>
      <c r="AC40" s="28">
        <f>COUNTIFS([1]Tissues!K:K,"VAR",[1]Tissues!A:A,"in storage",[1]Tissues!AB:AB,"*skin*")</f>
        <v>0</v>
      </c>
      <c r="AD40" s="28">
        <f>COUNTIFS([1]Tissues!K:K,"VAR",[1]Tissues!A:A,"in storage",[1]Tissues!AB:AB,"*muscle*")</f>
        <v>0</v>
      </c>
      <c r="AE40" s="28">
        <f>COUNTIFS([1]Tissues!K:K,"VAR",[1]Tissues!A:A,"in storage",[1]Tissues!AB:AB,"*digit*")</f>
        <v>0</v>
      </c>
      <c r="AF40" s="28">
        <f>COUNTIFS([1]Tissues!K:K,"VAR",[1]Tissues!A:A,"in storage",[1]Tissues!AB:AB,"*fat*")</f>
        <v>0</v>
      </c>
      <c r="AG40" s="28">
        <f>COUNTIFS([1]Tissues!K:K,"VAR",[1]Tissues!A:A,"in storage",[1]Tissues!AB:AB,"*lymph node*")</f>
        <v>0</v>
      </c>
      <c r="AH40" s="28">
        <f>COUNTIFS([1]Tissues!K:K,"VAR",[1]Tissues!A:A,"in storage",[1]Tissues!AB:AB,"*Mass*")</f>
        <v>0</v>
      </c>
      <c r="AI40" s="28">
        <f>COUNTIFS([1]Tissues!K:K,"VAR",[1]Tissues!A:A,"in storage",[1]Tissues!AB:AB,"*tooth*")</f>
        <v>0</v>
      </c>
      <c r="AJ40" s="28">
        <f>COUNTIFS([1]Tissues!K:K,"VAR",[1]Tissues!A:A,"in storage",[1]Tissues!AB:AB,"*tail*")</f>
        <v>0</v>
      </c>
      <c r="AK40" s="28">
        <f t="shared" si="0"/>
        <v>0</v>
      </c>
      <c r="AL40" s="27">
        <f>COUNTIFS([1]Tissues!K:K,"VAR",[1]Tissues!A:A,"in storage")</f>
        <v>0</v>
      </c>
      <c r="AM40" s="26">
        <f>COUNTIFS([1]Brains!J:J,"VAR",[1]Brains!A:A,"IS_whole")</f>
        <v>0</v>
      </c>
      <c r="AN40" s="26">
        <f>COUNTIFS([1]Brains!J:J,"VAR",[1]Brains!A:A,"IS_partial_brain")</f>
        <v>0</v>
      </c>
      <c r="AO40" s="26">
        <f>COUNTIFS([1]Brains!J:J,"VAR",[1]Brains!A:A,"IS_partial_FC_RNAlater")</f>
        <v>0</v>
      </c>
      <c r="AP40" s="19">
        <f>COUNTIFS([1]Brains!J:J,"VAR",[1]Brains!A:A,"IS*")</f>
        <v>0</v>
      </c>
      <c r="AQ40" s="25">
        <f>COUNTIFS([1]Urine!K:K,"VAR",[1]Urine!M:M,"M",[1]Urine!A:A,"IS_alqt_plus")</f>
        <v>0</v>
      </c>
      <c r="AR40" s="25">
        <f>COUNTIFS([1]Urine!K:K,"VAR",[1]Urine!M:M,"F",[1]Urine!A:A,"IS_alqt_plus")</f>
        <v>0</v>
      </c>
      <c r="AS40" s="19">
        <f>COUNTIFS([1]Urine!K:K,"VAR",[1]Urine!A:A,"IS*")</f>
        <v>0</v>
      </c>
      <c r="AT40" s="24">
        <f>SUMIFS([1]Urine!AC:AC,[1]Urine!K:K,"VAR",[1]Urine!A:A,"IS*")</f>
        <v>0</v>
      </c>
      <c r="AU40" s="23">
        <f>COUNTIFS([1]Blood_Products!K:K,"VAR",[1]Blood_Products!AB:AB,"WB",[1]Blood_Products!M:M,"M",[1]Blood_Products!A:A,"IS_alqt_plus")</f>
        <v>0</v>
      </c>
      <c r="AV40" s="23">
        <f>COUNTIFS([1]Blood_Products!K:K,"VAR",[1]Blood_Products!AB:AB,"WB",[1]Blood_Products!M:M,"F",[1]Blood_Products!A:A,"IS_alqt_plus")</f>
        <v>0</v>
      </c>
      <c r="AW40" s="22">
        <f>COUNTIFS([1]Blood_Products!K:K,"VAR",[1]Blood_Products!A:A,"IS*",[1]Blood_Products!AB:AB,"WB")</f>
        <v>0</v>
      </c>
      <c r="AX40" s="21">
        <f>SUMIFS([1]Blood_Products!AF:AF,[1]Blood_Products!K:K,"VAR",[1]Blood_Products!A:A,"IS*",[1]Blood_Products!AB:AB,"WB")</f>
        <v>0</v>
      </c>
      <c r="AY40" s="23">
        <f>COUNTIFS([1]Blood_Products!K:K,"VAR",[1]Blood_Products!AB:AB,"serum",[1]Blood_Products!M:M,"M",[1]Blood_Products!A:A,"IS_alqt_plus")</f>
        <v>0</v>
      </c>
      <c r="AZ40" s="23">
        <f>COUNTIFS([1]Blood_Products!K:K,"VAR",[1]Blood_Products!AB:AB,"serum",[1]Blood_Products!M:M,"F",[1]Blood_Products!A:A,"IS_alqt_plus")</f>
        <v>0</v>
      </c>
      <c r="BA40" s="22">
        <f>COUNTIFS([1]Blood_Products!K:K,"VAR",[1]Blood_Products!A:A,"IS*",[1]Blood_Products!AB:AB,"serum")</f>
        <v>0</v>
      </c>
      <c r="BB40" s="21">
        <f>SUMIFS([1]Blood_Products!AF:AF,[1]Blood_Products!K:K,"VAR",[1]Blood_Products!A:A,"IS*",[1]Blood_Products!AB:AB,"serum")</f>
        <v>0</v>
      </c>
      <c r="BC40" s="23">
        <f>COUNTIFS([1]Blood_Products!K:K,"VAR",[1]Blood_Products!AB:AB,"plasma",[1]Blood_Products!M:M,"M",[1]Blood_Products!A:A,"IS_alqt_plus")</f>
        <v>0</v>
      </c>
      <c r="BD40" s="23">
        <f>COUNTIFS([1]Blood_Products!K:K,"VAR",[1]Blood_Products!AB:AB,"plasma",[1]Blood_Products!M:M,"F",[1]Blood_Products!A:A,"IS_alqt_plus")</f>
        <v>0</v>
      </c>
      <c r="BE40" s="22">
        <f>COUNTIFS([1]Blood_Products!K:K,"VAR",[1]Blood_Products!A:A,"IS*",[1]Blood_Products!AB:AB,"plasma")</f>
        <v>0</v>
      </c>
      <c r="BF40" s="21">
        <f>SUMIFS([1]Blood_Products!AF:AF,[1]Blood_Products!K:K,"VAR",[1]Blood_Products!A:A,"IS*",[1]Blood_Products!AB:AB,"plasma")</f>
        <v>0</v>
      </c>
      <c r="BG40" s="23">
        <f>COUNTIFS([1]Blood_Products!K:K,"VAR",[1]Blood_Products!AB:AB,"PRBC",[1]Blood_Products!M:M,"M",[1]Blood_Products!A:A,"IS_alqt_plus")</f>
        <v>0</v>
      </c>
      <c r="BH40" s="23">
        <f>COUNTIFS([1]Blood_Products!K:K,"VAR",[1]Blood_Products!AB:AB,"PRBC",[1]Blood_Products!M:M,"F",[1]Blood_Products!A:A,"IS_alqt_plus")</f>
        <v>0</v>
      </c>
      <c r="BI40" s="22">
        <f>COUNTIFS([1]Blood_Products!K:K,"VAR",[1]Blood_Products!A:A,"IS*",[1]Blood_Products!AB:AB,"PRBC")</f>
        <v>0</v>
      </c>
      <c r="BJ40" s="21">
        <f>SUMIFS([1]Blood_Products!AF:AF,[1]Blood_Products!K:K,"VAR",[1]Blood_Products!A:A,"IS*",[1]Blood_Products!AB:AB,"PRBC")</f>
        <v>0</v>
      </c>
      <c r="BK40" s="20">
        <f>COUNTIFS([1]Feces!K:K,"VAR",[1]Feces!A:A,"in storage",[1]Feces!AB:AB,"feces",[1]Feces!M:M,"M")</f>
        <v>0</v>
      </c>
      <c r="BL40" s="20">
        <f>COUNTIFS([1]Feces!K:K,"VAR",[1]Feces!A:A,"in storage",[1]Feces!AB:AB,"feces",[1]Feces!M:M,"F")</f>
        <v>0</v>
      </c>
      <c r="BM40" s="19">
        <f t="shared" si="1"/>
        <v>0</v>
      </c>
      <c r="BN40" s="20">
        <f>COUNTIFS([1]Feces!K:K,"VAR",[1]Feces!A:A,"in storage",[1]Feces!AB:AB,"fecal swab",[1]Feces!M:M,"M")</f>
        <v>0</v>
      </c>
      <c r="BO40" s="20">
        <f>COUNTIFS([1]Feces!K:K,"VAR",[1]Feces!A:A,"in storage",[1]Feces!AB:AB,"fecal swab",[1]Feces!M:M,"F")</f>
        <v>0</v>
      </c>
      <c r="BP40" s="19">
        <f t="shared" si="2"/>
        <v>0</v>
      </c>
      <c r="BQ40" s="18"/>
      <c r="BR40" s="18"/>
      <c r="BS40" s="18"/>
    </row>
    <row r="41" spans="1:71" s="17" customFormat="1" x14ac:dyDescent="0.35">
      <c r="A41" s="32" t="s">
        <v>2</v>
      </c>
      <c r="B41" s="30">
        <f>COUNTIFS([1]Cadavers!J:J,"VRUB",[1]Cadavers!A:A,"in storage",[1]Cadavers!AO:AO,"Y",[1]Cadavers!L:L,"M")</f>
        <v>4</v>
      </c>
      <c r="C41" s="30">
        <f>COUNTIFS([1]Cadavers!J:J,"VRUB",[1]Cadavers!A:A,"in storage",[1]Cadavers!AO:AO,"Y",[1]Cadavers!L:L,"F")</f>
        <v>2</v>
      </c>
      <c r="D41" s="30">
        <f>COUNTIFS([1]Cadavers!J:J,"VRUB",[1]Cadavers!A:A,"in storage",[1]Cadavers!AO:AO,"Y",[1]Cadavers!L:L,"ND")</f>
        <v>1</v>
      </c>
      <c r="E41" s="31">
        <f>COUNTIFS([1]Cadavers!J:J,"VRUB",[1]Cadavers!A:A,"in storage",[1]Cadavers!AO:AO,"Y")</f>
        <v>7</v>
      </c>
      <c r="F41" s="30">
        <f>COUNTIFS([1]Cadavers!J:J,"VRUB",[1]Cadavers!A:A,"in storage",[1]Cadavers!AO:AO,"N",[1]Cadavers!L:L,"M")</f>
        <v>6</v>
      </c>
      <c r="G41" s="30">
        <f>COUNTIFS([1]Cadavers!J:J,"VRUB",[1]Cadavers!A:A,"in storage",[1]Cadavers!AO:AO,"N",[1]Cadavers!L:L,"F")</f>
        <v>4</v>
      </c>
      <c r="H41" s="31">
        <f>COUNTIFS([1]Cadavers!J:J,"VRUB",[1]Cadavers!A:A,"in storage",[1]Cadavers!AO:AO,"N")</f>
        <v>10</v>
      </c>
      <c r="I41" s="30">
        <f>COUNTIFS([1]Cadavers!J:J,"VRUB")</f>
        <v>32</v>
      </c>
      <c r="J41" s="30">
        <f>COUNTIFS([1]Cadavers!J:J,"VRUB",[1]Cadavers!A:A,"gone")</f>
        <v>11</v>
      </c>
      <c r="K41" s="30">
        <f>COUNTIFS([1]Cadavers!J:J,"VRUB",[1]Cadavers!AQ:AQ,"Y*")</f>
        <v>4</v>
      </c>
      <c r="L41" s="30">
        <f>COUNTIFS([1]Cadavers!J:J,"VRUB",[1]Cadavers!A:A,"ARK")</f>
        <v>2</v>
      </c>
      <c r="M41" s="19">
        <f>COUNTIFS([1]Cadavers!J:J,"VRUB",[1]Cadavers!A:A,"in storage")</f>
        <v>18</v>
      </c>
      <c r="N41" s="28">
        <f>COUNTIFS([1]Tissues!K:K,"VRUB",[1]Tissues!A:A,"in storage",[1]Tissues!AB:AB,"*adrenal*")</f>
        <v>15</v>
      </c>
      <c r="O41" s="28">
        <f>COUNTIFS([1]Tissues!K:K,"VRUB",[1]Tissues!A:A,"in storage",[1]Tissues!AB:AB,"*kidney*")</f>
        <v>75</v>
      </c>
      <c r="P41" s="28">
        <f>COUNTIFS([1]Tissues!K:K,"VRUB",[1]Tissues!A:A,"in storage",[1]Tissues!AB:AB,"*spleen*")</f>
        <v>40</v>
      </c>
      <c r="Q41" s="28">
        <f>COUNTIFS([1]Tissues!K:K,"VRUB",[1]Tissues!A:A,"in storage",[1]Tissues!AB:AB,"*U- bladder*")</f>
        <v>5</v>
      </c>
      <c r="R41" s="29">
        <f>COUNTIFS([1]Tissues!K:K,"VRUB",[1]Tissues!A:A,"in storage",[1]Tissues!AB:AB,"*R- *")</f>
        <v>25</v>
      </c>
      <c r="S41" s="28">
        <f>COUNTIFS([1]Tissues!K:K,"VRUB",[1]Tissues!A:A,"in storage",[1]Tissues!AB:AB,"*liver*")</f>
        <v>64</v>
      </c>
      <c r="T41" s="28">
        <f>COUNTIFS([1]Tissues!K:K,"VRUB",[1]Tissues!A:A,"in storage",[1]Tissues!AB:AB,"*gallbladder*")</f>
        <v>1</v>
      </c>
      <c r="U41" s="28">
        <f>COUNTIFS([1]Tissues!K:K,"VRUB",[1]Tissues!A:A,"in storage",[1]Tissues!AB:AB,"*pancreas*")</f>
        <v>15</v>
      </c>
      <c r="V41" s="28">
        <f>COUNTIFS([1]Tissues!K:K,"VRUB",[1]Tissues!A:A,"in storage",[1]Tissues!AB:AB,"*GI-*")</f>
        <v>34</v>
      </c>
      <c r="W41" s="28">
        <f>COUNTIFS([1]Tissues!K:K,"VRUB",[1]Tissues!A:A,"in storage",[1]Tissues!AB:AB,"*lung*")</f>
        <v>63</v>
      </c>
      <c r="X41" s="28">
        <f>COUNTIFS([1]Tissues!K:K,"VRUB",[1]Tissues!A:A,"in storage",[1]Tissues!AB:AB,"*heart*")</f>
        <v>40</v>
      </c>
      <c r="Y41" s="28">
        <f>COUNTIFS([1]Tissues!K:K,"VRUB",[1]Tissues!A:A,"in storage",[1]Tissues!AB:AB,"*thyroid*")</f>
        <v>8</v>
      </c>
      <c r="Z41" s="28">
        <f>COUNTIFS([1]Tissues!K:K,"VRUB",[1]Tissues!A:A,"in storage",[1]Tissues!AB:AB,"*esophagus*")</f>
        <v>2</v>
      </c>
      <c r="AA41" s="28">
        <f>COUNTIFS([1]Tissues!K:K,"VRUB",[1]Tissues!A:A,"in storage",[1]Tissues!AB:AB,"*trachea*")</f>
        <v>8</v>
      </c>
      <c r="AB41" s="28">
        <f>COUNTIFS([1]Tissues!K:K,"VRUB",[1]Tissues!A:A,"in storage",[1]Tissues!AB:AB,"*eye*")</f>
        <v>4</v>
      </c>
      <c r="AC41" s="28">
        <f>COUNTIFS([1]Tissues!K:K,"VRUB",[1]Tissues!A:A,"in storage",[1]Tissues!AB:AB,"*skin*")</f>
        <v>18</v>
      </c>
      <c r="AD41" s="28">
        <f>COUNTIFS([1]Tissues!K:K,"VRUB",[1]Tissues!A:A,"in storage",[1]Tissues!AB:AB,"*muscle*")</f>
        <v>31</v>
      </c>
      <c r="AE41" s="28">
        <f>COUNTIFS([1]Tissues!K:K,"VRUB",[1]Tissues!A:A,"in storage",[1]Tissues!AB:AB,"*digit*")</f>
        <v>1</v>
      </c>
      <c r="AF41" s="28">
        <f>COUNTIFS([1]Tissues!K:K,"VRUB",[1]Tissues!A:A,"in storage",[1]Tissues!AB:AB,"*fat*")</f>
        <v>0</v>
      </c>
      <c r="AG41" s="28">
        <f>COUNTIFS([1]Tissues!K:K,"VRUB",[1]Tissues!A:A,"in storage",[1]Tissues!AB:AB,"*lymph node*")</f>
        <v>1</v>
      </c>
      <c r="AH41" s="28">
        <f>COUNTIFS([1]Tissues!K:K,"VRUB",[1]Tissues!A:A,"in storage",[1]Tissues!AB:AB,"*Mass*")</f>
        <v>3</v>
      </c>
      <c r="AI41" s="28">
        <f>COUNTIFS([1]Tissues!K:K,"VRUB",[1]Tissues!A:A,"in storage",[1]Tissues!AB:AB,"*tooth*")</f>
        <v>1</v>
      </c>
      <c r="AJ41" s="28">
        <f>COUNTIFS([1]Tissues!K:K,"VRUB",[1]Tissues!A:A,"in storage",[1]Tissues!AB:AB,"*tail*")</f>
        <v>2</v>
      </c>
      <c r="AK41" s="28">
        <f t="shared" si="0"/>
        <v>53</v>
      </c>
      <c r="AL41" s="27">
        <f>COUNTIFS([1]Tissues!K:K,"VRUB",[1]Tissues!A:A,"in storage")</f>
        <v>509</v>
      </c>
      <c r="AM41" s="26">
        <f>COUNTIFS([1]Brains!J:J,"VRUB",[1]Brains!A:A,"IS_whole")</f>
        <v>2</v>
      </c>
      <c r="AN41" s="26">
        <f>COUNTIFS([1]Brains!J:J,"VRUB",[1]Brains!A:A,"IS_partial_brain")</f>
        <v>2</v>
      </c>
      <c r="AO41" s="26">
        <f>COUNTIFS([1]Brains!J:J,"VRUB",[1]Brains!A:A,"IS_partial_FC_RNAlater")</f>
        <v>1</v>
      </c>
      <c r="AP41" s="19">
        <f>COUNTIFS([1]Brains!J:J,"VRUB",[1]Brains!A:A,"IS*")</f>
        <v>5</v>
      </c>
      <c r="AQ41" s="25">
        <f>COUNTIFS([1]Urine!K:K,"VRUB",[1]Urine!M:M,"M",[1]Urine!A:A,"IS_alqt_plus")</f>
        <v>144</v>
      </c>
      <c r="AR41" s="25">
        <f>COUNTIFS([1]Urine!K:K,"VRUB",[1]Urine!M:M,"F",[1]Urine!A:A,"IS_alqt_plus")</f>
        <v>127</v>
      </c>
      <c r="AS41" s="19">
        <f>COUNTIFS([1]Urine!K:K,"VRUB",[1]Urine!A:A,"IS*")</f>
        <v>292</v>
      </c>
      <c r="AT41" s="24">
        <f>SUMIFS([1]Urine!AC:AC,[1]Urine!K:K,"VRUB",[1]Urine!A:A,"IS*")</f>
        <v>273.45</v>
      </c>
      <c r="AU41" s="23">
        <f>COUNTIFS([1]Blood_Products!K:K,"VRUB",[1]Blood_Products!AB:AB,"WB",[1]Blood_Products!M:M,"M",[1]Blood_Products!A:A,"IS_alqt_plus")</f>
        <v>218</v>
      </c>
      <c r="AV41" s="23">
        <f>COUNTIFS([1]Blood_Products!K:K,"VRUB",[1]Blood_Products!AB:AB,"WB",[1]Blood_Products!M:M,"F",[1]Blood_Products!A:A,"IS_alqt_plus")</f>
        <v>339</v>
      </c>
      <c r="AW41" s="22">
        <f>COUNTIFS([1]Blood_Products!K:K,"VRUB",[1]Blood_Products!A:A,"IS*",[1]Blood_Products!AB:AB,"WB")</f>
        <v>557</v>
      </c>
      <c r="AX41" s="21">
        <f>SUMIFS([1]Blood_Products!AF:AF,[1]Blood_Products!K:K,"VRUB",[1]Blood_Products!A:A,"IS*",[1]Blood_Products!AB:AB,"WB")</f>
        <v>464.29999999999916</v>
      </c>
      <c r="AY41" s="23">
        <f>COUNTIFS([1]Blood_Products!K:K,"VRUB",[1]Blood_Products!AB:AB,"serum",[1]Blood_Products!M:M,"M",[1]Blood_Products!A:A,"IS_alqt_plus")</f>
        <v>218</v>
      </c>
      <c r="AZ41" s="23">
        <f>COUNTIFS([1]Blood_Products!K:K,"VRUB",[1]Blood_Products!AB:AB,"serum",[1]Blood_Products!M:M,"F",[1]Blood_Products!A:A,"IS_alqt_plus")</f>
        <v>379</v>
      </c>
      <c r="BA41" s="22">
        <f>COUNTIFS([1]Blood_Products!K:K,"VRUB",[1]Blood_Products!A:A,"IS*",[1]Blood_Products!AB:AB,"serum")</f>
        <v>602</v>
      </c>
      <c r="BB41" s="21">
        <f>SUMIFS([1]Blood_Products!AF:AF,[1]Blood_Products!K:K,"VRUB",[1]Blood_Products!A:A,"IS*",[1]Blood_Products!AB:AB,"serum")</f>
        <v>556.57500000000084</v>
      </c>
      <c r="BC41" s="23">
        <f>COUNTIFS([1]Blood_Products!K:K,"VRUB",[1]Blood_Products!AB:AB,"plasma",[1]Blood_Products!M:M,"M",[1]Blood_Products!A:A,"IS_alqt_plus")</f>
        <v>0</v>
      </c>
      <c r="BD41" s="23">
        <f>COUNTIFS([1]Blood_Products!K:K,"VRUB",[1]Blood_Products!AB:AB,"plasma",[1]Blood_Products!M:M,"F",[1]Blood_Products!A:A,"IS_alqt_plus")</f>
        <v>0</v>
      </c>
      <c r="BE41" s="22">
        <f>COUNTIFS([1]Blood_Products!K:K,"VRUB",[1]Blood_Products!A:A,"IS*",[1]Blood_Products!AB:AB,"plasma")</f>
        <v>0</v>
      </c>
      <c r="BF41" s="21">
        <f>SUMIFS([1]Blood_Products!AF:AF,[1]Blood_Products!K:K,"VRUB",[1]Blood_Products!A:A,"IS*",[1]Blood_Products!AB:AB,"plasma")</f>
        <v>0</v>
      </c>
      <c r="BG41" s="23">
        <f>COUNTIFS([1]Blood_Products!K:K,"VRUB",[1]Blood_Products!AB:AB,"PRBC",[1]Blood_Products!M:M,"M",[1]Blood_Products!A:A,"IS_alqt_plus")</f>
        <v>0</v>
      </c>
      <c r="BH41" s="23">
        <f>COUNTIFS([1]Blood_Products!K:K,"VRUB",[1]Blood_Products!AB:AB,"PRBC",[1]Blood_Products!M:M,"F",[1]Blood_Products!A:A,"IS_alqt_plus")</f>
        <v>0</v>
      </c>
      <c r="BI41" s="22">
        <f>COUNTIFS([1]Blood_Products!K:K,"VRUB",[1]Blood_Products!A:A,"IS*",[1]Blood_Products!AB:AB,"PRBC")</f>
        <v>0</v>
      </c>
      <c r="BJ41" s="21">
        <f>SUMIFS([1]Blood_Products!AF:AF,[1]Blood_Products!K:K,"VRUB",[1]Blood_Products!A:A,"IS*",[1]Blood_Products!AB:AB,"PRBC")</f>
        <v>0</v>
      </c>
      <c r="BK41" s="20">
        <f>COUNTIFS([1]Feces!K:K,"VRUB",[1]Feces!A:A,"in storage",[1]Feces!AB:AB,"feces",[1]Feces!M:M,"M")</f>
        <v>3</v>
      </c>
      <c r="BL41" s="20">
        <f>COUNTIFS([1]Feces!K:K,"VRUB",[1]Feces!A:A,"in storage",[1]Feces!AB:AB,"feces",[1]Feces!M:M,"F")</f>
        <v>12</v>
      </c>
      <c r="BM41" s="19">
        <f t="shared" si="1"/>
        <v>15</v>
      </c>
      <c r="BN41" s="20">
        <f>COUNTIFS([1]Feces!K:K,"VRUB",[1]Feces!A:A,"in storage",[1]Feces!AB:AB,"fecal swab",[1]Feces!M:M,"M")</f>
        <v>1</v>
      </c>
      <c r="BO41" s="20">
        <f>COUNTIFS([1]Feces!K:K,"VRUB",[1]Feces!A:A,"in storage",[1]Feces!AB:AB,"fecal swab",[1]Feces!M:M,"F")</f>
        <v>1</v>
      </c>
      <c r="BP41" s="19">
        <f t="shared" si="2"/>
        <v>2</v>
      </c>
      <c r="BQ41" s="18"/>
      <c r="BR41" s="18"/>
      <c r="BS41" s="18"/>
    </row>
    <row r="42" spans="1:71" s="17" customFormat="1" x14ac:dyDescent="0.35">
      <c r="A42" s="32" t="s">
        <v>1</v>
      </c>
      <c r="B42" s="30">
        <f>COUNTIFS([1]Cadavers!J:J,"VVV",[1]Cadavers!A:A,"in storage",[1]Cadavers!AO:AO,"Y",[1]Cadavers!L:L,"M")</f>
        <v>6</v>
      </c>
      <c r="C42" s="30">
        <f>COUNTIFS([1]Cadavers!J:J,"VVV",[1]Cadavers!A:A,"in storage",[1]Cadavers!AO:AO,"Y",[1]Cadavers!L:L,"F")</f>
        <v>2</v>
      </c>
      <c r="D42" s="30">
        <f>COUNTIFS([1]Cadavers!J:J,"VVV",[1]Cadavers!A:A,"in storage",[1]Cadavers!AO:AO,"Y",[1]Cadavers!L:L,"ND")</f>
        <v>0</v>
      </c>
      <c r="E42" s="31">
        <f>COUNTIFS([1]Cadavers!J:J,"VVV",[1]Cadavers!A:A,"in storage",[1]Cadavers!AO:AO,"Y")</f>
        <v>8</v>
      </c>
      <c r="F42" s="30">
        <f>COUNTIFS([1]Cadavers!J:J,"VVV",[1]Cadavers!A:A,"in storage",[1]Cadavers!AO:AO,"N",[1]Cadavers!L:L,"M")</f>
        <v>4</v>
      </c>
      <c r="G42" s="30">
        <f>COUNTIFS([1]Cadavers!J:J,"VVV",[1]Cadavers!A:A,"in storage",[1]Cadavers!AO:AO,"N",[1]Cadavers!L:L,"F")</f>
        <v>2</v>
      </c>
      <c r="H42" s="31">
        <f>COUNTIFS([1]Cadavers!J:J,"VVV",[1]Cadavers!A:A,"in storage",[1]Cadavers!AO:AO,"N")</f>
        <v>6</v>
      </c>
      <c r="I42" s="30">
        <f>COUNTIFS([1]Cadavers!J:J,"VVV")</f>
        <v>30</v>
      </c>
      <c r="J42" s="30">
        <f>COUNTIFS([1]Cadavers!J:J,"VVV",[1]Cadavers!A:A,"gone")</f>
        <v>13</v>
      </c>
      <c r="K42" s="30">
        <f>COUNTIFS([1]Cadavers!J:J,"VVV",[1]Cadavers!AQ:AQ,"Y*")</f>
        <v>2</v>
      </c>
      <c r="L42" s="30">
        <f>COUNTIFS([1]Cadavers!J:J,"VVV",[1]Cadavers!A:A,"ARK")</f>
        <v>2</v>
      </c>
      <c r="M42" s="19">
        <f>COUNTIFS([1]Cadavers!J:J,"VVV",[1]Cadavers!A:A,"in storage")</f>
        <v>14</v>
      </c>
      <c r="N42" s="28">
        <f>COUNTIFS([1]Tissues!K:K,"VVV",[1]Tissues!A:A,"in storage",[1]Tissues!AB:AB,"*adrenal*")</f>
        <v>7</v>
      </c>
      <c r="O42" s="28">
        <f>COUNTIFS([1]Tissues!K:K,"VVV",[1]Tissues!A:A,"in storage",[1]Tissues!AB:AB,"*kidney*")</f>
        <v>40</v>
      </c>
      <c r="P42" s="28">
        <f>COUNTIFS([1]Tissues!K:K,"VVV",[1]Tissues!A:A,"in storage",[1]Tissues!AB:AB,"*spleen*")</f>
        <v>29</v>
      </c>
      <c r="Q42" s="28">
        <f>COUNTIFS([1]Tissues!K:K,"VVV",[1]Tissues!A:A,"in storage",[1]Tissues!AB:AB,"*U- bladder*")</f>
        <v>2</v>
      </c>
      <c r="R42" s="29">
        <f>COUNTIFS([1]Tissues!K:K,"VVV",[1]Tissues!A:A,"in storage",[1]Tissues!AB:AB,"*R- *")</f>
        <v>12</v>
      </c>
      <c r="S42" s="28">
        <f>COUNTIFS([1]Tissues!K:K,"VVV",[1]Tissues!A:A,"in storage",[1]Tissues!AB:AB,"*liver*")</f>
        <v>42</v>
      </c>
      <c r="T42" s="28">
        <f>COUNTIFS([1]Tissues!K:K,"VVV",[1]Tissues!A:A,"in storage",[1]Tissues!AB:AB,"*gallbladder*")</f>
        <v>4</v>
      </c>
      <c r="U42" s="28">
        <f>COUNTIFS([1]Tissues!K:K,"VVV",[1]Tissues!A:A,"in storage",[1]Tissues!AB:AB,"*pancreas*")</f>
        <v>6</v>
      </c>
      <c r="V42" s="28">
        <f>COUNTIFS([1]Tissues!K:K,"VVV",[1]Tissues!A:A,"in storage",[1]Tissues!AB:AB,"*GI-*")</f>
        <v>15</v>
      </c>
      <c r="W42" s="28">
        <f>COUNTIFS([1]Tissues!K:K,"VVV",[1]Tissues!A:A,"in storage",[1]Tissues!AB:AB,"*lung*")</f>
        <v>35</v>
      </c>
      <c r="X42" s="28">
        <f>COUNTIFS([1]Tissues!K:K,"VVV",[1]Tissues!A:A,"in storage",[1]Tissues!AB:AB,"*heart*")</f>
        <v>23</v>
      </c>
      <c r="Y42" s="28">
        <f>COUNTIFS([1]Tissues!K:K,"VVV",[1]Tissues!A:A,"in storage",[1]Tissues!AB:AB,"*thyroid*")</f>
        <v>3</v>
      </c>
      <c r="Z42" s="28">
        <f>COUNTIFS([1]Tissues!K:K,"VVV",[1]Tissues!A:A,"in storage",[1]Tissues!AB:AB,"*esophagus*")</f>
        <v>1</v>
      </c>
      <c r="AA42" s="28">
        <f>COUNTIFS([1]Tissues!K:K,"VVV",[1]Tissues!A:A,"in storage",[1]Tissues!AB:AB,"*trachea*")</f>
        <v>3</v>
      </c>
      <c r="AB42" s="28">
        <f>COUNTIFS([1]Tissues!K:K,"VVV",[1]Tissues!A:A,"in storage",[1]Tissues!AB:AB,"*eye*")</f>
        <v>2</v>
      </c>
      <c r="AC42" s="28">
        <f>COUNTIFS([1]Tissues!K:K,"VVV",[1]Tissues!A:A,"in storage",[1]Tissues!AB:AB,"*skin*")</f>
        <v>13</v>
      </c>
      <c r="AD42" s="28">
        <f>COUNTIFS([1]Tissues!K:K,"VVV",[1]Tissues!A:A,"in storage",[1]Tissues!AB:AB,"*muscle*")</f>
        <v>20</v>
      </c>
      <c r="AE42" s="28">
        <f>COUNTIFS([1]Tissues!K:K,"VVV",[1]Tissues!A:A,"in storage",[1]Tissues!AB:AB,"*digit*")</f>
        <v>0</v>
      </c>
      <c r="AF42" s="28">
        <f>COUNTIFS([1]Tissues!K:K,"VVV",[1]Tissues!A:A,"in storage",[1]Tissues!AB:AB,"*fat*")</f>
        <v>0</v>
      </c>
      <c r="AG42" s="28">
        <f>COUNTIFS([1]Tissues!K:K,"VVV",[1]Tissues!A:A,"in storage",[1]Tissues!AB:AB,"*lymph node*")</f>
        <v>1</v>
      </c>
      <c r="AH42" s="28">
        <f>COUNTIFS([1]Tissues!K:K,"VVV",[1]Tissues!A:A,"in storage",[1]Tissues!AB:AB,"*Mass*")</f>
        <v>9</v>
      </c>
      <c r="AI42" s="28">
        <f>COUNTIFS([1]Tissues!K:K,"VVV",[1]Tissues!A:A,"in storage",[1]Tissues!AB:AB,"*tooth*")</f>
        <v>2</v>
      </c>
      <c r="AJ42" s="28">
        <f>COUNTIFS([1]Tissues!K:K,"VVV",[1]Tissues!A:A,"in storage",[1]Tissues!AB:AB,"*tail*")</f>
        <v>0</v>
      </c>
      <c r="AK42" s="28">
        <f t="shared" si="0"/>
        <v>21</v>
      </c>
      <c r="AL42" s="27">
        <f>COUNTIFS([1]Tissues!K:K,"VVV",[1]Tissues!A:A,"in storage")</f>
        <v>290</v>
      </c>
      <c r="AM42" s="26">
        <f>COUNTIFS([1]Brains!J:J,"VVV",[1]Brains!A:A,"IS_whole")</f>
        <v>3</v>
      </c>
      <c r="AN42" s="26">
        <f>COUNTIFS([1]Brains!J:J,"VVV",[1]Brains!A:A,"IS_partial_brain")</f>
        <v>1</v>
      </c>
      <c r="AO42" s="26">
        <f>COUNTIFS([1]Brains!J:J,"VVV",[1]Brains!A:A,"IS_partial_FC_RNAlater")</f>
        <v>0</v>
      </c>
      <c r="AP42" s="19">
        <f>COUNTIFS([1]Brains!J:J,"VVV",[1]Brains!A:A,"IS*")</f>
        <v>4</v>
      </c>
      <c r="AQ42" s="25">
        <f>COUNTIFS([1]Urine!K:K,"VVV",[1]Urine!M:M,"M",[1]Urine!A:A,"IS_alqt_plus")</f>
        <v>66</v>
      </c>
      <c r="AR42" s="25">
        <f>COUNTIFS([1]Urine!K:K,"VVV",[1]Urine!M:M,"F",[1]Urine!A:A,"IS_alqt_plus")</f>
        <v>230</v>
      </c>
      <c r="AS42" s="19">
        <f>COUNTIFS([1]Urine!K:K,"VVV",[1]Urine!A:A,"IS*")</f>
        <v>356</v>
      </c>
      <c r="AT42" s="24">
        <f>SUMIFS([1]Urine!AC:AC,[1]Urine!K:K,"VVV",[1]Urine!A:A,"IS*")</f>
        <v>281.44999999999993</v>
      </c>
      <c r="AU42" s="23">
        <f>COUNTIFS([1]Blood_Products!K:K,"VVV",[1]Blood_Products!AB:AB,"WB",[1]Blood_Products!M:M,"M",[1]Blood_Products!A:A,"IS_alqt_plus")</f>
        <v>153</v>
      </c>
      <c r="AV42" s="23">
        <f>COUNTIFS([1]Blood_Products!K:K,"VVV",[1]Blood_Products!AB:AB,"WB",[1]Blood_Products!M:M,"F",[1]Blood_Products!A:A,"IS_alqt_plus")</f>
        <v>143</v>
      </c>
      <c r="AW42" s="22">
        <f>COUNTIFS([1]Blood_Products!K:K,"VVV",[1]Blood_Products!A:A,"IS*",[1]Blood_Products!AB:AB,"WB")</f>
        <v>300</v>
      </c>
      <c r="AX42" s="21">
        <f>SUMIFS([1]Blood_Products!AF:AF,[1]Blood_Products!K:K,"VVV",[1]Blood_Products!A:A,"IS*",[1]Blood_Products!AB:AB,"WB")</f>
        <v>213.04999999999976</v>
      </c>
      <c r="AY42" s="23">
        <f>COUNTIFS([1]Blood_Products!K:K,"VVV",[1]Blood_Products!AB:AB,"serum",[1]Blood_Products!M:M,"M",[1]Blood_Products!A:A,"IS_alqt_plus")</f>
        <v>225</v>
      </c>
      <c r="AZ42" s="23">
        <f>COUNTIFS([1]Blood_Products!K:K,"VVV",[1]Blood_Products!AB:AB,"serum",[1]Blood_Products!M:M,"F",[1]Blood_Products!A:A,"IS_alqt_plus")</f>
        <v>163</v>
      </c>
      <c r="BA42" s="22">
        <f>COUNTIFS([1]Blood_Products!K:K,"VVV",[1]Blood_Products!A:A,"IS*",[1]Blood_Products!AB:AB,"serum")</f>
        <v>390</v>
      </c>
      <c r="BB42" s="21">
        <f>SUMIFS([1]Blood_Products!AF:AF,[1]Blood_Products!K:K,"VVV",[1]Blood_Products!A:A,"IS*",[1]Blood_Products!AB:AB,"serum")</f>
        <v>277.19999999999902</v>
      </c>
      <c r="BC42" s="23">
        <f>COUNTIFS([1]Blood_Products!K:K,"VVV",[1]Blood_Products!AB:AB,"plasma",[1]Blood_Products!M:M,"M",[1]Blood_Products!A:A,"IS_alqt_plus")</f>
        <v>0</v>
      </c>
      <c r="BD42" s="23">
        <f>COUNTIFS([1]Blood_Products!K:K,"VVV",[1]Blood_Products!AB:AB,"plasma",[1]Blood_Products!M:M,"F",[1]Blood_Products!A:A,"IS_alqt_plus")</f>
        <v>0</v>
      </c>
      <c r="BE42" s="22">
        <f>COUNTIFS([1]Blood_Products!K:K,"VVV",[1]Blood_Products!A:A,"IS*",[1]Blood_Products!AB:AB,"plasma")</f>
        <v>0</v>
      </c>
      <c r="BF42" s="21">
        <f>SUMIFS([1]Blood_Products!AF:AF,[1]Blood_Products!K:K,"VVV",[1]Blood_Products!A:A,"IS*",[1]Blood_Products!AB:AB,"plasma")</f>
        <v>0</v>
      </c>
      <c r="BG42" s="23">
        <f>COUNTIFS([1]Blood_Products!K:K,"VVV",[1]Blood_Products!AB:AB,"PRBC",[1]Blood_Products!M:M,"M",[1]Blood_Products!A:A,"IS_alqt_plus")</f>
        <v>0</v>
      </c>
      <c r="BH42" s="23">
        <f>COUNTIFS([1]Blood_Products!K:K,"VVV",[1]Blood_Products!AB:AB,"PRBC",[1]Blood_Products!M:M,"F",[1]Blood_Products!A:A,"IS_alqt_plus")</f>
        <v>0</v>
      </c>
      <c r="BI42" s="22">
        <f>COUNTIFS([1]Blood_Products!K:K,"VVV",[1]Blood_Products!A:A,"IS*",[1]Blood_Products!AB:AB,"PRBC")</f>
        <v>0</v>
      </c>
      <c r="BJ42" s="21">
        <f>SUMIFS([1]Blood_Products!AF:AF,[1]Blood_Products!K:K,"VVV",[1]Blood_Products!A:A,"IS*",[1]Blood_Products!AB:AB,"PRBC")</f>
        <v>0</v>
      </c>
      <c r="BK42" s="20">
        <f>COUNTIFS([1]Feces!K:K,"VVV",[1]Feces!A:A,"in storage",[1]Feces!AB:AB,"feces",[1]Feces!M:M,"M")</f>
        <v>1</v>
      </c>
      <c r="BL42" s="20">
        <f>COUNTIFS([1]Feces!K:K,"VVV",[1]Feces!A:A,"in storage",[1]Feces!AB:AB,"feces",[1]Feces!M:M,"F")</f>
        <v>2</v>
      </c>
      <c r="BM42" s="19">
        <f t="shared" si="1"/>
        <v>3</v>
      </c>
      <c r="BN42" s="20">
        <f>COUNTIFS([1]Feces!K:K,"VVV",[1]Feces!A:A,"in storage",[1]Feces!AB:AB,"fecal swab",[1]Feces!M:M,"M")</f>
        <v>15</v>
      </c>
      <c r="BO42" s="20">
        <f>COUNTIFS([1]Feces!K:K,"VVV",[1]Feces!A:A,"in storage",[1]Feces!AB:AB,"fecal swab",[1]Feces!M:M,"F")</f>
        <v>1</v>
      </c>
      <c r="BP42" s="19">
        <f t="shared" si="2"/>
        <v>16</v>
      </c>
      <c r="BQ42" s="18"/>
      <c r="BR42" s="18"/>
      <c r="BS42" s="18"/>
    </row>
    <row r="43" spans="1:71" x14ac:dyDescent="0.35">
      <c r="M43" s="16" t="s">
        <v>0</v>
      </c>
      <c r="AL43" s="16" t="s">
        <v>0</v>
      </c>
      <c r="AP43" s="16" t="s">
        <v>0</v>
      </c>
      <c r="AS43" s="16" t="s">
        <v>0</v>
      </c>
      <c r="AT43" s="15" t="s">
        <v>0</v>
      </c>
      <c r="AU43" s="8"/>
      <c r="AV43" s="8"/>
      <c r="AW43" s="16" t="s">
        <v>0</v>
      </c>
      <c r="AX43" s="16" t="s">
        <v>0</v>
      </c>
      <c r="AY43" s="8"/>
      <c r="AZ43" s="8"/>
      <c r="BA43" s="16" t="s">
        <v>0</v>
      </c>
      <c r="BB43" s="15" t="s">
        <v>0</v>
      </c>
      <c r="BC43" s="8"/>
      <c r="BD43" s="8"/>
      <c r="BE43" s="16" t="s">
        <v>0</v>
      </c>
      <c r="BF43" s="15" t="s">
        <v>0</v>
      </c>
      <c r="BG43" s="7"/>
      <c r="BH43" s="7"/>
      <c r="BI43" s="16" t="s">
        <v>0</v>
      </c>
      <c r="BJ43" s="15" t="s">
        <v>0</v>
      </c>
      <c r="BM43" s="15" t="s">
        <v>0</v>
      </c>
      <c r="BP43" s="15" t="s">
        <v>0</v>
      </c>
    </row>
    <row r="44" spans="1:71" x14ac:dyDescent="0.35">
      <c r="M44" s="12">
        <f>SUM(M3:M42)</f>
        <v>560</v>
      </c>
      <c r="AL44" s="14">
        <f>SUM(AL3:AL42)</f>
        <v>9262</v>
      </c>
      <c r="AP44" s="14">
        <f>SUM(AP3:AP42)</f>
        <v>138</v>
      </c>
      <c r="AS44" s="14">
        <f>SUM(AS3:AS42)</f>
        <v>5399</v>
      </c>
      <c r="AT44" s="13">
        <f>SUM(AT3:AT43)</f>
        <v>4516.6000000000013</v>
      </c>
      <c r="AU44" s="8"/>
      <c r="AV44" s="8"/>
      <c r="AW44" s="12">
        <f>SUM(AW3:AW42)</f>
        <v>6627</v>
      </c>
      <c r="AX44" s="11">
        <f>SUM(AX3:AX42)</f>
        <v>4767.771000000007</v>
      </c>
      <c r="AY44" s="8"/>
      <c r="AZ44" s="8"/>
      <c r="BA44" s="12">
        <f>SUM(BA3:BA42)</f>
        <v>7186</v>
      </c>
      <c r="BB44" s="11">
        <f>SUM(BB3:BB42)</f>
        <v>5900.8560000000061</v>
      </c>
      <c r="BC44" s="8"/>
      <c r="BD44" s="8"/>
      <c r="BE44" s="10">
        <f>SUM(BE3:BE42)</f>
        <v>147</v>
      </c>
      <c r="BF44" s="11">
        <f>SUM(BF3:BF42)</f>
        <v>37.061</v>
      </c>
      <c r="BG44" s="7"/>
      <c r="BH44" s="7"/>
      <c r="BI44" s="10">
        <f>SUM(BI3:BI42)</f>
        <v>263</v>
      </c>
      <c r="BJ44" s="11">
        <f>SUM(BJ3:BJ42)</f>
        <v>81.850000000000037</v>
      </c>
      <c r="BM44" s="10">
        <f>SUM(BM3:BM42)</f>
        <v>342</v>
      </c>
      <c r="BP44" s="10">
        <f>SUM(BP3:BP42)</f>
        <v>36</v>
      </c>
    </row>
  </sheetData>
  <mergeCells count="6">
    <mergeCell ref="BK1:BP1"/>
    <mergeCell ref="A1:M1"/>
    <mergeCell ref="N1:AL1"/>
    <mergeCell ref="AM1:AP1"/>
    <mergeCell ref="AQ1:AT1"/>
    <mergeCell ref="AU1:BJ1"/>
  </mergeCells>
  <conditionalFormatting sqref="A1 AM1 AQ1 AU1 BK1">
    <cfRule type="cellIs" dxfId="11" priority="12" operator="equal">
      <formula>0</formula>
    </cfRule>
  </conditionalFormatting>
  <conditionalFormatting sqref="A2:XFD1048576">
    <cfRule type="cellIs" dxfId="10" priority="10" operator="equal">
      <formula>0</formula>
    </cfRule>
  </conditionalFormatting>
  <conditionalFormatting sqref="N1">
    <cfRule type="cellIs" dxfId="9" priority="11" operator="equal">
      <formula>0</formula>
    </cfRule>
  </conditionalFormatting>
  <conditionalFormatting sqref="AP43">
    <cfRule type="cellIs" dxfId="8" priority="9" operator="equal">
      <formula>0</formula>
    </cfRule>
  </conditionalFormatting>
  <conditionalFormatting sqref="AS43:AT43">
    <cfRule type="cellIs" dxfId="7" priority="8" operator="equal">
      <formula>0</formula>
    </cfRule>
  </conditionalFormatting>
  <conditionalFormatting sqref="AW43:AX43">
    <cfRule type="cellIs" dxfId="6" priority="7" operator="equal">
      <formula>0</formula>
    </cfRule>
  </conditionalFormatting>
  <conditionalFormatting sqref="BA43:BB43">
    <cfRule type="cellIs" dxfId="5" priority="6" operator="equal">
      <formula>0</formula>
    </cfRule>
  </conditionalFormatting>
  <conditionalFormatting sqref="BE43:BF43">
    <cfRule type="cellIs" dxfId="4" priority="5" operator="equal">
      <formula>0</formula>
    </cfRule>
  </conditionalFormatting>
  <conditionalFormatting sqref="BI43:BJ43">
    <cfRule type="cellIs" dxfId="3" priority="4" operator="equal">
      <formula>0</formula>
    </cfRule>
  </conditionalFormatting>
  <conditionalFormatting sqref="BM43">
    <cfRule type="cellIs" dxfId="2" priority="2" operator="equal">
      <formula>0</formula>
    </cfRule>
  </conditionalFormatting>
  <conditionalFormatting sqref="BP43">
    <cfRule type="cellIs" dxfId="1" priority="1" operator="equal">
      <formula>0</formula>
    </cfRule>
  </conditionalFormatting>
  <conditionalFormatting sqref="BQ1:XFD1"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Duke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Gordon</dc:creator>
  <cp:lastModifiedBy>Erin Ehmke</cp:lastModifiedBy>
  <dcterms:created xsi:type="dcterms:W3CDTF">2026-09-02T16:02:42Z</dcterms:created>
  <dcterms:modified xsi:type="dcterms:W3CDTF">2026-09-02T17:14:18Z</dcterms:modified>
</cp:coreProperties>
</file>